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ocuments\INDIRA BURBANO MONTENEGRO 2020\CAM2021\INFORME DE GESTION 2020\INFORME A 30 JUNIO 2021\"/>
    </mc:Choice>
  </mc:AlternateContent>
  <bookViews>
    <workbookView xWindow="0" yWindow="0" windowWidth="20490" windowHeight="6150" firstSheet="1" activeTab="1"/>
  </bookViews>
  <sheets>
    <sheet name="MATRIZ CONSOLIDADA " sheetId="1" state="hidden" r:id="rId1"/>
    <sheet name="ANEXO 1 INF DE GESTIÓN " sheetId="2" r:id="rId2"/>
  </sheets>
  <externalReferences>
    <externalReference r:id="rId3"/>
    <externalReference r:id="rId4"/>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8" i="2" l="1"/>
  <c r="M84" i="2"/>
  <c r="M80" i="2"/>
  <c r="M64" i="2"/>
  <c r="M63" i="2" s="1"/>
  <c r="M55" i="2"/>
  <c r="M50" i="2" s="1"/>
  <c r="M51" i="2"/>
  <c r="M43" i="2"/>
  <c r="M39" i="2"/>
  <c r="M28" i="2"/>
  <c r="M14" i="2"/>
  <c r="M11" i="2"/>
  <c r="M8" i="2"/>
  <c r="M27" i="2" l="1"/>
  <c r="M7" i="2"/>
  <c r="K95" i="2" l="1"/>
  <c r="K59" i="2"/>
  <c r="K58" i="2"/>
  <c r="K57" i="2"/>
  <c r="K56" i="2"/>
  <c r="K55" i="2"/>
  <c r="K51" i="2"/>
  <c r="K50" i="2"/>
  <c r="K54" i="2"/>
  <c r="K52" i="2"/>
  <c r="O88" i="2" l="1"/>
  <c r="O80" i="2"/>
  <c r="O74" i="2"/>
  <c r="O71" i="2"/>
  <c r="O68" i="2"/>
  <c r="O11" i="2"/>
  <c r="O10" i="2"/>
  <c r="O8" i="2" s="1"/>
  <c r="L93" i="2" l="1"/>
  <c r="O17" i="2"/>
  <c r="S77" i="2" l="1"/>
  <c r="S10" i="2"/>
  <c r="S93" i="2" l="1"/>
  <c r="T93" i="2" s="1"/>
  <c r="S82" i="2"/>
  <c r="T82" i="2" s="1"/>
  <c r="S73" i="2"/>
  <c r="T73" i="2" s="1"/>
  <c r="S59" i="2"/>
  <c r="T59" i="2" s="1"/>
  <c r="S58" i="2"/>
  <c r="T58" i="2" s="1"/>
  <c r="S49" i="2"/>
  <c r="T49" i="2" s="1"/>
  <c r="S48" i="2"/>
  <c r="T48" i="2" s="1"/>
  <c r="S47" i="2"/>
  <c r="T47" i="2" s="1"/>
  <c r="S46" i="2"/>
  <c r="T46" i="2" s="1"/>
  <c r="S45" i="2"/>
  <c r="T45" i="2" s="1"/>
  <c r="S44" i="2"/>
  <c r="S34" i="2"/>
  <c r="T34" i="2" s="1"/>
  <c r="S33" i="2"/>
  <c r="T33" i="2" s="1"/>
  <c r="S32" i="2"/>
  <c r="T32" i="2" s="1"/>
  <c r="S31" i="2"/>
  <c r="T31" i="2" s="1"/>
  <c r="S30" i="2"/>
  <c r="T30" i="2" s="1"/>
  <c r="G8" i="1"/>
  <c r="R88" i="2"/>
  <c r="R87" i="2" s="1"/>
  <c r="R84" i="2"/>
  <c r="R83" i="2" s="1"/>
  <c r="R80" i="2"/>
  <c r="R79" i="2" s="1"/>
  <c r="R74" i="2"/>
  <c r="R71" i="2"/>
  <c r="R68" i="2"/>
  <c r="R64" i="2"/>
  <c r="R63" i="2" s="1"/>
  <c r="R51" i="2"/>
  <c r="R43" i="2"/>
  <c r="R39" i="2"/>
  <c r="R28" i="2"/>
  <c r="R11" i="2"/>
  <c r="R8" i="2"/>
  <c r="I99" i="1"/>
  <c r="O86" i="2"/>
  <c r="O53" i="2"/>
  <c r="R27" i="2" l="1"/>
  <c r="T44" i="2"/>
  <c r="S43" i="2"/>
  <c r="T43" i="2" s="1"/>
  <c r="J29" i="2" l="1"/>
  <c r="J10" i="2"/>
  <c r="D89" i="1" l="1"/>
  <c r="M94" i="2" l="1"/>
  <c r="S94" i="2" s="1"/>
  <c r="L94" i="2"/>
  <c r="D94" i="2"/>
  <c r="C94" i="2"/>
  <c r="B94" i="2"/>
  <c r="A94" i="2"/>
  <c r="M93" i="2"/>
  <c r="Q93" i="2" s="1"/>
  <c r="H93" i="2"/>
  <c r="D93" i="2"/>
  <c r="C93" i="2"/>
  <c r="B93" i="2"/>
  <c r="A93" i="2"/>
  <c r="M92" i="2"/>
  <c r="L92" i="2"/>
  <c r="D92" i="2"/>
  <c r="C92" i="2"/>
  <c r="B92" i="2"/>
  <c r="A92" i="2"/>
  <c r="M91" i="2"/>
  <c r="L91" i="2"/>
  <c r="J91" i="2"/>
  <c r="D91" i="2"/>
  <c r="C91" i="2"/>
  <c r="B91" i="2"/>
  <c r="A91" i="2"/>
  <c r="M90" i="2"/>
  <c r="L90" i="2"/>
  <c r="J90" i="2"/>
  <c r="D90" i="2"/>
  <c r="E90" i="2" s="1"/>
  <c r="G90" i="2" s="1"/>
  <c r="C90" i="2"/>
  <c r="B90" i="2"/>
  <c r="A90" i="2"/>
  <c r="M89" i="2"/>
  <c r="S89" i="2" s="1"/>
  <c r="L89" i="2"/>
  <c r="I89" i="2"/>
  <c r="D89" i="2"/>
  <c r="C89" i="2"/>
  <c r="B89" i="2"/>
  <c r="A89" i="2"/>
  <c r="A88" i="2"/>
  <c r="A87" i="2"/>
  <c r="M86" i="2"/>
  <c r="L86" i="2"/>
  <c r="N86" i="2" s="1"/>
  <c r="J86" i="2"/>
  <c r="D86" i="2"/>
  <c r="C86" i="2"/>
  <c r="B86" i="2"/>
  <c r="A86" i="2"/>
  <c r="M85" i="2"/>
  <c r="S85" i="2" s="1"/>
  <c r="L85" i="2"/>
  <c r="H85" i="2"/>
  <c r="D85" i="2"/>
  <c r="C85" i="2"/>
  <c r="B85" i="2"/>
  <c r="A85" i="2"/>
  <c r="A83" i="2"/>
  <c r="M82" i="2"/>
  <c r="L82" i="2"/>
  <c r="I80" i="2"/>
  <c r="D82" i="2"/>
  <c r="C82" i="2"/>
  <c r="B82" i="2"/>
  <c r="A82" i="2"/>
  <c r="M81" i="2"/>
  <c r="L81" i="2"/>
  <c r="H81" i="2"/>
  <c r="J81" i="2" s="1"/>
  <c r="D81" i="2"/>
  <c r="C81" i="2"/>
  <c r="B81" i="2"/>
  <c r="A81" i="2"/>
  <c r="A80" i="2"/>
  <c r="O79" i="2"/>
  <c r="A79" i="2"/>
  <c r="R78" i="2"/>
  <c r="R77" i="2" s="1"/>
  <c r="R67" i="2" s="1"/>
  <c r="L78" i="2"/>
  <c r="I78" i="2"/>
  <c r="I77" i="2" s="1"/>
  <c r="H78" i="2"/>
  <c r="H77" i="2" s="1"/>
  <c r="E78" i="2"/>
  <c r="E77" i="2" s="1"/>
  <c r="D78" i="2"/>
  <c r="C78" i="2"/>
  <c r="B78" i="2"/>
  <c r="A78" i="2"/>
  <c r="T77" i="2"/>
  <c r="O77" i="2"/>
  <c r="A77" i="2"/>
  <c r="M76" i="2"/>
  <c r="S76" i="2" s="1"/>
  <c r="T76" i="2" s="1"/>
  <c r="L76" i="2"/>
  <c r="J76" i="2"/>
  <c r="J74" i="2" s="1"/>
  <c r="D76" i="2"/>
  <c r="C76" i="2"/>
  <c r="B76" i="2"/>
  <c r="A76" i="2"/>
  <c r="M75" i="2"/>
  <c r="L75" i="2"/>
  <c r="H75" i="2"/>
  <c r="D75" i="2"/>
  <c r="C75" i="2"/>
  <c r="B75" i="2"/>
  <c r="A75" i="2"/>
  <c r="A74" i="2"/>
  <c r="Q73" i="2"/>
  <c r="L73" i="2"/>
  <c r="H73" i="2"/>
  <c r="D73" i="2"/>
  <c r="C73" i="2"/>
  <c r="B73" i="2"/>
  <c r="A73" i="2"/>
  <c r="L72" i="2"/>
  <c r="H72" i="2"/>
  <c r="D72" i="2"/>
  <c r="C72" i="2"/>
  <c r="B72" i="2"/>
  <c r="A72" i="2"/>
  <c r="A71" i="2"/>
  <c r="M70" i="2"/>
  <c r="S70" i="2" s="1"/>
  <c r="T70" i="2" s="1"/>
  <c r="L70" i="2"/>
  <c r="J70" i="2"/>
  <c r="D70" i="2"/>
  <c r="C70" i="2"/>
  <c r="B70" i="2"/>
  <c r="A70" i="2"/>
  <c r="M69" i="2"/>
  <c r="L69" i="2"/>
  <c r="H69" i="2"/>
  <c r="D69" i="2"/>
  <c r="C69" i="2"/>
  <c r="B69" i="2"/>
  <c r="A69" i="2"/>
  <c r="O67" i="2"/>
  <c r="A67" i="2"/>
  <c r="M66" i="2"/>
  <c r="L66" i="2"/>
  <c r="J66" i="2"/>
  <c r="D66" i="2"/>
  <c r="C66" i="2"/>
  <c r="B66" i="2"/>
  <c r="A66" i="2"/>
  <c r="M65" i="2"/>
  <c r="S65" i="2" s="1"/>
  <c r="L65" i="2"/>
  <c r="I65" i="2"/>
  <c r="J65" i="2" s="1"/>
  <c r="D65" i="2"/>
  <c r="C65" i="2"/>
  <c r="B65" i="2"/>
  <c r="A65" i="2"/>
  <c r="O64" i="2"/>
  <c r="O63" i="2" s="1"/>
  <c r="A64" i="2"/>
  <c r="A63" i="2"/>
  <c r="M62" i="2"/>
  <c r="L62" i="2"/>
  <c r="D62" i="2"/>
  <c r="C62" i="2"/>
  <c r="B62" i="2"/>
  <c r="A62" i="2"/>
  <c r="S61" i="2"/>
  <c r="R61" i="2"/>
  <c r="R55" i="2" s="1"/>
  <c r="R50" i="2" s="1"/>
  <c r="M61" i="2"/>
  <c r="L61" i="2"/>
  <c r="B61" i="2"/>
  <c r="A61" i="2"/>
  <c r="M60" i="2"/>
  <c r="S60" i="2" s="1"/>
  <c r="T60" i="2" s="1"/>
  <c r="L60" i="2"/>
  <c r="D60" i="2"/>
  <c r="C60" i="2"/>
  <c r="B60" i="2"/>
  <c r="A60" i="2"/>
  <c r="M59" i="2"/>
  <c r="Q59" i="2" s="1"/>
  <c r="L59" i="2"/>
  <c r="D59" i="2"/>
  <c r="C59" i="2"/>
  <c r="B59" i="2"/>
  <c r="A59" i="2"/>
  <c r="M58" i="2"/>
  <c r="Q58" i="2" s="1"/>
  <c r="L58" i="2"/>
  <c r="D58" i="2"/>
  <c r="C58" i="2"/>
  <c r="B58" i="2"/>
  <c r="A58" i="2"/>
  <c r="S57" i="2"/>
  <c r="T57" i="2" s="1"/>
  <c r="M57" i="2"/>
  <c r="P57" i="2" s="1"/>
  <c r="L57" i="2"/>
  <c r="H57" i="2"/>
  <c r="D57" i="2"/>
  <c r="C57" i="2"/>
  <c r="B57" i="2"/>
  <c r="A57" i="2"/>
  <c r="M56" i="2"/>
  <c r="L56" i="2"/>
  <c r="H56" i="2"/>
  <c r="J56" i="2" s="1"/>
  <c r="D56" i="2"/>
  <c r="C56" i="2"/>
  <c r="B56" i="2"/>
  <c r="A56" i="2"/>
  <c r="O55" i="2"/>
  <c r="A55" i="2"/>
  <c r="M54" i="2"/>
  <c r="S54" i="2" s="1"/>
  <c r="L54" i="2"/>
  <c r="I54" i="2"/>
  <c r="J54" i="2" s="1"/>
  <c r="D54" i="2"/>
  <c r="C54" i="2"/>
  <c r="B54" i="2"/>
  <c r="A54" i="2"/>
  <c r="H53" i="2"/>
  <c r="D53" i="2"/>
  <c r="C53" i="2"/>
  <c r="B53" i="2"/>
  <c r="A53" i="2"/>
  <c r="M52" i="2"/>
  <c r="L52" i="2"/>
  <c r="D52" i="2"/>
  <c r="C52" i="2"/>
  <c r="B52" i="2"/>
  <c r="A52" i="2"/>
  <c r="O51" i="2"/>
  <c r="A51" i="2"/>
  <c r="A50" i="2"/>
  <c r="M49" i="2"/>
  <c r="Q49" i="2" s="1"/>
  <c r="L49" i="2"/>
  <c r="D49" i="2"/>
  <c r="C49" i="2"/>
  <c r="B49" i="2"/>
  <c r="A49" i="2"/>
  <c r="M48" i="2"/>
  <c r="Q48" i="2" s="1"/>
  <c r="L48" i="2"/>
  <c r="I48" i="2"/>
  <c r="H48" i="2"/>
  <c r="D48" i="2"/>
  <c r="E48" i="2" s="1"/>
  <c r="G48" i="2" s="1"/>
  <c r="C48" i="2"/>
  <c r="B48" i="2"/>
  <c r="A48" i="2"/>
  <c r="Q47" i="2"/>
  <c r="L47" i="2"/>
  <c r="I47" i="2"/>
  <c r="H47" i="2"/>
  <c r="D47" i="2"/>
  <c r="C47" i="2"/>
  <c r="B47" i="2"/>
  <c r="A47" i="2"/>
  <c r="M46" i="2"/>
  <c r="Q46" i="2" s="1"/>
  <c r="L46" i="2"/>
  <c r="H46" i="2"/>
  <c r="D46" i="2"/>
  <c r="C46" i="2"/>
  <c r="B46" i="2"/>
  <c r="A46" i="2"/>
  <c r="J45" i="2"/>
  <c r="D45" i="2"/>
  <c r="C45" i="2"/>
  <c r="B45" i="2"/>
  <c r="A45" i="2"/>
  <c r="M44" i="2"/>
  <c r="L44" i="2"/>
  <c r="H44" i="2"/>
  <c r="J44" i="2" s="1"/>
  <c r="D44" i="2"/>
  <c r="C44" i="2"/>
  <c r="B44" i="2"/>
  <c r="A44" i="2"/>
  <c r="O43" i="2"/>
  <c r="A43" i="2"/>
  <c r="M42" i="2"/>
  <c r="L42" i="2"/>
  <c r="J42" i="2"/>
  <c r="D42" i="2"/>
  <c r="C42" i="2"/>
  <c r="B42" i="2"/>
  <c r="A42" i="2"/>
  <c r="M41" i="2"/>
  <c r="S41" i="2" s="1"/>
  <c r="T41" i="2" s="1"/>
  <c r="L41" i="2"/>
  <c r="J41" i="2"/>
  <c r="D41" i="2"/>
  <c r="C41" i="2"/>
  <c r="B41" i="2"/>
  <c r="A41" i="2"/>
  <c r="M40" i="2"/>
  <c r="L40" i="2"/>
  <c r="D40" i="2"/>
  <c r="C40" i="2"/>
  <c r="B40" i="2"/>
  <c r="A40" i="2"/>
  <c r="O39" i="2"/>
  <c r="A39" i="2"/>
  <c r="L38" i="2"/>
  <c r="J38" i="2"/>
  <c r="D38" i="2"/>
  <c r="E38" i="2" s="1"/>
  <c r="G38" i="2" s="1"/>
  <c r="B38" i="2"/>
  <c r="A38" i="2"/>
  <c r="M37" i="2"/>
  <c r="S37" i="2" s="1"/>
  <c r="T37" i="2" s="1"/>
  <c r="L37" i="2"/>
  <c r="H37" i="2"/>
  <c r="J37" i="2" s="1"/>
  <c r="D37" i="2"/>
  <c r="C37" i="2"/>
  <c r="B37" i="2"/>
  <c r="A37" i="2"/>
  <c r="M36" i="2"/>
  <c r="L36" i="2"/>
  <c r="J36" i="2"/>
  <c r="D36" i="2"/>
  <c r="C36" i="2"/>
  <c r="B36" i="2"/>
  <c r="A36" i="2"/>
  <c r="M35" i="2"/>
  <c r="L35" i="2"/>
  <c r="H35" i="2"/>
  <c r="D35" i="2"/>
  <c r="C35" i="2"/>
  <c r="B35" i="2"/>
  <c r="A35" i="2"/>
  <c r="M34" i="2"/>
  <c r="Q34" i="2" s="1"/>
  <c r="L34" i="2"/>
  <c r="H34" i="2"/>
  <c r="J34" i="2" s="1"/>
  <c r="D34" i="2"/>
  <c r="C34" i="2"/>
  <c r="B34" i="2"/>
  <c r="A34" i="2"/>
  <c r="M33" i="2"/>
  <c r="Q33" i="2" s="1"/>
  <c r="L33" i="2"/>
  <c r="I33" i="2"/>
  <c r="J33" i="2" s="1"/>
  <c r="D33" i="2"/>
  <c r="C33" i="2"/>
  <c r="B33" i="2"/>
  <c r="A33" i="2"/>
  <c r="M32" i="2"/>
  <c r="Q32" i="2" s="1"/>
  <c r="L32" i="2"/>
  <c r="D32" i="2"/>
  <c r="C32" i="2"/>
  <c r="B32" i="2"/>
  <c r="A32" i="2"/>
  <c r="M31" i="2"/>
  <c r="Q31" i="2" s="1"/>
  <c r="L31" i="2"/>
  <c r="J31" i="2"/>
  <c r="D31" i="2"/>
  <c r="C31" i="2"/>
  <c r="B31" i="2"/>
  <c r="A31" i="2"/>
  <c r="M30" i="2"/>
  <c r="Q30" i="2" s="1"/>
  <c r="L30" i="2"/>
  <c r="I30" i="2"/>
  <c r="H30" i="2"/>
  <c r="D30" i="2"/>
  <c r="C30" i="2"/>
  <c r="B30" i="2"/>
  <c r="A30" i="2"/>
  <c r="M29" i="2"/>
  <c r="S29" i="2" s="1"/>
  <c r="L29" i="2"/>
  <c r="D29" i="2"/>
  <c r="C29" i="2"/>
  <c r="B29" i="2"/>
  <c r="A29" i="2"/>
  <c r="A28" i="2"/>
  <c r="A27" i="2"/>
  <c r="M26" i="2"/>
  <c r="P26" i="2" s="1"/>
  <c r="L26" i="2"/>
  <c r="D26" i="2"/>
  <c r="C26" i="2"/>
  <c r="B26" i="2"/>
  <c r="A26" i="2"/>
  <c r="M25" i="2"/>
  <c r="L25" i="2"/>
  <c r="H25" i="2"/>
  <c r="J25" i="2" s="1"/>
  <c r="D25" i="2"/>
  <c r="C25" i="2"/>
  <c r="E25" i="2" s="1"/>
  <c r="G25" i="2" s="1"/>
  <c r="B25" i="2"/>
  <c r="A25" i="2"/>
  <c r="M24" i="2"/>
  <c r="L24" i="2"/>
  <c r="H24" i="2"/>
  <c r="J24" i="2" s="1"/>
  <c r="D24" i="2"/>
  <c r="C24" i="2"/>
  <c r="B24" i="2"/>
  <c r="A24" i="2"/>
  <c r="S23" i="2"/>
  <c r="T23" i="2" s="1"/>
  <c r="M23" i="2"/>
  <c r="Q23" i="2" s="1"/>
  <c r="L23" i="2"/>
  <c r="N23" i="2" s="1"/>
  <c r="I23" i="2"/>
  <c r="J23" i="2" s="1"/>
  <c r="H23" i="2"/>
  <c r="D23" i="2"/>
  <c r="C23" i="2"/>
  <c r="B23" i="2"/>
  <c r="A23" i="2"/>
  <c r="M22" i="2"/>
  <c r="S22" i="2" s="1"/>
  <c r="T22" i="2" s="1"/>
  <c r="L22" i="2"/>
  <c r="D22" i="2"/>
  <c r="C22" i="2"/>
  <c r="B22" i="2"/>
  <c r="A22" i="2"/>
  <c r="M21" i="2"/>
  <c r="L21" i="2"/>
  <c r="H21" i="2"/>
  <c r="J21" i="2" s="1"/>
  <c r="G21" i="2"/>
  <c r="D21" i="2"/>
  <c r="C21" i="2"/>
  <c r="B21" i="2"/>
  <c r="A21" i="2"/>
  <c r="M20" i="2"/>
  <c r="P20" i="2" s="1"/>
  <c r="L20" i="2"/>
  <c r="H20" i="2"/>
  <c r="J20" i="2" s="1"/>
  <c r="D20" i="2"/>
  <c r="C20" i="2"/>
  <c r="B20" i="2"/>
  <c r="A20" i="2"/>
  <c r="M19" i="2"/>
  <c r="S19" i="2" s="1"/>
  <c r="T19" i="2" s="1"/>
  <c r="L19" i="2"/>
  <c r="H19" i="2"/>
  <c r="J19" i="2" s="1"/>
  <c r="D19" i="2"/>
  <c r="C19" i="2"/>
  <c r="B19" i="2"/>
  <c r="A19" i="2"/>
  <c r="S18" i="2"/>
  <c r="R18" i="2"/>
  <c r="R14" i="2" s="1"/>
  <c r="R7" i="2" s="1"/>
  <c r="M18" i="2"/>
  <c r="Q18" i="2" s="1"/>
  <c r="L18" i="2"/>
  <c r="I18" i="2"/>
  <c r="H18" i="2"/>
  <c r="D18" i="2"/>
  <c r="C18" i="2"/>
  <c r="B18" i="2"/>
  <c r="A18" i="2"/>
  <c r="M17" i="2"/>
  <c r="L17" i="2"/>
  <c r="H17" i="2"/>
  <c r="J17" i="2" s="1"/>
  <c r="D17" i="2"/>
  <c r="C17" i="2"/>
  <c r="E17" i="2" s="1"/>
  <c r="G17" i="2" s="1"/>
  <c r="B17" i="2"/>
  <c r="A17" i="2"/>
  <c r="M16" i="2"/>
  <c r="S16" i="2" s="1"/>
  <c r="L16" i="2"/>
  <c r="H16" i="2"/>
  <c r="D16" i="2"/>
  <c r="C16" i="2"/>
  <c r="B16" i="2"/>
  <c r="A16" i="2"/>
  <c r="Q15" i="2"/>
  <c r="M15" i="2"/>
  <c r="S15" i="2" s="1"/>
  <c r="L15" i="2"/>
  <c r="H15" i="2"/>
  <c r="J15" i="2" s="1"/>
  <c r="D15" i="2"/>
  <c r="C15" i="2"/>
  <c r="B15" i="2"/>
  <c r="A15" i="2"/>
  <c r="A14" i="2"/>
  <c r="L13" i="2"/>
  <c r="J13" i="2"/>
  <c r="D13" i="2"/>
  <c r="C13" i="2"/>
  <c r="A13" i="2"/>
  <c r="M12" i="2"/>
  <c r="L12" i="2"/>
  <c r="H12" i="2"/>
  <c r="J12" i="2" s="1"/>
  <c r="J11" i="2" s="1"/>
  <c r="D12" i="2"/>
  <c r="C12" i="2"/>
  <c r="B12" i="2"/>
  <c r="A12" i="2"/>
  <c r="A11" i="2"/>
  <c r="L10" i="2"/>
  <c r="D10" i="2"/>
  <c r="C10" i="2"/>
  <c r="A10" i="2"/>
  <c r="M9" i="2"/>
  <c r="P9" i="2" s="1"/>
  <c r="L9" i="2"/>
  <c r="L8" i="2" s="1"/>
  <c r="I9" i="2"/>
  <c r="H9" i="2"/>
  <c r="D9" i="2"/>
  <c r="C9" i="2"/>
  <c r="A9" i="2"/>
  <c r="A8" i="2"/>
  <c r="A7" i="2"/>
  <c r="E59" i="2" l="1"/>
  <c r="G59" i="2" s="1"/>
  <c r="J64" i="2"/>
  <c r="J63" i="2" s="1"/>
  <c r="I79" i="2"/>
  <c r="E24" i="2"/>
  <c r="G24" i="2" s="1"/>
  <c r="N73" i="2"/>
  <c r="T78" i="2"/>
  <c r="J9" i="2"/>
  <c r="J8" i="2" s="1"/>
  <c r="E26" i="2"/>
  <c r="G26" i="2" s="1"/>
  <c r="N32" i="2"/>
  <c r="E75" i="2"/>
  <c r="G75" i="2" s="1"/>
  <c r="J77" i="2"/>
  <c r="E89" i="2"/>
  <c r="T16" i="2"/>
  <c r="Q36" i="2"/>
  <c r="S36" i="2"/>
  <c r="T36" i="2" s="1"/>
  <c r="P42" i="2"/>
  <c r="S42" i="2"/>
  <c r="T42" i="2" s="1"/>
  <c r="M67" i="2"/>
  <c r="S72" i="2"/>
  <c r="S71" i="2" s="1"/>
  <c r="Q91" i="2"/>
  <c r="S91" i="2"/>
  <c r="T91" i="2" s="1"/>
  <c r="Q13" i="2"/>
  <c r="S13" i="2"/>
  <c r="T13" i="2" s="1"/>
  <c r="P25" i="2"/>
  <c r="S25" i="2"/>
  <c r="T25" i="2" s="1"/>
  <c r="T29" i="2"/>
  <c r="E31" i="2"/>
  <c r="G31" i="2" s="1"/>
  <c r="Q35" i="2"/>
  <c r="S35" i="2"/>
  <c r="T35" i="2" s="1"/>
  <c r="E42" i="2"/>
  <c r="G42" i="2" s="1"/>
  <c r="Q42" i="2"/>
  <c r="T54" i="2"/>
  <c r="P60" i="2"/>
  <c r="Q69" i="2"/>
  <c r="S69" i="2"/>
  <c r="S68" i="2" s="1"/>
  <c r="E72" i="2"/>
  <c r="R95" i="2"/>
  <c r="Q86" i="2"/>
  <c r="S86" i="2"/>
  <c r="T86" i="2" s="1"/>
  <c r="Q90" i="2"/>
  <c r="S90" i="2"/>
  <c r="T90" i="2" s="1"/>
  <c r="Q9" i="2"/>
  <c r="S9" i="2"/>
  <c r="S8" i="2" s="1"/>
  <c r="Q10" i="2"/>
  <c r="T10" i="2"/>
  <c r="E13" i="2"/>
  <c r="G13" i="2" s="1"/>
  <c r="P13" i="2"/>
  <c r="P15" i="2"/>
  <c r="E16" i="2"/>
  <c r="G16" i="2" s="1"/>
  <c r="Q17" i="2"/>
  <c r="S17" i="2"/>
  <c r="T17" i="2" s="1"/>
  <c r="Q20" i="2"/>
  <c r="S20" i="2"/>
  <c r="T20" i="2" s="1"/>
  <c r="E22" i="2"/>
  <c r="G22" i="2" s="1"/>
  <c r="P24" i="2"/>
  <c r="S24" i="2"/>
  <c r="T24" i="2" s="1"/>
  <c r="E33" i="2"/>
  <c r="G33" i="2" s="1"/>
  <c r="E34" i="2"/>
  <c r="G34" i="2" s="1"/>
  <c r="N38" i="2"/>
  <c r="S38" i="2"/>
  <c r="T38" i="2" s="1"/>
  <c r="P40" i="2"/>
  <c r="S40" i="2"/>
  <c r="E41" i="2"/>
  <c r="G41" i="2" s="1"/>
  <c r="E44" i="2"/>
  <c r="P53" i="2"/>
  <c r="S53" i="2"/>
  <c r="T53" i="2" s="1"/>
  <c r="E56" i="2"/>
  <c r="Q56" i="2"/>
  <c r="S56" i="2"/>
  <c r="P56" i="2"/>
  <c r="Q60" i="2"/>
  <c r="P62" i="2"/>
  <c r="S62" i="2"/>
  <c r="T62" i="2" s="1"/>
  <c r="M74" i="2"/>
  <c r="P74" i="2" s="1"/>
  <c r="S75" i="2"/>
  <c r="S74" i="2" s="1"/>
  <c r="E76" i="2"/>
  <c r="G76" i="2" s="1"/>
  <c r="P76" i="2"/>
  <c r="Q81" i="2"/>
  <c r="S81" i="2"/>
  <c r="S80" i="2" s="1"/>
  <c r="S79" i="2" s="1"/>
  <c r="T79" i="2" s="1"/>
  <c r="T85" i="2"/>
  <c r="T89" i="2"/>
  <c r="Q92" i="2"/>
  <c r="S92" i="2"/>
  <c r="T92" i="2" s="1"/>
  <c r="T65" i="2"/>
  <c r="S12" i="2"/>
  <c r="Q21" i="2"/>
  <c r="S21" i="2"/>
  <c r="T21" i="2" s="1"/>
  <c r="Q26" i="2"/>
  <c r="S26" i="2"/>
  <c r="T26" i="2" s="1"/>
  <c r="E37" i="2"/>
  <c r="G37" i="2" s="1"/>
  <c r="N52" i="2"/>
  <c r="S52" i="2"/>
  <c r="N62" i="2"/>
  <c r="Q66" i="2"/>
  <c r="S66" i="2"/>
  <c r="T66" i="2" s="1"/>
  <c r="Q76" i="2"/>
  <c r="E85" i="2"/>
  <c r="P86" i="2"/>
  <c r="T94" i="2"/>
  <c r="Q71" i="2"/>
  <c r="E9" i="2"/>
  <c r="E18" i="2"/>
  <c r="G18" i="2" s="1"/>
  <c r="P35" i="2"/>
  <c r="N37" i="2"/>
  <c r="G44" i="2"/>
  <c r="Q57" i="2"/>
  <c r="E62" i="2"/>
  <c r="G62" i="2" s="1"/>
  <c r="L64" i="2"/>
  <c r="L63" i="2" s="1"/>
  <c r="E66" i="2"/>
  <c r="G66" i="2" s="1"/>
  <c r="L77" i="2"/>
  <c r="N85" i="2"/>
  <c r="P37" i="2"/>
  <c r="E40" i="2"/>
  <c r="E39" i="2" s="1"/>
  <c r="G39" i="2" s="1"/>
  <c r="N42" i="2"/>
  <c r="J47" i="2"/>
  <c r="N47" i="2"/>
  <c r="E52" i="2"/>
  <c r="N53" i="2"/>
  <c r="Q72" i="2"/>
  <c r="P85" i="2"/>
  <c r="E93" i="2"/>
  <c r="G93" i="2" s="1"/>
  <c r="E23" i="2"/>
  <c r="G23" i="2" s="1"/>
  <c r="Q24" i="2"/>
  <c r="Q40" i="2"/>
  <c r="L43" i="2"/>
  <c r="E47" i="2"/>
  <c r="G47" i="2" s="1"/>
  <c r="E60" i="2"/>
  <c r="G60" i="2" s="1"/>
  <c r="P72" i="2"/>
  <c r="E81" i="2"/>
  <c r="L88" i="2"/>
  <c r="L87" i="2" s="1"/>
  <c r="E20" i="2"/>
  <c r="G20" i="2" s="1"/>
  <c r="N24" i="2"/>
  <c r="Q25" i="2"/>
  <c r="N35" i="2"/>
  <c r="Q37" i="2"/>
  <c r="L39" i="2"/>
  <c r="E58" i="2"/>
  <c r="G58" i="2" s="1"/>
  <c r="Q55" i="2"/>
  <c r="E69" i="2"/>
  <c r="G69" i="2" s="1"/>
  <c r="E70" i="2"/>
  <c r="G70" i="2" s="1"/>
  <c r="L71" i="2"/>
  <c r="N71" i="2" s="1"/>
  <c r="E73" i="2"/>
  <c r="G73" i="2" s="1"/>
  <c r="L80" i="2"/>
  <c r="L79" i="2" s="1"/>
  <c r="P10" i="2"/>
  <c r="L11" i="2"/>
  <c r="N11" i="2" s="1"/>
  <c r="Q14" i="2"/>
  <c r="P17" i="2"/>
  <c r="N20" i="2"/>
  <c r="N21" i="2"/>
  <c r="N26" i="2"/>
  <c r="E32" i="2"/>
  <c r="G32" i="2" s="1"/>
  <c r="N34" i="2"/>
  <c r="E35" i="2"/>
  <c r="G35" i="2" s="1"/>
  <c r="E36" i="2"/>
  <c r="G36" i="2" s="1"/>
  <c r="N41" i="2"/>
  <c r="N46" i="2"/>
  <c r="J49" i="2"/>
  <c r="P52" i="2"/>
  <c r="J53" i="2"/>
  <c r="Q53" i="2"/>
  <c r="L55" i="2"/>
  <c r="Q61" i="2"/>
  <c r="J62" i="2"/>
  <c r="Q62" i="2"/>
  <c r="E68" i="2"/>
  <c r="G68" i="2" s="1"/>
  <c r="J69" i="2"/>
  <c r="J68" i="2" s="1"/>
  <c r="G72" i="2"/>
  <c r="N72" i="2"/>
  <c r="Q75" i="2"/>
  <c r="N76" i="2"/>
  <c r="J78" i="2"/>
  <c r="N81" i="2"/>
  <c r="E82" i="2"/>
  <c r="G82" i="2" s="1"/>
  <c r="J82" i="2"/>
  <c r="J85" i="2"/>
  <c r="L84" i="2"/>
  <c r="L83" i="2" s="1"/>
  <c r="E91" i="2"/>
  <c r="G91" i="2" s="1"/>
  <c r="E92" i="2"/>
  <c r="G92" i="2" s="1"/>
  <c r="E94" i="2"/>
  <c r="G94" i="2" s="1"/>
  <c r="P55" i="2"/>
  <c r="N15" i="2"/>
  <c r="E19" i="2"/>
  <c r="G19" i="2" s="1"/>
  <c r="E29" i="2"/>
  <c r="G29" i="2" s="1"/>
  <c r="N31" i="2"/>
  <c r="J32" i="2"/>
  <c r="J28" i="2" s="1"/>
  <c r="J27" i="2" s="1"/>
  <c r="N33" i="2"/>
  <c r="J35" i="2"/>
  <c r="P41" i="2"/>
  <c r="L51" i="2"/>
  <c r="L50" i="2" s="1"/>
  <c r="E54" i="2"/>
  <c r="G54" i="2" s="1"/>
  <c r="E57" i="2"/>
  <c r="G57" i="2" s="1"/>
  <c r="N58" i="2"/>
  <c r="N59" i="2"/>
  <c r="N60" i="2"/>
  <c r="E65" i="2"/>
  <c r="E64" i="2" s="1"/>
  <c r="M68" i="2"/>
  <c r="Q68" i="2" s="1"/>
  <c r="H80" i="2"/>
  <c r="J80" i="2" s="1"/>
  <c r="P81" i="2"/>
  <c r="E86" i="2"/>
  <c r="G86" i="2" s="1"/>
  <c r="N90" i="2"/>
  <c r="E10" i="2"/>
  <c r="G10" i="2" s="1"/>
  <c r="N17" i="2"/>
  <c r="J26" i="2"/>
  <c r="E45" i="2"/>
  <c r="G45" i="2" s="1"/>
  <c r="J48" i="2"/>
  <c r="E49" i="2"/>
  <c r="G49" i="2" s="1"/>
  <c r="J58" i="2"/>
  <c r="J59" i="2"/>
  <c r="J60" i="2"/>
  <c r="N66" i="2"/>
  <c r="N75" i="2"/>
  <c r="G9" i="2"/>
  <c r="P14" i="2"/>
  <c r="E15" i="2"/>
  <c r="E30" i="2"/>
  <c r="G30" i="2" s="1"/>
  <c r="Q65" i="2"/>
  <c r="P65" i="2"/>
  <c r="N65" i="2"/>
  <c r="P68" i="2"/>
  <c r="G81" i="2"/>
  <c r="P19" i="2"/>
  <c r="N19" i="2"/>
  <c r="Q29" i="2"/>
  <c r="N29" i="2"/>
  <c r="Q44" i="2"/>
  <c r="N44" i="2"/>
  <c r="J46" i="2"/>
  <c r="J43" i="2" s="1"/>
  <c r="E53" i="2"/>
  <c r="G53" i="2" s="1"/>
  <c r="H71" i="2"/>
  <c r="J73" i="2"/>
  <c r="Q78" i="2"/>
  <c r="N78" i="2"/>
  <c r="M77" i="2"/>
  <c r="N77" i="2" s="1"/>
  <c r="J94" i="2"/>
  <c r="Q89" i="2"/>
  <c r="P89" i="2"/>
  <c r="N89" i="2"/>
  <c r="N9" i="2"/>
  <c r="J16" i="2"/>
  <c r="Q19" i="2"/>
  <c r="P29" i="2"/>
  <c r="Q54" i="2"/>
  <c r="P54" i="2"/>
  <c r="N54" i="2"/>
  <c r="G89" i="2"/>
  <c r="N10" i="2"/>
  <c r="N12" i="2"/>
  <c r="J22" i="2"/>
  <c r="J14" i="2" s="1"/>
  <c r="L28" i="2"/>
  <c r="P16" i="2"/>
  <c r="N16" i="2"/>
  <c r="L68" i="2"/>
  <c r="N69" i="2"/>
  <c r="Q82" i="2"/>
  <c r="N82" i="2"/>
  <c r="G56" i="2"/>
  <c r="E12" i="2"/>
  <c r="L14" i="2"/>
  <c r="Q16" i="2"/>
  <c r="N30" i="2"/>
  <c r="I71" i="2"/>
  <c r="J72" i="2"/>
  <c r="J92" i="2"/>
  <c r="J88" i="2" s="1"/>
  <c r="G85" i="2"/>
  <c r="J57" i="2"/>
  <c r="J55" i="2" s="1"/>
  <c r="J93" i="2"/>
  <c r="Q41" i="2"/>
  <c r="Q52" i="2"/>
  <c r="L74" i="2"/>
  <c r="N74" i="2" s="1"/>
  <c r="Q85" i="2"/>
  <c r="N36" i="2"/>
  <c r="J40" i="2"/>
  <c r="J39" i="2" s="1"/>
  <c r="N56" i="2"/>
  <c r="P66" i="2"/>
  <c r="P69" i="2"/>
  <c r="N70" i="2"/>
  <c r="P90" i="2"/>
  <c r="N91" i="2"/>
  <c r="N13" i="2"/>
  <c r="P36" i="2"/>
  <c r="J52" i="2"/>
  <c r="J51" i="2" s="1"/>
  <c r="N57" i="2"/>
  <c r="P70" i="2"/>
  <c r="P84" i="2"/>
  <c r="P91" i="2"/>
  <c r="N92" i="2"/>
  <c r="N48" i="2"/>
  <c r="N49" i="2"/>
  <c r="O50" i="2"/>
  <c r="Q70" i="2"/>
  <c r="P92" i="2"/>
  <c r="N93" i="2"/>
  <c r="N94" i="2"/>
  <c r="N25" i="2"/>
  <c r="N40" i="2"/>
  <c r="E46" i="2"/>
  <c r="G46" i="2" s="1"/>
  <c r="O83" i="2"/>
  <c r="P71" i="2" l="1"/>
  <c r="S84" i="2"/>
  <c r="J87" i="2"/>
  <c r="N14" i="2"/>
  <c r="E74" i="2"/>
  <c r="G74" i="2" s="1"/>
  <c r="J83" i="2"/>
  <c r="J84" i="2"/>
  <c r="S67" i="2"/>
  <c r="T67" i="2" s="1"/>
  <c r="J7" i="2"/>
  <c r="G40" i="2"/>
  <c r="S39" i="2"/>
  <c r="Q8" i="2"/>
  <c r="S11" i="2"/>
  <c r="S55" i="2"/>
  <c r="S64" i="2"/>
  <c r="S63" i="2" s="1"/>
  <c r="T63" i="2" s="1"/>
  <c r="S88" i="2"/>
  <c r="S87" i="2" s="1"/>
  <c r="S14" i="2"/>
  <c r="T14" i="2" s="1"/>
  <c r="T52" i="2"/>
  <c r="S51" i="2"/>
  <c r="T51" i="2" s="1"/>
  <c r="S28" i="2"/>
  <c r="S27" i="2" s="1"/>
  <c r="T27" i="2" s="1"/>
  <c r="T9" i="2"/>
  <c r="E55" i="2"/>
  <c r="G55" i="2" s="1"/>
  <c r="N55" i="2"/>
  <c r="T15" i="2"/>
  <c r="T56" i="2"/>
  <c r="T55" i="2"/>
  <c r="T68" i="2"/>
  <c r="T69" i="2"/>
  <c r="T81" i="2"/>
  <c r="T80" i="2"/>
  <c r="T75" i="2"/>
  <c r="T74" i="2"/>
  <c r="T71" i="2"/>
  <c r="T72" i="2"/>
  <c r="T12" i="2"/>
  <c r="T11" i="2"/>
  <c r="T40" i="2"/>
  <c r="T39" i="2"/>
  <c r="G65" i="2"/>
  <c r="E51" i="2"/>
  <c r="E50" i="2" s="1"/>
  <c r="N8" i="2"/>
  <c r="P8" i="2"/>
  <c r="E71" i="2"/>
  <c r="G71" i="2" s="1"/>
  <c r="G52" i="2"/>
  <c r="L27" i="2"/>
  <c r="E28" i="2"/>
  <c r="E43" i="2"/>
  <c r="G43" i="2" s="1"/>
  <c r="H79" i="2"/>
  <c r="J79" i="2" s="1"/>
  <c r="E88" i="2"/>
  <c r="E87" i="2" s="1"/>
  <c r="N68" i="2"/>
  <c r="E80" i="2"/>
  <c r="G80" i="2" s="1"/>
  <c r="J50" i="2"/>
  <c r="L7" i="2"/>
  <c r="E8" i="2"/>
  <c r="E84" i="2"/>
  <c r="G84" i="2" s="1"/>
  <c r="N51" i="2"/>
  <c r="Q51" i="2"/>
  <c r="E14" i="2"/>
  <c r="G15" i="2"/>
  <c r="Q39" i="2"/>
  <c r="N39" i="2"/>
  <c r="E83" i="2"/>
  <c r="G83" i="2" s="1"/>
  <c r="J71" i="2"/>
  <c r="J95" i="2" s="1"/>
  <c r="M83" i="2"/>
  <c r="Q83" i="2" s="1"/>
  <c r="N84" i="2"/>
  <c r="Q84" i="2"/>
  <c r="N80" i="2"/>
  <c r="M79" i="2"/>
  <c r="Q80" i="2"/>
  <c r="P80" i="2"/>
  <c r="Q43" i="2"/>
  <c r="N43" i="2"/>
  <c r="P50" i="2"/>
  <c r="G51" i="2"/>
  <c r="G50" i="2"/>
  <c r="L67" i="2"/>
  <c r="E63" i="2"/>
  <c r="G63" i="2" s="1"/>
  <c r="G64" i="2"/>
  <c r="P39" i="2"/>
  <c r="N64" i="2"/>
  <c r="Q64" i="2"/>
  <c r="P51" i="2"/>
  <c r="G12" i="2"/>
  <c r="E11" i="2"/>
  <c r="P64" i="2"/>
  <c r="N28" i="2"/>
  <c r="N88" i="2"/>
  <c r="M87" i="2"/>
  <c r="G28" i="2"/>
  <c r="M95" i="2" l="1"/>
  <c r="T88" i="2"/>
  <c r="S83" i="2"/>
  <c r="T83" i="2" s="1"/>
  <c r="T84" i="2"/>
  <c r="T64" i="2"/>
  <c r="E95" i="2"/>
  <c r="J67" i="2"/>
  <c r="S7" i="2"/>
  <c r="T87" i="2"/>
  <c r="S50" i="2"/>
  <c r="T50" i="2" s="1"/>
  <c r="T28" i="2"/>
  <c r="T8" i="2"/>
  <c r="E79" i="2"/>
  <c r="G79" i="2" s="1"/>
  <c r="E67" i="2"/>
  <c r="G67" i="2" s="1"/>
  <c r="L95" i="2"/>
  <c r="G88" i="2"/>
  <c r="G95" i="2" s="1"/>
  <c r="E27" i="2"/>
  <c r="G27" i="2" s="1"/>
  <c r="N7" i="2"/>
  <c r="E7" i="2"/>
  <c r="G7" i="2" s="1"/>
  <c r="Q67" i="2"/>
  <c r="N67" i="2"/>
  <c r="P67" i="2"/>
  <c r="Q79" i="2"/>
  <c r="P79" i="2"/>
  <c r="N27" i="2"/>
  <c r="G87" i="2"/>
  <c r="P83" i="2"/>
  <c r="Q50" i="2"/>
  <c r="N50" i="2"/>
  <c r="N63" i="2"/>
  <c r="Q63" i="2"/>
  <c r="P63" i="2"/>
  <c r="N87" i="2"/>
  <c r="N95" i="2" l="1"/>
  <c r="K16" i="2"/>
  <c r="K9" i="2"/>
  <c r="K20" i="2"/>
  <c r="K15" i="2"/>
  <c r="K12" i="2"/>
  <c r="K19" i="2"/>
  <c r="K32" i="2"/>
  <c r="K67" i="2"/>
  <c r="K34" i="2"/>
  <c r="K35" i="2"/>
  <c r="K23" i="2"/>
  <c r="K38" i="2"/>
  <c r="K40" i="2"/>
  <c r="S95" i="2"/>
  <c r="T7" i="2"/>
  <c r="K69" i="2"/>
  <c r="K46" i="2"/>
  <c r="K70" i="2"/>
  <c r="K53" i="2"/>
  <c r="K48" i="2"/>
  <c r="K92" i="2"/>
  <c r="K82" i="2"/>
  <c r="K62" i="2"/>
  <c r="K73" i="2"/>
  <c r="K89" i="2"/>
  <c r="K72" i="2"/>
  <c r="K94" i="2"/>
  <c r="K78" i="2"/>
  <c r="K77" i="2" s="1"/>
  <c r="K90" i="2"/>
  <c r="K93" i="2"/>
  <c r="K75" i="2"/>
  <c r="K60" i="2"/>
  <c r="K86" i="2"/>
  <c r="K44" i="2"/>
  <c r="K49" i="2"/>
  <c r="K81" i="2"/>
  <c r="K80" i="2" s="1"/>
  <c r="K79" i="2" s="1"/>
  <c r="K41" i="2"/>
  <c r="K65" i="2"/>
  <c r="K42" i="2"/>
  <c r="K85" i="2"/>
  <c r="K84" i="2" s="1"/>
  <c r="K83" i="2" s="1"/>
  <c r="K66" i="2"/>
  <c r="K76" i="2"/>
  <c r="K47" i="2"/>
  <c r="K91" i="2"/>
  <c r="K63" i="2"/>
  <c r="K37" i="2"/>
  <c r="K24" i="2"/>
  <c r="K18" i="2"/>
  <c r="K25" i="2"/>
  <c r="K13" i="2"/>
  <c r="K21" i="2"/>
  <c r="K7" i="2"/>
  <c r="K17" i="2"/>
  <c r="K36" i="2"/>
  <c r="K27" i="2"/>
  <c r="K10" i="2"/>
  <c r="K8" i="2" s="1"/>
  <c r="K30" i="2"/>
  <c r="K33" i="2"/>
  <c r="K31" i="2"/>
  <c r="K29" i="2"/>
  <c r="K26" i="2"/>
  <c r="K11" i="2"/>
  <c r="K28" i="2" l="1"/>
  <c r="K64" i="2"/>
  <c r="K14" i="2"/>
  <c r="K43" i="2"/>
  <c r="T95" i="2"/>
  <c r="K39" i="2"/>
  <c r="K74" i="2"/>
  <c r="K71" i="2"/>
  <c r="K68" i="2"/>
  <c r="K88" i="2"/>
  <c r="K87" i="2" s="1"/>
  <c r="N93" i="1" l="1"/>
  <c r="O92" i="1"/>
  <c r="G92" i="1" s="1"/>
  <c r="F92" i="1"/>
  <c r="E92" i="1"/>
  <c r="D92" i="1"/>
  <c r="O91" i="1"/>
  <c r="G91" i="1"/>
  <c r="F91" i="1"/>
  <c r="E91" i="1"/>
  <c r="D91" i="1"/>
  <c r="O90" i="1"/>
  <c r="G90" i="1" s="1"/>
  <c r="F90" i="1"/>
  <c r="E90" i="1"/>
  <c r="D90" i="1"/>
  <c r="O89" i="1"/>
  <c r="G89" i="1" s="1"/>
  <c r="F89" i="1"/>
  <c r="E89" i="1"/>
  <c r="O88" i="1"/>
  <c r="G88" i="1" s="1"/>
  <c r="F88" i="1"/>
  <c r="E88" i="1"/>
  <c r="D88" i="1"/>
  <c r="O87" i="1"/>
  <c r="G87" i="1" s="1"/>
  <c r="F87" i="1"/>
  <c r="E87" i="1"/>
  <c r="D87" i="1"/>
  <c r="O86" i="1"/>
  <c r="O85" i="1" s="1"/>
  <c r="M86" i="1"/>
  <c r="K86" i="1"/>
  <c r="J86" i="1"/>
  <c r="J85" i="1" s="1"/>
  <c r="I86" i="1"/>
  <c r="H86" i="1"/>
  <c r="E86" i="1"/>
  <c r="W85" i="1"/>
  <c r="V85" i="1"/>
  <c r="U85" i="1"/>
  <c r="T85" i="1"/>
  <c r="S85" i="1"/>
  <c r="R85" i="1"/>
  <c r="Q85" i="1"/>
  <c r="P85" i="1"/>
  <c r="M85" i="1"/>
  <c r="K85" i="1"/>
  <c r="I85" i="1"/>
  <c r="H85" i="1"/>
  <c r="E85" i="1"/>
  <c r="O84" i="1"/>
  <c r="F84" i="1"/>
  <c r="E84" i="1"/>
  <c r="D84" i="1"/>
  <c r="O83" i="1"/>
  <c r="G83" i="1"/>
  <c r="F83" i="1"/>
  <c r="E83" i="1"/>
  <c r="E82" i="1" s="1"/>
  <c r="E81" i="1" s="1"/>
  <c r="D83" i="1"/>
  <c r="W82" i="1"/>
  <c r="V82" i="1"/>
  <c r="V81" i="1" s="1"/>
  <c r="T82" i="1"/>
  <c r="T81" i="1" s="1"/>
  <c r="S82" i="1"/>
  <c r="R82" i="1"/>
  <c r="M82" i="1"/>
  <c r="K82" i="1"/>
  <c r="K81" i="1" s="1"/>
  <c r="J82" i="1"/>
  <c r="I82" i="1"/>
  <c r="I81" i="1" s="1"/>
  <c r="H82" i="1"/>
  <c r="H81" i="1" s="1"/>
  <c r="W81" i="1"/>
  <c r="U81" i="1"/>
  <c r="S81" i="1"/>
  <c r="R81" i="1"/>
  <c r="Q81" i="1"/>
  <c r="P81" i="1"/>
  <c r="M81" i="1"/>
  <c r="L81" i="1"/>
  <c r="J81" i="1"/>
  <c r="O80" i="1"/>
  <c r="G80" i="1" s="1"/>
  <c r="F80" i="1"/>
  <c r="E80" i="1"/>
  <c r="D80" i="1"/>
  <c r="O79" i="1"/>
  <c r="G79" i="1" s="1"/>
  <c r="F79" i="1"/>
  <c r="E79" i="1"/>
  <c r="E78" i="1" s="1"/>
  <c r="E77" i="1" s="1"/>
  <c r="D79" i="1"/>
  <c r="W78" i="1"/>
  <c r="V78" i="1"/>
  <c r="V77" i="1" s="1"/>
  <c r="V72" i="1" s="1"/>
  <c r="T78" i="1"/>
  <c r="S78" i="1"/>
  <c r="R78" i="1"/>
  <c r="R77" i="1" s="1"/>
  <c r="R72" i="1" s="1"/>
  <c r="P78" i="1"/>
  <c r="N78" i="1"/>
  <c r="M78" i="1"/>
  <c r="M77" i="1" s="1"/>
  <c r="K78" i="1"/>
  <c r="K77" i="1" s="1"/>
  <c r="I78" i="1"/>
  <c r="H78" i="1"/>
  <c r="W77" i="1"/>
  <c r="W72" i="1" s="1"/>
  <c r="U77" i="1"/>
  <c r="T77" i="1"/>
  <c r="T72" i="1" s="1"/>
  <c r="S77" i="1"/>
  <c r="Q77" i="1"/>
  <c r="P77" i="1"/>
  <c r="P72" i="1" s="1"/>
  <c r="I77" i="1"/>
  <c r="H77" i="1"/>
  <c r="G76" i="1"/>
  <c r="G75" i="1" s="1"/>
  <c r="F76" i="1"/>
  <c r="E76" i="1"/>
  <c r="E75" i="1" s="1"/>
  <c r="D76" i="1"/>
  <c r="O75" i="1"/>
  <c r="M75" i="1"/>
  <c r="K75" i="1"/>
  <c r="I75" i="1"/>
  <c r="O74" i="1"/>
  <c r="G74" i="1" s="1"/>
  <c r="F74" i="1"/>
  <c r="E74" i="1"/>
  <c r="D74" i="1"/>
  <c r="O73" i="1"/>
  <c r="G73" i="1"/>
  <c r="F73" i="1"/>
  <c r="E73" i="1"/>
  <c r="E72" i="1" s="1"/>
  <c r="D73" i="1"/>
  <c r="S72" i="1"/>
  <c r="M72" i="1"/>
  <c r="K72" i="1"/>
  <c r="I72" i="1"/>
  <c r="F72" i="1"/>
  <c r="O71" i="1"/>
  <c r="G71" i="1" s="1"/>
  <c r="F71" i="1"/>
  <c r="E71" i="1"/>
  <c r="D71" i="1"/>
  <c r="O70" i="1"/>
  <c r="G70" i="1"/>
  <c r="F70" i="1"/>
  <c r="E70" i="1"/>
  <c r="D70" i="1"/>
  <c r="W69" i="1"/>
  <c r="V69" i="1"/>
  <c r="T69" i="1"/>
  <c r="S69" i="1"/>
  <c r="R69" i="1"/>
  <c r="P69" i="1"/>
  <c r="O69" i="1"/>
  <c r="N69" i="1"/>
  <c r="M69" i="1"/>
  <c r="K69" i="1"/>
  <c r="I69" i="1"/>
  <c r="E69" i="1"/>
  <c r="O68" i="1"/>
  <c r="G68" i="1" s="1"/>
  <c r="F68" i="1"/>
  <c r="E68" i="1"/>
  <c r="D68" i="1"/>
  <c r="O67" i="1"/>
  <c r="G67" i="1" s="1"/>
  <c r="G66" i="1" s="1"/>
  <c r="F67" i="1"/>
  <c r="E67" i="1"/>
  <c r="E66" i="1" s="1"/>
  <c r="D67" i="1"/>
  <c r="W66" i="1"/>
  <c r="V66" i="1"/>
  <c r="T66" i="1"/>
  <c r="S66" i="1"/>
  <c r="R66" i="1"/>
  <c r="P66" i="1"/>
  <c r="P65" i="1" s="1"/>
  <c r="N66" i="1"/>
  <c r="M66" i="1"/>
  <c r="M65" i="1" s="1"/>
  <c r="K66" i="1"/>
  <c r="K65" i="1" s="1"/>
  <c r="I66" i="1"/>
  <c r="U65" i="1"/>
  <c r="Q65" i="1"/>
  <c r="J65" i="1"/>
  <c r="H65" i="1"/>
  <c r="O64" i="1"/>
  <c r="O62" i="1" s="1"/>
  <c r="O61" i="1" s="1"/>
  <c r="F64" i="1"/>
  <c r="E64" i="1"/>
  <c r="D64" i="1"/>
  <c r="O63" i="1"/>
  <c r="G63" i="1" s="1"/>
  <c r="F63" i="1"/>
  <c r="E63" i="1"/>
  <c r="D63" i="1"/>
  <c r="W62" i="1"/>
  <c r="S62" i="1"/>
  <c r="S61" i="1" s="1"/>
  <c r="M62" i="1"/>
  <c r="M61" i="1" s="1"/>
  <c r="K62" i="1"/>
  <c r="I62" i="1"/>
  <c r="E62" i="1"/>
  <c r="E61" i="1" s="1"/>
  <c r="W61" i="1"/>
  <c r="V61" i="1"/>
  <c r="U61" i="1"/>
  <c r="T61" i="1"/>
  <c r="R61" i="1"/>
  <c r="Q61" i="1"/>
  <c r="P61" i="1"/>
  <c r="K61" i="1"/>
  <c r="I61" i="1"/>
  <c r="O60" i="1"/>
  <c r="G60" i="1" s="1"/>
  <c r="F60" i="1"/>
  <c r="E60" i="1"/>
  <c r="D60" i="1"/>
  <c r="O59" i="1"/>
  <c r="G59" i="1" s="1"/>
  <c r="F59" i="1"/>
  <c r="E59" i="1"/>
  <c r="D59" i="1"/>
  <c r="O58" i="1"/>
  <c r="G58" i="1"/>
  <c r="F58" i="1"/>
  <c r="E58" i="1"/>
  <c r="D58" i="1"/>
  <c r="O57" i="1"/>
  <c r="G57" i="1" s="1"/>
  <c r="E57" i="1"/>
  <c r="D57" i="1"/>
  <c r="O56" i="1"/>
  <c r="G56" i="1" s="1"/>
  <c r="E56" i="1"/>
  <c r="D56" i="1"/>
  <c r="O55" i="1"/>
  <c r="G55" i="1" s="1"/>
  <c r="E55" i="1"/>
  <c r="D55" i="1"/>
  <c r="O54" i="1"/>
  <c r="G54" i="1" s="1"/>
  <c r="E54" i="1"/>
  <c r="E53" i="1" s="1"/>
  <c r="D54" i="1"/>
  <c r="W53" i="1"/>
  <c r="S53" i="1"/>
  <c r="O53" i="1"/>
  <c r="M53" i="1"/>
  <c r="K53" i="1"/>
  <c r="I53" i="1"/>
  <c r="O52" i="1"/>
  <c r="G52" i="1" s="1"/>
  <c r="F52" i="1"/>
  <c r="E52" i="1"/>
  <c r="D52" i="1"/>
  <c r="O51" i="1"/>
  <c r="G51" i="1" s="1"/>
  <c r="M51" i="1"/>
  <c r="M49" i="1" s="1"/>
  <c r="M48" i="1" s="1"/>
  <c r="F51" i="1"/>
  <c r="E51" i="1"/>
  <c r="D51" i="1"/>
  <c r="O50" i="1"/>
  <c r="G50" i="1" s="1"/>
  <c r="F50" i="1"/>
  <c r="E50" i="1"/>
  <c r="E49" i="1" s="1"/>
  <c r="E48" i="1" s="1"/>
  <c r="D50" i="1"/>
  <c r="W49" i="1"/>
  <c r="S49" i="1"/>
  <c r="S48" i="1" s="1"/>
  <c r="O49" i="1"/>
  <c r="O48" i="1" s="1"/>
  <c r="K49" i="1"/>
  <c r="J49" i="1"/>
  <c r="I49" i="1"/>
  <c r="I48" i="1" s="1"/>
  <c r="W48" i="1"/>
  <c r="V48" i="1"/>
  <c r="U48" i="1"/>
  <c r="T48" i="1"/>
  <c r="R48" i="1"/>
  <c r="Q48" i="1"/>
  <c r="P48" i="1"/>
  <c r="L48" i="1"/>
  <c r="K48" i="1"/>
  <c r="O47" i="1"/>
  <c r="G47" i="1"/>
  <c r="F47" i="1"/>
  <c r="E47" i="1"/>
  <c r="D47" i="1"/>
  <c r="O46" i="1"/>
  <c r="G46" i="1" s="1"/>
  <c r="F46" i="1"/>
  <c r="E46" i="1"/>
  <c r="D46" i="1"/>
  <c r="O45" i="1"/>
  <c r="G45" i="1" s="1"/>
  <c r="F45" i="1"/>
  <c r="E45" i="1"/>
  <c r="D45" i="1"/>
  <c r="O44" i="1"/>
  <c r="G44" i="1"/>
  <c r="F44" i="1"/>
  <c r="E44" i="1"/>
  <c r="D44" i="1"/>
  <c r="G43" i="1"/>
  <c r="F43" i="1"/>
  <c r="E43" i="1"/>
  <c r="D43" i="1"/>
  <c r="O42" i="1"/>
  <c r="O41" i="1" s="1"/>
  <c r="F42" i="1"/>
  <c r="E42" i="1"/>
  <c r="D42" i="1"/>
  <c r="W41" i="1"/>
  <c r="S41" i="1"/>
  <c r="M41" i="1"/>
  <c r="K41" i="1"/>
  <c r="I41" i="1"/>
  <c r="O40" i="1"/>
  <c r="G40" i="1" s="1"/>
  <c r="M40" i="1"/>
  <c r="E40" i="1" s="1"/>
  <c r="F40" i="1"/>
  <c r="D40" i="1"/>
  <c r="O39" i="1"/>
  <c r="G39" i="1" s="1"/>
  <c r="M39" i="1"/>
  <c r="E39" i="1" s="1"/>
  <c r="F39" i="1"/>
  <c r="D39" i="1"/>
  <c r="O38" i="1"/>
  <c r="G38" i="1" s="1"/>
  <c r="M38" i="1"/>
  <c r="E38" i="1" s="1"/>
  <c r="F38" i="1"/>
  <c r="D38" i="1"/>
  <c r="W37" i="1"/>
  <c r="S37" i="1"/>
  <c r="K37" i="1"/>
  <c r="I37" i="1"/>
  <c r="O36" i="1"/>
  <c r="G36" i="1" s="1"/>
  <c r="F36" i="1"/>
  <c r="E36" i="1"/>
  <c r="D36" i="1"/>
  <c r="O35" i="1"/>
  <c r="G35" i="1"/>
  <c r="F35" i="1"/>
  <c r="E35" i="1"/>
  <c r="D35" i="1"/>
  <c r="O34" i="1"/>
  <c r="G34" i="1"/>
  <c r="F34" i="1"/>
  <c r="E34" i="1"/>
  <c r="D34" i="1"/>
  <c r="O33" i="1"/>
  <c r="G33" i="1" s="1"/>
  <c r="F33" i="1"/>
  <c r="E33" i="1"/>
  <c r="D33" i="1"/>
  <c r="O32" i="1"/>
  <c r="G32" i="1"/>
  <c r="F32" i="1"/>
  <c r="E32" i="1"/>
  <c r="D32" i="1"/>
  <c r="O31" i="1"/>
  <c r="G31" i="1" s="1"/>
  <c r="F31" i="1"/>
  <c r="F25" i="1" s="1"/>
  <c r="E31" i="1"/>
  <c r="D31" i="1"/>
  <c r="O30" i="1"/>
  <c r="G30" i="1" s="1"/>
  <c r="F30" i="1"/>
  <c r="E30" i="1"/>
  <c r="D30" i="1"/>
  <c r="O29" i="1"/>
  <c r="G29" i="1" s="1"/>
  <c r="F29" i="1"/>
  <c r="E29" i="1"/>
  <c r="D29" i="1"/>
  <c r="O28" i="1"/>
  <c r="G28" i="1"/>
  <c r="F28" i="1"/>
  <c r="E28" i="1"/>
  <c r="E26" i="1" s="1"/>
  <c r="E25" i="1" s="1"/>
  <c r="D28" i="1"/>
  <c r="O27" i="1"/>
  <c r="O26" i="1" s="1"/>
  <c r="F27" i="1"/>
  <c r="E27" i="1"/>
  <c r="D27" i="1"/>
  <c r="W26" i="1"/>
  <c r="W25" i="1" s="1"/>
  <c r="V26" i="1"/>
  <c r="V25" i="1" s="1"/>
  <c r="T26" i="1"/>
  <c r="S26" i="1"/>
  <c r="R26" i="1"/>
  <c r="R25" i="1" s="1"/>
  <c r="P26" i="1"/>
  <c r="P25" i="1" s="1"/>
  <c r="N26" i="1"/>
  <c r="M26" i="1"/>
  <c r="K26" i="1"/>
  <c r="K25" i="1" s="1"/>
  <c r="I26" i="1"/>
  <c r="I25" i="1" s="1"/>
  <c r="U25" i="1"/>
  <c r="T25" i="1"/>
  <c r="S25" i="1"/>
  <c r="Q25" i="1"/>
  <c r="J25" i="1"/>
  <c r="H25" i="1"/>
  <c r="O24" i="1"/>
  <c r="G24" i="1" s="1"/>
  <c r="F24" i="1"/>
  <c r="E24" i="1"/>
  <c r="O23" i="1"/>
  <c r="G23" i="1" s="1"/>
  <c r="F23" i="1"/>
  <c r="E23" i="1"/>
  <c r="O22" i="1"/>
  <c r="G22" i="1" s="1"/>
  <c r="F22" i="1"/>
  <c r="E22" i="1"/>
  <c r="O21" i="1"/>
  <c r="G21" i="1" s="1"/>
  <c r="F21" i="1"/>
  <c r="E21" i="1"/>
  <c r="O20" i="1"/>
  <c r="G20" i="1" s="1"/>
  <c r="F20" i="1"/>
  <c r="E20" i="1"/>
  <c r="O19" i="1"/>
  <c r="G19" i="1" s="1"/>
  <c r="F19" i="1"/>
  <c r="E19" i="1"/>
  <c r="O18" i="1"/>
  <c r="G18" i="1" s="1"/>
  <c r="F18" i="1"/>
  <c r="E18" i="1"/>
  <c r="O17" i="1"/>
  <c r="G17" i="1" s="1"/>
  <c r="F17" i="1"/>
  <c r="E17" i="1"/>
  <c r="O16" i="1"/>
  <c r="G16" i="1" s="1"/>
  <c r="F16" i="1"/>
  <c r="E16" i="1"/>
  <c r="O15" i="1"/>
  <c r="G15" i="1" s="1"/>
  <c r="F15" i="1"/>
  <c r="E15" i="1"/>
  <c r="O14" i="1"/>
  <c r="G14" i="1" s="1"/>
  <c r="F14" i="1"/>
  <c r="E14" i="1"/>
  <c r="O13" i="1"/>
  <c r="G13" i="1" s="1"/>
  <c r="E13" i="1"/>
  <c r="W12" i="1"/>
  <c r="V12" i="1"/>
  <c r="T12" i="1"/>
  <c r="S12" i="1"/>
  <c r="R12" i="1"/>
  <c r="R5" i="1" s="1"/>
  <c r="P12" i="1"/>
  <c r="M12" i="1"/>
  <c r="K12" i="1"/>
  <c r="I12" i="1"/>
  <c r="O11" i="1"/>
  <c r="G11" i="1" s="1"/>
  <c r="F11" i="1"/>
  <c r="E11" i="1"/>
  <c r="O10" i="1"/>
  <c r="G10" i="1" s="1"/>
  <c r="F10" i="1"/>
  <c r="E10" i="1"/>
  <c r="E9" i="1" s="1"/>
  <c r="W9" i="1"/>
  <c r="S9" i="1"/>
  <c r="M9" i="1"/>
  <c r="K9" i="1"/>
  <c r="I9" i="1"/>
  <c r="O8" i="1"/>
  <c r="F8" i="1"/>
  <c r="E8" i="1"/>
  <c r="O7" i="1"/>
  <c r="G7" i="1" s="1"/>
  <c r="F7" i="1"/>
  <c r="E7" i="1"/>
  <c r="W6" i="1"/>
  <c r="S6" i="1"/>
  <c r="M6" i="1"/>
  <c r="K6" i="1"/>
  <c r="I6" i="1"/>
  <c r="W5" i="1"/>
  <c r="V5" i="1"/>
  <c r="U5" i="1"/>
  <c r="Q5" i="1"/>
  <c r="P5" i="1"/>
  <c r="M5" i="1"/>
  <c r="L5" i="1"/>
  <c r="I5" i="1"/>
  <c r="H5" i="1"/>
  <c r="F5" i="1"/>
  <c r="G12" i="1" l="1"/>
  <c r="S5" i="1"/>
  <c r="E41" i="1"/>
  <c r="O72" i="1"/>
  <c r="K5" i="1"/>
  <c r="E6" i="1"/>
  <c r="E5" i="1" s="1"/>
  <c r="O12" i="1"/>
  <c r="E37" i="1"/>
  <c r="G42" i="1"/>
  <c r="Q93" i="1"/>
  <c r="Q97" i="1" s="1"/>
  <c r="W65" i="1"/>
  <c r="G78" i="1"/>
  <c r="G77" i="1" s="1"/>
  <c r="G37" i="1"/>
  <c r="G62" i="1"/>
  <c r="G61" i="1" s="1"/>
  <c r="G64" i="1"/>
  <c r="I65" i="1"/>
  <c r="E12" i="1"/>
  <c r="G27" i="1"/>
  <c r="G69" i="1"/>
  <c r="G65" i="1" s="1"/>
  <c r="S65" i="1"/>
  <c r="G72" i="1"/>
  <c r="T65" i="1"/>
  <c r="V65" i="1"/>
  <c r="F77" i="1"/>
  <c r="O82" i="1"/>
  <c r="O81" i="1" s="1"/>
  <c r="U93" i="1"/>
  <c r="U97" i="1" s="1"/>
  <c r="S93" i="1"/>
  <c r="S97" i="1" s="1"/>
  <c r="G6" i="1"/>
  <c r="G53" i="1"/>
  <c r="T93" i="1"/>
  <c r="K93" i="1"/>
  <c r="K96" i="1" s="1"/>
  <c r="V93" i="1"/>
  <c r="G41" i="1"/>
  <c r="W93" i="1"/>
  <c r="G9" i="1"/>
  <c r="I93" i="1"/>
  <c r="I96" i="1" s="1"/>
  <c r="G26" i="1"/>
  <c r="R65" i="1"/>
  <c r="R93" i="1" s="1"/>
  <c r="R97" i="1" s="1"/>
  <c r="G49" i="1"/>
  <c r="E65" i="1"/>
  <c r="E93" i="1" s="1"/>
  <c r="G86" i="1"/>
  <c r="G85" i="1" s="1"/>
  <c r="M37" i="1"/>
  <c r="M25" i="1" s="1"/>
  <c r="M93" i="1" s="1"/>
  <c r="M96" i="1" s="1"/>
  <c r="O66" i="1"/>
  <c r="O65" i="1" s="1"/>
  <c r="O6" i="1"/>
  <c r="O9" i="1"/>
  <c r="O78" i="1"/>
  <c r="O77" i="1" s="1"/>
  <c r="O37" i="1"/>
  <c r="O25" i="1" s="1"/>
  <c r="G25" i="1" s="1"/>
  <c r="G84" i="1"/>
  <c r="G82" i="1" s="1"/>
  <c r="G81" i="1" s="1"/>
  <c r="O5" i="1" l="1"/>
  <c r="O93" i="1"/>
  <c r="O96" i="1" s="1"/>
  <c r="G48" i="1"/>
  <c r="G93" i="1" s="1"/>
  <c r="G5" i="1"/>
  <c r="P38" i="2" l="1"/>
  <c r="Q38" i="2"/>
  <c r="O28" i="2"/>
  <c r="Q28" i="2" l="1"/>
  <c r="P28" i="2"/>
  <c r="O27" i="2"/>
  <c r="P27" i="2" s="1"/>
  <c r="Q27" i="2" l="1"/>
  <c r="Q11" i="2"/>
  <c r="P11" i="2"/>
  <c r="Q12" i="2"/>
  <c r="O7" i="2"/>
  <c r="P7" i="2" l="1"/>
  <c r="Q7" i="2"/>
  <c r="P12" i="2"/>
  <c r="P88" i="2"/>
  <c r="Q88" i="2"/>
  <c r="Q94" i="2"/>
  <c r="O87" i="2"/>
  <c r="Q87" i="2" s="1"/>
  <c r="O95" i="2" l="1"/>
  <c r="P95" i="2" s="1"/>
  <c r="P94" i="2"/>
  <c r="P87" i="2"/>
  <c r="Q95" i="2" l="1"/>
</calcChain>
</file>

<file path=xl/comments1.xml><?xml version="1.0" encoding="utf-8"?>
<comments xmlns="http://schemas.openxmlformats.org/spreadsheetml/2006/main">
  <authors>
    <author>Edisney Silva Argote</author>
    <author>auxiliar1</author>
    <author>PERSONAL</author>
    <author>user</author>
  </authors>
  <commentList>
    <comment ref="V10" authorId="0" shapeId="0">
      <text>
        <r>
          <rPr>
            <b/>
            <sz val="9"/>
            <color indexed="81"/>
            <rFont val="Tahoma"/>
            <family val="2"/>
          </rPr>
          <t>Edisney Silva Argote:</t>
        </r>
        <r>
          <rPr>
            <sz val="9"/>
            <color indexed="81"/>
            <rFont val="Tahoma"/>
            <family val="2"/>
          </rPr>
          <t xml:space="preserve">
se debe colocar 40 en el 2019</t>
        </r>
      </text>
    </comment>
    <comment ref="H11" authorId="1" shapeId="0">
      <text>
        <r>
          <rPr>
            <b/>
            <sz val="9"/>
            <color indexed="81"/>
            <rFont val="Tahoma"/>
            <family val="2"/>
          </rPr>
          <t>auxiliar1:</t>
        </r>
        <r>
          <rPr>
            <sz val="9"/>
            <color indexed="81"/>
            <rFont val="Tahoma"/>
            <family val="2"/>
          </rPr>
          <t xml:space="preserve">
CEIBAS, SUAZA, GUARAPAS
</t>
        </r>
      </text>
    </comment>
    <comment ref="T11" authorId="2" shapeId="0">
      <text>
        <r>
          <rPr>
            <b/>
            <sz val="9"/>
            <color indexed="81"/>
            <rFont val="Tahoma"/>
            <family val="2"/>
          </rPr>
          <t>PERSONAL:</t>
        </r>
        <r>
          <rPr>
            <sz val="9"/>
            <color indexed="81"/>
            <rFont val="Tahoma"/>
            <family val="2"/>
          </rPr>
          <t xml:space="preserve">
CEIBAS, SUAZA, GUARAPAS, GARZÓN, BARBILLAS</t>
        </r>
      </text>
    </comment>
    <comment ref="V11" authorId="0" shapeId="0">
      <text>
        <r>
          <rPr>
            <b/>
            <sz val="9"/>
            <color indexed="81"/>
            <rFont val="Tahoma"/>
            <family val="2"/>
          </rPr>
          <t>Edisney Silva Argote:</t>
        </r>
        <r>
          <rPr>
            <sz val="9"/>
            <color indexed="81"/>
            <rFont val="Tahoma"/>
            <family val="2"/>
          </rPr>
          <t xml:space="preserve">
se debe incluir 2 en el 2019</t>
        </r>
      </text>
    </comment>
    <comment ref="X11" authorId="3" shapeId="0">
      <text>
        <r>
          <rPr>
            <b/>
            <sz val="9"/>
            <color indexed="81"/>
            <rFont val="Tahoma"/>
            <family val="2"/>
          </rPr>
          <t>Fredy A.: Ceibas, Garzòn, Suaza y Guarapas</t>
        </r>
        <r>
          <rPr>
            <sz val="9"/>
            <color indexed="81"/>
            <rFont val="Tahoma"/>
            <family val="2"/>
          </rPr>
          <t xml:space="preserve">
</t>
        </r>
      </text>
    </comment>
    <comment ref="H14" authorId="2" shapeId="0">
      <text>
        <r>
          <rPr>
            <b/>
            <sz val="9"/>
            <color indexed="81"/>
            <rFont val="Tahoma"/>
            <family val="2"/>
          </rPr>
          <t>PERSONAL:</t>
        </r>
        <r>
          <rPr>
            <sz val="9"/>
            <color indexed="81"/>
            <rFont val="Tahoma"/>
            <family val="2"/>
          </rPr>
          <t xml:space="preserve">
PNR PARAMO DE OSERAS</t>
        </r>
      </text>
    </comment>
    <comment ref="L14" authorId="2" shapeId="0">
      <text>
        <r>
          <rPr>
            <b/>
            <sz val="9"/>
            <color indexed="81"/>
            <rFont val="Tahoma"/>
            <family val="2"/>
          </rPr>
          <t>PERSONAL:</t>
        </r>
        <r>
          <rPr>
            <sz val="9"/>
            <color indexed="81"/>
            <rFont val="Tahoma"/>
            <family val="2"/>
          </rPr>
          <t xml:space="preserve">
DRMI SERRANIA DE PEÑAS BLANCAS  15.609 Y AMPLIACION SERRANIA DE MINAS. - 23.279 ha
Homologación o recatergorizaicon 
66.655 cbgp
21.668 PNR Minas
23.080 CBOB
25.703 SB-CEIBAS
Total: 137.106</t>
        </r>
      </text>
    </comment>
    <comment ref="P14" authorId="2" shapeId="0">
      <text>
        <r>
          <rPr>
            <b/>
            <sz val="9"/>
            <color indexed="81"/>
            <rFont val="Tahoma"/>
            <family val="2"/>
          </rPr>
          <t>PERSONAL:</t>
        </r>
        <r>
          <rPr>
            <sz val="9"/>
            <color indexed="81"/>
            <rFont val="Tahoma"/>
            <family val="2"/>
          </rPr>
          <t xml:space="preserve">
DRMI ACEVEDO</t>
        </r>
      </text>
    </comment>
  </commentList>
</comments>
</file>

<file path=xl/comments2.xml><?xml version="1.0" encoding="utf-8"?>
<comments xmlns="http://schemas.openxmlformats.org/spreadsheetml/2006/main">
  <authors>
    <author>Preferred Customer</author>
  </authors>
  <commentList>
    <comment ref="A14" authorId="0" shapeId="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A29" authorId="0" shapeId="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A51" authorId="0" shapeId="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A57" authorId="0" shapeId="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List>
</comments>
</file>

<file path=xl/sharedStrings.xml><?xml version="1.0" encoding="utf-8"?>
<sst xmlns="http://schemas.openxmlformats.org/spreadsheetml/2006/main" count="401" uniqueCount="167">
  <si>
    <t>CORPORACIÓN AUTÓNOMA REGIONAL DEL ALTO MAGDALENA -CAM-
CONSOLIDADO GESTIÓN FÍSICA Y FINANCIERA DEL PLAN DE ACCIÓN 2020 - 2023 HUILA RESILIENTE, TERRITORIO NATURAL DE PAZ</t>
  </si>
  <si>
    <t xml:space="preserve">
PROGRAMAS - PROYECTOS  PLAN DE ACCION 2020-2023
</t>
  </si>
  <si>
    <t>Fórmula</t>
  </si>
  <si>
    <t>META PLAN DE ACCIÓN PROGRAMADA
2020-2023</t>
  </si>
  <si>
    <t>EJECUCION PLAN DE ACCIÓN 2020-2023</t>
  </si>
  <si>
    <t>META PROGRAMADA 
VIGENCIA 2020</t>
  </si>
  <si>
    <t>EJECUCION 2020</t>
  </si>
  <si>
    <t>META PROGRAMADA 
VIGENCIA 2021</t>
  </si>
  <si>
    <t>EJECUCION 2021</t>
  </si>
  <si>
    <t>META PROGRAMADA 
VIGENCIA 2022</t>
  </si>
  <si>
    <t>EJECUCION 2022 A DICIEMBRE 31</t>
  </si>
  <si>
    <t>META PROGRAMADA VIGENCIA 2023</t>
  </si>
  <si>
    <t>EJECUCION 2023</t>
  </si>
  <si>
    <t>UNIDAD DE MEDIDA</t>
  </si>
  <si>
    <t xml:space="preserve">FISICA </t>
  </si>
  <si>
    <t>FINANCIERA</t>
  </si>
  <si>
    <t>FISICA</t>
  </si>
  <si>
    <t>PROGRAMA  3201 - FORTALECIMIENTO DEL DESEMPEÑO AMBIENTAL DE LOS SECTORES PRODUCTIVOS</t>
  </si>
  <si>
    <t>Proyecto 320101 - Desarrollo sectorial sostenible</t>
  </si>
  <si>
    <t>Porcentaje de sectores con acompañamiento para la reconversión hacia sistemas sostenibles de producción (IM 18)</t>
  </si>
  <si>
    <t>Promedio</t>
  </si>
  <si>
    <t>%</t>
  </si>
  <si>
    <t>Apoyo a la  Gestión, Operación, Administración y Promoción del Proyecto</t>
  </si>
  <si>
    <t>Global</t>
  </si>
  <si>
    <t xml:space="preserve">Proyecto 320102 -Negocios verdes </t>
  </si>
  <si>
    <t>Implementación del Programa Regional de Negocios Verdes por la autoridad ambiental (IM 20)</t>
  </si>
  <si>
    <t>PROYECTO 320103: CONTROL Y VIGLANCIA AL DESARROLLO SECTORIAL SOSTENIBLE</t>
  </si>
  <si>
    <t>Porcentaje de Planes de Gestión Integral de Residuos Sólidos (PGIRS) con seguimiento a metas de aprovechamiento (IM 17)</t>
  </si>
  <si>
    <t xml:space="preserve">Porcentaje de asistencia técnica, seguimiento y control a generadores de residuos o desechos peligrosos – RESPEL y especiales </t>
  </si>
  <si>
    <t>Porcentaje de autorizaciones ambientales con seguimiento (IM 22)</t>
  </si>
  <si>
    <t>Tiempo promedio de trámite para la resolución de autorizaciones ambientales otorgadas por la Corporación. (IM 21)</t>
  </si>
  <si>
    <t>Días</t>
  </si>
  <si>
    <t>Porcentaje de solicitudes de licencias y permisos ambientales resueltos</t>
  </si>
  <si>
    <t>Porcentaje de procesos sancionatorios resueltos (IM 23)</t>
  </si>
  <si>
    <t>Fuentes móviles de emisiones atmosféricas (vía pública y empresas transportadoras - Laboratorio de fuentes móviles) con seguimiento, monitoreo y control</t>
  </si>
  <si>
    <t>Und</t>
  </si>
  <si>
    <t>Red de vigilancia y monitoreo de la calidad del aire implementada</t>
  </si>
  <si>
    <t>Mapas de ruido y planes de descontaminación actualizados</t>
  </si>
  <si>
    <t>N/A</t>
  </si>
  <si>
    <t>Generadores y gestores de Residuos de Construcción y Demolición - RCD con seguimiento</t>
  </si>
  <si>
    <t>Empresas obligadas a conformar el Departamento de Gestión Ambiental con seguimiento</t>
  </si>
  <si>
    <t>Gestión, Operación, Administración y Promoción del Proyecto apoyados</t>
  </si>
  <si>
    <t>PROGRAMA 3202 - CONSERVACIÓN DE LA BIODIVERSIDAD Y LOS SERVICIOS ECOSISTÉMICOS</t>
  </si>
  <si>
    <t>Proyecto 320201 - Gestión de la biodiversidad y sus servicios ecosistémicos</t>
  </si>
  <si>
    <t>No. predios apoyados para su caracterización y/o gestión como reserva natural de la sociedad civil</t>
  </si>
  <si>
    <t xml:space="preserve">Pormedio </t>
  </si>
  <si>
    <t>Predios</t>
  </si>
  <si>
    <t>No. ecosistemas compartidos planificados y/o gestionados por la Corporación</t>
  </si>
  <si>
    <t>No.de áreas estratégicas con desarrollo de actividades de investigacion-monitoreo y estudios de caracterización de la biodiversidad con participación comunitaria</t>
  </si>
  <si>
    <t xml:space="preserve">No. De estudios formulados  y/o actualizados de planes de manejo ambiental (PMA) de áreas protegidas </t>
  </si>
  <si>
    <t>% de estudios elaborados  en ejecución de la Política Ambiental</t>
  </si>
  <si>
    <t>Porcentaje de especies  invasoras con medidas de prevención, control y manejo en ejecución (IM 14)</t>
  </si>
  <si>
    <t>Porcentaje de áreas protegidas con planes de manejo en ejecución (IM 12)</t>
  </si>
  <si>
    <t>Porcentaje de áreas de ecosistemas en restauración, rehabilitación y reforestación (IM 15)</t>
  </si>
  <si>
    <t>Porcentaje de especies amenazadas con medidas de conservación y manejo en ejecución (IM 13)</t>
  </si>
  <si>
    <t>Proyecto 320202 - Control, seguimiento y monitoreo al uso y manejo de los recursos de la oferta natural</t>
  </si>
  <si>
    <t>No. estrategias de control implementadas para extracción  ilegal de los recursos naturales. RED DE CONTROL AMBIENTAL RECAM</t>
  </si>
  <si>
    <t>Estrategias de control a la deforestacion y conservacion y uso sostenible de los bosques en el departamento del Huila implementada</t>
  </si>
  <si>
    <t>Estrategia para la preservación, conservación, rehabilitación y/o reintroducción, control y seguimiento a la fauna silvestre formulada e implementada</t>
  </si>
  <si>
    <t>Proyecto 320203 -  Restauración, reforestación y protección de ecosistemas estratégicos en cuencas hidrográficas</t>
  </si>
  <si>
    <t>Porcentaje de suelos degradados en recuperación o rehabilitacón (IM 8)</t>
  </si>
  <si>
    <t xml:space="preserve">Ha. recuperadas  y/o rehabilitadas, de suelos degradados por erosión y/o afectación de incendios forestales. Incluye asistencia técnica, capacitación, interventoria, apoyo losgístico </t>
  </si>
  <si>
    <t xml:space="preserve">Hectáreas </t>
  </si>
  <si>
    <t>Porcentaje de áreas reforestadas gestionadas y con mantenimiento para la protección de cuencas abastecedoras</t>
  </si>
  <si>
    <t xml:space="preserve">Ha. revegetalizadas naturalmente para la protección de cuencas abastecedoras </t>
  </si>
  <si>
    <t>Porcentaje de áreas revegetalizadas naturalmente para la protección de cuencas abastecedoras con mantenimiento</t>
  </si>
  <si>
    <t>Ha. adquiridas y administradas para la restauración  y conservación de áreas estratégicas en cuencas hidrográficas abastecedoras de acueductos municipales y/o veredales</t>
  </si>
  <si>
    <t>PROGRAMA 3203 - GESTIÓN INTEGRAL DEL RECURSO HIDRICO</t>
  </si>
  <si>
    <t xml:space="preserve">Proyecto 320301 - Conservación y uso eficiente del recurso hídrico </t>
  </si>
  <si>
    <t xml:space="preserve">Porcentaje de avance en la formulación y/o ajustes de los  Planes de Ordenación y Manejo de Cuencas (POMCAS), Planes de Manejo de Acuíferos (PMA) y Planes de Manejo de Microcuencas (PMM)  (IM 1) </t>
  </si>
  <si>
    <t>Porcentaje de Planes de Ordenación y Manejo de Cuencas (POMCAS), Planes de Manejo de Acuíferos (PMA) y Planes de Manejo de Microcuencas (PMM) en ejecución (IM 6)</t>
  </si>
  <si>
    <t>No.  convenios  para cofinanciar la construcción  y seguimiento a proyectos de saneamiento ambiental hídrico como: interceptores, emisarios finales,  sistemas de tratamiento de aguas residuales domésticas y/o estudios y diseños asociados a estas obras</t>
  </si>
  <si>
    <t>Suma</t>
  </si>
  <si>
    <t>Proyecto 320302 - Administración del recurso hídrico</t>
  </si>
  <si>
    <t>Porcentaje de Programas de Uso Eficiente y Ahorro del Agua (PUEAA) con seguimiento (IM 5)</t>
  </si>
  <si>
    <t>Porcentaje de Planes de Saneamiento y Manejo de Vertimientos –PSMV- con seguimiento (IM 3)</t>
  </si>
  <si>
    <t>Porcentaje de cuerpos de agua con reglamentación por uso de las aguas (IM 4)</t>
  </si>
  <si>
    <t>Porcentaje de cuerpos de agua con plan de ordenamiento del recurso hídrico (PORH) adoptados (IM 2)</t>
  </si>
  <si>
    <t>Implementación del Programa Institucional Regional de monitoreo del agua - PIRMA en aguas superficial y subterráneas</t>
  </si>
  <si>
    <t>Estudios Ambientales del recurso hídrico Evaluación Regional del Agua - ERA) elaborados</t>
  </si>
  <si>
    <t>Porcentaje de ejecución de acciones en gestión ambiental urbana (IM 19)</t>
  </si>
  <si>
    <t>PROGRAMA 3204 GESTIÓN DE LA INFORMACIÓN Y EL CONOCIMIENTO AMBIENTAL</t>
  </si>
  <si>
    <t>Proyecto 320401 - Información y conocimiento ambiental</t>
  </si>
  <si>
    <t>Porcentaje de Optimización y seguimiento de los aplicativos en línea de trámites ambientales (CITA, RUIA, SUNL, LOFL, SILAMC - VITAL)</t>
  </si>
  <si>
    <t>Porcentaje de actualización y reporte de la información en el SIAC (IM 26)</t>
  </si>
  <si>
    <t>PROGRAMA 3205 - ORDENAMIENTO AMBIENTAL TERRITORIAL</t>
  </si>
  <si>
    <t>Proyecto 320501 -Fortalecimiento de los procesos de ordenamiento y planificaciòn territorial</t>
  </si>
  <si>
    <t>Porcentaje de municipios asesorados o asistidos en la inclusión del componente ambiental en los procesos de planificación y ordenamiento territorial, con énfasis en la incorporación de las determinantes ambientales para la revisión y ajuste de los POT (IM 24)</t>
  </si>
  <si>
    <t>Apoyo a la Gestión, Operación, Administración y Promoción del Proyecto</t>
  </si>
  <si>
    <t>Proyecto 320502 - Gestión en conocimiento y reducción del riesgo de desastres</t>
  </si>
  <si>
    <t>CONOCIMIENTO DEL RIESGO DE DESASTRES GESTIONADO</t>
  </si>
  <si>
    <t>REDUCCIÓN DEL RIESGO DE DESASTRES GESTIONADO</t>
  </si>
  <si>
    <t>Proyecto 320503 - Gestión ambiental con comunidades ètnicas</t>
  </si>
  <si>
    <t>Comunidades Indígenas apoyadas en temas de competencia de la Corporación</t>
  </si>
  <si>
    <t xml:space="preserve">Und </t>
  </si>
  <si>
    <t>Proyecto 320504- Gestión del conocimiento y reducción del riesgo de desastres-pasivo exigible vigencias expiradas</t>
  </si>
  <si>
    <t>REDUCCIÓN DEL RIESGO DE DESASTRES - Pasivos exigibles vigencias expiradas</t>
  </si>
  <si>
    <t>Proyecto</t>
  </si>
  <si>
    <t>PROGRAMA 3206 -GESTIÓN DEL CAMBIO CLIMÁTICO PARA UN DESARROLLO BAJO EN CARBONO Y RESILIENTE AL CLIMA</t>
  </si>
  <si>
    <t xml:space="preserve">Proyecto 320601 - Gestión del cambio climático </t>
  </si>
  <si>
    <t>Porcentaje de entes territoriales asesorados en la incorporación, planificación y ejecución de acciones relacionadas con cambio climático en el marco de los instrumentos de planificación territorial (IM 7)</t>
  </si>
  <si>
    <t>Identificación, promoción y aplicación de energías alternativas y/o utilización de sistemas ecoeficientes de combustión en sectores productivos y/o para uso doméstico</t>
  </si>
  <si>
    <t>PROGRAMA  3208 - EDUCACIÓN AMBIENTAL</t>
  </si>
  <si>
    <t xml:space="preserve">Proyecto 320801 - Educaciòn y cultura ambiental </t>
  </si>
  <si>
    <t>Ejecución de acciones en Educación Ambiental (IM 27)</t>
  </si>
  <si>
    <t>PROGRAMA  3299 -FORTALECIMIENTO DE LA GESTIÓN Y DIRECCIÓN DEL SECTOR AMBIENTE Y DESARROLLO SOSTENIBLE</t>
  </si>
  <si>
    <t>Proyecto 329901 -Fortalecimiento institucional para la gestiòn ambiental</t>
  </si>
  <si>
    <t>Porcentaje de Consolidación y fortalecimiento del Modelo Integrado de Planeación y Gestión - MIPG</t>
  </si>
  <si>
    <t>Porcentaje</t>
  </si>
  <si>
    <t>Porcentaje de la Política de servicio al ciudadano implementada</t>
  </si>
  <si>
    <t>Porcentaje de actualización e implementación del Plan Estratégico Tecnológico de la CAM para el período 2020-2023</t>
  </si>
  <si>
    <t xml:space="preserve">Porcentaje de actualización e Implementacion del programa de gestión documental  </t>
  </si>
  <si>
    <t>Porcentaje de sedes diseñadas y/o construidas y/o adecuadas, como ejemplo de sostenibilidad ambiental y armonía con el ambiente</t>
  </si>
  <si>
    <t xml:space="preserve"> TOTAL METAS FINANCIERAS</t>
  </si>
  <si>
    <t>,</t>
  </si>
  <si>
    <t>PERIODO REPORTADO:</t>
  </si>
  <si>
    <r>
      <t xml:space="preserve">(1)
PROGRAMAS - PROYECTOS  DEL PLAN DE ACCIÓN 2020-2023
(inserte filas cuando sea necesario)
</t>
    </r>
    <r>
      <rPr>
        <b/>
        <sz val="10"/>
        <color indexed="10"/>
        <rFont val="Arial Narrow"/>
        <family val="2"/>
      </rPr>
      <t/>
    </r>
  </si>
  <si>
    <t>COMPORTAMIENTO META FISICA 
PLAN DE ACCION</t>
  </si>
  <si>
    <t>META FINANCIERA                                                                                                  PLAN DE ACCION</t>
  </si>
  <si>
    <t>(20)
OBSERVACIONES</t>
  </si>
  <si>
    <t>(27)
PROGRAMA DE INVERSIÓN PUBLICA A LA QUE APORTA</t>
  </si>
  <si>
    <t>(28)
IMG AL QUE  APORTA</t>
  </si>
  <si>
    <t>(29)
ODS AL QUE LE APORTA</t>
  </si>
  <si>
    <t xml:space="preserve">   (2)                                      UNIDAD DE MEDIDA</t>
  </si>
  <si>
    <t>(3)                                      META FISICA ANUAL             (Según unidad de medida)</t>
  </si>
  <si>
    <t>(4)
AVANCE DE LA META
FISICA  (Según unidad de medida y Periodo Evaluado)</t>
  </si>
  <si>
    <t xml:space="preserve">(5)
PORCENTAJE DE AVANCE 
FISICO %
(Periodo Evaluado)
((4/3)*100)
</t>
  </si>
  <si>
    <t>(5-A) DESCRIPCIÓN DEL AVANCE 
(Se puede describir en texto lo que se desea aclarar del avance númerico respectivo)</t>
  </si>
  <si>
    <t>(6)
PORCENTAJE DE AVANCE PROCESO DE GESTION DE LA META
FISICA
(aplica unicamente para el informe del primer semestre)</t>
  </si>
  <si>
    <t xml:space="preserve"> (7)                                                    META FISICA DEL PLAN             (Según unidad de medida)</t>
  </si>
  <si>
    <t>(8)
ACUMULADO DE LA META
FISICA
(Según unidad de medida)</t>
  </si>
  <si>
    <t xml:space="preserve">(9)
PORCENTAJE DE AVANCE 
FISICO ACUMULADO %
((8/7)*100)
</t>
  </si>
  <si>
    <t>(10)               PONDERACIONES DE PROGRAMAS  Y PROYECTOS (OPCIONAL DE ACUERDO AL PLAN DE ACCIÓN)</t>
  </si>
  <si>
    <t>(11)                          META FINANCIERA ANUAL             ($)</t>
  </si>
  <si>
    <t xml:space="preserve">(12)
AVANCE DE LA META
FINANCIERA
(Recursos comprometidos periodo Evaluado)
($)
</t>
  </si>
  <si>
    <t>(13)                           PORCENTAJE DEL AVANCE 
FINANCIERO %
(Periodo Evaluado)
((12/11)*100)</t>
  </si>
  <si>
    <t>(14)
AVANCE DE LOS RECURSOS OBLIGADOS
$</t>
  </si>
  <si>
    <t>(15)
PORCENTAJE DE AVANCE DE LOS RECURSOS OBLIGADOS
((14/12)*100)</t>
  </si>
  <si>
    <t>(16)
RESERVA PRESUPUESTAL
$
(12-14)</t>
  </si>
  <si>
    <t>(17)                                         META FINANCIERA   DEL PLAN             ($)</t>
  </si>
  <si>
    <t xml:space="preserve">(18)
ACUMULADO DE LA META
FINANCIERA
$
</t>
  </si>
  <si>
    <t xml:space="preserve">(19)
PORCENTAJE DE  AVANCE FINANCIERO ACUMULADO %
((18/17)*100)
</t>
  </si>
  <si>
    <t>Promover el crecimiento económico sostenido, inclusivo y sostenible, el empleo pleno y productivo; y el trabajo decente para todos/as.</t>
  </si>
  <si>
    <t>Garantizar patrones de consumo y producción sostenibles.</t>
  </si>
  <si>
    <t>3202 – Conservación de la biodiversidad y sus servicios ecosistémicos.</t>
  </si>
  <si>
    <t>Proteger, restaurar y promover el uso sostenible de los ecosistemas terrestres, el manejo sostenible de los bosques, la lucha contra la desertificación; detener y revertir la degradación de la tierra y detener la pérdida de biodiversidad.</t>
  </si>
  <si>
    <t>Conservación de la biodiversidad y sus servicios ecosistémicos </t>
  </si>
  <si>
    <t>Asegurar vidas saludables y promover el bienestar para todos/as en todos los momentos de la vida.</t>
  </si>
  <si>
    <t xml:space="preserve">Porcentaje de avance en la formulación y/o ajustes de los  Planes de Ordenación y Manejo de Cuencas (POMCAS), Planes de Manejo de Acuíferos (PMA) y Planes de Manejo de Microcuencas (PMM). (IM 1) </t>
  </si>
  <si>
    <t>Asegurar la disponibilidad y la gestión sostenible del agua y el saneamiento para todos/as.</t>
  </si>
  <si>
    <t>Tomar medidas urgentes para combatir el cambio climático y sus impactos.</t>
  </si>
  <si>
    <t>(18) TOTAL METAS FISICAS Y FINANCIERAS*</t>
  </si>
  <si>
    <t>CORPORACIÓN AUTÓNOMA REGIONAL DEL ALTO MAGDALENA -CAM</t>
  </si>
  <si>
    <t>Porcentaje  de redes y estaciones de monitoreo en ejecución (IM25)</t>
  </si>
  <si>
    <t>Porcentaje de especies invasoras con medidas de prevención, control y manejo en ejecución (IM 14)</t>
  </si>
  <si>
    <t>3201- Fortalecimiento del desempeño ambiental de los sectores productivos</t>
  </si>
  <si>
    <t>3201-Fortalecimiento del desempeño ambiental de los sectores productivos</t>
  </si>
  <si>
    <t>3203 - Gestión integral del recurso hídrico  </t>
  </si>
  <si>
    <t>3204 - Gestión del conocimiento y la información ambiental</t>
  </si>
  <si>
    <t>3205 - Fortalecimiento de los procesos de ordenamiento  y planificación territorial</t>
  </si>
  <si>
    <t>3206 - Gestión del cambio climático para un desarrollo bajo en carbono y resiliente al clima</t>
  </si>
  <si>
    <t> 3208 -Educación Ambiental   </t>
  </si>
  <si>
    <t>3299- Gestión de la información y el conocimiento ambiental </t>
  </si>
  <si>
    <t>3299 -Gestión de la información y el conocimiento ambiental </t>
  </si>
  <si>
    <t xml:space="preserve">Se adelantó la fase precontractual </t>
  </si>
  <si>
    <t>Contratado</t>
  </si>
  <si>
    <t xml:space="preserve">MATRIZ DE SEGUIMIENTO DEL PLAN DE ACCIÓN
ANEXO No. 7. AVANCE EN LAS METAS FÍSICAS Y FINANCIERAS DEL PLAN DE ACCIÓN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</si>
</sst>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3" formatCode="_-* #,##0.00_-;\-* #,##0.00_-;_-* &quot;-&quot;??_-;_-@_-"/>
    <numFmt numFmtId="164" formatCode="_(* #,##0_);_(* \(#,##0\);_(* &quot;-&quot;??_);_(@_)"/>
    <numFmt numFmtId="165" formatCode="_ * #,##0_ ;_ * \-#,##0_ ;_ * &quot;-&quot;??_ ;_ @_ "/>
    <numFmt numFmtId="166" formatCode="#,##0_ ;\-#,##0\ "/>
    <numFmt numFmtId="167" formatCode="#,##0;[Red]#,##0"/>
    <numFmt numFmtId="168" formatCode="#,##0.0"/>
    <numFmt numFmtId="169" formatCode="#,##0.0;[Red]#,##0.0"/>
    <numFmt numFmtId="170" formatCode="_-* #,##0_-;\-* #,##0_-;_-* &quot;-&quot;??_-;_-@_-"/>
    <numFmt numFmtId="171" formatCode="0.0"/>
  </numFmts>
  <fonts count="21"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theme="1"/>
      <name val="Arial"/>
      <family val="2"/>
    </font>
    <font>
      <b/>
      <sz val="12"/>
      <color theme="1"/>
      <name val="Arial"/>
      <family val="2"/>
    </font>
    <font>
      <sz val="12"/>
      <color rgb="FFFF0000"/>
      <name val="Arial"/>
      <family val="2"/>
    </font>
    <font>
      <sz val="12"/>
      <color indexed="8"/>
      <name val="Arial"/>
      <family val="2"/>
    </font>
    <font>
      <sz val="11"/>
      <name val="Arial"/>
      <family val="2"/>
    </font>
    <font>
      <sz val="14"/>
      <name val="Arial"/>
      <family val="2"/>
    </font>
    <font>
      <sz val="11"/>
      <color indexed="8"/>
      <name val="Arial"/>
      <family val="2"/>
    </font>
    <font>
      <b/>
      <sz val="9"/>
      <color indexed="81"/>
      <name val="Tahoma"/>
      <family val="2"/>
    </font>
    <font>
      <sz val="9"/>
      <color indexed="81"/>
      <name val="Tahoma"/>
      <family val="2"/>
    </font>
    <font>
      <b/>
      <sz val="10"/>
      <color indexed="10"/>
      <name val="Arial Narrow"/>
      <family val="2"/>
    </font>
    <font>
      <b/>
      <sz val="8"/>
      <name val="Arial"/>
      <family val="2"/>
    </font>
    <font>
      <sz val="8"/>
      <name val="Arial"/>
      <family val="2"/>
    </font>
    <font>
      <b/>
      <sz val="10"/>
      <color indexed="81"/>
      <name val="Tahoma"/>
      <family val="2"/>
    </font>
    <font>
      <b/>
      <sz val="8"/>
      <color indexed="8"/>
      <name val="Arial"/>
      <family val="2"/>
    </font>
    <font>
      <b/>
      <sz val="8"/>
      <color indexed="10"/>
      <name val="Arial"/>
      <family val="2"/>
    </font>
    <font>
      <b/>
      <sz val="8"/>
      <color theme="1"/>
      <name val="Arial"/>
      <family val="2"/>
    </font>
  </fonts>
  <fills count="32">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indexed="22"/>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50"/>
        <bgColor indexed="64"/>
      </patternFill>
    </fill>
    <fill>
      <patternFill patternType="solid">
        <fgColor rgb="FF92D050"/>
        <bgColor indexed="64"/>
      </patternFill>
    </fill>
    <fill>
      <patternFill patternType="solid">
        <fgColor indexed="43"/>
        <bgColor indexed="64"/>
      </patternFill>
    </fill>
    <fill>
      <patternFill patternType="solid">
        <fgColor rgb="FFFFFF99"/>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rgb="FF0070C0"/>
        <bgColor indexed="64"/>
      </patternFill>
    </fill>
    <fill>
      <patternFill patternType="solid">
        <fgColor theme="4" tint="-0.249977111117893"/>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13"/>
        <bgColor indexed="64"/>
      </patternFill>
    </fill>
    <fill>
      <patternFill patternType="solid">
        <fgColor indexed="45"/>
        <bgColor indexed="64"/>
      </patternFill>
    </fill>
    <fill>
      <patternFill patternType="solid">
        <fgColor indexed="14"/>
        <bgColor indexed="64"/>
      </patternFill>
    </fill>
    <fill>
      <patternFill patternType="solid">
        <fgColor theme="4" tint="0.79998168889431442"/>
        <bgColor indexed="64"/>
      </patternFill>
    </fill>
    <fill>
      <patternFill patternType="solid">
        <fgColor theme="9"/>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353">
    <xf numFmtId="0" fontId="0" fillId="0" borderId="0" xfId="0"/>
    <xf numFmtId="0" fontId="3" fillId="2" borderId="1" xfId="4" applyFont="1" applyFill="1" applyBorder="1" applyAlignment="1">
      <alignment horizontal="center" vertical="center" wrapText="1"/>
    </xf>
    <xf numFmtId="0" fontId="3" fillId="2" borderId="2" xfId="4" applyFont="1" applyFill="1" applyBorder="1" applyAlignment="1">
      <alignment horizontal="center" vertical="center" wrapText="1"/>
    </xf>
    <xf numFmtId="0" fontId="3" fillId="2" borderId="3" xfId="4" applyFont="1" applyFill="1" applyBorder="1" applyAlignment="1">
      <alignment horizontal="center" vertical="center" wrapText="1"/>
    </xf>
    <xf numFmtId="0" fontId="4" fillId="3" borderId="0" xfId="4" applyFont="1" applyFill="1" applyBorder="1" applyAlignment="1">
      <alignment vertical="center" wrapText="1"/>
    </xf>
    <xf numFmtId="0" fontId="4" fillId="0" borderId="0" xfId="4" applyFont="1" applyBorder="1" applyAlignment="1">
      <alignment vertical="center" wrapText="1"/>
    </xf>
    <xf numFmtId="0" fontId="3" fillId="0" borderId="4" xfId="4" applyFont="1" applyFill="1" applyBorder="1" applyAlignment="1">
      <alignment horizontal="center" vertical="center" wrapText="1"/>
    </xf>
    <xf numFmtId="0" fontId="3" fillId="0" borderId="5" xfId="4" applyFont="1" applyFill="1" applyBorder="1" applyAlignment="1">
      <alignment horizontal="center" vertical="center" wrapText="1"/>
    </xf>
    <xf numFmtId="164" fontId="5" fillId="0" borderId="0" xfId="5" applyNumberFormat="1" applyFont="1" applyBorder="1" applyAlignment="1">
      <alignment horizontal="center" vertical="center" wrapText="1"/>
    </xf>
    <xf numFmtId="164" fontId="4" fillId="0" borderId="0" xfId="5" applyNumberFormat="1" applyFont="1" applyBorder="1" applyAlignment="1">
      <alignment vertical="center" wrapText="1"/>
    </xf>
    <xf numFmtId="0" fontId="3" fillId="4" borderId="6" xfId="4" applyFont="1" applyFill="1" applyBorder="1" applyAlignment="1">
      <alignment horizontal="center" vertical="center" wrapText="1"/>
    </xf>
    <xf numFmtId="0" fontId="3" fillId="4" borderId="7" xfId="4" applyFont="1" applyFill="1" applyBorder="1" applyAlignment="1">
      <alignment vertical="center" wrapText="1"/>
    </xf>
    <xf numFmtId="0" fontId="3" fillId="4" borderId="8" xfId="4" applyFont="1" applyFill="1" applyBorder="1" applyAlignment="1">
      <alignment horizontal="center" vertical="center" wrapText="1"/>
    </xf>
    <xf numFmtId="0" fontId="3" fillId="4" borderId="9" xfId="4" applyFont="1" applyFill="1" applyBorder="1" applyAlignment="1">
      <alignment horizontal="center" vertical="center" wrapText="1"/>
    </xf>
    <xf numFmtId="0" fontId="3" fillId="4" borderId="10" xfId="4" applyFont="1" applyFill="1" applyBorder="1" applyAlignment="1">
      <alignment horizontal="center" vertical="center" wrapText="1"/>
    </xf>
    <xf numFmtId="0" fontId="3" fillId="4" borderId="11" xfId="4" applyFont="1" applyFill="1" applyBorder="1" applyAlignment="1">
      <alignment horizontal="center" vertical="center" wrapText="1"/>
    </xf>
    <xf numFmtId="0" fontId="4" fillId="3" borderId="0" xfId="4" applyFont="1" applyFill="1" applyAlignment="1">
      <alignment vertical="center" wrapText="1"/>
    </xf>
    <xf numFmtId="0" fontId="4" fillId="0" borderId="0" xfId="4" applyFont="1" applyFill="1" applyAlignment="1">
      <alignment vertical="center" wrapText="1"/>
    </xf>
    <xf numFmtId="0" fontId="3" fillId="4" borderId="12" xfId="4" applyFont="1" applyFill="1" applyBorder="1" applyAlignment="1">
      <alignment horizontal="center" vertical="center" wrapText="1"/>
    </xf>
    <xf numFmtId="0" fontId="3" fillId="4" borderId="13" xfId="4" applyFont="1" applyFill="1" applyBorder="1" applyAlignment="1">
      <alignment vertical="center" wrapText="1"/>
    </xf>
    <xf numFmtId="0" fontId="3" fillId="4" borderId="14" xfId="4" applyFont="1" applyFill="1" applyBorder="1" applyAlignment="1">
      <alignment horizontal="center" vertical="center" wrapText="1"/>
    </xf>
    <xf numFmtId="0" fontId="3" fillId="4" borderId="14" xfId="4" applyFont="1" applyFill="1" applyBorder="1" applyAlignment="1" applyProtection="1">
      <alignment horizontal="center" vertical="center" wrapText="1"/>
      <protection locked="0"/>
    </xf>
    <xf numFmtId="0" fontId="3" fillId="6" borderId="14" xfId="4" applyFont="1" applyFill="1" applyBorder="1" applyAlignment="1" applyProtection="1">
      <alignment horizontal="center" vertical="center" wrapText="1"/>
      <protection locked="0"/>
    </xf>
    <xf numFmtId="3" fontId="3" fillId="4" borderId="14" xfId="4" applyNumberFormat="1" applyFont="1" applyFill="1" applyBorder="1" applyAlignment="1">
      <alignment horizontal="center" vertical="center"/>
    </xf>
    <xf numFmtId="0" fontId="3" fillId="7" borderId="14" xfId="4" applyFont="1" applyFill="1" applyBorder="1" applyAlignment="1">
      <alignment horizontal="center" vertical="center" wrapText="1"/>
    </xf>
    <xf numFmtId="3" fontId="3" fillId="4" borderId="14" xfId="4" applyNumberFormat="1" applyFont="1" applyFill="1" applyBorder="1" applyAlignment="1">
      <alignment horizontal="center" vertical="center" wrapText="1"/>
    </xf>
    <xf numFmtId="164" fontId="6" fillId="4" borderId="14" xfId="5" applyNumberFormat="1" applyFont="1" applyFill="1" applyBorder="1" applyAlignment="1">
      <alignment horizontal="center" vertical="center" wrapText="1"/>
    </xf>
    <xf numFmtId="164" fontId="3" fillId="4" borderId="15" xfId="5" applyNumberFormat="1" applyFont="1" applyFill="1" applyBorder="1" applyAlignment="1">
      <alignment horizontal="center" vertical="center" wrapText="1"/>
    </xf>
    <xf numFmtId="0" fontId="4" fillId="3" borderId="0" xfId="4" applyFont="1" applyFill="1" applyAlignment="1">
      <alignment horizontal="center" vertical="center" wrapText="1"/>
    </xf>
    <xf numFmtId="0" fontId="4" fillId="0" borderId="0" xfId="4" applyFont="1" applyFill="1" applyAlignment="1">
      <alignment horizontal="center" vertical="center" wrapText="1"/>
    </xf>
    <xf numFmtId="0" fontId="3" fillId="8" borderId="16" xfId="4" applyFont="1" applyFill="1" applyBorder="1" applyAlignment="1">
      <alignment horizontal="left" vertical="center" wrapText="1"/>
    </xf>
    <xf numFmtId="0" fontId="3" fillId="9" borderId="17" xfId="4" applyFont="1" applyFill="1" applyBorder="1" applyAlignment="1">
      <alignment horizontal="center" vertical="center" wrapText="1"/>
    </xf>
    <xf numFmtId="165" fontId="3" fillId="8" borderId="17" xfId="1" applyNumberFormat="1" applyFont="1" applyFill="1" applyBorder="1" applyAlignment="1">
      <alignment horizontal="center" vertical="center" wrapText="1"/>
    </xf>
    <xf numFmtId="165" fontId="3" fillId="8" borderId="17" xfId="1" applyNumberFormat="1" applyFont="1" applyFill="1" applyBorder="1" applyAlignment="1">
      <alignment horizontal="center" vertical="center"/>
    </xf>
    <xf numFmtId="165" fontId="3" fillId="8" borderId="17" xfId="1" applyNumberFormat="1" applyFont="1" applyFill="1" applyBorder="1" applyAlignment="1">
      <alignment horizontal="left" vertical="center" wrapText="1"/>
    </xf>
    <xf numFmtId="165" fontId="4" fillId="3" borderId="0" xfId="4" applyNumberFormat="1" applyFont="1" applyFill="1" applyAlignment="1">
      <alignment vertical="center" wrapText="1"/>
    </xf>
    <xf numFmtId="0" fontId="3" fillId="10" borderId="18" xfId="4" applyFont="1" applyFill="1" applyBorder="1" applyAlignment="1">
      <alignment horizontal="left" vertical="center" wrapText="1"/>
    </xf>
    <xf numFmtId="0" fontId="4" fillId="10" borderId="19" xfId="4" applyFont="1" applyFill="1" applyBorder="1" applyAlignment="1">
      <alignment horizontal="justify" vertical="center" wrapText="1"/>
    </xf>
    <xf numFmtId="0" fontId="3" fillId="10" borderId="19" xfId="4" applyFont="1" applyFill="1" applyBorder="1" applyAlignment="1">
      <alignment horizontal="justify" vertical="center" wrapText="1"/>
    </xf>
    <xf numFmtId="3" fontId="4" fillId="10" borderId="19" xfId="4" applyNumberFormat="1" applyFont="1" applyFill="1" applyBorder="1" applyAlignment="1">
      <alignment horizontal="left" vertical="center" wrapText="1"/>
    </xf>
    <xf numFmtId="3" fontId="3" fillId="11" borderId="19" xfId="4" applyNumberFormat="1" applyFont="1" applyFill="1" applyBorder="1" applyAlignment="1">
      <alignment horizontal="center" vertical="center" wrapText="1"/>
    </xf>
    <xf numFmtId="166" fontId="3" fillId="10" borderId="19" xfId="1" applyNumberFormat="1" applyFont="1" applyFill="1" applyBorder="1" applyAlignment="1">
      <alignment horizontal="center" vertical="center" wrapText="1"/>
    </xf>
    <xf numFmtId="3" fontId="3" fillId="11" borderId="19" xfId="4" applyNumberFormat="1" applyFont="1" applyFill="1" applyBorder="1" applyAlignment="1">
      <alignment horizontal="right" vertical="center" wrapText="1"/>
    </xf>
    <xf numFmtId="3" fontId="3" fillId="11" borderId="19" xfId="4" applyNumberFormat="1" applyFont="1" applyFill="1" applyBorder="1" applyAlignment="1">
      <alignment horizontal="center" vertical="center"/>
    </xf>
    <xf numFmtId="3" fontId="4" fillId="5" borderId="19" xfId="4" applyNumberFormat="1" applyFont="1" applyFill="1" applyBorder="1" applyAlignment="1">
      <alignment horizontal="center" vertical="center" wrapText="1"/>
    </xf>
    <xf numFmtId="167" fontId="3" fillId="11" borderId="19" xfId="4" applyNumberFormat="1" applyFont="1" applyFill="1" applyBorder="1" applyAlignment="1">
      <alignment horizontal="center" vertical="center" wrapText="1"/>
    </xf>
    <xf numFmtId="3" fontId="3" fillId="12" borderId="19" xfId="4" applyNumberFormat="1" applyFont="1" applyFill="1" applyBorder="1" applyAlignment="1">
      <alignment horizontal="center" vertical="center" wrapText="1"/>
    </xf>
    <xf numFmtId="3" fontId="3" fillId="5" borderId="19" xfId="4" applyNumberFormat="1" applyFont="1" applyFill="1" applyBorder="1" applyAlignment="1">
      <alignment horizontal="center" vertical="center" wrapText="1"/>
    </xf>
    <xf numFmtId="3" fontId="4" fillId="3" borderId="0" xfId="4" applyNumberFormat="1" applyFont="1" applyFill="1" applyAlignment="1">
      <alignment vertical="center" wrapText="1"/>
    </xf>
    <xf numFmtId="164" fontId="4" fillId="3" borderId="0" xfId="4" applyNumberFormat="1" applyFont="1" applyFill="1" applyAlignment="1">
      <alignment vertical="center" wrapText="1"/>
    </xf>
    <xf numFmtId="0" fontId="4" fillId="13" borderId="20" xfId="4" applyFont="1" applyFill="1" applyBorder="1" applyAlignment="1">
      <alignment horizontal="left" vertical="center" wrapText="1"/>
    </xf>
    <xf numFmtId="0" fontId="4" fillId="0" borderId="19" xfId="4" applyFont="1" applyFill="1" applyBorder="1" applyAlignment="1">
      <alignment vertical="center" wrapText="1"/>
    </xf>
    <xf numFmtId="3" fontId="4" fillId="0" borderId="21" xfId="4" applyNumberFormat="1" applyFont="1" applyBorder="1" applyAlignment="1">
      <alignment horizontal="center" vertical="center" wrapText="1"/>
    </xf>
    <xf numFmtId="3" fontId="4" fillId="0" borderId="22" xfId="4" applyNumberFormat="1" applyFont="1" applyFill="1" applyBorder="1" applyAlignment="1">
      <alignment horizontal="center" vertical="center" wrapText="1"/>
    </xf>
    <xf numFmtId="168" fontId="4" fillId="0" borderId="23" xfId="4" applyNumberFormat="1" applyFont="1" applyFill="1" applyBorder="1" applyAlignment="1">
      <alignment horizontal="center" vertical="center" wrapText="1"/>
    </xf>
    <xf numFmtId="0" fontId="4" fillId="14" borderId="19" xfId="4" applyFont="1" applyFill="1" applyBorder="1" applyAlignment="1">
      <alignment horizontal="center" vertical="center" wrapText="1"/>
    </xf>
    <xf numFmtId="3" fontId="4" fillId="0" borderId="22" xfId="4" applyNumberFormat="1" applyFont="1" applyFill="1" applyBorder="1" applyAlignment="1">
      <alignment horizontal="center" vertical="center"/>
    </xf>
    <xf numFmtId="167" fontId="4" fillId="0" borderId="24" xfId="4" applyNumberFormat="1" applyFont="1" applyFill="1" applyBorder="1" applyAlignment="1">
      <alignment horizontal="center" vertical="center" wrapText="1"/>
    </xf>
    <xf numFmtId="3" fontId="4" fillId="14" borderId="19" xfId="4" applyNumberFormat="1" applyFont="1" applyFill="1" applyBorder="1" applyAlignment="1">
      <alignment horizontal="center" vertical="center" wrapText="1"/>
    </xf>
    <xf numFmtId="3" fontId="4" fillId="0" borderId="19" xfId="4" applyNumberFormat="1" applyFont="1" applyFill="1" applyBorder="1" applyAlignment="1">
      <alignment horizontal="center" vertical="center" wrapText="1"/>
    </xf>
    <xf numFmtId="0" fontId="5" fillId="5" borderId="19" xfId="0" applyFont="1" applyFill="1" applyBorder="1" applyAlignment="1">
      <alignment horizontal="center" vertical="center"/>
    </xf>
    <xf numFmtId="0" fontId="5" fillId="14" borderId="22" xfId="0" applyFont="1" applyFill="1" applyBorder="1" applyAlignment="1">
      <alignment horizontal="center" vertical="center"/>
    </xf>
    <xf numFmtId="3" fontId="4" fillId="0" borderId="22" xfId="4" applyNumberFormat="1" applyFont="1" applyFill="1" applyBorder="1" applyAlignment="1">
      <alignment vertical="center" wrapText="1"/>
    </xf>
    <xf numFmtId="3" fontId="4" fillId="5" borderId="22" xfId="4" applyNumberFormat="1" applyFont="1" applyFill="1" applyBorder="1" applyAlignment="1">
      <alignment horizontal="center" vertical="center" wrapText="1"/>
    </xf>
    <xf numFmtId="3" fontId="4" fillId="0" borderId="22" xfId="4" applyNumberFormat="1" applyFont="1" applyFill="1" applyBorder="1" applyAlignment="1">
      <alignment horizontal="right" vertical="center" wrapText="1"/>
    </xf>
    <xf numFmtId="3" fontId="5" fillId="14" borderId="22" xfId="0" applyNumberFormat="1" applyFont="1" applyFill="1" applyBorder="1" applyAlignment="1">
      <alignment horizontal="center" vertical="center"/>
    </xf>
    <xf numFmtId="3" fontId="5" fillId="5" borderId="22" xfId="0" applyNumberFormat="1" applyFont="1" applyFill="1" applyBorder="1" applyAlignment="1">
      <alignment horizontal="center" vertical="center" wrapText="1"/>
    </xf>
    <xf numFmtId="164" fontId="4" fillId="0" borderId="25" xfId="5" applyNumberFormat="1" applyFont="1" applyFill="1" applyBorder="1" applyAlignment="1">
      <alignment vertical="center" wrapText="1"/>
    </xf>
    <xf numFmtId="0" fontId="4" fillId="3" borderId="26" xfId="4" applyFont="1" applyFill="1" applyBorder="1" applyAlignment="1">
      <alignment horizontal="left" vertical="center" wrapText="1"/>
    </xf>
    <xf numFmtId="0" fontId="4" fillId="0" borderId="22" xfId="4" applyFont="1" applyFill="1" applyBorder="1" applyAlignment="1">
      <alignment vertical="center" wrapText="1"/>
    </xf>
    <xf numFmtId="3" fontId="4" fillId="0" borderId="22" xfId="4" applyNumberFormat="1" applyFont="1" applyBorder="1" applyAlignment="1">
      <alignment horizontal="center" vertical="center" wrapText="1"/>
    </xf>
    <xf numFmtId="3" fontId="4" fillId="0" borderId="27" xfId="4" applyNumberFormat="1" applyFont="1" applyFill="1" applyBorder="1" applyAlignment="1">
      <alignment horizontal="center" vertical="center"/>
    </xf>
    <xf numFmtId="3" fontId="4" fillId="14" borderId="22" xfId="4" applyNumberFormat="1" applyFont="1" applyFill="1" applyBorder="1" applyAlignment="1">
      <alignment horizontal="center" vertical="center" wrapText="1"/>
    </xf>
    <xf numFmtId="168" fontId="4" fillId="5" borderId="22" xfId="4" applyNumberFormat="1" applyFont="1" applyFill="1" applyBorder="1" applyAlignment="1">
      <alignment horizontal="center" vertical="center" wrapText="1"/>
    </xf>
    <xf numFmtId="2" fontId="4" fillId="3" borderId="0" xfId="4" applyNumberFormat="1" applyFont="1" applyFill="1" applyAlignment="1">
      <alignment vertical="center" wrapText="1"/>
    </xf>
    <xf numFmtId="0" fontId="3" fillId="10" borderId="18" xfId="4" applyFont="1" applyFill="1" applyBorder="1" applyAlignment="1">
      <alignment horizontal="justify" vertical="center" wrapText="1"/>
    </xf>
    <xf numFmtId="0" fontId="4" fillId="10" borderId="19" xfId="4" applyFont="1" applyFill="1" applyBorder="1" applyAlignment="1">
      <alignment horizontal="center" vertical="center" wrapText="1"/>
    </xf>
    <xf numFmtId="3" fontId="4" fillId="10" borderId="19" xfId="4" applyNumberFormat="1" applyFont="1" applyFill="1" applyBorder="1" applyAlignment="1">
      <alignment horizontal="center" vertical="center" wrapText="1"/>
    </xf>
    <xf numFmtId="3" fontId="3" fillId="11" borderId="22" xfId="4" applyNumberFormat="1" applyFont="1" applyFill="1" applyBorder="1" applyAlignment="1">
      <alignment horizontal="center" vertical="center" wrapText="1"/>
    </xf>
    <xf numFmtId="3" fontId="4" fillId="11" borderId="22" xfId="4" applyNumberFormat="1" applyFont="1" applyFill="1" applyBorder="1" applyAlignment="1">
      <alignment horizontal="center" vertical="center" wrapText="1"/>
    </xf>
    <xf numFmtId="3" fontId="3" fillId="11" borderId="22" xfId="4" applyNumberFormat="1" applyFont="1" applyFill="1" applyBorder="1" applyAlignment="1">
      <alignment horizontal="center" vertical="center"/>
    </xf>
    <xf numFmtId="3" fontId="3" fillId="5" borderId="22" xfId="4" applyNumberFormat="1" applyFont="1" applyFill="1" applyBorder="1" applyAlignment="1">
      <alignment horizontal="center" vertical="center" wrapText="1"/>
    </xf>
    <xf numFmtId="3" fontId="3" fillId="12" borderId="22" xfId="4" applyNumberFormat="1" applyFont="1" applyFill="1" applyBorder="1" applyAlignment="1">
      <alignment horizontal="center" vertical="center" wrapText="1"/>
    </xf>
    <xf numFmtId="3" fontId="3" fillId="14" borderId="22" xfId="4" applyNumberFormat="1" applyFont="1" applyFill="1" applyBorder="1" applyAlignment="1">
      <alignment horizontal="right" vertical="center" wrapText="1"/>
    </xf>
    <xf numFmtId="3" fontId="3" fillId="11" borderId="22" xfId="4" applyNumberFormat="1" applyFont="1" applyFill="1" applyBorder="1" applyAlignment="1">
      <alignment horizontal="right" vertical="center" wrapText="1"/>
    </xf>
    <xf numFmtId="164" fontId="6" fillId="5" borderId="19" xfId="5" applyNumberFormat="1" applyFont="1" applyFill="1" applyBorder="1" applyAlignment="1">
      <alignment horizontal="center" vertical="center" wrapText="1"/>
    </xf>
    <xf numFmtId="3" fontId="3" fillId="11" borderId="25" xfId="4" applyNumberFormat="1" applyFont="1" applyFill="1" applyBorder="1" applyAlignment="1">
      <alignment horizontal="right" vertical="center" wrapText="1"/>
    </xf>
    <xf numFmtId="3" fontId="7" fillId="3" borderId="0" xfId="4" applyNumberFormat="1" applyFont="1" applyFill="1" applyAlignment="1">
      <alignment vertical="center" wrapText="1"/>
    </xf>
    <xf numFmtId="0" fontId="4" fillId="13" borderId="26" xfId="0" applyFont="1" applyFill="1" applyBorder="1" applyAlignment="1">
      <alignment horizontal="justify" vertical="center" wrapText="1"/>
    </xf>
    <xf numFmtId="0" fontId="4" fillId="0" borderId="28" xfId="4" applyFont="1" applyFill="1" applyBorder="1" applyAlignment="1">
      <alignment horizontal="center" vertical="center" wrapText="1"/>
    </xf>
    <xf numFmtId="0" fontId="4" fillId="0" borderId="22" xfId="4" applyFont="1" applyFill="1" applyBorder="1" applyAlignment="1">
      <alignment horizontal="center" vertical="center" wrapText="1"/>
    </xf>
    <xf numFmtId="3" fontId="4" fillId="0" borderId="23" xfId="4" applyNumberFormat="1" applyFont="1" applyFill="1" applyBorder="1" applyAlignment="1">
      <alignment horizontal="center" vertical="center" wrapText="1"/>
    </xf>
    <xf numFmtId="0" fontId="8" fillId="14" borderId="22" xfId="4" applyFont="1" applyFill="1" applyBorder="1" applyAlignment="1">
      <alignment horizontal="center" vertical="center" wrapText="1"/>
    </xf>
    <xf numFmtId="3" fontId="4" fillId="15" borderId="22" xfId="4" applyNumberFormat="1" applyFont="1" applyFill="1" applyBorder="1" applyAlignment="1">
      <alignment horizontal="center" vertical="center" wrapText="1"/>
    </xf>
    <xf numFmtId="167" fontId="5" fillId="5" borderId="22" xfId="0" applyNumberFormat="1" applyFont="1" applyFill="1" applyBorder="1" applyAlignment="1">
      <alignment horizontal="center" vertical="center" wrapText="1"/>
    </xf>
    <xf numFmtId="0" fontId="4" fillId="0" borderId="28" xfId="4" applyFont="1" applyFill="1" applyBorder="1" applyAlignment="1">
      <alignment vertical="center" wrapText="1"/>
    </xf>
    <xf numFmtId="0" fontId="5" fillId="0" borderId="22" xfId="0" applyFont="1" applyFill="1" applyBorder="1" applyAlignment="1">
      <alignment horizontal="center" vertical="center"/>
    </xf>
    <xf numFmtId="164" fontId="4" fillId="3" borderId="25" xfId="5" applyNumberFormat="1" applyFont="1" applyFill="1" applyBorder="1" applyAlignment="1">
      <alignment vertical="center" wrapText="1"/>
    </xf>
    <xf numFmtId="0" fontId="5" fillId="3" borderId="22" xfId="0" applyFont="1" applyFill="1" applyBorder="1" applyAlignment="1">
      <alignment vertical="center"/>
    </xf>
    <xf numFmtId="37" fontId="4" fillId="3" borderId="0" xfId="4" applyNumberFormat="1" applyFont="1" applyFill="1" applyAlignment="1">
      <alignment vertical="center" wrapText="1"/>
    </xf>
    <xf numFmtId="0" fontId="3" fillId="10" borderId="29" xfId="4" applyFont="1" applyFill="1" applyBorder="1" applyAlignment="1">
      <alignment horizontal="justify" vertical="center" wrapText="1"/>
    </xf>
    <xf numFmtId="0" fontId="4" fillId="10" borderId="30" xfId="4" applyFont="1" applyFill="1" applyBorder="1" applyAlignment="1">
      <alignment horizontal="justify" vertical="center" wrapText="1"/>
    </xf>
    <xf numFmtId="0" fontId="4" fillId="10" borderId="30" xfId="4" applyFont="1" applyFill="1" applyBorder="1" applyAlignment="1">
      <alignment horizontal="center" vertical="center" wrapText="1"/>
    </xf>
    <xf numFmtId="3" fontId="4" fillId="11" borderId="30" xfId="4" applyNumberFormat="1" applyFont="1" applyFill="1" applyBorder="1" applyAlignment="1">
      <alignment horizontal="center" vertical="center" wrapText="1"/>
    </xf>
    <xf numFmtId="3" fontId="4" fillId="14" borderId="30" xfId="4" applyNumberFormat="1" applyFont="1" applyFill="1" applyBorder="1" applyAlignment="1">
      <alignment horizontal="center" vertical="center" wrapText="1"/>
    </xf>
    <xf numFmtId="0" fontId="4" fillId="13" borderId="21" xfId="4" applyFont="1" applyFill="1" applyBorder="1" applyAlignment="1">
      <alignment horizontal="justify" vertical="center" wrapText="1"/>
    </xf>
    <xf numFmtId="0" fontId="8" fillId="0" borderId="21" xfId="4" applyFont="1" applyBorder="1" applyAlignment="1">
      <alignment horizontal="center" vertical="center" wrapText="1"/>
    </xf>
    <xf numFmtId="3" fontId="4" fillId="0" borderId="21" xfId="4" applyNumberFormat="1" applyFont="1" applyFill="1" applyBorder="1" applyAlignment="1">
      <alignment horizontal="center" vertical="center" wrapText="1"/>
    </xf>
    <xf numFmtId="3" fontId="4" fillId="0" borderId="23" xfId="4" applyNumberFormat="1" applyFont="1" applyFill="1" applyBorder="1" applyAlignment="1">
      <alignment horizontal="center" vertical="center"/>
    </xf>
    <xf numFmtId="3" fontId="4" fillId="0" borderId="28" xfId="4" applyNumberFormat="1" applyFont="1" applyFill="1" applyBorder="1" applyAlignment="1">
      <alignment horizontal="center" vertical="center" wrapText="1"/>
    </xf>
    <xf numFmtId="169" fontId="5" fillId="5" borderId="22" xfId="0" applyNumberFormat="1" applyFont="1" applyFill="1" applyBorder="1" applyAlignment="1">
      <alignment horizontal="center" vertical="center" wrapText="1"/>
    </xf>
    <xf numFmtId="4" fontId="4" fillId="3" borderId="0" xfId="4" applyNumberFormat="1" applyFont="1" applyFill="1" applyAlignment="1">
      <alignment vertical="center" wrapText="1"/>
    </xf>
    <xf numFmtId="0" fontId="4" fillId="0" borderId="22" xfId="4" applyFont="1" applyFill="1" applyBorder="1" applyAlignment="1">
      <alignment horizontal="justify" vertical="center" wrapText="1"/>
    </xf>
    <xf numFmtId="0" fontId="8" fillId="0" borderId="22" xfId="4" applyFont="1" applyBorder="1" applyAlignment="1">
      <alignment horizontal="center" vertical="center" wrapText="1"/>
    </xf>
    <xf numFmtId="3" fontId="8" fillId="14" borderId="22" xfId="4" applyNumberFormat="1" applyFont="1" applyFill="1" applyBorder="1" applyAlignment="1">
      <alignment horizontal="center" vertical="center" wrapText="1"/>
    </xf>
    <xf numFmtId="3" fontId="7" fillId="5" borderId="22" xfId="4" applyNumberFormat="1" applyFont="1" applyFill="1" applyBorder="1" applyAlignment="1">
      <alignment horizontal="center" vertical="center" wrapText="1"/>
    </xf>
    <xf numFmtId="3" fontId="5" fillId="0" borderId="22" xfId="0" applyNumberFormat="1" applyFont="1" applyFill="1" applyBorder="1" applyAlignment="1">
      <alignment horizontal="right" vertical="center" wrapText="1"/>
    </xf>
    <xf numFmtId="0" fontId="4" fillId="13" borderId="22" xfId="4" applyFont="1" applyFill="1" applyBorder="1" applyAlignment="1">
      <alignment horizontal="justify" vertical="center" wrapText="1"/>
    </xf>
    <xf numFmtId="3" fontId="8" fillId="14" borderId="23" xfId="4" applyNumberFormat="1" applyFont="1" applyFill="1" applyBorder="1" applyAlignment="1">
      <alignment horizontal="center" vertical="center" wrapText="1"/>
    </xf>
    <xf numFmtId="3" fontId="4" fillId="5" borderId="23" xfId="4" applyNumberFormat="1" applyFont="1" applyFill="1" applyBorder="1" applyAlignment="1">
      <alignment horizontal="center" vertical="center" wrapText="1"/>
    </xf>
    <xf numFmtId="0" fontId="4" fillId="0" borderId="22" xfId="3" applyNumberFormat="1" applyFont="1" applyFill="1" applyBorder="1" applyAlignment="1">
      <alignment horizontal="center" vertical="center" wrapText="1"/>
    </xf>
    <xf numFmtId="3" fontId="4" fillId="14" borderId="23" xfId="4" applyNumberFormat="1" applyFont="1" applyFill="1" applyBorder="1" applyAlignment="1">
      <alignment horizontal="center" vertical="center" wrapText="1"/>
    </xf>
    <xf numFmtId="3" fontId="4" fillId="3" borderId="22" xfId="4" applyNumberFormat="1" applyFont="1" applyFill="1" applyBorder="1" applyAlignment="1">
      <alignment horizontal="center" vertical="center" wrapText="1"/>
    </xf>
    <xf numFmtId="0" fontId="3" fillId="8" borderId="31" xfId="4" applyFont="1" applyFill="1" applyBorder="1" applyAlignment="1">
      <alignment horizontal="left" vertical="center" wrapText="1"/>
    </xf>
    <xf numFmtId="0" fontId="4" fillId="9" borderId="27" xfId="4" applyFont="1" applyFill="1" applyBorder="1" applyAlignment="1">
      <alignment vertical="center" wrapText="1"/>
    </xf>
    <xf numFmtId="0" fontId="8" fillId="9" borderId="22" xfId="4" applyFont="1" applyFill="1" applyBorder="1" applyAlignment="1">
      <alignment horizontal="center" vertical="center" wrapText="1"/>
    </xf>
    <xf numFmtId="3" fontId="4" fillId="9" borderId="19" xfId="4" applyNumberFormat="1" applyFont="1" applyFill="1" applyBorder="1" applyAlignment="1">
      <alignment horizontal="center" vertical="center" wrapText="1"/>
    </xf>
    <xf numFmtId="3" fontId="3" fillId="9" borderId="19" xfId="4" applyNumberFormat="1" applyFont="1" applyFill="1" applyBorder="1" applyAlignment="1">
      <alignment horizontal="center" vertical="center" wrapText="1"/>
    </xf>
    <xf numFmtId="3" fontId="3" fillId="16" borderId="22" xfId="4" applyNumberFormat="1" applyFont="1" applyFill="1" applyBorder="1" applyAlignment="1">
      <alignment horizontal="center" vertical="center" wrapText="1"/>
    </xf>
    <xf numFmtId="3" fontId="3" fillId="9" borderId="19" xfId="4" applyNumberFormat="1" applyFont="1" applyFill="1" applyBorder="1" applyAlignment="1">
      <alignment vertical="center" wrapText="1"/>
    </xf>
    <xf numFmtId="3" fontId="3" fillId="9" borderId="19" xfId="4" applyNumberFormat="1" applyFont="1" applyFill="1" applyBorder="1" applyAlignment="1">
      <alignment horizontal="center" vertical="center"/>
    </xf>
    <xf numFmtId="164" fontId="3" fillId="9" borderId="19" xfId="4" applyNumberFormat="1" applyFont="1" applyFill="1" applyBorder="1" applyAlignment="1">
      <alignment vertical="center" wrapText="1"/>
    </xf>
    <xf numFmtId="0" fontId="3" fillId="10" borderId="26" xfId="4" applyFont="1" applyFill="1" applyBorder="1" applyAlignment="1">
      <alignment horizontal="justify" vertical="center" wrapText="1"/>
    </xf>
    <xf numFmtId="0" fontId="4" fillId="10" borderId="27" xfId="4" applyFont="1" applyFill="1" applyBorder="1" applyAlignment="1">
      <alignment horizontal="justify" vertical="center" wrapText="1"/>
    </xf>
    <xf numFmtId="0" fontId="4" fillId="11" borderId="22" xfId="4" applyFont="1" applyFill="1" applyBorder="1" applyAlignment="1">
      <alignment horizontal="center" vertical="center" wrapText="1"/>
    </xf>
    <xf numFmtId="0" fontId="4" fillId="11" borderId="19" xfId="4" applyFont="1" applyFill="1" applyBorder="1" applyAlignment="1">
      <alignment horizontal="center" vertical="center" wrapText="1"/>
    </xf>
    <xf numFmtId="3" fontId="3" fillId="11" borderId="30" xfId="4" applyNumberFormat="1" applyFont="1" applyFill="1" applyBorder="1" applyAlignment="1">
      <alignment horizontal="center" vertical="center" wrapText="1"/>
    </xf>
    <xf numFmtId="0" fontId="4" fillId="12" borderId="22" xfId="4" applyFont="1" applyFill="1" applyBorder="1" applyAlignment="1">
      <alignment horizontal="center" vertical="center" wrapText="1"/>
    </xf>
    <xf numFmtId="3" fontId="3" fillId="12" borderId="22" xfId="4" applyNumberFormat="1" applyFont="1" applyFill="1" applyBorder="1" applyAlignment="1">
      <alignment horizontal="center" vertical="center"/>
    </xf>
    <xf numFmtId="3" fontId="3" fillId="12" borderId="22" xfId="4" applyNumberFormat="1" applyFont="1" applyFill="1" applyBorder="1" applyAlignment="1">
      <alignment horizontal="right" vertical="center" wrapText="1"/>
    </xf>
    <xf numFmtId="3" fontId="3" fillId="5" borderId="22" xfId="4" applyNumberFormat="1" applyFont="1" applyFill="1" applyBorder="1" applyAlignment="1">
      <alignment horizontal="right" vertical="center" wrapText="1"/>
    </xf>
    <xf numFmtId="0" fontId="4" fillId="0" borderId="26" xfId="0" applyFont="1" applyFill="1" applyBorder="1" applyAlignment="1">
      <alignment horizontal="justify" vertical="center" wrapText="1"/>
    </xf>
    <xf numFmtId="0" fontId="4" fillId="0" borderId="32" xfId="4" applyFont="1" applyFill="1" applyBorder="1" applyAlignment="1">
      <alignment horizontal="center" vertical="center" wrapText="1"/>
    </xf>
    <xf numFmtId="3" fontId="4" fillId="0" borderId="19" xfId="4" applyNumberFormat="1" applyFont="1" applyBorder="1" applyAlignment="1">
      <alignment horizontal="center" vertical="center" wrapText="1"/>
    </xf>
    <xf numFmtId="3" fontId="4" fillId="14" borderId="27" xfId="4" applyNumberFormat="1" applyFont="1" applyFill="1" applyBorder="1" applyAlignment="1">
      <alignment horizontal="center" vertical="center" wrapText="1"/>
    </xf>
    <xf numFmtId="3" fontId="4" fillId="0" borderId="0" xfId="4" applyNumberFormat="1" applyFont="1" applyFill="1" applyAlignment="1">
      <alignment horizontal="center" vertical="center"/>
    </xf>
    <xf numFmtId="0" fontId="4" fillId="3" borderId="26" xfId="0" applyFont="1" applyFill="1" applyBorder="1" applyAlignment="1">
      <alignment horizontal="justify" vertical="center" wrapText="1"/>
    </xf>
    <xf numFmtId="4" fontId="4" fillId="5" borderId="22" xfId="4" applyNumberFormat="1" applyFont="1" applyFill="1" applyBorder="1" applyAlignment="1">
      <alignment horizontal="center" vertical="center" wrapText="1"/>
    </xf>
    <xf numFmtId="3" fontId="4" fillId="3" borderId="23" xfId="4" applyNumberFormat="1" applyFont="1" applyFill="1" applyBorder="1" applyAlignment="1">
      <alignment horizontal="center" vertical="center" wrapText="1"/>
    </xf>
    <xf numFmtId="41" fontId="3" fillId="3" borderId="0" xfId="2" applyFont="1" applyFill="1" applyAlignment="1">
      <alignment vertical="center" wrapText="1"/>
    </xf>
    <xf numFmtId="0" fontId="4" fillId="10" borderId="22" xfId="4" applyFont="1" applyFill="1" applyBorder="1" applyAlignment="1">
      <alignment horizontal="justify" vertical="center" wrapText="1"/>
    </xf>
    <xf numFmtId="0" fontId="4" fillId="10" borderId="30" xfId="4" applyFont="1" applyFill="1" applyBorder="1" applyAlignment="1">
      <alignment vertical="center" wrapText="1"/>
    </xf>
    <xf numFmtId="0" fontId="4" fillId="10" borderId="22" xfId="4" applyFont="1" applyFill="1" applyBorder="1" applyAlignment="1">
      <alignment vertical="center" wrapText="1"/>
    </xf>
    <xf numFmtId="0" fontId="4" fillId="14" borderId="22" xfId="4" applyFont="1" applyFill="1" applyBorder="1" applyAlignment="1">
      <alignment vertical="center" wrapText="1"/>
    </xf>
    <xf numFmtId="164" fontId="3" fillId="12" borderId="19" xfId="4" applyNumberFormat="1" applyFont="1" applyFill="1" applyBorder="1" applyAlignment="1">
      <alignment horizontal="left" vertical="center" wrapText="1"/>
    </xf>
    <xf numFmtId="3" fontId="3" fillId="17" borderId="22" xfId="4" applyNumberFormat="1" applyFont="1" applyFill="1" applyBorder="1" applyAlignment="1">
      <alignment horizontal="center" vertical="center" wrapText="1"/>
    </xf>
    <xf numFmtId="3" fontId="3" fillId="11" borderId="22" xfId="4" applyNumberFormat="1" applyFont="1" applyFill="1" applyBorder="1" applyAlignment="1">
      <alignment vertical="center" wrapText="1"/>
    </xf>
    <xf numFmtId="3" fontId="3" fillId="11" borderId="25" xfId="4" applyNumberFormat="1" applyFont="1" applyFill="1" applyBorder="1" applyAlignment="1">
      <alignment vertical="center" wrapText="1"/>
    </xf>
    <xf numFmtId="0" fontId="4" fillId="0" borderId="21" xfId="4" applyFont="1" applyFill="1" applyBorder="1" applyAlignment="1">
      <alignment horizontal="justify" vertical="center" wrapText="1"/>
    </xf>
    <xf numFmtId="0" fontId="8" fillId="0" borderId="22" xfId="4" applyFont="1" applyFill="1" applyBorder="1" applyAlignment="1">
      <alignment horizontal="center" vertical="center" wrapText="1"/>
    </xf>
    <xf numFmtId="3" fontId="9" fillId="3" borderId="21" xfId="4" applyNumberFormat="1" applyFont="1" applyFill="1" applyBorder="1" applyAlignment="1">
      <alignment horizontal="center" vertical="center" wrapText="1"/>
    </xf>
    <xf numFmtId="3" fontId="9" fillId="3" borderId="22" xfId="4" applyNumberFormat="1" applyFont="1" applyFill="1" applyBorder="1" applyAlignment="1">
      <alignment horizontal="center" vertical="center" wrapText="1"/>
    </xf>
    <xf numFmtId="3" fontId="4" fillId="0" borderId="25" xfId="4" applyNumberFormat="1" applyFont="1" applyFill="1" applyBorder="1" applyAlignment="1">
      <alignment horizontal="right" vertical="center" wrapText="1"/>
    </xf>
    <xf numFmtId="3" fontId="4" fillId="3" borderId="0" xfId="4" applyNumberFormat="1" applyFont="1" applyFill="1" applyBorder="1" applyAlignment="1">
      <alignment horizontal="right" vertical="center" wrapText="1"/>
    </xf>
    <xf numFmtId="167" fontId="5" fillId="3" borderId="0" xfId="0" applyNumberFormat="1" applyFont="1" applyFill="1" applyBorder="1" applyAlignment="1">
      <alignment horizontal="center" vertical="center" wrapText="1"/>
    </xf>
    <xf numFmtId="164" fontId="4" fillId="0" borderId="0" xfId="5" applyNumberFormat="1" applyFont="1" applyFill="1" applyBorder="1" applyAlignment="1">
      <alignment vertical="center" wrapText="1"/>
    </xf>
    <xf numFmtId="0" fontId="3" fillId="10" borderId="26" xfId="4" applyFont="1" applyFill="1" applyBorder="1" applyAlignment="1">
      <alignment horizontal="justify" vertical="center"/>
    </xf>
    <xf numFmtId="0" fontId="4" fillId="11" borderId="22" xfId="4" applyFont="1" applyFill="1" applyBorder="1" applyAlignment="1">
      <alignment vertical="center" wrapText="1"/>
    </xf>
    <xf numFmtId="0" fontId="4" fillId="14" borderId="22" xfId="4" applyFont="1" applyFill="1" applyBorder="1" applyAlignment="1">
      <alignment horizontal="center" vertical="center" wrapText="1"/>
    </xf>
    <xf numFmtId="3" fontId="3" fillId="14" borderId="22" xfId="4" applyNumberFormat="1" applyFont="1" applyFill="1" applyBorder="1" applyAlignment="1">
      <alignment horizontal="center" vertical="center" wrapText="1"/>
    </xf>
    <xf numFmtId="0" fontId="4" fillId="13" borderId="21" xfId="0" applyFont="1" applyFill="1" applyBorder="1" applyAlignment="1">
      <alignment horizontal="justify" vertical="center"/>
    </xf>
    <xf numFmtId="0" fontId="4" fillId="0" borderId="19" xfId="4" applyFont="1" applyFill="1" applyBorder="1" applyAlignment="1">
      <alignment horizontal="center" vertical="center" wrapText="1"/>
    </xf>
    <xf numFmtId="3" fontId="10" fillId="0" borderId="22" xfId="4" applyNumberFormat="1" applyFont="1" applyFill="1" applyBorder="1" applyAlignment="1">
      <alignment horizontal="center" vertical="center" wrapText="1"/>
    </xf>
    <xf numFmtId="3" fontId="4" fillId="14" borderId="22" xfId="0" applyNumberFormat="1" applyFont="1" applyFill="1" applyBorder="1" applyAlignment="1">
      <alignment horizontal="center" vertical="center" wrapText="1"/>
    </xf>
    <xf numFmtId="0" fontId="5" fillId="5" borderId="22" xfId="0" applyFont="1" applyFill="1" applyBorder="1" applyAlignment="1">
      <alignment horizontal="center" vertical="center"/>
    </xf>
    <xf numFmtId="0" fontId="4" fillId="0" borderId="22" xfId="0" applyFont="1" applyBorder="1" applyAlignment="1">
      <alignment horizontal="justify" vertical="center" wrapText="1"/>
    </xf>
    <xf numFmtId="0" fontId="8" fillId="0" borderId="19" xfId="4" applyFont="1" applyFill="1" applyBorder="1" applyAlignment="1">
      <alignment horizontal="center" vertical="center" wrapText="1"/>
    </xf>
    <xf numFmtId="0" fontId="4" fillId="0" borderId="22" xfId="0" applyFont="1" applyFill="1" applyBorder="1" applyAlignment="1">
      <alignment horizontal="justify" vertical="center" wrapText="1"/>
    </xf>
    <xf numFmtId="0" fontId="3" fillId="8" borderId="26" xfId="4" applyFont="1" applyFill="1" applyBorder="1" applyAlignment="1">
      <alignment horizontal="left" vertical="center" wrapText="1"/>
    </xf>
    <xf numFmtId="0" fontId="3" fillId="8" borderId="22" xfId="4" applyFont="1" applyFill="1" applyBorder="1" applyAlignment="1">
      <alignment horizontal="center" vertical="center" wrapText="1"/>
    </xf>
    <xf numFmtId="0" fontId="4" fillId="9" borderId="22" xfId="4" applyFont="1" applyFill="1" applyBorder="1" applyAlignment="1">
      <alignment vertical="center" wrapText="1"/>
    </xf>
    <xf numFmtId="3" fontId="3" fillId="8" borderId="22" xfId="4" applyNumberFormat="1" applyFont="1" applyFill="1" applyBorder="1" applyAlignment="1">
      <alignment horizontal="center" vertical="center" wrapText="1"/>
    </xf>
    <xf numFmtId="3" fontId="3" fillId="8" borderId="22" xfId="4" applyNumberFormat="1" applyFont="1" applyFill="1" applyBorder="1" applyAlignment="1">
      <alignment horizontal="center" vertical="center"/>
    </xf>
    <xf numFmtId="3" fontId="3" fillId="9" borderId="22" xfId="4" applyNumberFormat="1" applyFont="1" applyFill="1" applyBorder="1" applyAlignment="1">
      <alignment horizontal="center" vertical="center" wrapText="1"/>
    </xf>
    <xf numFmtId="0" fontId="3" fillId="11" borderId="26" xfId="4" applyFont="1" applyFill="1" applyBorder="1" applyAlignment="1">
      <alignment horizontal="justify" vertical="center" wrapText="1"/>
    </xf>
    <xf numFmtId="3" fontId="4" fillId="11" borderId="23" xfId="4" applyNumberFormat="1" applyFont="1" applyFill="1" applyBorder="1" applyAlignment="1">
      <alignment horizontal="center" vertical="center" wrapText="1"/>
    </xf>
    <xf numFmtId="0" fontId="4" fillId="11" borderId="0" xfId="4" applyFont="1" applyFill="1" applyAlignment="1">
      <alignment vertical="center" wrapText="1"/>
    </xf>
    <xf numFmtId="3" fontId="4" fillId="0" borderId="0" xfId="4" applyNumberFormat="1" applyFont="1" applyFill="1" applyAlignment="1">
      <alignment vertical="center" wrapText="1"/>
    </xf>
    <xf numFmtId="0" fontId="4" fillId="13" borderId="22" xfId="0" applyFont="1" applyFill="1" applyBorder="1" applyAlignment="1">
      <alignment horizontal="justify" vertical="center"/>
    </xf>
    <xf numFmtId="0" fontId="4" fillId="3" borderId="22" xfId="0" applyFont="1" applyFill="1" applyBorder="1" applyAlignment="1">
      <alignment horizontal="justify" vertical="center" wrapText="1"/>
    </xf>
    <xf numFmtId="0" fontId="4" fillId="0" borderId="23" xfId="4" applyFont="1" applyFill="1" applyBorder="1" applyAlignment="1">
      <alignment vertical="center" wrapText="1"/>
    </xf>
    <xf numFmtId="167" fontId="4" fillId="15" borderId="22" xfId="4" applyNumberFormat="1" applyFont="1" applyFill="1" applyBorder="1" applyAlignment="1">
      <alignment horizontal="center" vertical="center" wrapText="1"/>
    </xf>
    <xf numFmtId="3" fontId="4" fillId="0" borderId="25" xfId="5" applyNumberFormat="1" applyFont="1" applyFill="1" applyBorder="1" applyAlignment="1">
      <alignment vertical="center" wrapText="1"/>
    </xf>
    <xf numFmtId="3" fontId="4" fillId="0" borderId="22" xfId="2" applyNumberFormat="1" applyFont="1" applyFill="1" applyBorder="1" applyAlignment="1">
      <alignment horizontal="center" vertical="center"/>
    </xf>
    <xf numFmtId="0" fontId="4" fillId="11" borderId="30" xfId="4" applyFont="1" applyFill="1" applyBorder="1" applyAlignment="1">
      <alignment vertical="center" wrapText="1"/>
    </xf>
    <xf numFmtId="0" fontId="4" fillId="14" borderId="0" xfId="4" applyFont="1" applyFill="1" applyBorder="1" applyAlignment="1">
      <alignment vertical="center" wrapText="1"/>
    </xf>
    <xf numFmtId="3" fontId="3" fillId="11" borderId="30" xfId="4" applyNumberFormat="1" applyFont="1" applyFill="1" applyBorder="1" applyAlignment="1">
      <alignment horizontal="center" vertical="center"/>
    </xf>
    <xf numFmtId="3" fontId="3" fillId="5" borderId="0" xfId="4" applyNumberFormat="1" applyFont="1" applyFill="1" applyBorder="1" applyAlignment="1">
      <alignment horizontal="center" vertical="center" wrapText="1"/>
    </xf>
    <xf numFmtId="0" fontId="4" fillId="10" borderId="0" xfId="4" applyFont="1" applyFill="1" applyBorder="1" applyAlignment="1">
      <alignment vertical="center" wrapText="1"/>
    </xf>
    <xf numFmtId="0" fontId="4" fillId="10" borderId="0" xfId="4" applyFont="1" applyFill="1" applyBorder="1" applyAlignment="1">
      <alignment horizontal="center" vertical="center" wrapText="1"/>
    </xf>
    <xf numFmtId="3" fontId="3" fillId="11" borderId="30" xfId="4" applyNumberFormat="1" applyFont="1" applyFill="1" applyBorder="1" applyAlignment="1">
      <alignment vertical="center" wrapText="1"/>
    </xf>
    <xf numFmtId="3" fontId="3" fillId="5" borderId="30" xfId="4" applyNumberFormat="1" applyFont="1" applyFill="1" applyBorder="1" applyAlignment="1">
      <alignment horizontal="center" vertical="center" wrapText="1"/>
    </xf>
    <xf numFmtId="164" fontId="6" fillId="5" borderId="33" xfId="5" applyNumberFormat="1" applyFont="1" applyFill="1" applyBorder="1" applyAlignment="1">
      <alignment horizontal="center" vertical="center" wrapText="1"/>
    </xf>
    <xf numFmtId="3" fontId="3" fillId="11" borderId="34" xfId="4" applyNumberFormat="1" applyFont="1" applyFill="1" applyBorder="1" applyAlignment="1">
      <alignment vertical="center" wrapText="1"/>
    </xf>
    <xf numFmtId="0" fontId="4" fillId="18" borderId="22" xfId="4" applyFont="1" applyFill="1" applyBorder="1" applyAlignment="1">
      <alignment horizontal="justify" vertical="center" wrapText="1"/>
    </xf>
    <xf numFmtId="1" fontId="4" fillId="14" borderId="22" xfId="3" applyNumberFormat="1" applyFont="1" applyFill="1" applyBorder="1" applyAlignment="1">
      <alignment horizontal="center" vertical="center" wrapText="1"/>
    </xf>
    <xf numFmtId="1" fontId="4" fillId="5" borderId="22" xfId="3" applyNumberFormat="1" applyFont="1" applyFill="1" applyBorder="1" applyAlignment="1">
      <alignment horizontal="center" vertical="center" wrapText="1"/>
    </xf>
    <xf numFmtId="3" fontId="4" fillId="14" borderId="22" xfId="4" applyNumberFormat="1" applyFont="1" applyFill="1" applyBorder="1" applyAlignment="1">
      <alignment horizontal="right" vertical="center" wrapText="1"/>
    </xf>
    <xf numFmtId="3" fontId="3" fillId="19" borderId="22" xfId="4" applyNumberFormat="1" applyFont="1" applyFill="1" applyBorder="1" applyAlignment="1">
      <alignment horizontal="center" vertical="center" wrapText="1"/>
    </xf>
    <xf numFmtId="3" fontId="9" fillId="0" borderId="21" xfId="4" applyNumberFormat="1" applyFont="1" applyBorder="1" applyAlignment="1">
      <alignment horizontal="center" vertical="center" wrapText="1"/>
    </xf>
    <xf numFmtId="3" fontId="9" fillId="0" borderId="22" xfId="4" applyNumberFormat="1" applyFont="1" applyBorder="1" applyAlignment="1">
      <alignment horizontal="center" vertical="center" wrapText="1"/>
    </xf>
    <xf numFmtId="164" fontId="4" fillId="0" borderId="22" xfId="5" applyNumberFormat="1" applyFont="1" applyFill="1" applyBorder="1" applyAlignment="1">
      <alignment vertical="center" wrapText="1"/>
    </xf>
    <xf numFmtId="0" fontId="4" fillId="12" borderId="22" xfId="4" applyFont="1" applyFill="1" applyBorder="1" applyAlignment="1">
      <alignment vertical="center" wrapText="1"/>
    </xf>
    <xf numFmtId="0" fontId="8" fillId="12" borderId="22" xfId="4" applyFont="1" applyFill="1" applyBorder="1" applyAlignment="1">
      <alignment horizontal="center" vertical="center" wrapText="1"/>
    </xf>
    <xf numFmtId="3" fontId="4" fillId="12" borderId="22" xfId="4" applyNumberFormat="1" applyFont="1" applyFill="1" applyBorder="1" applyAlignment="1">
      <alignment horizontal="center" vertical="center" wrapText="1"/>
    </xf>
    <xf numFmtId="3" fontId="4" fillId="12" borderId="22" xfId="4" applyNumberFormat="1" applyFont="1" applyFill="1" applyBorder="1" applyAlignment="1">
      <alignment horizontal="right" vertical="center" wrapText="1"/>
    </xf>
    <xf numFmtId="4" fontId="4" fillId="12" borderId="22" xfId="4" applyNumberFormat="1" applyFont="1" applyFill="1" applyBorder="1" applyAlignment="1">
      <alignment horizontal="center" vertical="center" wrapText="1"/>
    </xf>
    <xf numFmtId="167" fontId="5" fillId="12" borderId="22" xfId="0" applyNumberFormat="1" applyFont="1" applyFill="1" applyBorder="1" applyAlignment="1">
      <alignment horizontal="center" vertical="center" wrapText="1"/>
    </xf>
    <xf numFmtId="164" fontId="4" fillId="12" borderId="22" xfId="5" applyNumberFormat="1" applyFont="1" applyFill="1" applyBorder="1" applyAlignment="1">
      <alignment vertical="center" wrapText="1"/>
    </xf>
    <xf numFmtId="0" fontId="4" fillId="3" borderId="22" xfId="4" applyFont="1" applyFill="1" applyBorder="1" applyAlignment="1">
      <alignment horizontal="justify" vertical="center" wrapText="1"/>
    </xf>
    <xf numFmtId="3" fontId="3" fillId="9" borderId="22" xfId="4" applyNumberFormat="1" applyFont="1" applyFill="1" applyBorder="1" applyAlignment="1">
      <alignment horizontal="center" vertical="center"/>
    </xf>
    <xf numFmtId="0" fontId="4" fillId="13" borderId="22" xfId="0" applyFont="1" applyFill="1" applyBorder="1" applyAlignment="1">
      <alignment horizontal="justify" vertical="center" wrapText="1"/>
    </xf>
    <xf numFmtId="0" fontId="11" fillId="0" borderId="22" xfId="4" applyFont="1" applyBorder="1" applyAlignment="1">
      <alignment horizontal="center" vertical="center" wrapText="1"/>
    </xf>
    <xf numFmtId="3" fontId="4" fillId="11" borderId="22" xfId="4" applyNumberFormat="1" applyFont="1" applyFill="1" applyBorder="1" applyAlignment="1">
      <alignment vertical="center" wrapText="1"/>
    </xf>
    <xf numFmtId="0" fontId="9" fillId="3" borderId="22" xfId="0" applyFont="1" applyFill="1" applyBorder="1" applyAlignment="1">
      <alignment horizontal="justify" vertical="center"/>
    </xf>
    <xf numFmtId="3" fontId="10" fillId="5" borderId="22" xfId="4" applyNumberFormat="1" applyFont="1" applyFill="1" applyBorder="1" applyAlignment="1">
      <alignment horizontal="center" vertical="center" wrapText="1"/>
    </xf>
    <xf numFmtId="1" fontId="10" fillId="5" borderId="22" xfId="3" applyNumberFormat="1" applyFont="1" applyFill="1" applyBorder="1" applyAlignment="1">
      <alignment horizontal="center" vertical="center" wrapText="1"/>
    </xf>
    <xf numFmtId="1" fontId="10" fillId="5" borderId="22" xfId="4" applyNumberFormat="1" applyFont="1" applyFill="1" applyBorder="1" applyAlignment="1">
      <alignment horizontal="center" vertical="center" wrapText="1"/>
    </xf>
    <xf numFmtId="0" fontId="3" fillId="8" borderId="16" xfId="4" applyFont="1" applyFill="1" applyBorder="1" applyAlignment="1">
      <alignment horizontal="center" vertical="center" wrapText="1"/>
    </xf>
    <xf numFmtId="0" fontId="3" fillId="8" borderId="13" xfId="4" applyFont="1" applyFill="1" applyBorder="1" applyAlignment="1">
      <alignment horizontal="center" vertical="center" wrapText="1"/>
    </xf>
    <xf numFmtId="3" fontId="3" fillId="9" borderId="13" xfId="4" applyNumberFormat="1" applyFont="1" applyFill="1" applyBorder="1" applyAlignment="1">
      <alignment horizontal="center" vertical="center" wrapText="1"/>
    </xf>
    <xf numFmtId="3" fontId="3" fillId="9" borderId="13" xfId="4" applyNumberFormat="1" applyFont="1" applyFill="1" applyBorder="1" applyAlignment="1">
      <alignment horizontal="center" vertical="center"/>
    </xf>
    <xf numFmtId="3" fontId="3" fillId="9" borderId="13" xfId="4" applyNumberFormat="1" applyFont="1" applyFill="1" applyBorder="1" applyAlignment="1">
      <alignment horizontal="right" vertical="center" wrapText="1"/>
    </xf>
    <xf numFmtId="0" fontId="4" fillId="0" borderId="4" xfId="4" applyFont="1" applyFill="1" applyBorder="1" applyAlignment="1">
      <alignment vertical="center" wrapText="1"/>
    </xf>
    <xf numFmtId="0" fontId="4" fillId="0" borderId="5" xfId="4" applyFont="1" applyFill="1" applyBorder="1" applyAlignment="1">
      <alignment vertical="center" wrapText="1"/>
    </xf>
    <xf numFmtId="3" fontId="3" fillId="0" borderId="5" xfId="4" applyNumberFormat="1" applyFont="1" applyFill="1" applyBorder="1" applyAlignment="1">
      <alignment horizontal="center" vertical="center" wrapText="1"/>
    </xf>
    <xf numFmtId="0" fontId="4" fillId="0" borderId="5" xfId="4" applyFont="1" applyFill="1" applyBorder="1" applyAlignment="1">
      <alignment horizontal="center" vertical="center" wrapText="1"/>
    </xf>
    <xf numFmtId="3" fontId="4" fillId="0" borderId="5" xfId="4" applyNumberFormat="1" applyFont="1" applyFill="1" applyBorder="1" applyAlignment="1">
      <alignment horizontal="center" vertical="center"/>
    </xf>
    <xf numFmtId="0" fontId="4" fillId="3" borderId="5" xfId="4" applyFont="1" applyFill="1" applyBorder="1" applyAlignment="1">
      <alignment horizontal="center" vertical="center" wrapText="1"/>
    </xf>
    <xf numFmtId="3" fontId="4" fillId="0" borderId="5" xfId="4" applyNumberFormat="1" applyFont="1" applyFill="1" applyBorder="1" applyAlignment="1">
      <alignment vertical="center" wrapText="1"/>
    </xf>
    <xf numFmtId="164" fontId="4" fillId="0" borderId="5" xfId="5" applyNumberFormat="1" applyFont="1" applyFill="1" applyBorder="1" applyAlignment="1">
      <alignment horizontal="center" vertical="center" wrapText="1"/>
    </xf>
    <xf numFmtId="164" fontId="4" fillId="0" borderId="5" xfId="5" applyNumberFormat="1" applyFont="1" applyFill="1" applyBorder="1" applyAlignment="1">
      <alignment vertical="center" wrapText="1"/>
    </xf>
    <xf numFmtId="164" fontId="5" fillId="0" borderId="5" xfId="5" applyNumberFormat="1" applyFont="1" applyFill="1" applyBorder="1" applyAlignment="1">
      <alignment horizontal="center" vertical="center" wrapText="1"/>
    </xf>
    <xf numFmtId="164" fontId="4" fillId="0" borderId="35" xfId="5" applyNumberFormat="1" applyFont="1" applyFill="1" applyBorder="1" applyAlignment="1">
      <alignment vertical="center" wrapText="1"/>
    </xf>
    <xf numFmtId="3" fontId="4" fillId="0" borderId="0" xfId="4" applyNumberFormat="1" applyFont="1" applyFill="1" applyAlignment="1">
      <alignment horizontal="center" vertical="center" wrapText="1"/>
    </xf>
    <xf numFmtId="3" fontId="4" fillId="3" borderId="0" xfId="4" applyNumberFormat="1" applyFont="1" applyFill="1" applyAlignment="1">
      <alignment horizontal="center" vertical="center" wrapText="1"/>
    </xf>
    <xf numFmtId="164" fontId="4" fillId="0" borderId="0" xfId="5" applyNumberFormat="1" applyFont="1" applyFill="1" applyAlignment="1">
      <alignment horizontal="center" vertical="center" wrapText="1"/>
    </xf>
    <xf numFmtId="164" fontId="4" fillId="0" borderId="0" xfId="5" applyNumberFormat="1" applyFont="1" applyFill="1" applyAlignment="1">
      <alignment vertical="center" wrapText="1"/>
    </xf>
    <xf numFmtId="164" fontId="5" fillId="0" borderId="0" xfId="5" applyNumberFormat="1" applyFont="1" applyFill="1" applyAlignment="1">
      <alignment horizontal="center" vertical="center" wrapText="1"/>
    </xf>
    <xf numFmtId="41" fontId="4" fillId="0" borderId="0" xfId="2" applyFont="1" applyFill="1" applyAlignment="1">
      <alignment horizontal="center" vertical="center" wrapText="1"/>
    </xf>
    <xf numFmtId="3" fontId="4" fillId="0" borderId="0" xfId="5" applyNumberFormat="1" applyFont="1" applyFill="1" applyAlignment="1">
      <alignment horizontal="center" vertical="center" wrapText="1"/>
    </xf>
    <xf numFmtId="41" fontId="4" fillId="0" borderId="0" xfId="4" applyNumberFormat="1" applyFont="1" applyFill="1" applyAlignment="1">
      <alignment horizontal="center" vertical="center" wrapText="1"/>
    </xf>
    <xf numFmtId="0" fontId="4" fillId="5" borderId="0" xfId="4" applyFont="1" applyFill="1" applyAlignment="1">
      <alignment horizontal="center" vertical="center" wrapText="1"/>
    </xf>
    <xf numFmtId="0" fontId="4" fillId="20" borderId="0" xfId="4" applyFont="1" applyFill="1" applyAlignment="1">
      <alignment horizontal="center" vertical="center" wrapText="1"/>
    </xf>
    <xf numFmtId="0" fontId="4" fillId="21" borderId="0" xfId="4" applyFont="1" applyFill="1" applyAlignment="1">
      <alignment horizontal="center" vertical="center" wrapText="1"/>
    </xf>
    <xf numFmtId="3" fontId="16" fillId="12" borderId="22" xfId="4" applyNumberFormat="1" applyFont="1" applyFill="1" applyBorder="1" applyAlignment="1">
      <alignment horizontal="center" vertical="center" wrapText="1"/>
    </xf>
    <xf numFmtId="9" fontId="16" fillId="12" borderId="22" xfId="3" applyFont="1" applyFill="1" applyBorder="1" applyAlignment="1">
      <alignment horizontal="center" vertical="center" wrapText="1"/>
    </xf>
    <xf numFmtId="1" fontId="16" fillId="12" borderId="22" xfId="3" applyNumberFormat="1" applyFont="1" applyFill="1" applyBorder="1" applyAlignment="1">
      <alignment horizontal="center" vertical="center" wrapText="1"/>
    </xf>
    <xf numFmtId="3" fontId="16" fillId="0" borderId="22" xfId="4" applyNumberFormat="1" applyFont="1" applyFill="1" applyBorder="1" applyAlignment="1">
      <alignment horizontal="center" vertical="center" wrapText="1"/>
    </xf>
    <xf numFmtId="9" fontId="16" fillId="0" borderId="22" xfId="3" applyFont="1" applyFill="1" applyBorder="1" applyAlignment="1">
      <alignment horizontal="center" vertical="center" wrapText="1"/>
    </xf>
    <xf numFmtId="168" fontId="16" fillId="0" borderId="22" xfId="4" applyNumberFormat="1" applyFont="1" applyFill="1" applyBorder="1" applyAlignment="1">
      <alignment horizontal="center" vertical="center" wrapText="1"/>
    </xf>
    <xf numFmtId="4" fontId="16" fillId="0" borderId="22" xfId="4" applyNumberFormat="1" applyFont="1" applyFill="1" applyBorder="1" applyAlignment="1">
      <alignment horizontal="center" vertical="center" wrapText="1"/>
    </xf>
    <xf numFmtId="171" fontId="16" fillId="12" borderId="22" xfId="3" applyNumberFormat="1" applyFont="1" applyFill="1" applyBorder="1" applyAlignment="1">
      <alignment horizontal="center" vertical="center" wrapText="1"/>
    </xf>
    <xf numFmtId="2" fontId="16" fillId="12" borderId="22" xfId="3" applyNumberFormat="1" applyFont="1" applyFill="1" applyBorder="1" applyAlignment="1">
      <alignment horizontal="center" vertical="center" wrapText="1"/>
    </xf>
    <xf numFmtId="3" fontId="16" fillId="9" borderId="22" xfId="4" applyNumberFormat="1" applyFont="1" applyFill="1" applyBorder="1" applyAlignment="1">
      <alignment horizontal="center" vertical="center" wrapText="1"/>
    </xf>
    <xf numFmtId="9" fontId="16" fillId="9" borderId="22" xfId="3" applyFont="1" applyFill="1" applyBorder="1" applyAlignment="1">
      <alignment horizontal="center" vertical="center" wrapText="1"/>
    </xf>
    <xf numFmtId="168" fontId="16" fillId="12" borderId="22" xfId="4" applyNumberFormat="1" applyFont="1" applyFill="1" applyBorder="1" applyAlignment="1">
      <alignment horizontal="center" vertical="center" wrapText="1"/>
    </xf>
    <xf numFmtId="0" fontId="16" fillId="0" borderId="22" xfId="4" applyFont="1" applyFill="1" applyBorder="1" applyAlignment="1">
      <alignment horizontal="center" vertical="center" wrapText="1"/>
    </xf>
    <xf numFmtId="0" fontId="16" fillId="12" borderId="22" xfId="4" applyFont="1" applyFill="1" applyBorder="1" applyAlignment="1">
      <alignment horizontal="center" vertical="center" wrapText="1"/>
    </xf>
    <xf numFmtId="3" fontId="15" fillId="12" borderId="22" xfId="4" applyNumberFormat="1" applyFont="1" applyFill="1" applyBorder="1" applyAlignment="1">
      <alignment horizontal="center" vertical="center" wrapText="1"/>
    </xf>
    <xf numFmtId="0" fontId="16" fillId="9" borderId="22" xfId="4" applyFont="1" applyFill="1" applyBorder="1" applyAlignment="1">
      <alignment horizontal="center" vertical="center" wrapText="1"/>
    </xf>
    <xf numFmtId="171" fontId="16" fillId="9" borderId="22" xfId="4" applyNumberFormat="1" applyFont="1" applyFill="1" applyBorder="1" applyAlignment="1">
      <alignment horizontal="center" vertical="center" wrapText="1"/>
    </xf>
    <xf numFmtId="1" fontId="16" fillId="12" borderId="22" xfId="4" applyNumberFormat="1" applyFont="1" applyFill="1" applyBorder="1" applyAlignment="1">
      <alignment horizontal="center" vertical="center" wrapText="1"/>
    </xf>
    <xf numFmtId="9" fontId="16" fillId="9" borderId="22" xfId="4" applyNumberFormat="1" applyFont="1" applyFill="1" applyBorder="1" applyAlignment="1">
      <alignment horizontal="center" vertical="center" wrapText="1"/>
    </xf>
    <xf numFmtId="170" fontId="15" fillId="9" borderId="22" xfId="1" applyNumberFormat="1" applyFont="1" applyFill="1" applyBorder="1" applyAlignment="1">
      <alignment horizontal="center" vertical="center" wrapText="1"/>
    </xf>
    <xf numFmtId="4" fontId="16" fillId="12" borderId="22" xfId="4" applyNumberFormat="1" applyFont="1" applyFill="1" applyBorder="1" applyAlignment="1">
      <alignment horizontal="center" vertical="center" wrapText="1"/>
    </xf>
    <xf numFmtId="9" fontId="15" fillId="12" borderId="22" xfId="3" applyFont="1" applyFill="1" applyBorder="1" applyAlignment="1">
      <alignment horizontal="center" vertical="center" wrapText="1"/>
    </xf>
    <xf numFmtId="170" fontId="15" fillId="12" borderId="22" xfId="1" applyNumberFormat="1" applyFont="1" applyFill="1" applyBorder="1" applyAlignment="1">
      <alignment horizontal="center" vertical="center" wrapText="1"/>
    </xf>
    <xf numFmtId="9" fontId="15" fillId="9" borderId="22" xfId="3" applyFont="1" applyFill="1" applyBorder="1" applyAlignment="1">
      <alignment horizontal="center" vertical="center" wrapText="1"/>
    </xf>
    <xf numFmtId="9" fontId="16" fillId="12" borderId="22" xfId="4" applyNumberFormat="1" applyFont="1" applyFill="1" applyBorder="1" applyAlignment="1">
      <alignment horizontal="center" vertical="center" wrapText="1"/>
    </xf>
    <xf numFmtId="3" fontId="15" fillId="9" borderId="22" xfId="4" applyNumberFormat="1" applyFont="1" applyFill="1" applyBorder="1" applyAlignment="1">
      <alignment horizontal="center" vertical="center" wrapText="1"/>
    </xf>
    <xf numFmtId="0" fontId="16" fillId="0" borderId="0" xfId="4" applyFont="1" applyFill="1" applyAlignment="1">
      <alignment horizontal="center" vertical="center" wrapText="1"/>
    </xf>
    <xf numFmtId="9" fontId="16" fillId="0" borderId="0" xfId="3" applyFont="1" applyFill="1" applyAlignment="1">
      <alignment horizontal="center" vertical="center" wrapText="1"/>
    </xf>
    <xf numFmtId="2" fontId="16" fillId="0" borderId="0" xfId="3" applyNumberFormat="1" applyFont="1" applyFill="1" applyAlignment="1">
      <alignment horizontal="center" vertical="center" wrapText="1"/>
    </xf>
    <xf numFmtId="2" fontId="16" fillId="0" borderId="0" xfId="4" applyNumberFormat="1" applyFont="1" applyFill="1" applyAlignment="1">
      <alignment horizontal="center" vertical="center" wrapText="1"/>
    </xf>
    <xf numFmtId="0" fontId="16" fillId="0" borderId="0" xfId="4" applyFont="1" applyBorder="1" applyAlignment="1">
      <alignment horizontal="center" vertical="center"/>
    </xf>
    <xf numFmtId="3" fontId="15" fillId="0" borderId="22" xfId="4" applyNumberFormat="1" applyFont="1" applyFill="1" applyBorder="1" applyAlignment="1">
      <alignment horizontal="center" vertical="center" wrapText="1"/>
    </xf>
    <xf numFmtId="0" fontId="16" fillId="13" borderId="22" xfId="4" applyFont="1" applyFill="1" applyBorder="1" applyAlignment="1">
      <alignment horizontal="justify" vertical="center" wrapText="1"/>
    </xf>
    <xf numFmtId="0" fontId="16" fillId="0" borderId="22" xfId="4" applyFont="1" applyFill="1" applyBorder="1" applyAlignment="1">
      <alignment horizontal="justify" vertical="center" wrapText="1"/>
    </xf>
    <xf numFmtId="0" fontId="15" fillId="12" borderId="22" xfId="4" applyFont="1" applyFill="1" applyBorder="1" applyAlignment="1">
      <alignment horizontal="justify" vertical="center" wrapText="1"/>
    </xf>
    <xf numFmtId="0" fontId="15" fillId="9" borderId="22" xfId="4" applyFont="1" applyFill="1" applyBorder="1" applyAlignment="1">
      <alignment horizontal="justify" vertical="center" wrapText="1"/>
    </xf>
    <xf numFmtId="0" fontId="16" fillId="12" borderId="22" xfId="4" applyFont="1" applyFill="1" applyBorder="1" applyAlignment="1">
      <alignment horizontal="justify" vertical="center" wrapText="1"/>
    </xf>
    <xf numFmtId="0" fontId="16" fillId="9" borderId="22" xfId="4" applyFont="1" applyFill="1" applyBorder="1" applyAlignment="1">
      <alignment horizontal="justify" vertical="center" wrapText="1"/>
    </xf>
    <xf numFmtId="3" fontId="16" fillId="3" borderId="22" xfId="4" applyNumberFormat="1" applyFont="1" applyFill="1" applyBorder="1" applyAlignment="1">
      <alignment horizontal="center" vertical="center" wrapText="1"/>
    </xf>
    <xf numFmtId="4" fontId="16" fillId="3" borderId="22" xfId="4" applyNumberFormat="1" applyFont="1" applyFill="1" applyBorder="1" applyAlignment="1">
      <alignment horizontal="center" vertical="center" wrapText="1"/>
    </xf>
    <xf numFmtId="9" fontId="16" fillId="0" borderId="22" xfId="3" applyNumberFormat="1" applyFont="1" applyFill="1" applyBorder="1" applyAlignment="1">
      <alignment horizontal="center" vertical="center" wrapText="1"/>
    </xf>
    <xf numFmtId="168" fontId="16" fillId="3" borderId="22" xfId="4" applyNumberFormat="1" applyFont="1" applyFill="1" applyBorder="1" applyAlignment="1">
      <alignment horizontal="center" vertical="center" wrapText="1"/>
    </xf>
    <xf numFmtId="9" fontId="16" fillId="3" borderId="22" xfId="3" applyFont="1" applyFill="1" applyBorder="1" applyAlignment="1">
      <alignment horizontal="center" vertical="center" wrapText="1"/>
    </xf>
    <xf numFmtId="1" fontId="16" fillId="9" borderId="22" xfId="3" applyNumberFormat="1" applyFont="1" applyFill="1" applyBorder="1" applyAlignment="1">
      <alignment horizontal="center" vertical="center" wrapText="1"/>
    </xf>
    <xf numFmtId="0" fontId="16" fillId="3" borderId="0" xfId="4" applyFont="1" applyFill="1" applyAlignment="1">
      <alignment horizontal="center" vertical="center" wrapText="1"/>
    </xf>
    <xf numFmtId="3" fontId="16" fillId="0" borderId="22" xfId="4" applyNumberFormat="1" applyFont="1" applyFill="1" applyBorder="1" applyAlignment="1">
      <alignment horizontal="justify" vertical="center" wrapText="1"/>
    </xf>
    <xf numFmtId="9" fontId="15" fillId="0" borderId="22" xfId="3" applyNumberFormat="1" applyFont="1" applyFill="1" applyBorder="1" applyAlignment="1">
      <alignment horizontal="center" vertical="center" wrapText="1"/>
    </xf>
    <xf numFmtId="9" fontId="15" fillId="12" borderId="22" xfId="4" applyNumberFormat="1" applyFont="1" applyFill="1" applyBorder="1" applyAlignment="1">
      <alignment horizontal="center" vertical="center" wrapText="1"/>
    </xf>
    <xf numFmtId="9" fontId="15" fillId="12" borderId="22" xfId="3" applyNumberFormat="1" applyFont="1" applyFill="1" applyBorder="1" applyAlignment="1">
      <alignment horizontal="center" vertical="center" wrapText="1"/>
    </xf>
    <xf numFmtId="9" fontId="15" fillId="9" borderId="22" xfId="3" applyNumberFormat="1" applyFont="1" applyFill="1" applyBorder="1" applyAlignment="1">
      <alignment horizontal="center" vertical="center" wrapText="1"/>
    </xf>
    <xf numFmtId="9" fontId="15" fillId="9" borderId="22" xfId="4" applyNumberFormat="1" applyFont="1" applyFill="1" applyBorder="1" applyAlignment="1">
      <alignment horizontal="center" vertical="center" wrapText="1"/>
    </xf>
    <xf numFmtId="170" fontId="16" fillId="0" borderId="22" xfId="1" applyNumberFormat="1" applyFont="1" applyFill="1" applyBorder="1" applyAlignment="1">
      <alignment horizontal="center" vertical="center" wrapText="1"/>
    </xf>
    <xf numFmtId="0" fontId="16" fillId="0" borderId="22" xfId="0" applyFont="1" applyFill="1" applyBorder="1" applyAlignment="1">
      <alignment horizontal="justify" vertical="center" wrapText="1"/>
    </xf>
    <xf numFmtId="3" fontId="15" fillId="0" borderId="22" xfId="4" applyNumberFormat="1" applyFont="1" applyFill="1" applyBorder="1" applyAlignment="1">
      <alignment horizontal="justify" vertical="center" wrapText="1"/>
    </xf>
    <xf numFmtId="0" fontId="16" fillId="3" borderId="0" xfId="4" applyFont="1" applyFill="1" applyBorder="1" applyAlignment="1">
      <alignment horizontal="center" vertical="center" wrapText="1"/>
    </xf>
    <xf numFmtId="0" fontId="15" fillId="23" borderId="22" xfId="4" applyFont="1" applyFill="1" applyBorder="1" applyAlignment="1">
      <alignment horizontal="center" vertical="center" wrapText="1"/>
    </xf>
    <xf numFmtId="0" fontId="15" fillId="10" borderId="22" xfId="4" applyFont="1" applyFill="1" applyBorder="1" applyAlignment="1">
      <alignment horizontal="center" vertical="center" wrapText="1"/>
    </xf>
    <xf numFmtId="9" fontId="15" fillId="10" borderId="22" xfId="3" applyFont="1" applyFill="1" applyBorder="1" applyAlignment="1">
      <alignment horizontal="center" vertical="center" wrapText="1"/>
    </xf>
    <xf numFmtId="0" fontId="15" fillId="14" borderId="22" xfId="4" applyFont="1" applyFill="1" applyBorder="1" applyAlignment="1">
      <alignment horizontal="center" vertical="center" wrapText="1"/>
    </xf>
    <xf numFmtId="0" fontId="15" fillId="27" borderId="22" xfId="4" applyFont="1" applyFill="1" applyBorder="1" applyAlignment="1">
      <alignment horizontal="center" vertical="center" wrapText="1"/>
    </xf>
    <xf numFmtId="0" fontId="15" fillId="28" borderId="22" xfId="4" applyFont="1" applyFill="1" applyBorder="1" applyAlignment="1">
      <alignment horizontal="center" vertical="center" wrapText="1"/>
    </xf>
    <xf numFmtId="2" fontId="15" fillId="28" borderId="22" xfId="3" applyNumberFormat="1" applyFont="1" applyFill="1" applyBorder="1" applyAlignment="1">
      <alignment horizontal="center" vertical="center" wrapText="1"/>
    </xf>
    <xf numFmtId="0" fontId="15" fillId="29" borderId="22" xfId="4" applyFont="1" applyFill="1" applyBorder="1" applyAlignment="1">
      <alignment horizontal="center" vertical="center" wrapText="1"/>
    </xf>
    <xf numFmtId="2" fontId="15" fillId="29" borderId="22" xfId="4" applyNumberFormat="1" applyFont="1" applyFill="1" applyBorder="1" applyAlignment="1">
      <alignment horizontal="center" vertical="center" wrapText="1"/>
    </xf>
    <xf numFmtId="0" fontId="15" fillId="31" borderId="22" xfId="4" applyFont="1" applyFill="1" applyBorder="1" applyAlignment="1">
      <alignment horizontal="justify" vertical="center" wrapText="1"/>
    </xf>
    <xf numFmtId="3" fontId="16" fillId="31" borderId="22" xfId="4" applyNumberFormat="1" applyFont="1" applyFill="1" applyBorder="1" applyAlignment="1">
      <alignment horizontal="center" vertical="center" wrapText="1"/>
    </xf>
    <xf numFmtId="1" fontId="16" fillId="31" borderId="22" xfId="3" applyNumberFormat="1" applyFont="1" applyFill="1" applyBorder="1" applyAlignment="1">
      <alignment horizontal="center" vertical="center" wrapText="1"/>
    </xf>
    <xf numFmtId="0" fontId="15" fillId="31" borderId="22" xfId="4" applyFont="1" applyFill="1" applyBorder="1" applyAlignment="1">
      <alignment horizontal="center" vertical="center" wrapText="1"/>
    </xf>
    <xf numFmtId="9" fontId="16" fillId="31" borderId="22" xfId="3" applyFont="1" applyFill="1" applyBorder="1" applyAlignment="1">
      <alignment horizontal="center" vertical="center" wrapText="1"/>
    </xf>
    <xf numFmtId="2" fontId="16" fillId="31" borderId="22" xfId="3" applyNumberFormat="1" applyFont="1" applyFill="1" applyBorder="1" applyAlignment="1">
      <alignment horizontal="center" vertical="center" wrapText="1"/>
    </xf>
    <xf numFmtId="9" fontId="15" fillId="31" borderId="22" xfId="3" applyFont="1" applyFill="1" applyBorder="1" applyAlignment="1">
      <alignment horizontal="center" vertical="center" wrapText="1"/>
    </xf>
    <xf numFmtId="3" fontId="15" fillId="31" borderId="22" xfId="4" applyNumberFormat="1" applyFont="1" applyFill="1" applyBorder="1" applyAlignment="1">
      <alignment horizontal="center" vertical="center" wrapText="1"/>
    </xf>
    <xf numFmtId="9" fontId="15" fillId="31" borderId="22" xfId="3" applyNumberFormat="1" applyFont="1" applyFill="1" applyBorder="1" applyAlignment="1">
      <alignment horizontal="center" vertical="center" wrapText="1"/>
    </xf>
    <xf numFmtId="170" fontId="15" fillId="31" borderId="22" xfId="1" applyNumberFormat="1" applyFont="1" applyFill="1" applyBorder="1" applyAlignment="1">
      <alignment horizontal="center" vertical="center" wrapText="1"/>
    </xf>
    <xf numFmtId="41" fontId="16" fillId="0" borderId="22" xfId="2" applyFont="1" applyFill="1" applyBorder="1" applyAlignment="1">
      <alignment horizontal="center" vertical="center" wrapText="1"/>
    </xf>
    <xf numFmtId="170" fontId="16" fillId="3" borderId="22" xfId="1" applyNumberFormat="1" applyFont="1" applyFill="1" applyBorder="1" applyAlignment="1">
      <alignment horizontal="center" vertical="center" wrapText="1"/>
    </xf>
    <xf numFmtId="0" fontId="19" fillId="30" borderId="22" xfId="4" applyFont="1" applyFill="1" applyBorder="1" applyAlignment="1">
      <alignment horizontal="center" vertical="center" wrapText="1"/>
    </xf>
    <xf numFmtId="1" fontId="20" fillId="30" borderId="22" xfId="3" applyNumberFormat="1" applyFont="1" applyFill="1" applyBorder="1" applyAlignment="1">
      <alignment horizontal="center" vertical="center" wrapText="1"/>
    </xf>
    <xf numFmtId="0" fontId="20" fillId="30" borderId="22" xfId="4" applyFont="1" applyFill="1" applyBorder="1" applyAlignment="1">
      <alignment horizontal="center" vertical="center" wrapText="1"/>
    </xf>
    <xf numFmtId="9" fontId="20" fillId="30" borderId="22" xfId="3" applyFont="1" applyFill="1" applyBorder="1" applyAlignment="1">
      <alignment horizontal="center" vertical="center" wrapText="1"/>
    </xf>
    <xf numFmtId="3" fontId="15" fillId="30" borderId="22" xfId="4" applyNumberFormat="1" applyFont="1" applyFill="1" applyBorder="1" applyAlignment="1">
      <alignment horizontal="center" vertical="center" wrapText="1"/>
    </xf>
    <xf numFmtId="9" fontId="15" fillId="30" borderId="22" xfId="3" applyNumberFormat="1" applyFont="1" applyFill="1" applyBorder="1" applyAlignment="1">
      <alignment horizontal="center" vertical="center" wrapText="1"/>
    </xf>
    <xf numFmtId="170" fontId="15" fillId="30" borderId="22" xfId="1" applyNumberFormat="1" applyFont="1" applyFill="1" applyBorder="1" applyAlignment="1">
      <alignment horizontal="center" vertical="center" wrapText="1"/>
    </xf>
    <xf numFmtId="9" fontId="15" fillId="30" borderId="22" xfId="3" applyFont="1" applyFill="1" applyBorder="1" applyAlignment="1">
      <alignment horizontal="center" vertical="center" wrapText="1"/>
    </xf>
    <xf numFmtId="0" fontId="16" fillId="0" borderId="0" xfId="4" applyFont="1" applyFill="1" applyBorder="1" applyAlignment="1">
      <alignment horizontal="center" vertical="center" wrapText="1"/>
    </xf>
    <xf numFmtId="0" fontId="3" fillId="5" borderId="8" xfId="4" applyFont="1" applyFill="1" applyBorder="1" applyAlignment="1">
      <alignment horizontal="center" vertical="center" wrapText="1"/>
    </xf>
    <xf numFmtId="0" fontId="3" fillId="5" borderId="10" xfId="4" applyFont="1" applyFill="1" applyBorder="1" applyAlignment="1">
      <alignment horizontal="center" vertical="center" wrapText="1"/>
    </xf>
    <xf numFmtId="0" fontId="3" fillId="4" borderId="8" xfId="4" applyFont="1" applyFill="1" applyBorder="1" applyAlignment="1">
      <alignment horizontal="center" vertical="center" wrapText="1"/>
    </xf>
    <xf numFmtId="0" fontId="3" fillId="4" borderId="10" xfId="4" applyFont="1" applyFill="1" applyBorder="1" applyAlignment="1">
      <alignment horizontal="center" vertical="center" wrapText="1"/>
    </xf>
    <xf numFmtId="0" fontId="20" fillId="30" borderId="22" xfId="4" applyFont="1" applyFill="1" applyBorder="1" applyAlignment="1">
      <alignment horizontal="center" vertical="center" wrapText="1"/>
    </xf>
    <xf numFmtId="0" fontId="16" fillId="22" borderId="22" xfId="4" applyFont="1" applyFill="1" applyBorder="1" applyAlignment="1">
      <alignment horizontal="center" vertical="center" wrapText="1"/>
    </xf>
    <xf numFmtId="0" fontId="15" fillId="23" borderId="22" xfId="4" applyFont="1" applyFill="1" applyBorder="1" applyAlignment="1">
      <alignment horizontal="center" vertical="center" wrapText="1"/>
    </xf>
    <xf numFmtId="0" fontId="15" fillId="24" borderId="22" xfId="4" applyFont="1" applyFill="1" applyBorder="1" applyAlignment="1">
      <alignment horizontal="center" vertical="center" wrapText="1"/>
    </xf>
    <xf numFmtId="0" fontId="15" fillId="25" borderId="22" xfId="4" applyFont="1" applyFill="1" applyBorder="1" applyAlignment="1">
      <alignment horizontal="center" vertical="center" wrapText="1"/>
    </xf>
    <xf numFmtId="0" fontId="18" fillId="26" borderId="22" xfId="0" applyFont="1" applyFill="1" applyBorder="1" applyAlignment="1" applyProtection="1">
      <alignment horizontal="center" vertical="center" wrapText="1"/>
      <protection locked="0"/>
    </xf>
    <xf numFmtId="15" fontId="15" fillId="23" borderId="28" xfId="4" applyNumberFormat="1" applyFont="1" applyFill="1" applyBorder="1" applyAlignment="1">
      <alignment horizontal="center" vertical="center" wrapText="1"/>
    </xf>
    <xf numFmtId="15" fontId="15" fillId="23" borderId="32" xfId="4" applyNumberFormat="1" applyFont="1" applyFill="1" applyBorder="1" applyAlignment="1">
      <alignment horizontal="center" vertical="center" wrapText="1"/>
    </xf>
    <xf numFmtId="15" fontId="15" fillId="23" borderId="23" xfId="4" applyNumberFormat="1" applyFont="1" applyFill="1" applyBorder="1" applyAlignment="1">
      <alignment horizontal="center" vertical="center" wrapText="1"/>
    </xf>
  </cellXfs>
  <cellStyles count="6">
    <cellStyle name="Millares" xfId="1" builtinId="3"/>
    <cellStyle name="Millares [0]" xfId="2" builtinId="6"/>
    <cellStyle name="Millares 3" xfId="5"/>
    <cellStyle name="Normal" xfId="0" builtinId="0"/>
    <cellStyle name="Normal 2 2 2" xfId="4"/>
    <cellStyle name="Porcentaje" xfId="3" builtinId="5"/>
  </cellStyles>
  <dxfs count="0"/>
  <tableStyles count="0" defaultTableStyle="TableStyleMedium2" defaultPivotStyle="PivotStyleLight16"/>
  <colors>
    <mruColors>
      <color rgb="FFB4E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dussan/Downloads/MATRIZ%20DE%20SEGUIMIENTO%20ARMONIZACI&#211;N%20A%20JUNIO%2030%20-consolidada%20FINAL%20(1)%2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DUSSAN/INFORME%20DE%20GESTI&#211;N%202021/POAI%202021/ABRIL%20ARMONIZADO/CONSOLIDADO%20SALDOS%20ARMONIZADOS%20ABRIL%20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er/Documents/INDIRA%20BURBANO%20MONTENEGRO%202020/CAM2021/INFORME%20DE%20GESTION%202020/AJUSTES%20MINISTERIO/2021_04_19%201MATRIZ%20MINISTERIO_DE_AMBIENTE_DICIEMBRE%2031%20AJUSTE%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2.1"/>
      <sheetName val="2.2"/>
      <sheetName val="3.1"/>
      <sheetName val="3.2"/>
      <sheetName val="3.3"/>
      <sheetName val="4.1"/>
      <sheetName val="4.2"/>
      <sheetName val="4.3"/>
      <sheetName val="MATRIZ CONSOLIDADA "/>
      <sheetName val="ANEXO 1 MATRIZ SINA INF GESTIÓN"/>
      <sheetName val="ANEXO 2 INFOR DE EJECUCIÓN "/>
      <sheetName val="INGRESO 5.1"/>
      <sheetName val="GASTO 5.2"/>
      <sheetName val="CONSOLIDADO "/>
      <sheetName val="320101-2.1"/>
      <sheetName val="320102-2.3"/>
      <sheetName val="320103-4.1"/>
      <sheetName val="320201-1.1"/>
      <sheetName val="320202-4.2"/>
      <sheetName val="320203-1.2"/>
      <sheetName val="320301-1.3"/>
      <sheetName val="320302-3.2"/>
      <sheetName val="320401-4.4"/>
      <sheetName val="320501-3.3"/>
      <sheetName val="320502-3.4"/>
      <sheetName val="320503-3.5"/>
      <sheetName val="320504-00"/>
      <sheetName val="320601-"/>
      <sheetName val="320801-4.6"/>
      <sheetName val="329901-4.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5">
          <cell r="A5" t="str">
            <v>PROGRAMA  3201 - FORTALECIMIENTO DEL DESEMPEÑO AMBIENTAL DE LOS SECTORES PRODUCTIVOS</v>
          </cell>
        </row>
        <row r="6">
          <cell r="A6" t="str">
            <v>Proyecto 320101 - Desarrollo sectorial sostenible</v>
          </cell>
        </row>
        <row r="7">
          <cell r="A7" t="str">
            <v>Porcentaje de sectores con acompañamiento para la reconversión hacia sistemas sostenibles de producción (IM 18)</v>
          </cell>
          <cell r="D7">
            <v>100</v>
          </cell>
          <cell r="F7">
            <v>37.5</v>
          </cell>
          <cell r="L7">
            <v>100</v>
          </cell>
          <cell r="M7">
            <v>206485730</v>
          </cell>
          <cell r="N7">
            <v>50</v>
          </cell>
          <cell r="O7">
            <v>40160000</v>
          </cell>
        </row>
        <row r="8">
          <cell r="A8" t="str">
            <v>Apoyo a la  Gestión, Operación, Administración y Promoción del Proyecto</v>
          </cell>
          <cell r="L8">
            <v>1</v>
          </cell>
          <cell r="M8">
            <v>94573406</v>
          </cell>
          <cell r="N8">
            <v>0.5</v>
          </cell>
        </row>
        <row r="9">
          <cell r="A9" t="str">
            <v xml:space="preserve">Proyecto 320102 -Negocios verdes </v>
          </cell>
        </row>
        <row r="10">
          <cell r="A10" t="str">
            <v>Implementación del Programa Regional de Negocios Verdes por la autoridad ambiental (IM 20)</v>
          </cell>
          <cell r="C10" t="str">
            <v>%</v>
          </cell>
          <cell r="D10">
            <v>100</v>
          </cell>
          <cell r="L10">
            <v>100</v>
          </cell>
          <cell r="M10">
            <v>283056000</v>
          </cell>
          <cell r="N10">
            <v>50</v>
          </cell>
          <cell r="O10">
            <v>112055998</v>
          </cell>
        </row>
        <row r="11">
          <cell r="A11" t="str">
            <v>Apoyo a la  Gestión, Operación, Administración y Promoción del Proyecto</v>
          </cell>
          <cell r="L11">
            <v>1</v>
          </cell>
          <cell r="M11">
            <v>98944000</v>
          </cell>
          <cell r="N11">
            <v>0.5</v>
          </cell>
        </row>
        <row r="12">
          <cell r="A12" t="str">
            <v>PROYECTO 320103: CONTROL Y VIGLANCIA AL DESARROLLO SECTORIAL SOSTENIBLE</v>
          </cell>
        </row>
        <row r="13">
          <cell r="A13" t="str">
            <v>Porcentaje de Planes de Gestión Integral de Residuos Sólidos (PGIRS) con seguimiento a metas de aprovechamiento (IM 17)</v>
          </cell>
          <cell r="C13" t="str">
            <v>%</v>
          </cell>
          <cell r="D13">
            <v>100</v>
          </cell>
          <cell r="M13">
            <v>35468481.692000002</v>
          </cell>
          <cell r="N13">
            <v>100</v>
          </cell>
          <cell r="O13">
            <v>28842081</v>
          </cell>
        </row>
        <row r="14">
          <cell r="A14" t="str">
            <v xml:space="preserve">Porcentaje de asistencia técnica, seguimiento y control a generadores de residuos o desechos peligrosos – RESPEL y especiales </v>
          </cell>
          <cell r="C14" t="str">
            <v>%</v>
          </cell>
          <cell r="D14">
            <v>100</v>
          </cell>
          <cell r="M14">
            <v>64918640</v>
          </cell>
          <cell r="N14">
            <v>29</v>
          </cell>
          <cell r="O14">
            <v>63352400</v>
          </cell>
        </row>
        <row r="15">
          <cell r="A15" t="str">
            <v>Porcentaje de autorizaciones ambientales con seguimiento (IM 22)</v>
          </cell>
          <cell r="C15" t="str">
            <v>%</v>
          </cell>
          <cell r="D15">
            <v>80</v>
          </cell>
          <cell r="M15">
            <v>696932675.06000006</v>
          </cell>
          <cell r="N15">
            <v>20</v>
          </cell>
          <cell r="O15">
            <v>477397588</v>
          </cell>
        </row>
        <row r="16">
          <cell r="A16" t="str">
            <v>Tiempo promedio de trámite para la resolución de autorizaciones ambientales otorgadas por la Corporación. (IM 21)</v>
          </cell>
          <cell r="C16" t="str">
            <v>Días</v>
          </cell>
          <cell r="D16">
            <v>60</v>
          </cell>
          <cell r="E16">
            <v>0</v>
          </cell>
          <cell r="F16">
            <v>60</v>
          </cell>
          <cell r="G16">
            <v>0</v>
          </cell>
          <cell r="M16">
            <v>0</v>
          </cell>
          <cell r="N16">
            <v>60</v>
          </cell>
          <cell r="O16">
            <v>0</v>
          </cell>
        </row>
        <row r="17">
          <cell r="A17" t="str">
            <v>Porcentaje de solicitudes de licencias y permisos ambientales resueltos</v>
          </cell>
          <cell r="C17" t="str">
            <v>%</v>
          </cell>
          <cell r="D17">
            <v>80</v>
          </cell>
          <cell r="M17">
            <v>311841953.52999997</v>
          </cell>
          <cell r="N17">
            <v>60</v>
          </cell>
          <cell r="O17">
            <v>300176478</v>
          </cell>
        </row>
        <row r="18">
          <cell r="A18" t="str">
            <v>Porcentaje de procesos sancionatorios resueltos (IM 23)</v>
          </cell>
          <cell r="C18" t="str">
            <v>%</v>
          </cell>
          <cell r="D18">
            <v>25</v>
          </cell>
          <cell r="M18">
            <v>684717300.48799992</v>
          </cell>
          <cell r="N18">
            <v>12</v>
          </cell>
          <cell r="O18">
            <v>468480578</v>
          </cell>
        </row>
        <row r="19">
          <cell r="A19" t="str">
            <v>Fuentes móviles de emisiones atmosféricas (vía pública y empresas transportadoras - Laboratorio de fuentes móviles) con seguimiento, monitoreo y control</v>
          </cell>
          <cell r="C19" t="str">
            <v>Und</v>
          </cell>
          <cell r="D19">
            <v>120</v>
          </cell>
          <cell r="M19">
            <v>33282600</v>
          </cell>
          <cell r="N19">
            <v>130</v>
          </cell>
          <cell r="O19">
            <v>0</v>
          </cell>
        </row>
        <row r="20">
          <cell r="A20" t="str">
            <v>Red de vigilancia y monitoreo de la calidad del aire implementada</v>
          </cell>
          <cell r="C20" t="str">
            <v>Und</v>
          </cell>
          <cell r="D20">
            <v>1</v>
          </cell>
          <cell r="M20">
            <v>0</v>
          </cell>
          <cell r="N20">
            <v>0.5</v>
          </cell>
          <cell r="O20">
            <v>0</v>
          </cell>
        </row>
        <row r="21">
          <cell r="A21" t="str">
            <v>Mapas de ruido y planes de descontaminación actualizados</v>
          </cell>
          <cell r="C21" t="str">
            <v>Und</v>
          </cell>
          <cell r="D21">
            <v>1</v>
          </cell>
          <cell r="F21">
            <v>0</v>
          </cell>
          <cell r="G21">
            <v>0</v>
          </cell>
          <cell r="M21">
            <v>92368000</v>
          </cell>
          <cell r="N21">
            <v>0</v>
          </cell>
          <cell r="O21">
            <v>0</v>
          </cell>
        </row>
        <row r="22">
          <cell r="A22" t="str">
            <v>Generadores y gestores de Residuos de Construcción y Demolición - RCD con seguimiento</v>
          </cell>
          <cell r="C22" t="str">
            <v>%</v>
          </cell>
          <cell r="D22">
            <v>100</v>
          </cell>
          <cell r="M22">
            <v>48041400</v>
          </cell>
          <cell r="N22">
            <v>14</v>
          </cell>
          <cell r="O22">
            <v>24849000</v>
          </cell>
        </row>
        <row r="23">
          <cell r="A23" t="str">
            <v>Empresas obligadas a conformar el Departamento de Gestión Ambiental con seguimiento</v>
          </cell>
          <cell r="C23" t="str">
            <v>%</v>
          </cell>
          <cell r="D23">
            <v>100</v>
          </cell>
          <cell r="M23">
            <v>26588086</v>
          </cell>
          <cell r="N23">
            <v>42</v>
          </cell>
          <cell r="O23">
            <v>26588086</v>
          </cell>
        </row>
        <row r="24">
          <cell r="A24" t="str">
            <v>Gestión, Operación, Administración y Promoción del Proyecto apoyados</v>
          </cell>
          <cell r="C24" t="str">
            <v>Global</v>
          </cell>
          <cell r="D24">
            <v>1</v>
          </cell>
          <cell r="M24">
            <v>1893687007.3836696</v>
          </cell>
          <cell r="N24">
            <v>0.5</v>
          </cell>
          <cell r="O24">
            <v>764911651</v>
          </cell>
        </row>
        <row r="25">
          <cell r="A25" t="str">
            <v>PROGRAMA 3202 - CONSERVACIÓN DE LA BIODIVERSIDAD Y LOS SERVICIOS ECOSISTÉMICOS</v>
          </cell>
        </row>
        <row r="26">
          <cell r="A26" t="str">
            <v>Proyecto 320201 - Gestión de la biodiversidad y sus servicios ecosistémicos</v>
          </cell>
        </row>
        <row r="27">
          <cell r="A27" t="str">
            <v>No. predios apoyados para su caracterización y/o gestión como reserva natural de la sociedad civil</v>
          </cell>
          <cell r="C27" t="str">
            <v>Predios</v>
          </cell>
          <cell r="L27">
            <v>30</v>
          </cell>
          <cell r="M27">
            <v>64637610.127999999</v>
          </cell>
          <cell r="N27">
            <v>4</v>
          </cell>
          <cell r="O27">
            <v>29637610</v>
          </cell>
        </row>
        <row r="28">
          <cell r="A28" t="str">
            <v>No. ecosistemas compartidos planificados y/o gestionados por la Corporación</v>
          </cell>
          <cell r="C28" t="str">
            <v>Und</v>
          </cell>
          <cell r="D28">
            <v>3</v>
          </cell>
          <cell r="F28">
            <v>2.5</v>
          </cell>
          <cell r="L28">
            <v>3</v>
          </cell>
          <cell r="M28">
            <v>110040000</v>
          </cell>
          <cell r="N28">
            <v>2</v>
          </cell>
          <cell r="O28">
            <v>0</v>
          </cell>
        </row>
        <row r="29">
          <cell r="A29" t="str">
            <v>No.de áreas estratégicas con desarrollo de actividades de investigacion-monitoreo y estudios de caracterización de la biodiversidad con participación comunitaria</v>
          </cell>
          <cell r="C29" t="str">
            <v>Und</v>
          </cell>
          <cell r="L29">
            <v>2</v>
          </cell>
          <cell r="M29">
            <v>91576527</v>
          </cell>
          <cell r="N29">
            <v>0</v>
          </cell>
          <cell r="O29">
            <v>0</v>
          </cell>
        </row>
        <row r="30">
          <cell r="A30" t="str">
            <v xml:space="preserve">No. De estudios formulados  y/o actualizados de planes de manejo ambiental (PMA) de áreas protegidas </v>
          </cell>
          <cell r="C30" t="str">
            <v>Und</v>
          </cell>
          <cell r="L30">
            <v>3</v>
          </cell>
          <cell r="M30">
            <v>561064000</v>
          </cell>
          <cell r="N30">
            <v>0</v>
          </cell>
          <cell r="O30">
            <v>0</v>
          </cell>
        </row>
        <row r="31">
          <cell r="A31" t="str">
            <v>% de estudios elaborados  en ejecución de la Política Ambiental</v>
          </cell>
          <cell r="C31" t="str">
            <v>%</v>
          </cell>
          <cell r="F31">
            <v>25</v>
          </cell>
          <cell r="L31">
            <v>100</v>
          </cell>
          <cell r="M31">
            <v>55041275.952</v>
          </cell>
          <cell r="N31">
            <v>0</v>
          </cell>
          <cell r="O31">
            <v>0</v>
          </cell>
        </row>
        <row r="32">
          <cell r="A32" t="str">
            <v>Porcentaje de especies  invasoras con medidas de prevención, control y manejo en ejecución (IM 14)</v>
          </cell>
          <cell r="C32" t="str">
            <v>%</v>
          </cell>
          <cell r="D32">
            <v>100</v>
          </cell>
          <cell r="L32">
            <v>100</v>
          </cell>
          <cell r="M32">
            <v>14004492.130000001</v>
          </cell>
          <cell r="N32">
            <v>25</v>
          </cell>
          <cell r="O32">
            <v>0</v>
          </cell>
        </row>
        <row r="33">
          <cell r="A33" t="str">
            <v>Porcentaje de áreas protegidas con planes de manejo en ejecución (IM 12)</v>
          </cell>
          <cell r="C33" t="str">
            <v>%</v>
          </cell>
          <cell r="D33">
            <v>100</v>
          </cell>
          <cell r="L33">
            <v>100</v>
          </cell>
          <cell r="M33">
            <v>2490891372.4907999</v>
          </cell>
          <cell r="N33">
            <v>50</v>
          </cell>
          <cell r="O33">
            <v>670456440</v>
          </cell>
        </row>
        <row r="34">
          <cell r="A34" t="str">
            <v>Porcentaje de áreas de ecosistemas en restauración, rehabilitación y reforestación (IM 15)</v>
          </cell>
          <cell r="C34" t="str">
            <v>%</v>
          </cell>
          <cell r="L34">
            <v>25</v>
          </cell>
          <cell r="M34">
            <v>471682926.92799997</v>
          </cell>
          <cell r="N34">
            <v>12</v>
          </cell>
          <cell r="O34">
            <v>54682153</v>
          </cell>
        </row>
        <row r="35">
          <cell r="A35" t="str">
            <v>Porcentaje de especies amenazadas con medidas de conservación y manejo en ejecución (IM 13)</v>
          </cell>
          <cell r="C35" t="str">
            <v>%</v>
          </cell>
          <cell r="D35">
            <v>100</v>
          </cell>
          <cell r="L35">
            <v>100</v>
          </cell>
          <cell r="M35">
            <v>336611128.27200001</v>
          </cell>
          <cell r="N35">
            <v>40</v>
          </cell>
          <cell r="O35">
            <v>65410133</v>
          </cell>
        </row>
        <row r="36">
          <cell r="A36" t="str">
            <v>Gestión, Operación, Administración y Promoción del Proyecto apoyados</v>
          </cell>
          <cell r="C36" t="str">
            <v>Global</v>
          </cell>
          <cell r="M36">
            <v>133276607</v>
          </cell>
          <cell r="N36">
            <v>0.5</v>
          </cell>
        </row>
        <row r="37">
          <cell r="A37" t="str">
            <v>Proyecto 320202 - Control, seguimiento y monitoreo al uso y manejo de los recursos de la oferta natural</v>
          </cell>
        </row>
        <row r="38">
          <cell r="A38" t="str">
            <v>No. estrategias de control implementadas para extracción  ilegal de los recursos naturales. RED DE CONTROL AMBIENTAL RECAM</v>
          </cell>
          <cell r="C38" t="str">
            <v>Und</v>
          </cell>
          <cell r="L38">
            <v>1</v>
          </cell>
          <cell r="M38">
            <v>634825886.68400002</v>
          </cell>
          <cell r="N38">
            <v>0.5</v>
          </cell>
          <cell r="O38">
            <v>514576558</v>
          </cell>
        </row>
        <row r="39">
          <cell r="A39" t="str">
            <v>Estrategias de control a la deforestacion y conservacion y uso sostenible de los bosques en el departamento del Huila implementada</v>
          </cell>
          <cell r="C39" t="str">
            <v>Und</v>
          </cell>
          <cell r="L39">
            <v>1</v>
          </cell>
          <cell r="M39">
            <v>56324400</v>
          </cell>
          <cell r="N39">
            <v>0.5</v>
          </cell>
          <cell r="O39">
            <v>33132000</v>
          </cell>
        </row>
        <row r="40">
          <cell r="A40" t="str">
            <v>Estrategia para la preservación, conservación, rehabilitación y/o reintroducción, control y seguimiento a la fauna silvestre formulada e implementada</v>
          </cell>
          <cell r="C40" t="str">
            <v>Und</v>
          </cell>
          <cell r="L40">
            <v>1</v>
          </cell>
          <cell r="M40">
            <v>297552396</v>
          </cell>
          <cell r="N40">
            <v>0.5</v>
          </cell>
          <cell r="O40">
            <v>203473648</v>
          </cell>
        </row>
        <row r="41">
          <cell r="A41" t="str">
            <v>Proyecto 320203 -  Restauración, reforestación y protección de ecosistemas estratégicos en cuencas hidrográficas</v>
          </cell>
        </row>
        <row r="42">
          <cell r="A42" t="str">
            <v>Porcentaje de suelos degradados en recuperación o rehabilitacón (IM 8)</v>
          </cell>
          <cell r="C42" t="str">
            <v>%</v>
          </cell>
          <cell r="D42">
            <v>100</v>
          </cell>
          <cell r="L42">
            <v>100</v>
          </cell>
          <cell r="M42">
            <v>641693014</v>
          </cell>
          <cell r="N42">
            <v>0</v>
          </cell>
        </row>
        <row r="43">
          <cell r="A43" t="str">
            <v xml:space="preserve">Ha. recuperadas  y/o rehabilitadas, de suelos degradados por erosión y/o afectación de incendios forestales. Incluye asistencia técnica, capacitación, interventoria, apoyo losgístico </v>
          </cell>
          <cell r="C43" t="str">
            <v xml:space="preserve">Hectáreas </v>
          </cell>
          <cell r="L43">
            <v>25</v>
          </cell>
          <cell r="N43">
            <v>0</v>
          </cell>
        </row>
        <row r="44">
          <cell r="A44" t="str">
            <v>Porcentaje de áreas reforestadas gestionadas y con mantenimiento para la protección de cuencas abastecedoras</v>
          </cell>
          <cell r="C44" t="str">
            <v>%</v>
          </cell>
          <cell r="D44">
            <v>100</v>
          </cell>
          <cell r="L44">
            <v>100</v>
          </cell>
          <cell r="M44">
            <v>323953732</v>
          </cell>
          <cell r="N44">
            <v>10</v>
          </cell>
          <cell r="O44">
            <v>0</v>
          </cell>
        </row>
        <row r="45">
          <cell r="A45" t="str">
            <v xml:space="preserve">Ha. revegetalizadas naturalmente para la protección de cuencas abastecedoras </v>
          </cell>
          <cell r="C45" t="str">
            <v xml:space="preserve">Hectáreas </v>
          </cell>
          <cell r="D45">
            <v>500</v>
          </cell>
          <cell r="F45">
            <v>250</v>
          </cell>
          <cell r="L45">
            <v>500</v>
          </cell>
          <cell r="M45">
            <v>944317531</v>
          </cell>
          <cell r="N45">
            <v>0</v>
          </cell>
        </row>
        <row r="46">
          <cell r="A46" t="str">
            <v>Porcentaje de áreas revegetalizadas naturalmente para la protección de cuencas abastecedoras con mantenimiento</v>
          </cell>
          <cell r="C46" t="str">
            <v>%</v>
          </cell>
          <cell r="D46">
            <v>100</v>
          </cell>
          <cell r="F46">
            <v>55</v>
          </cell>
          <cell r="L46">
            <v>100</v>
          </cell>
          <cell r="M46">
            <v>275000000</v>
          </cell>
          <cell r="N46">
            <v>10</v>
          </cell>
          <cell r="O46">
            <v>0</v>
          </cell>
        </row>
        <row r="47">
          <cell r="A47" t="str">
            <v>Ha. adquiridas y administradas para la restauración  y conservación de áreas estratégicas en cuencas hidrográficas abastecedoras de acueductos municipales y/o veredales</v>
          </cell>
          <cell r="C47" t="str">
            <v xml:space="preserve">Hectáreas </v>
          </cell>
          <cell r="L47">
            <v>350</v>
          </cell>
          <cell r="M47">
            <v>80333322</v>
          </cell>
          <cell r="N47">
            <v>0</v>
          </cell>
          <cell r="O47">
            <v>0</v>
          </cell>
        </row>
        <row r="48">
          <cell r="A48" t="str">
            <v>PROGRAMA 3203 - GESTIÓN INTEGRAL DEL RECURSO HIDRICO</v>
          </cell>
        </row>
        <row r="49">
          <cell r="A49" t="str">
            <v xml:space="preserve">Proyecto 320301 - Conservación y uso eficiente del recurso hídrico </v>
          </cell>
        </row>
        <row r="50">
          <cell r="A50" t="str">
            <v xml:space="preserve">Porcentaje de avance en la formulación y/o ajustes de los  Planes de Ordenación y Manejo de Cuencas (POMCAS), Planes de Manejo de Acuíferos (PMA) y Planes de Manejo de Microcuencas (PMM)  (IM 1) </v>
          </cell>
          <cell r="C50" t="str">
            <v>%</v>
          </cell>
          <cell r="L50">
            <v>50</v>
          </cell>
          <cell r="M50">
            <v>1482190429</v>
          </cell>
          <cell r="N50">
            <v>15</v>
          </cell>
          <cell r="O50">
            <v>1252080105</v>
          </cell>
        </row>
        <row r="51">
          <cell r="A51" t="str">
            <v>Porcentaje de Planes de Ordenación y Manejo de Cuencas (POMCAS), Planes de Manejo de Acuíferos (PMA) y Planes de Manejo de Microcuencas (PMM) en ejecución (IM 6)</v>
          </cell>
          <cell r="C51" t="str">
            <v>%</v>
          </cell>
          <cell r="D51">
            <v>100</v>
          </cell>
          <cell r="L51">
            <v>100</v>
          </cell>
          <cell r="N51">
            <v>15</v>
          </cell>
        </row>
        <row r="52">
          <cell r="A52" t="str">
            <v>No.  convenios  para cofinanciar la construcción  y seguimiento a proyectos de saneamiento ambiental hídrico como: interceptores, emisarios finales,  sistemas de tratamiento de aguas residuales domésticas y/o estudios y diseños asociados a estas obras</v>
          </cell>
          <cell r="C52" t="str">
            <v>Und</v>
          </cell>
          <cell r="F52">
            <v>2</v>
          </cell>
          <cell r="L52">
            <v>1</v>
          </cell>
          <cell r="M52">
            <v>2062787847</v>
          </cell>
          <cell r="N52">
            <v>1</v>
          </cell>
          <cell r="O52">
            <v>2062787847</v>
          </cell>
        </row>
        <row r="53">
          <cell r="A53" t="str">
            <v>Proyecto 320302 - Administración del recurso hídrico</v>
          </cell>
        </row>
        <row r="54">
          <cell r="A54" t="str">
            <v>Porcentaje de Programas de Uso Eficiente y Ahorro del Agua (PUEAA) con seguimiento (IM 5)</v>
          </cell>
          <cell r="C54" t="str">
            <v>%</v>
          </cell>
          <cell r="D54">
            <v>100</v>
          </cell>
          <cell r="L54">
            <v>100</v>
          </cell>
          <cell r="M54">
            <v>6626400</v>
          </cell>
          <cell r="N54">
            <v>100</v>
          </cell>
          <cell r="O54">
            <v>6626400</v>
          </cell>
        </row>
        <row r="55">
          <cell r="A55" t="str">
            <v>Porcentaje de Planes de Saneamiento y Manejo de Vertimientos –PSMV- con seguimiento (IM 3)</v>
          </cell>
          <cell r="C55" t="str">
            <v>%</v>
          </cell>
          <cell r="D55">
            <v>100</v>
          </cell>
          <cell r="G55">
            <v>33026400</v>
          </cell>
          <cell r="L55">
            <v>100</v>
          </cell>
          <cell r="M55">
            <v>6626400</v>
          </cell>
          <cell r="N55">
            <v>100</v>
          </cell>
          <cell r="O55">
            <v>6626400</v>
          </cell>
        </row>
        <row r="56">
          <cell r="A56" t="str">
            <v>Porcentaje de cuerpos de agua con reglamentación por uso de las aguas (IM 4)</v>
          </cell>
          <cell r="C56" t="str">
            <v>%</v>
          </cell>
          <cell r="L56">
            <v>60</v>
          </cell>
          <cell r="M56">
            <v>316859301.47400022</v>
          </cell>
          <cell r="N56">
            <v>30</v>
          </cell>
          <cell r="O56">
            <v>0</v>
          </cell>
        </row>
        <row r="57">
          <cell r="A57" t="str">
            <v>Porcentaje de cuerpos de agua con plan de ordenamiento del recurso hídrico (PORH) adoptados (IM 2)</v>
          </cell>
          <cell r="C57" t="str">
            <v>%</v>
          </cell>
          <cell r="L57">
            <v>60</v>
          </cell>
          <cell r="M57">
            <v>329117224.23399997</v>
          </cell>
          <cell r="N57">
            <v>30</v>
          </cell>
          <cell r="O57">
            <v>0</v>
          </cell>
        </row>
        <row r="58">
          <cell r="A58" t="str">
            <v>Implementación del Programa Institucional Regional de monitoreo del agua - PIRMA en aguas superficial y subterráneas</v>
          </cell>
          <cell r="C58" t="str">
            <v>Und</v>
          </cell>
          <cell r="L58">
            <v>1</v>
          </cell>
          <cell r="M58">
            <v>2150910950.4320002</v>
          </cell>
          <cell r="N58">
            <v>0.5</v>
          </cell>
          <cell r="O58">
            <v>1168314229</v>
          </cell>
        </row>
        <row r="59">
          <cell r="A59" t="str">
            <v>Estudios Ambientales del recurso hídrico Evaluación Regional del Agua - ERA) elaborados</v>
          </cell>
          <cell r="C59" t="str">
            <v>Und</v>
          </cell>
          <cell r="E59">
            <v>0</v>
          </cell>
          <cell r="G59">
            <v>0</v>
          </cell>
          <cell r="M59">
            <v>0</v>
          </cell>
          <cell r="O59">
            <v>0</v>
          </cell>
        </row>
        <row r="60">
          <cell r="A60" t="str">
            <v>Porcentaje de ejecución de acciones en gestión ambiental urbana (IM 19)</v>
          </cell>
          <cell r="C60" t="str">
            <v>%</v>
          </cell>
          <cell r="L60">
            <v>100</v>
          </cell>
          <cell r="M60">
            <v>329326546.56799996</v>
          </cell>
          <cell r="N60">
            <v>0</v>
          </cell>
          <cell r="O60">
            <v>29679991</v>
          </cell>
        </row>
        <row r="61">
          <cell r="A61" t="str">
            <v>PROGRAMA 3204 GESTIÓN DE LA INFORMACIÓN Y EL CONOCIMIENTO AMBIENTAL</v>
          </cell>
        </row>
        <row r="62">
          <cell r="A62" t="str">
            <v>Proyecto 320401 - Información y conocimiento ambiental</v>
          </cell>
        </row>
        <row r="63">
          <cell r="A63" t="str">
            <v>Porcentaje de Optimización y seguimiento de los aplicativos en línea de trámites ambientales (CITA, RUIA, SUNL, LOFL, SILAMC - VITAL)</v>
          </cell>
          <cell r="C63" t="str">
            <v>%</v>
          </cell>
          <cell r="F63">
            <v>37.5</v>
          </cell>
          <cell r="L63">
            <v>100</v>
          </cell>
          <cell r="M63">
            <v>200616298.12</v>
          </cell>
          <cell r="N63">
            <v>50</v>
          </cell>
          <cell r="O63">
            <v>119480016</v>
          </cell>
        </row>
        <row r="64">
          <cell r="A64" t="str">
            <v>Porcentaje de actualización y reporte de la información en el SIAC (IM 26)</v>
          </cell>
          <cell r="C64" t="str">
            <v>%</v>
          </cell>
          <cell r="L64">
            <v>90</v>
          </cell>
          <cell r="M64">
            <v>68824200</v>
          </cell>
          <cell r="N64">
            <v>55</v>
          </cell>
          <cell r="O64">
            <v>48945000</v>
          </cell>
        </row>
        <row r="65">
          <cell r="A65" t="str">
            <v>PROGRAMA 3205 - ORDENAMIENTO AMBIENTAL TERRITORIAL</v>
          </cell>
        </row>
        <row r="67">
          <cell r="A67" t="str">
            <v>Porcentaje de municipios asesorados o asistidos en la inclusión del componente ambiental en los procesos de planificación y ordenamiento territorial, con énfasis en la incorporación de las determinantes ambientales para la revisión y ajuste de los POT (IM 24)</v>
          </cell>
          <cell r="C67" t="str">
            <v>%</v>
          </cell>
          <cell r="D67">
            <v>100</v>
          </cell>
          <cell r="L67">
            <v>100</v>
          </cell>
          <cell r="M67">
            <v>129825150</v>
          </cell>
          <cell r="N67">
            <v>62</v>
          </cell>
          <cell r="O67">
            <v>117460470</v>
          </cell>
        </row>
        <row r="68">
          <cell r="A68" t="str">
            <v>Apoyo a la Gestión, Operación, Administración y Promoción del Proyecto</v>
          </cell>
          <cell r="C68" t="str">
            <v>Global</v>
          </cell>
          <cell r="L68">
            <v>1</v>
          </cell>
          <cell r="M68">
            <v>100276606</v>
          </cell>
          <cell r="N68">
            <v>0.5</v>
          </cell>
          <cell r="O68">
            <v>51166072</v>
          </cell>
        </row>
        <row r="69">
          <cell r="A69" t="str">
            <v>Proyecto 320502 - Gestión en conocimiento y reducción del riesgo de desastres</v>
          </cell>
        </row>
        <row r="70">
          <cell r="A70" t="str">
            <v>CONOCIMIENTO DEL RIESGO DE DESASTRES GESTIONADO</v>
          </cell>
          <cell r="C70" t="str">
            <v>%</v>
          </cell>
          <cell r="D70">
            <v>100</v>
          </cell>
          <cell r="L70">
            <v>100</v>
          </cell>
          <cell r="M70">
            <v>1466871997.6545</v>
          </cell>
          <cell r="N70">
            <v>42</v>
          </cell>
        </row>
        <row r="71">
          <cell r="A71" t="str">
            <v>REDUCCIÓN DEL RIESGO DE DESASTRES GESTIONADO</v>
          </cell>
          <cell r="C71" t="str">
            <v>%</v>
          </cell>
          <cell r="D71">
            <v>100</v>
          </cell>
          <cell r="L71">
            <v>100</v>
          </cell>
          <cell r="M71">
            <v>346949901.5</v>
          </cell>
          <cell r="N71">
            <v>0</v>
          </cell>
        </row>
        <row r="72">
          <cell r="A72" t="str">
            <v>Proyecto 320503 - Gestión ambiental con comunidades ètnicas</v>
          </cell>
        </row>
        <row r="73">
          <cell r="A73" t="str">
            <v>Comunidades Indígenas apoyadas en temas de competencia de la Corporación</v>
          </cell>
          <cell r="C73" t="str">
            <v xml:space="preserve">Und </v>
          </cell>
          <cell r="D73">
            <v>5</v>
          </cell>
          <cell r="L73">
            <v>5</v>
          </cell>
          <cell r="M73">
            <v>275180000</v>
          </cell>
          <cell r="N73">
            <v>1</v>
          </cell>
          <cell r="O73">
            <v>0</v>
          </cell>
        </row>
        <row r="74">
          <cell r="A74" t="str">
            <v>Apoyo a la Gestión, Operación, Administración y Promoción del Proyecto</v>
          </cell>
          <cell r="B74" t="str">
            <v>Global</v>
          </cell>
          <cell r="L74">
            <v>1</v>
          </cell>
          <cell r="M74">
            <v>54820000</v>
          </cell>
          <cell r="N74">
            <v>0.5</v>
          </cell>
          <cell r="O74">
            <v>8340337</v>
          </cell>
        </row>
        <row r="75">
          <cell r="A75" t="str">
            <v>Proyecto 320504- Gestión del conocimiento y reducción del riesgo de desastres-pasivo exigible vigencias expiradas</v>
          </cell>
        </row>
        <row r="76">
          <cell r="A76" t="str">
            <v>REDUCCIÓN DEL RIESGO DE DESASTRES - Pasivos exigibles vigencias expiradas</v>
          </cell>
          <cell r="B76" t="str">
            <v>Proyecto</v>
          </cell>
          <cell r="D76">
            <v>0.5</v>
          </cell>
          <cell r="E76">
            <v>3926666100</v>
          </cell>
          <cell r="F76">
            <v>0</v>
          </cell>
          <cell r="L76">
            <v>1</v>
          </cell>
          <cell r="M76">
            <v>3926666100</v>
          </cell>
          <cell r="N76">
            <v>0</v>
          </cell>
          <cell r="O76">
            <v>0</v>
          </cell>
        </row>
        <row r="77">
          <cell r="A77" t="str">
            <v>PROGRAMA 3206 -GESTIÓN DEL CAMBIO CLIMÁTICO PARA UN DESARROLLO BAJO EN CARBONO Y RESILIENTE AL CLIMA</v>
          </cell>
        </row>
        <row r="78">
          <cell r="A78" t="str">
            <v xml:space="preserve">Proyecto 320601 - Gestión del cambio climático </v>
          </cell>
        </row>
        <row r="79">
          <cell r="A79" t="str">
            <v>Porcentaje de entes territoriales asesorados en la incorporación, planificación y ejecución de acciones relacionadas con cambio climático en el marco de los instrumentos de planificación territorial (IM 7)</v>
          </cell>
          <cell r="C79" t="str">
            <v>%</v>
          </cell>
          <cell r="D79">
            <v>100</v>
          </cell>
          <cell r="L79">
            <v>100</v>
          </cell>
          <cell r="M79">
            <v>52710000</v>
          </cell>
          <cell r="N79">
            <v>62</v>
          </cell>
          <cell r="O79">
            <v>47690000</v>
          </cell>
        </row>
        <row r="80">
          <cell r="A80" t="str">
            <v>Identificación, promoción y aplicación de energías alternativas y/o utilización de sistemas ecoeficientes de combustión en sectores productivos y/o para uso doméstico</v>
          </cell>
          <cell r="C80" t="str">
            <v>%</v>
          </cell>
          <cell r="L80">
            <v>50</v>
          </cell>
          <cell r="M80">
            <v>375640685</v>
          </cell>
          <cell r="N80">
            <v>0</v>
          </cell>
          <cell r="O80">
            <v>0</v>
          </cell>
        </row>
        <row r="81">
          <cell r="A81" t="str">
            <v>PROGRAMA  3208 - EDUCACIÓN AMBIENTAL</v>
          </cell>
        </row>
        <row r="83">
          <cell r="A83" t="str">
            <v>Ejecución de acciones en Educación Ambiental (IM 27)</v>
          </cell>
          <cell r="C83" t="str">
            <v>%</v>
          </cell>
          <cell r="D83">
            <v>100</v>
          </cell>
          <cell r="L83">
            <v>100</v>
          </cell>
          <cell r="M83">
            <v>955039773.19999993</v>
          </cell>
          <cell r="N83">
            <v>50</v>
          </cell>
          <cell r="O83">
            <v>288972133</v>
          </cell>
        </row>
        <row r="84">
          <cell r="A84" t="str">
            <v>Apoyo a la Gestión, Operación, Administración y Promoción del Proyecto</v>
          </cell>
          <cell r="C84" t="str">
            <v>Global</v>
          </cell>
          <cell r="L84">
            <v>1</v>
          </cell>
          <cell r="M84">
            <v>139098529.98800001</v>
          </cell>
          <cell r="N84">
            <v>0.5</v>
          </cell>
          <cell r="O84">
            <v>68090627</v>
          </cell>
        </row>
        <row r="85">
          <cell r="A85" t="str">
            <v>PROGRAMA  3299 -FORTALECIMIENTO DE LA GESTIÓN Y DIRECCIÓN DEL SECTOR AMBIENTE Y DESARROLLO SOSTENIBLE</v>
          </cell>
        </row>
        <row r="86">
          <cell r="A86" t="str">
            <v>Proyecto 329901 -Fortalecimiento institucional para la gestiòn ambiental</v>
          </cell>
        </row>
        <row r="87">
          <cell r="A87" t="str">
            <v>Porcentaje de Consolidación y fortalecimiento del Modelo Integrado de Planeación y Gestión - MIPG</v>
          </cell>
          <cell r="C87" t="str">
            <v>%</v>
          </cell>
          <cell r="F87">
            <v>25</v>
          </cell>
          <cell r="L87">
            <v>50</v>
          </cell>
          <cell r="M87">
            <v>241961188.40000001</v>
          </cell>
          <cell r="N87">
            <v>25</v>
          </cell>
          <cell r="O87">
            <v>225531792.63999999</v>
          </cell>
        </row>
        <row r="88">
          <cell r="A88" t="str">
            <v>Porcentaje de la Política de servicio al ciudadano implementada</v>
          </cell>
          <cell r="C88" t="str">
            <v>%</v>
          </cell>
          <cell r="L88">
            <v>40</v>
          </cell>
          <cell r="M88">
            <v>16414737.359999998</v>
          </cell>
          <cell r="N88">
            <v>15</v>
          </cell>
          <cell r="O88">
            <v>16414737.359999999</v>
          </cell>
        </row>
        <row r="89">
          <cell r="A89" t="str">
            <v>Porcentaje de actualización e implementación del Plan Estratégico Tecnológico de la CAM para el período 2020-2023</v>
          </cell>
          <cell r="C89" t="str">
            <v>%</v>
          </cell>
          <cell r="L89">
            <v>50</v>
          </cell>
          <cell r="M89">
            <v>625807075</v>
          </cell>
          <cell r="N89">
            <v>48</v>
          </cell>
          <cell r="O89">
            <v>391641585</v>
          </cell>
        </row>
        <row r="90">
          <cell r="A90" t="str">
            <v xml:space="preserve">Porcentaje de actualización e Implementacion del programa de gestión documental  </v>
          </cell>
          <cell r="C90" t="str">
            <v>%</v>
          </cell>
          <cell r="L90">
            <v>60</v>
          </cell>
          <cell r="M90">
            <v>91838651</v>
          </cell>
          <cell r="N90">
            <v>10</v>
          </cell>
          <cell r="O90">
            <v>22700440</v>
          </cell>
        </row>
        <row r="91">
          <cell r="A91" t="str">
            <v>Porcentaje de sedes diseñadas y/o construidas y/o adecuadas, como ejemplo de sostenibilidad ambiental y armonía con el ambiente</v>
          </cell>
          <cell r="C91" t="str">
            <v>Global</v>
          </cell>
          <cell r="D91">
            <v>1</v>
          </cell>
          <cell r="L91">
            <v>1</v>
          </cell>
          <cell r="M91">
            <v>1421242951</v>
          </cell>
          <cell r="N91">
            <v>0.15</v>
          </cell>
          <cell r="O91">
            <v>0</v>
          </cell>
        </row>
        <row r="92">
          <cell r="A92" t="str">
            <v>Apoyo a la Gestión, Operación, Administración y Promoción del Proyecto</v>
          </cell>
          <cell r="C92" t="str">
            <v>Global</v>
          </cell>
          <cell r="L92">
            <v>1</v>
          </cell>
          <cell r="M92">
            <v>252206594</v>
          </cell>
          <cell r="N92">
            <v>0.5</v>
          </cell>
          <cell r="O92">
            <v>42995134</v>
          </cell>
        </row>
      </sheetData>
      <sheetData sheetId="11" refreshError="1"/>
      <sheetData sheetId="12" refreshError="1"/>
      <sheetData sheetId="13" refreshError="1"/>
      <sheetData sheetId="14" refreshError="1"/>
      <sheetData sheetId="15" refreshError="1"/>
      <sheetData sheetId="16" refreshError="1">
        <row r="13">
          <cell r="G13">
            <v>40160000</v>
          </cell>
        </row>
        <row r="21">
          <cell r="G21">
            <v>29302362</v>
          </cell>
        </row>
      </sheetData>
      <sheetData sheetId="17" refreshError="1">
        <row r="11">
          <cell r="G11">
            <v>112055998</v>
          </cell>
        </row>
        <row r="19">
          <cell r="G19">
            <v>47784271</v>
          </cell>
        </row>
      </sheetData>
      <sheetData sheetId="18" refreshError="1">
        <row r="10">
          <cell r="G10">
            <v>28842081</v>
          </cell>
        </row>
        <row r="17">
          <cell r="G17">
            <v>63352400</v>
          </cell>
        </row>
        <row r="56">
          <cell r="G56">
            <v>477397588</v>
          </cell>
        </row>
        <row r="59">
          <cell r="G59">
            <v>0</v>
          </cell>
        </row>
        <row r="97">
          <cell r="G97">
            <v>300176478</v>
          </cell>
        </row>
        <row r="124">
          <cell r="G124">
            <v>468480578</v>
          </cell>
        </row>
        <row r="128">
          <cell r="G128">
            <v>0</v>
          </cell>
        </row>
        <row r="131">
          <cell r="G131">
            <v>0</v>
          </cell>
        </row>
        <row r="135">
          <cell r="G135">
            <v>0</v>
          </cell>
        </row>
        <row r="141">
          <cell r="G141">
            <v>24849000</v>
          </cell>
        </row>
        <row r="146">
          <cell r="G146">
            <v>26588086</v>
          </cell>
        </row>
        <row r="153">
          <cell r="G153">
            <v>764911651</v>
          </cell>
        </row>
      </sheetData>
      <sheetData sheetId="19" refreshError="1">
        <row r="10">
          <cell r="G10">
            <v>29637610</v>
          </cell>
        </row>
        <row r="18">
          <cell r="G18">
            <v>0</v>
          </cell>
        </row>
        <row r="25">
          <cell r="G25">
            <v>0</v>
          </cell>
        </row>
        <row r="33">
          <cell r="G33">
            <v>0</v>
          </cell>
        </row>
        <row r="39">
          <cell r="G39">
            <v>0</v>
          </cell>
        </row>
        <row r="46">
          <cell r="G46">
            <v>0</v>
          </cell>
        </row>
        <row r="64">
          <cell r="G64">
            <v>670456440</v>
          </cell>
        </row>
        <row r="70">
          <cell r="G70">
            <v>54682153</v>
          </cell>
        </row>
        <row r="75">
          <cell r="G75">
            <v>65410133</v>
          </cell>
        </row>
        <row r="82">
          <cell r="G82">
            <v>43193053</v>
          </cell>
        </row>
      </sheetData>
      <sheetData sheetId="20" refreshError="1">
        <row r="48">
          <cell r="G48">
            <v>514576558</v>
          </cell>
        </row>
        <row r="51">
          <cell r="G51">
            <v>33132000</v>
          </cell>
        </row>
        <row r="63">
          <cell r="G63">
            <v>203473648</v>
          </cell>
        </row>
      </sheetData>
      <sheetData sheetId="21" refreshError="1">
        <row r="13">
          <cell r="G13">
            <v>0</v>
          </cell>
        </row>
        <row r="21">
          <cell r="G21">
            <v>0</v>
          </cell>
        </row>
        <row r="28">
          <cell r="G28">
            <v>0</v>
          </cell>
        </row>
        <row r="37">
          <cell r="G37">
            <v>0</v>
          </cell>
        </row>
        <row r="45">
          <cell r="G45">
            <v>0</v>
          </cell>
        </row>
      </sheetData>
      <sheetData sheetId="22" refreshError="1">
        <row r="12">
          <cell r="G12">
            <v>1252080105</v>
          </cell>
        </row>
        <row r="35">
          <cell r="G35">
            <v>3887646617</v>
          </cell>
        </row>
        <row r="42">
          <cell r="G42">
            <v>2062787847</v>
          </cell>
        </row>
      </sheetData>
      <sheetData sheetId="23" refreshError="1">
        <row r="12">
          <cell r="G12">
            <v>6626400</v>
          </cell>
        </row>
        <row r="21">
          <cell r="G21">
            <v>6626400</v>
          </cell>
        </row>
        <row r="24">
          <cell r="G24">
            <v>0</v>
          </cell>
        </row>
        <row r="29">
          <cell r="G29">
            <v>0</v>
          </cell>
        </row>
        <row r="71">
          <cell r="G71">
            <v>1168314229</v>
          </cell>
        </row>
        <row r="75">
          <cell r="G75">
            <v>0</v>
          </cell>
        </row>
        <row r="80">
          <cell r="G80">
            <v>29679991</v>
          </cell>
        </row>
      </sheetData>
      <sheetData sheetId="24" refreshError="1">
        <row r="11">
          <cell r="G11">
            <v>119480016</v>
          </cell>
        </row>
        <row r="15">
          <cell r="G15">
            <v>48945000</v>
          </cell>
        </row>
      </sheetData>
      <sheetData sheetId="25" refreshError="1">
        <row r="11">
          <cell r="G11">
            <v>117460470</v>
          </cell>
        </row>
        <row r="19">
          <cell r="G19">
            <v>51166072</v>
          </cell>
        </row>
      </sheetData>
      <sheetData sheetId="26" refreshError="1">
        <row r="16">
          <cell r="G16">
            <v>108984000</v>
          </cell>
        </row>
        <row r="24">
          <cell r="G24">
            <v>0</v>
          </cell>
        </row>
      </sheetData>
      <sheetData sheetId="27" refreshError="1">
        <row r="14">
          <cell r="G14">
            <v>0</v>
          </cell>
        </row>
        <row r="16">
          <cell r="G16">
            <v>8340337</v>
          </cell>
        </row>
      </sheetData>
      <sheetData sheetId="28" refreshError="1"/>
      <sheetData sheetId="29" refreshError="1">
        <row r="14">
          <cell r="G14">
            <v>47690000</v>
          </cell>
        </row>
        <row r="23">
          <cell r="G23">
            <v>0</v>
          </cell>
        </row>
      </sheetData>
      <sheetData sheetId="30" refreshError="1">
        <row r="17">
          <cell r="G17">
            <v>288972133</v>
          </cell>
        </row>
        <row r="25">
          <cell r="G25">
            <v>68090627</v>
          </cell>
        </row>
      </sheetData>
      <sheetData sheetId="31" refreshError="1">
        <row r="14">
          <cell r="G14">
            <v>225531792.63999999</v>
          </cell>
        </row>
        <row r="22">
          <cell r="G22">
            <v>16414737.359999999</v>
          </cell>
        </row>
        <row r="37">
          <cell r="G37">
            <v>391641585</v>
          </cell>
        </row>
        <row r="42">
          <cell r="G42">
            <v>22700440</v>
          </cell>
        </row>
        <row r="50">
          <cell r="G50">
            <v>0</v>
          </cell>
        </row>
        <row r="58">
          <cell r="G58">
            <v>42995134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3Feb"/>
      <sheetName val="POAI-9FEB"/>
      <sheetName val="POAI 13 MAR"/>
      <sheetName val="GRAFICOS"/>
      <sheetName val="CONS. SALDOS"/>
      <sheetName val="320101"/>
      <sheetName val="320102"/>
      <sheetName val="320103"/>
      <sheetName val="320201"/>
      <sheetName val="320202"/>
      <sheetName val="320203"/>
      <sheetName val="320301"/>
      <sheetName val="320302"/>
      <sheetName val="320401"/>
      <sheetName val="SALDOS VITE"/>
      <sheetName val="320501"/>
      <sheetName val="320502"/>
      <sheetName val="320503"/>
      <sheetName val="320601"/>
      <sheetName val="320801"/>
      <sheetName val="339901"/>
      <sheetName val="CONTRATACION"/>
      <sheetName val=" SALDOS IB"/>
      <sheetName val="SALDOS INDI"/>
      <sheetName val="Ppto inicial 2021"/>
      <sheetName val="Necesidades 4.2"/>
      <sheetName val="OUTSOURC 21"/>
      <sheetName val="Necesidades con Exc financ"/>
      <sheetName val="ppto 4.2 ult propues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6">
          <cell r="T6">
            <v>634825886.68400002</v>
          </cell>
        </row>
        <row r="10">
          <cell r="T10">
            <v>56324400</v>
          </cell>
        </row>
        <row r="13">
          <cell r="T13">
            <v>297552396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GENERAL CONSOLIDADA"/>
      <sheetName val="Anexo 1 Matriz SINA Inf Gestió"/>
      <sheetName val="Anexo 1 Matriz SINA Inf Gestión"/>
      <sheetName val="Anexo 2 Matriz Inf. Ejecución"/>
      <sheetName val="INGRESO 5,1"/>
      <sheetName val="GASTOS 5,2"/>
      <sheetName val="CUATRIENIO"/>
      <sheetName val="INGRESOS "/>
      <sheetName val="GASTOS "/>
      <sheetName val="ANEXO 5.1 ING"/>
      <sheetName val="Anexo 3 Matriz Ind Min Jun"/>
      <sheetName val="Anexo 5-2 Gastos"/>
      <sheetName val="Anexo 2 Protocolo Inf Gestión"/>
      <sheetName val="Anexo 4 ProtocoloMatrizINdica"/>
      <sheetName val="Hoja1"/>
      <sheetName val="Hoja2"/>
    </sheetNames>
    <sheetDataSet>
      <sheetData sheetId="0"/>
      <sheetData sheetId="1"/>
      <sheetData sheetId="2">
        <row r="8">
          <cell r="S8">
            <v>126893901.28258124</v>
          </cell>
        </row>
        <row r="9">
          <cell r="S9">
            <v>104999999.692</v>
          </cell>
        </row>
        <row r="10">
          <cell r="S10">
            <v>317931145</v>
          </cell>
        </row>
        <row r="11">
          <cell r="S11">
            <v>472972539.42073202</v>
          </cell>
        </row>
        <row r="12">
          <cell r="S12">
            <v>111339697</v>
          </cell>
        </row>
        <row r="13">
          <cell r="S13">
            <v>4898516</v>
          </cell>
        </row>
        <row r="14">
          <cell r="S14">
            <v>2068633086.1290143</v>
          </cell>
        </row>
        <row r="15">
          <cell r="S15">
            <v>487290853.73793</v>
          </cell>
        </row>
        <row r="16">
          <cell r="S16">
            <v>137450517.629742</v>
          </cell>
        </row>
        <row r="17">
          <cell r="S17">
            <v>47527303</v>
          </cell>
        </row>
        <row r="19">
          <cell r="S19">
            <v>667144545</v>
          </cell>
        </row>
        <row r="20">
          <cell r="S20">
            <v>4620177440</v>
          </cell>
        </row>
        <row r="21">
          <cell r="S21">
            <v>121973987</v>
          </cell>
        </row>
        <row r="22">
          <cell r="S22">
            <v>39246082.82</v>
          </cell>
        </row>
        <row r="23">
          <cell r="S23">
            <v>304251579.764</v>
          </cell>
        </row>
        <row r="24">
          <cell r="S24">
            <v>673631836.14400005</v>
          </cell>
        </row>
        <row r="25">
          <cell r="S25">
            <v>334870711.10799998</v>
          </cell>
        </row>
        <row r="26">
          <cell r="S26">
            <v>337598402</v>
          </cell>
        </row>
        <row r="27">
          <cell r="S27">
            <v>3576963272</v>
          </cell>
        </row>
        <row r="30">
          <cell r="S30">
            <v>68791410</v>
          </cell>
        </row>
        <row r="31">
          <cell r="S31">
            <v>97168778</v>
          </cell>
        </row>
        <row r="32">
          <cell r="S32">
            <v>19398096</v>
          </cell>
        </row>
        <row r="34">
          <cell r="S34">
            <v>110558449</v>
          </cell>
        </row>
        <row r="35">
          <cell r="S35">
            <v>19398096</v>
          </cell>
        </row>
        <row r="38">
          <cell r="S38">
            <v>119274262</v>
          </cell>
        </row>
        <row r="39">
          <cell r="S39">
            <v>46096986</v>
          </cell>
        </row>
        <row r="40">
          <cell r="S40">
            <v>595564775</v>
          </cell>
        </row>
        <row r="41">
          <cell r="S41">
            <v>16974037</v>
          </cell>
        </row>
        <row r="43">
          <cell r="S43">
            <v>1481063506</v>
          </cell>
        </row>
        <row r="44">
          <cell r="S44">
            <v>105824893</v>
          </cell>
        </row>
        <row r="46">
          <cell r="S46">
            <v>192567200</v>
          </cell>
        </row>
        <row r="49">
          <cell r="S49">
            <v>26400000</v>
          </cell>
        </row>
        <row r="50">
          <cell r="S50">
            <v>26400000</v>
          </cell>
        </row>
        <row r="52">
          <cell r="S52">
            <v>68251776.400000006</v>
          </cell>
        </row>
        <row r="53">
          <cell r="S53">
            <v>346684687.348333</v>
          </cell>
        </row>
        <row r="55">
          <cell r="S55">
            <v>65421798.491999999</v>
          </cell>
        </row>
        <row r="56">
          <cell r="S56">
            <v>215693379.252</v>
          </cell>
        </row>
        <row r="57">
          <cell r="S57">
            <v>848753850.05599999</v>
          </cell>
        </row>
        <row r="58">
          <cell r="S58">
            <v>24999600</v>
          </cell>
        </row>
        <row r="59">
          <cell r="S59">
            <v>273559556</v>
          </cell>
        </row>
        <row r="60">
          <cell r="S60">
            <v>20538686.436000001</v>
          </cell>
        </row>
        <row r="61">
          <cell r="S61">
            <v>16522686.436000001</v>
          </cell>
        </row>
        <row r="63">
          <cell r="S63">
            <v>65782562.833000004</v>
          </cell>
        </row>
        <row r="64">
          <cell r="S64">
            <v>10040000</v>
          </cell>
        </row>
        <row r="65">
          <cell r="S65">
            <v>190871119</v>
          </cell>
        </row>
        <row r="66">
          <cell r="S66">
            <v>36477830</v>
          </cell>
        </row>
        <row r="67">
          <cell r="S67">
            <v>199288633</v>
          </cell>
        </row>
        <row r="68">
          <cell r="S68">
            <v>321379451</v>
          </cell>
        </row>
        <row r="69">
          <cell r="S69">
            <v>1524635511.8080001</v>
          </cell>
        </row>
        <row r="71">
          <cell r="S71">
            <v>21217546</v>
          </cell>
        </row>
        <row r="73">
          <cell r="S73">
            <v>259985476.66799998</v>
          </cell>
        </row>
        <row r="74">
          <cell r="S74">
            <v>4689925</v>
          </cell>
        </row>
        <row r="75">
          <cell r="S75">
            <v>504393926</v>
          </cell>
        </row>
        <row r="76">
          <cell r="S76">
            <v>30820621</v>
          </cell>
        </row>
        <row r="77">
          <cell r="S77">
            <v>11561041</v>
          </cell>
        </row>
        <row r="78">
          <cell r="S78">
            <v>2556290</v>
          </cell>
        </row>
        <row r="80">
          <cell r="S80">
            <v>697407081</v>
          </cell>
        </row>
        <row r="81">
          <cell r="S81">
            <v>25562900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88"/>
  <sheetViews>
    <sheetView topLeftCell="H4" workbookViewId="0">
      <selection activeCell="I8" sqref="I8"/>
    </sheetView>
  </sheetViews>
  <sheetFormatPr baseColWidth="10" defaultRowHeight="15" x14ac:dyDescent="0.25"/>
  <cols>
    <col min="1" max="1" width="67" style="17" customWidth="1"/>
    <col min="2" max="2" width="13.85546875" style="17" customWidth="1"/>
    <col min="3" max="3" width="22.28515625" style="17" customWidth="1"/>
    <col min="4" max="4" width="17.42578125" style="17" customWidth="1"/>
    <col min="5" max="5" width="28" style="253" customWidth="1"/>
    <col min="6" max="6" width="30.5703125" style="29" customWidth="1"/>
    <col min="7" max="7" width="25.28515625" style="254" customWidth="1"/>
    <col min="8" max="8" width="22.85546875" style="17" customWidth="1"/>
    <col min="9" max="9" width="28" style="145" customWidth="1"/>
    <col min="10" max="10" width="20.28515625" style="252" customWidth="1"/>
    <col min="11" max="11" width="40.28515625" style="29" customWidth="1"/>
    <col min="12" max="12" width="24.42578125" style="17" customWidth="1"/>
    <col min="13" max="13" width="38.7109375" style="29" customWidth="1"/>
    <col min="14" max="14" width="18.5703125" style="29" customWidth="1"/>
    <col min="15" max="15" width="25.42578125" style="29" customWidth="1"/>
    <col min="16" max="16" width="18.85546875" style="17" customWidth="1"/>
    <col min="17" max="17" width="32.7109375" style="187" customWidth="1"/>
    <col min="18" max="18" width="20" style="246" customWidth="1"/>
    <col min="19" max="19" width="29.140625" style="247" customWidth="1"/>
    <col min="20" max="20" width="13.5703125" style="17" customWidth="1"/>
    <col min="21" max="21" width="35.7109375" style="187" customWidth="1"/>
    <col min="22" max="22" width="16.42578125" style="248" customWidth="1"/>
    <col min="23" max="23" width="30.42578125" style="247" customWidth="1"/>
    <col min="24" max="24" width="17.5703125" style="16" bestFit="1" customWidth="1"/>
    <col min="25" max="25" width="31.28515625" style="16" customWidth="1"/>
    <col min="26" max="26" width="20.42578125" style="16" customWidth="1"/>
    <col min="27" max="27" width="14.85546875" style="16" bestFit="1" customWidth="1"/>
    <col min="28" max="29" width="11.42578125" style="16"/>
    <col min="30" max="30" width="16.42578125" style="16" customWidth="1"/>
    <col min="31" max="256" width="11.42578125" style="17"/>
    <col min="257" max="257" width="67" style="17" customWidth="1"/>
    <col min="258" max="258" width="13.85546875" style="17" customWidth="1"/>
    <col min="259" max="259" width="22.28515625" style="17" customWidth="1"/>
    <col min="260" max="260" width="17.42578125" style="17" customWidth="1"/>
    <col min="261" max="261" width="28" style="17" customWidth="1"/>
    <col min="262" max="262" width="30.5703125" style="17" customWidth="1"/>
    <col min="263" max="263" width="25.28515625" style="17" customWidth="1"/>
    <col min="264" max="264" width="22.85546875" style="17" customWidth="1"/>
    <col min="265" max="265" width="28" style="17" customWidth="1"/>
    <col min="266" max="266" width="20.28515625" style="17" customWidth="1"/>
    <col min="267" max="267" width="40.28515625" style="17" customWidth="1"/>
    <col min="268" max="268" width="24.42578125" style="17" customWidth="1"/>
    <col min="269" max="269" width="38.7109375" style="17" customWidth="1"/>
    <col min="270" max="270" width="18.5703125" style="17" customWidth="1"/>
    <col min="271" max="271" width="25.42578125" style="17" customWidth="1"/>
    <col min="272" max="272" width="18.85546875" style="17" customWidth="1"/>
    <col min="273" max="273" width="32.7109375" style="17" customWidth="1"/>
    <col min="274" max="274" width="20" style="17" customWidth="1"/>
    <col min="275" max="275" width="29.140625" style="17" customWidth="1"/>
    <col min="276" max="276" width="13.5703125" style="17" customWidth="1"/>
    <col min="277" max="277" width="35.7109375" style="17" customWidth="1"/>
    <col min="278" max="278" width="16.42578125" style="17" customWidth="1"/>
    <col min="279" max="279" width="30.42578125" style="17" customWidth="1"/>
    <col min="280" max="280" width="17.5703125" style="17" bestFit="1" customWidth="1"/>
    <col min="281" max="281" width="31.28515625" style="17" customWidth="1"/>
    <col min="282" max="282" width="20.42578125" style="17" customWidth="1"/>
    <col min="283" max="283" width="14.85546875" style="17" bestFit="1" customWidth="1"/>
    <col min="284" max="285" width="11.42578125" style="17"/>
    <col min="286" max="286" width="16.42578125" style="17" customWidth="1"/>
    <col min="287" max="512" width="11.42578125" style="17"/>
    <col min="513" max="513" width="67" style="17" customWidth="1"/>
    <col min="514" max="514" width="13.85546875" style="17" customWidth="1"/>
    <col min="515" max="515" width="22.28515625" style="17" customWidth="1"/>
    <col min="516" max="516" width="17.42578125" style="17" customWidth="1"/>
    <col min="517" max="517" width="28" style="17" customWidth="1"/>
    <col min="518" max="518" width="30.5703125" style="17" customWidth="1"/>
    <col min="519" max="519" width="25.28515625" style="17" customWidth="1"/>
    <col min="520" max="520" width="22.85546875" style="17" customWidth="1"/>
    <col min="521" max="521" width="28" style="17" customWidth="1"/>
    <col min="522" max="522" width="20.28515625" style="17" customWidth="1"/>
    <col min="523" max="523" width="40.28515625" style="17" customWidth="1"/>
    <col min="524" max="524" width="24.42578125" style="17" customWidth="1"/>
    <col min="525" max="525" width="38.7109375" style="17" customWidth="1"/>
    <col min="526" max="526" width="18.5703125" style="17" customWidth="1"/>
    <col min="527" max="527" width="25.42578125" style="17" customWidth="1"/>
    <col min="528" max="528" width="18.85546875" style="17" customWidth="1"/>
    <col min="529" max="529" width="32.7109375" style="17" customWidth="1"/>
    <col min="530" max="530" width="20" style="17" customWidth="1"/>
    <col min="531" max="531" width="29.140625" style="17" customWidth="1"/>
    <col min="532" max="532" width="13.5703125" style="17" customWidth="1"/>
    <col min="533" max="533" width="35.7109375" style="17" customWidth="1"/>
    <col min="534" max="534" width="16.42578125" style="17" customWidth="1"/>
    <col min="535" max="535" width="30.42578125" style="17" customWidth="1"/>
    <col min="536" max="536" width="17.5703125" style="17" bestFit="1" customWidth="1"/>
    <col min="537" max="537" width="31.28515625" style="17" customWidth="1"/>
    <col min="538" max="538" width="20.42578125" style="17" customWidth="1"/>
    <col min="539" max="539" width="14.85546875" style="17" bestFit="1" customWidth="1"/>
    <col min="540" max="541" width="11.42578125" style="17"/>
    <col min="542" max="542" width="16.42578125" style="17" customWidth="1"/>
    <col min="543" max="768" width="11.42578125" style="17"/>
    <col min="769" max="769" width="67" style="17" customWidth="1"/>
    <col min="770" max="770" width="13.85546875" style="17" customWidth="1"/>
    <col min="771" max="771" width="22.28515625" style="17" customWidth="1"/>
    <col min="772" max="772" width="17.42578125" style="17" customWidth="1"/>
    <col min="773" max="773" width="28" style="17" customWidth="1"/>
    <col min="774" max="774" width="30.5703125" style="17" customWidth="1"/>
    <col min="775" max="775" width="25.28515625" style="17" customWidth="1"/>
    <col min="776" max="776" width="22.85546875" style="17" customWidth="1"/>
    <col min="777" max="777" width="28" style="17" customWidth="1"/>
    <col min="778" max="778" width="20.28515625" style="17" customWidth="1"/>
    <col min="779" max="779" width="40.28515625" style="17" customWidth="1"/>
    <col min="780" max="780" width="24.42578125" style="17" customWidth="1"/>
    <col min="781" max="781" width="38.7109375" style="17" customWidth="1"/>
    <col min="782" max="782" width="18.5703125" style="17" customWidth="1"/>
    <col min="783" max="783" width="25.42578125" style="17" customWidth="1"/>
    <col min="784" max="784" width="18.85546875" style="17" customWidth="1"/>
    <col min="785" max="785" width="32.7109375" style="17" customWidth="1"/>
    <col min="786" max="786" width="20" style="17" customWidth="1"/>
    <col min="787" max="787" width="29.140625" style="17" customWidth="1"/>
    <col min="788" max="788" width="13.5703125" style="17" customWidth="1"/>
    <col min="789" max="789" width="35.7109375" style="17" customWidth="1"/>
    <col min="790" max="790" width="16.42578125" style="17" customWidth="1"/>
    <col min="791" max="791" width="30.42578125" style="17" customWidth="1"/>
    <col min="792" max="792" width="17.5703125" style="17" bestFit="1" customWidth="1"/>
    <col min="793" max="793" width="31.28515625" style="17" customWidth="1"/>
    <col min="794" max="794" width="20.42578125" style="17" customWidth="1"/>
    <col min="795" max="795" width="14.85546875" style="17" bestFit="1" customWidth="1"/>
    <col min="796" max="797" width="11.42578125" style="17"/>
    <col min="798" max="798" width="16.42578125" style="17" customWidth="1"/>
    <col min="799" max="1024" width="11.42578125" style="17"/>
    <col min="1025" max="1025" width="67" style="17" customWidth="1"/>
    <col min="1026" max="1026" width="13.85546875" style="17" customWidth="1"/>
    <col min="1027" max="1027" width="22.28515625" style="17" customWidth="1"/>
    <col min="1028" max="1028" width="17.42578125" style="17" customWidth="1"/>
    <col min="1029" max="1029" width="28" style="17" customWidth="1"/>
    <col min="1030" max="1030" width="30.5703125" style="17" customWidth="1"/>
    <col min="1031" max="1031" width="25.28515625" style="17" customWidth="1"/>
    <col min="1032" max="1032" width="22.85546875" style="17" customWidth="1"/>
    <col min="1033" max="1033" width="28" style="17" customWidth="1"/>
    <col min="1034" max="1034" width="20.28515625" style="17" customWidth="1"/>
    <col min="1035" max="1035" width="40.28515625" style="17" customWidth="1"/>
    <col min="1036" max="1036" width="24.42578125" style="17" customWidth="1"/>
    <col min="1037" max="1037" width="38.7109375" style="17" customWidth="1"/>
    <col min="1038" max="1038" width="18.5703125" style="17" customWidth="1"/>
    <col min="1039" max="1039" width="25.42578125" style="17" customWidth="1"/>
    <col min="1040" max="1040" width="18.85546875" style="17" customWidth="1"/>
    <col min="1041" max="1041" width="32.7109375" style="17" customWidth="1"/>
    <col min="1042" max="1042" width="20" style="17" customWidth="1"/>
    <col min="1043" max="1043" width="29.140625" style="17" customWidth="1"/>
    <col min="1044" max="1044" width="13.5703125" style="17" customWidth="1"/>
    <col min="1045" max="1045" width="35.7109375" style="17" customWidth="1"/>
    <col min="1046" max="1046" width="16.42578125" style="17" customWidth="1"/>
    <col min="1047" max="1047" width="30.42578125" style="17" customWidth="1"/>
    <col min="1048" max="1048" width="17.5703125" style="17" bestFit="1" customWidth="1"/>
    <col min="1049" max="1049" width="31.28515625" style="17" customWidth="1"/>
    <col min="1050" max="1050" width="20.42578125" style="17" customWidth="1"/>
    <col min="1051" max="1051" width="14.85546875" style="17" bestFit="1" customWidth="1"/>
    <col min="1052" max="1053" width="11.42578125" style="17"/>
    <col min="1054" max="1054" width="16.42578125" style="17" customWidth="1"/>
    <col min="1055" max="1280" width="11.42578125" style="17"/>
    <col min="1281" max="1281" width="67" style="17" customWidth="1"/>
    <col min="1282" max="1282" width="13.85546875" style="17" customWidth="1"/>
    <col min="1283" max="1283" width="22.28515625" style="17" customWidth="1"/>
    <col min="1284" max="1284" width="17.42578125" style="17" customWidth="1"/>
    <col min="1285" max="1285" width="28" style="17" customWidth="1"/>
    <col min="1286" max="1286" width="30.5703125" style="17" customWidth="1"/>
    <col min="1287" max="1287" width="25.28515625" style="17" customWidth="1"/>
    <col min="1288" max="1288" width="22.85546875" style="17" customWidth="1"/>
    <col min="1289" max="1289" width="28" style="17" customWidth="1"/>
    <col min="1290" max="1290" width="20.28515625" style="17" customWidth="1"/>
    <col min="1291" max="1291" width="40.28515625" style="17" customWidth="1"/>
    <col min="1292" max="1292" width="24.42578125" style="17" customWidth="1"/>
    <col min="1293" max="1293" width="38.7109375" style="17" customWidth="1"/>
    <col min="1294" max="1294" width="18.5703125" style="17" customWidth="1"/>
    <col min="1295" max="1295" width="25.42578125" style="17" customWidth="1"/>
    <col min="1296" max="1296" width="18.85546875" style="17" customWidth="1"/>
    <col min="1297" max="1297" width="32.7109375" style="17" customWidth="1"/>
    <col min="1298" max="1298" width="20" style="17" customWidth="1"/>
    <col min="1299" max="1299" width="29.140625" style="17" customWidth="1"/>
    <col min="1300" max="1300" width="13.5703125" style="17" customWidth="1"/>
    <col min="1301" max="1301" width="35.7109375" style="17" customWidth="1"/>
    <col min="1302" max="1302" width="16.42578125" style="17" customWidth="1"/>
    <col min="1303" max="1303" width="30.42578125" style="17" customWidth="1"/>
    <col min="1304" max="1304" width="17.5703125" style="17" bestFit="1" customWidth="1"/>
    <col min="1305" max="1305" width="31.28515625" style="17" customWidth="1"/>
    <col min="1306" max="1306" width="20.42578125" style="17" customWidth="1"/>
    <col min="1307" max="1307" width="14.85546875" style="17" bestFit="1" customWidth="1"/>
    <col min="1308" max="1309" width="11.42578125" style="17"/>
    <col min="1310" max="1310" width="16.42578125" style="17" customWidth="1"/>
    <col min="1311" max="1536" width="11.42578125" style="17"/>
    <col min="1537" max="1537" width="67" style="17" customWidth="1"/>
    <col min="1538" max="1538" width="13.85546875" style="17" customWidth="1"/>
    <col min="1539" max="1539" width="22.28515625" style="17" customWidth="1"/>
    <col min="1540" max="1540" width="17.42578125" style="17" customWidth="1"/>
    <col min="1541" max="1541" width="28" style="17" customWidth="1"/>
    <col min="1542" max="1542" width="30.5703125" style="17" customWidth="1"/>
    <col min="1543" max="1543" width="25.28515625" style="17" customWidth="1"/>
    <col min="1544" max="1544" width="22.85546875" style="17" customWidth="1"/>
    <col min="1545" max="1545" width="28" style="17" customWidth="1"/>
    <col min="1546" max="1546" width="20.28515625" style="17" customWidth="1"/>
    <col min="1547" max="1547" width="40.28515625" style="17" customWidth="1"/>
    <col min="1548" max="1548" width="24.42578125" style="17" customWidth="1"/>
    <col min="1549" max="1549" width="38.7109375" style="17" customWidth="1"/>
    <col min="1550" max="1550" width="18.5703125" style="17" customWidth="1"/>
    <col min="1551" max="1551" width="25.42578125" style="17" customWidth="1"/>
    <col min="1552" max="1552" width="18.85546875" style="17" customWidth="1"/>
    <col min="1553" max="1553" width="32.7109375" style="17" customWidth="1"/>
    <col min="1554" max="1554" width="20" style="17" customWidth="1"/>
    <col min="1555" max="1555" width="29.140625" style="17" customWidth="1"/>
    <col min="1556" max="1556" width="13.5703125" style="17" customWidth="1"/>
    <col min="1557" max="1557" width="35.7109375" style="17" customWidth="1"/>
    <col min="1558" max="1558" width="16.42578125" style="17" customWidth="1"/>
    <col min="1559" max="1559" width="30.42578125" style="17" customWidth="1"/>
    <col min="1560" max="1560" width="17.5703125" style="17" bestFit="1" customWidth="1"/>
    <col min="1561" max="1561" width="31.28515625" style="17" customWidth="1"/>
    <col min="1562" max="1562" width="20.42578125" style="17" customWidth="1"/>
    <col min="1563" max="1563" width="14.85546875" style="17" bestFit="1" customWidth="1"/>
    <col min="1564" max="1565" width="11.42578125" style="17"/>
    <col min="1566" max="1566" width="16.42578125" style="17" customWidth="1"/>
    <col min="1567" max="1792" width="11.42578125" style="17"/>
    <col min="1793" max="1793" width="67" style="17" customWidth="1"/>
    <col min="1794" max="1794" width="13.85546875" style="17" customWidth="1"/>
    <col min="1795" max="1795" width="22.28515625" style="17" customWidth="1"/>
    <col min="1796" max="1796" width="17.42578125" style="17" customWidth="1"/>
    <col min="1797" max="1797" width="28" style="17" customWidth="1"/>
    <col min="1798" max="1798" width="30.5703125" style="17" customWidth="1"/>
    <col min="1799" max="1799" width="25.28515625" style="17" customWidth="1"/>
    <col min="1800" max="1800" width="22.85546875" style="17" customWidth="1"/>
    <col min="1801" max="1801" width="28" style="17" customWidth="1"/>
    <col min="1802" max="1802" width="20.28515625" style="17" customWidth="1"/>
    <col min="1803" max="1803" width="40.28515625" style="17" customWidth="1"/>
    <col min="1804" max="1804" width="24.42578125" style="17" customWidth="1"/>
    <col min="1805" max="1805" width="38.7109375" style="17" customWidth="1"/>
    <col min="1806" max="1806" width="18.5703125" style="17" customWidth="1"/>
    <col min="1807" max="1807" width="25.42578125" style="17" customWidth="1"/>
    <col min="1808" max="1808" width="18.85546875" style="17" customWidth="1"/>
    <col min="1809" max="1809" width="32.7109375" style="17" customWidth="1"/>
    <col min="1810" max="1810" width="20" style="17" customWidth="1"/>
    <col min="1811" max="1811" width="29.140625" style="17" customWidth="1"/>
    <col min="1812" max="1812" width="13.5703125" style="17" customWidth="1"/>
    <col min="1813" max="1813" width="35.7109375" style="17" customWidth="1"/>
    <col min="1814" max="1814" width="16.42578125" style="17" customWidth="1"/>
    <col min="1815" max="1815" width="30.42578125" style="17" customWidth="1"/>
    <col min="1816" max="1816" width="17.5703125" style="17" bestFit="1" customWidth="1"/>
    <col min="1817" max="1817" width="31.28515625" style="17" customWidth="1"/>
    <col min="1818" max="1818" width="20.42578125" style="17" customWidth="1"/>
    <col min="1819" max="1819" width="14.85546875" style="17" bestFit="1" customWidth="1"/>
    <col min="1820" max="1821" width="11.42578125" style="17"/>
    <col min="1822" max="1822" width="16.42578125" style="17" customWidth="1"/>
    <col min="1823" max="2048" width="11.42578125" style="17"/>
    <col min="2049" max="2049" width="67" style="17" customWidth="1"/>
    <col min="2050" max="2050" width="13.85546875" style="17" customWidth="1"/>
    <col min="2051" max="2051" width="22.28515625" style="17" customWidth="1"/>
    <col min="2052" max="2052" width="17.42578125" style="17" customWidth="1"/>
    <col min="2053" max="2053" width="28" style="17" customWidth="1"/>
    <col min="2054" max="2054" width="30.5703125" style="17" customWidth="1"/>
    <col min="2055" max="2055" width="25.28515625" style="17" customWidth="1"/>
    <col min="2056" max="2056" width="22.85546875" style="17" customWidth="1"/>
    <col min="2057" max="2057" width="28" style="17" customWidth="1"/>
    <col min="2058" max="2058" width="20.28515625" style="17" customWidth="1"/>
    <col min="2059" max="2059" width="40.28515625" style="17" customWidth="1"/>
    <col min="2060" max="2060" width="24.42578125" style="17" customWidth="1"/>
    <col min="2061" max="2061" width="38.7109375" style="17" customWidth="1"/>
    <col min="2062" max="2062" width="18.5703125" style="17" customWidth="1"/>
    <col min="2063" max="2063" width="25.42578125" style="17" customWidth="1"/>
    <col min="2064" max="2064" width="18.85546875" style="17" customWidth="1"/>
    <col min="2065" max="2065" width="32.7109375" style="17" customWidth="1"/>
    <col min="2066" max="2066" width="20" style="17" customWidth="1"/>
    <col min="2067" max="2067" width="29.140625" style="17" customWidth="1"/>
    <col min="2068" max="2068" width="13.5703125" style="17" customWidth="1"/>
    <col min="2069" max="2069" width="35.7109375" style="17" customWidth="1"/>
    <col min="2070" max="2070" width="16.42578125" style="17" customWidth="1"/>
    <col min="2071" max="2071" width="30.42578125" style="17" customWidth="1"/>
    <col min="2072" max="2072" width="17.5703125" style="17" bestFit="1" customWidth="1"/>
    <col min="2073" max="2073" width="31.28515625" style="17" customWidth="1"/>
    <col min="2074" max="2074" width="20.42578125" style="17" customWidth="1"/>
    <col min="2075" max="2075" width="14.85546875" style="17" bestFit="1" customWidth="1"/>
    <col min="2076" max="2077" width="11.42578125" style="17"/>
    <col min="2078" max="2078" width="16.42578125" style="17" customWidth="1"/>
    <col min="2079" max="2304" width="11.42578125" style="17"/>
    <col min="2305" max="2305" width="67" style="17" customWidth="1"/>
    <col min="2306" max="2306" width="13.85546875" style="17" customWidth="1"/>
    <col min="2307" max="2307" width="22.28515625" style="17" customWidth="1"/>
    <col min="2308" max="2308" width="17.42578125" style="17" customWidth="1"/>
    <col min="2309" max="2309" width="28" style="17" customWidth="1"/>
    <col min="2310" max="2310" width="30.5703125" style="17" customWidth="1"/>
    <col min="2311" max="2311" width="25.28515625" style="17" customWidth="1"/>
    <col min="2312" max="2312" width="22.85546875" style="17" customWidth="1"/>
    <col min="2313" max="2313" width="28" style="17" customWidth="1"/>
    <col min="2314" max="2314" width="20.28515625" style="17" customWidth="1"/>
    <col min="2315" max="2315" width="40.28515625" style="17" customWidth="1"/>
    <col min="2316" max="2316" width="24.42578125" style="17" customWidth="1"/>
    <col min="2317" max="2317" width="38.7109375" style="17" customWidth="1"/>
    <col min="2318" max="2318" width="18.5703125" style="17" customWidth="1"/>
    <col min="2319" max="2319" width="25.42578125" style="17" customWidth="1"/>
    <col min="2320" max="2320" width="18.85546875" style="17" customWidth="1"/>
    <col min="2321" max="2321" width="32.7109375" style="17" customWidth="1"/>
    <col min="2322" max="2322" width="20" style="17" customWidth="1"/>
    <col min="2323" max="2323" width="29.140625" style="17" customWidth="1"/>
    <col min="2324" max="2324" width="13.5703125" style="17" customWidth="1"/>
    <col min="2325" max="2325" width="35.7109375" style="17" customWidth="1"/>
    <col min="2326" max="2326" width="16.42578125" style="17" customWidth="1"/>
    <col min="2327" max="2327" width="30.42578125" style="17" customWidth="1"/>
    <col min="2328" max="2328" width="17.5703125" style="17" bestFit="1" customWidth="1"/>
    <col min="2329" max="2329" width="31.28515625" style="17" customWidth="1"/>
    <col min="2330" max="2330" width="20.42578125" style="17" customWidth="1"/>
    <col min="2331" max="2331" width="14.85546875" style="17" bestFit="1" customWidth="1"/>
    <col min="2332" max="2333" width="11.42578125" style="17"/>
    <col min="2334" max="2334" width="16.42578125" style="17" customWidth="1"/>
    <col min="2335" max="2560" width="11.42578125" style="17"/>
    <col min="2561" max="2561" width="67" style="17" customWidth="1"/>
    <col min="2562" max="2562" width="13.85546875" style="17" customWidth="1"/>
    <col min="2563" max="2563" width="22.28515625" style="17" customWidth="1"/>
    <col min="2564" max="2564" width="17.42578125" style="17" customWidth="1"/>
    <col min="2565" max="2565" width="28" style="17" customWidth="1"/>
    <col min="2566" max="2566" width="30.5703125" style="17" customWidth="1"/>
    <col min="2567" max="2567" width="25.28515625" style="17" customWidth="1"/>
    <col min="2568" max="2568" width="22.85546875" style="17" customWidth="1"/>
    <col min="2569" max="2569" width="28" style="17" customWidth="1"/>
    <col min="2570" max="2570" width="20.28515625" style="17" customWidth="1"/>
    <col min="2571" max="2571" width="40.28515625" style="17" customWidth="1"/>
    <col min="2572" max="2572" width="24.42578125" style="17" customWidth="1"/>
    <col min="2573" max="2573" width="38.7109375" style="17" customWidth="1"/>
    <col min="2574" max="2574" width="18.5703125" style="17" customWidth="1"/>
    <col min="2575" max="2575" width="25.42578125" style="17" customWidth="1"/>
    <col min="2576" max="2576" width="18.85546875" style="17" customWidth="1"/>
    <col min="2577" max="2577" width="32.7109375" style="17" customWidth="1"/>
    <col min="2578" max="2578" width="20" style="17" customWidth="1"/>
    <col min="2579" max="2579" width="29.140625" style="17" customWidth="1"/>
    <col min="2580" max="2580" width="13.5703125" style="17" customWidth="1"/>
    <col min="2581" max="2581" width="35.7109375" style="17" customWidth="1"/>
    <col min="2582" max="2582" width="16.42578125" style="17" customWidth="1"/>
    <col min="2583" max="2583" width="30.42578125" style="17" customWidth="1"/>
    <col min="2584" max="2584" width="17.5703125" style="17" bestFit="1" customWidth="1"/>
    <col min="2585" max="2585" width="31.28515625" style="17" customWidth="1"/>
    <col min="2586" max="2586" width="20.42578125" style="17" customWidth="1"/>
    <col min="2587" max="2587" width="14.85546875" style="17" bestFit="1" customWidth="1"/>
    <col min="2588" max="2589" width="11.42578125" style="17"/>
    <col min="2590" max="2590" width="16.42578125" style="17" customWidth="1"/>
    <col min="2591" max="2816" width="11.42578125" style="17"/>
    <col min="2817" max="2817" width="67" style="17" customWidth="1"/>
    <col min="2818" max="2818" width="13.85546875" style="17" customWidth="1"/>
    <col min="2819" max="2819" width="22.28515625" style="17" customWidth="1"/>
    <col min="2820" max="2820" width="17.42578125" style="17" customWidth="1"/>
    <col min="2821" max="2821" width="28" style="17" customWidth="1"/>
    <col min="2822" max="2822" width="30.5703125" style="17" customWidth="1"/>
    <col min="2823" max="2823" width="25.28515625" style="17" customWidth="1"/>
    <col min="2824" max="2824" width="22.85546875" style="17" customWidth="1"/>
    <col min="2825" max="2825" width="28" style="17" customWidth="1"/>
    <col min="2826" max="2826" width="20.28515625" style="17" customWidth="1"/>
    <col min="2827" max="2827" width="40.28515625" style="17" customWidth="1"/>
    <col min="2828" max="2828" width="24.42578125" style="17" customWidth="1"/>
    <col min="2829" max="2829" width="38.7109375" style="17" customWidth="1"/>
    <col min="2830" max="2830" width="18.5703125" style="17" customWidth="1"/>
    <col min="2831" max="2831" width="25.42578125" style="17" customWidth="1"/>
    <col min="2832" max="2832" width="18.85546875" style="17" customWidth="1"/>
    <col min="2833" max="2833" width="32.7109375" style="17" customWidth="1"/>
    <col min="2834" max="2834" width="20" style="17" customWidth="1"/>
    <col min="2835" max="2835" width="29.140625" style="17" customWidth="1"/>
    <col min="2836" max="2836" width="13.5703125" style="17" customWidth="1"/>
    <col min="2837" max="2837" width="35.7109375" style="17" customWidth="1"/>
    <col min="2838" max="2838" width="16.42578125" style="17" customWidth="1"/>
    <col min="2839" max="2839" width="30.42578125" style="17" customWidth="1"/>
    <col min="2840" max="2840" width="17.5703125" style="17" bestFit="1" customWidth="1"/>
    <col min="2841" max="2841" width="31.28515625" style="17" customWidth="1"/>
    <col min="2842" max="2842" width="20.42578125" style="17" customWidth="1"/>
    <col min="2843" max="2843" width="14.85546875" style="17" bestFit="1" customWidth="1"/>
    <col min="2844" max="2845" width="11.42578125" style="17"/>
    <col min="2846" max="2846" width="16.42578125" style="17" customWidth="1"/>
    <col min="2847" max="3072" width="11.42578125" style="17"/>
    <col min="3073" max="3073" width="67" style="17" customWidth="1"/>
    <col min="3074" max="3074" width="13.85546875" style="17" customWidth="1"/>
    <col min="3075" max="3075" width="22.28515625" style="17" customWidth="1"/>
    <col min="3076" max="3076" width="17.42578125" style="17" customWidth="1"/>
    <col min="3077" max="3077" width="28" style="17" customWidth="1"/>
    <col min="3078" max="3078" width="30.5703125" style="17" customWidth="1"/>
    <col min="3079" max="3079" width="25.28515625" style="17" customWidth="1"/>
    <col min="3080" max="3080" width="22.85546875" style="17" customWidth="1"/>
    <col min="3081" max="3081" width="28" style="17" customWidth="1"/>
    <col min="3082" max="3082" width="20.28515625" style="17" customWidth="1"/>
    <col min="3083" max="3083" width="40.28515625" style="17" customWidth="1"/>
    <col min="3084" max="3084" width="24.42578125" style="17" customWidth="1"/>
    <col min="3085" max="3085" width="38.7109375" style="17" customWidth="1"/>
    <col min="3086" max="3086" width="18.5703125" style="17" customWidth="1"/>
    <col min="3087" max="3087" width="25.42578125" style="17" customWidth="1"/>
    <col min="3088" max="3088" width="18.85546875" style="17" customWidth="1"/>
    <col min="3089" max="3089" width="32.7109375" style="17" customWidth="1"/>
    <col min="3090" max="3090" width="20" style="17" customWidth="1"/>
    <col min="3091" max="3091" width="29.140625" style="17" customWidth="1"/>
    <col min="3092" max="3092" width="13.5703125" style="17" customWidth="1"/>
    <col min="3093" max="3093" width="35.7109375" style="17" customWidth="1"/>
    <col min="3094" max="3094" width="16.42578125" style="17" customWidth="1"/>
    <col min="3095" max="3095" width="30.42578125" style="17" customWidth="1"/>
    <col min="3096" max="3096" width="17.5703125" style="17" bestFit="1" customWidth="1"/>
    <col min="3097" max="3097" width="31.28515625" style="17" customWidth="1"/>
    <col min="3098" max="3098" width="20.42578125" style="17" customWidth="1"/>
    <col min="3099" max="3099" width="14.85546875" style="17" bestFit="1" customWidth="1"/>
    <col min="3100" max="3101" width="11.42578125" style="17"/>
    <col min="3102" max="3102" width="16.42578125" style="17" customWidth="1"/>
    <col min="3103" max="3328" width="11.42578125" style="17"/>
    <col min="3329" max="3329" width="67" style="17" customWidth="1"/>
    <col min="3330" max="3330" width="13.85546875" style="17" customWidth="1"/>
    <col min="3331" max="3331" width="22.28515625" style="17" customWidth="1"/>
    <col min="3332" max="3332" width="17.42578125" style="17" customWidth="1"/>
    <col min="3333" max="3333" width="28" style="17" customWidth="1"/>
    <col min="3334" max="3334" width="30.5703125" style="17" customWidth="1"/>
    <col min="3335" max="3335" width="25.28515625" style="17" customWidth="1"/>
    <col min="3336" max="3336" width="22.85546875" style="17" customWidth="1"/>
    <col min="3337" max="3337" width="28" style="17" customWidth="1"/>
    <col min="3338" max="3338" width="20.28515625" style="17" customWidth="1"/>
    <col min="3339" max="3339" width="40.28515625" style="17" customWidth="1"/>
    <col min="3340" max="3340" width="24.42578125" style="17" customWidth="1"/>
    <col min="3341" max="3341" width="38.7109375" style="17" customWidth="1"/>
    <col min="3342" max="3342" width="18.5703125" style="17" customWidth="1"/>
    <col min="3343" max="3343" width="25.42578125" style="17" customWidth="1"/>
    <col min="3344" max="3344" width="18.85546875" style="17" customWidth="1"/>
    <col min="3345" max="3345" width="32.7109375" style="17" customWidth="1"/>
    <col min="3346" max="3346" width="20" style="17" customWidth="1"/>
    <col min="3347" max="3347" width="29.140625" style="17" customWidth="1"/>
    <col min="3348" max="3348" width="13.5703125" style="17" customWidth="1"/>
    <col min="3349" max="3349" width="35.7109375" style="17" customWidth="1"/>
    <col min="3350" max="3350" width="16.42578125" style="17" customWidth="1"/>
    <col min="3351" max="3351" width="30.42578125" style="17" customWidth="1"/>
    <col min="3352" max="3352" width="17.5703125" style="17" bestFit="1" customWidth="1"/>
    <col min="3353" max="3353" width="31.28515625" style="17" customWidth="1"/>
    <col min="3354" max="3354" width="20.42578125" style="17" customWidth="1"/>
    <col min="3355" max="3355" width="14.85546875" style="17" bestFit="1" customWidth="1"/>
    <col min="3356" max="3357" width="11.42578125" style="17"/>
    <col min="3358" max="3358" width="16.42578125" style="17" customWidth="1"/>
    <col min="3359" max="3584" width="11.42578125" style="17"/>
    <col min="3585" max="3585" width="67" style="17" customWidth="1"/>
    <col min="3586" max="3586" width="13.85546875" style="17" customWidth="1"/>
    <col min="3587" max="3587" width="22.28515625" style="17" customWidth="1"/>
    <col min="3588" max="3588" width="17.42578125" style="17" customWidth="1"/>
    <col min="3589" max="3589" width="28" style="17" customWidth="1"/>
    <col min="3590" max="3590" width="30.5703125" style="17" customWidth="1"/>
    <col min="3591" max="3591" width="25.28515625" style="17" customWidth="1"/>
    <col min="3592" max="3592" width="22.85546875" style="17" customWidth="1"/>
    <col min="3593" max="3593" width="28" style="17" customWidth="1"/>
    <col min="3594" max="3594" width="20.28515625" style="17" customWidth="1"/>
    <col min="3595" max="3595" width="40.28515625" style="17" customWidth="1"/>
    <col min="3596" max="3596" width="24.42578125" style="17" customWidth="1"/>
    <col min="3597" max="3597" width="38.7109375" style="17" customWidth="1"/>
    <col min="3598" max="3598" width="18.5703125" style="17" customWidth="1"/>
    <col min="3599" max="3599" width="25.42578125" style="17" customWidth="1"/>
    <col min="3600" max="3600" width="18.85546875" style="17" customWidth="1"/>
    <col min="3601" max="3601" width="32.7109375" style="17" customWidth="1"/>
    <col min="3602" max="3602" width="20" style="17" customWidth="1"/>
    <col min="3603" max="3603" width="29.140625" style="17" customWidth="1"/>
    <col min="3604" max="3604" width="13.5703125" style="17" customWidth="1"/>
    <col min="3605" max="3605" width="35.7109375" style="17" customWidth="1"/>
    <col min="3606" max="3606" width="16.42578125" style="17" customWidth="1"/>
    <col min="3607" max="3607" width="30.42578125" style="17" customWidth="1"/>
    <col min="3608" max="3608" width="17.5703125" style="17" bestFit="1" customWidth="1"/>
    <col min="3609" max="3609" width="31.28515625" style="17" customWidth="1"/>
    <col min="3610" max="3610" width="20.42578125" style="17" customWidth="1"/>
    <col min="3611" max="3611" width="14.85546875" style="17" bestFit="1" customWidth="1"/>
    <col min="3612" max="3613" width="11.42578125" style="17"/>
    <col min="3614" max="3614" width="16.42578125" style="17" customWidth="1"/>
    <col min="3615" max="3840" width="11.42578125" style="17"/>
    <col min="3841" max="3841" width="67" style="17" customWidth="1"/>
    <col min="3842" max="3842" width="13.85546875" style="17" customWidth="1"/>
    <col min="3843" max="3843" width="22.28515625" style="17" customWidth="1"/>
    <col min="3844" max="3844" width="17.42578125" style="17" customWidth="1"/>
    <col min="3845" max="3845" width="28" style="17" customWidth="1"/>
    <col min="3846" max="3846" width="30.5703125" style="17" customWidth="1"/>
    <col min="3847" max="3847" width="25.28515625" style="17" customWidth="1"/>
    <col min="3848" max="3848" width="22.85546875" style="17" customWidth="1"/>
    <col min="3849" max="3849" width="28" style="17" customWidth="1"/>
    <col min="3850" max="3850" width="20.28515625" style="17" customWidth="1"/>
    <col min="3851" max="3851" width="40.28515625" style="17" customWidth="1"/>
    <col min="3852" max="3852" width="24.42578125" style="17" customWidth="1"/>
    <col min="3853" max="3853" width="38.7109375" style="17" customWidth="1"/>
    <col min="3854" max="3854" width="18.5703125" style="17" customWidth="1"/>
    <col min="3855" max="3855" width="25.42578125" style="17" customWidth="1"/>
    <col min="3856" max="3856" width="18.85546875" style="17" customWidth="1"/>
    <col min="3857" max="3857" width="32.7109375" style="17" customWidth="1"/>
    <col min="3858" max="3858" width="20" style="17" customWidth="1"/>
    <col min="3859" max="3859" width="29.140625" style="17" customWidth="1"/>
    <col min="3860" max="3860" width="13.5703125" style="17" customWidth="1"/>
    <col min="3861" max="3861" width="35.7109375" style="17" customWidth="1"/>
    <col min="3862" max="3862" width="16.42578125" style="17" customWidth="1"/>
    <col min="3863" max="3863" width="30.42578125" style="17" customWidth="1"/>
    <col min="3864" max="3864" width="17.5703125" style="17" bestFit="1" customWidth="1"/>
    <col min="3865" max="3865" width="31.28515625" style="17" customWidth="1"/>
    <col min="3866" max="3866" width="20.42578125" style="17" customWidth="1"/>
    <col min="3867" max="3867" width="14.85546875" style="17" bestFit="1" customWidth="1"/>
    <col min="3868" max="3869" width="11.42578125" style="17"/>
    <col min="3870" max="3870" width="16.42578125" style="17" customWidth="1"/>
    <col min="3871" max="4096" width="11.42578125" style="17"/>
    <col min="4097" max="4097" width="67" style="17" customWidth="1"/>
    <col min="4098" max="4098" width="13.85546875" style="17" customWidth="1"/>
    <col min="4099" max="4099" width="22.28515625" style="17" customWidth="1"/>
    <col min="4100" max="4100" width="17.42578125" style="17" customWidth="1"/>
    <col min="4101" max="4101" width="28" style="17" customWidth="1"/>
    <col min="4102" max="4102" width="30.5703125" style="17" customWidth="1"/>
    <col min="4103" max="4103" width="25.28515625" style="17" customWidth="1"/>
    <col min="4104" max="4104" width="22.85546875" style="17" customWidth="1"/>
    <col min="4105" max="4105" width="28" style="17" customWidth="1"/>
    <col min="4106" max="4106" width="20.28515625" style="17" customWidth="1"/>
    <col min="4107" max="4107" width="40.28515625" style="17" customWidth="1"/>
    <col min="4108" max="4108" width="24.42578125" style="17" customWidth="1"/>
    <col min="4109" max="4109" width="38.7109375" style="17" customWidth="1"/>
    <col min="4110" max="4110" width="18.5703125" style="17" customWidth="1"/>
    <col min="4111" max="4111" width="25.42578125" style="17" customWidth="1"/>
    <col min="4112" max="4112" width="18.85546875" style="17" customWidth="1"/>
    <col min="4113" max="4113" width="32.7109375" style="17" customWidth="1"/>
    <col min="4114" max="4114" width="20" style="17" customWidth="1"/>
    <col min="4115" max="4115" width="29.140625" style="17" customWidth="1"/>
    <col min="4116" max="4116" width="13.5703125" style="17" customWidth="1"/>
    <col min="4117" max="4117" width="35.7109375" style="17" customWidth="1"/>
    <col min="4118" max="4118" width="16.42578125" style="17" customWidth="1"/>
    <col min="4119" max="4119" width="30.42578125" style="17" customWidth="1"/>
    <col min="4120" max="4120" width="17.5703125" style="17" bestFit="1" customWidth="1"/>
    <col min="4121" max="4121" width="31.28515625" style="17" customWidth="1"/>
    <col min="4122" max="4122" width="20.42578125" style="17" customWidth="1"/>
    <col min="4123" max="4123" width="14.85546875" style="17" bestFit="1" customWidth="1"/>
    <col min="4124" max="4125" width="11.42578125" style="17"/>
    <col min="4126" max="4126" width="16.42578125" style="17" customWidth="1"/>
    <col min="4127" max="4352" width="11.42578125" style="17"/>
    <col min="4353" max="4353" width="67" style="17" customWidth="1"/>
    <col min="4354" max="4354" width="13.85546875" style="17" customWidth="1"/>
    <col min="4355" max="4355" width="22.28515625" style="17" customWidth="1"/>
    <col min="4356" max="4356" width="17.42578125" style="17" customWidth="1"/>
    <col min="4357" max="4357" width="28" style="17" customWidth="1"/>
    <col min="4358" max="4358" width="30.5703125" style="17" customWidth="1"/>
    <col min="4359" max="4359" width="25.28515625" style="17" customWidth="1"/>
    <col min="4360" max="4360" width="22.85546875" style="17" customWidth="1"/>
    <col min="4361" max="4361" width="28" style="17" customWidth="1"/>
    <col min="4362" max="4362" width="20.28515625" style="17" customWidth="1"/>
    <col min="4363" max="4363" width="40.28515625" style="17" customWidth="1"/>
    <col min="4364" max="4364" width="24.42578125" style="17" customWidth="1"/>
    <col min="4365" max="4365" width="38.7109375" style="17" customWidth="1"/>
    <col min="4366" max="4366" width="18.5703125" style="17" customWidth="1"/>
    <col min="4367" max="4367" width="25.42578125" style="17" customWidth="1"/>
    <col min="4368" max="4368" width="18.85546875" style="17" customWidth="1"/>
    <col min="4369" max="4369" width="32.7109375" style="17" customWidth="1"/>
    <col min="4370" max="4370" width="20" style="17" customWidth="1"/>
    <col min="4371" max="4371" width="29.140625" style="17" customWidth="1"/>
    <col min="4372" max="4372" width="13.5703125" style="17" customWidth="1"/>
    <col min="4373" max="4373" width="35.7109375" style="17" customWidth="1"/>
    <col min="4374" max="4374" width="16.42578125" style="17" customWidth="1"/>
    <col min="4375" max="4375" width="30.42578125" style="17" customWidth="1"/>
    <col min="4376" max="4376" width="17.5703125" style="17" bestFit="1" customWidth="1"/>
    <col min="4377" max="4377" width="31.28515625" style="17" customWidth="1"/>
    <col min="4378" max="4378" width="20.42578125" style="17" customWidth="1"/>
    <col min="4379" max="4379" width="14.85546875" style="17" bestFit="1" customWidth="1"/>
    <col min="4380" max="4381" width="11.42578125" style="17"/>
    <col min="4382" max="4382" width="16.42578125" style="17" customWidth="1"/>
    <col min="4383" max="4608" width="11.42578125" style="17"/>
    <col min="4609" max="4609" width="67" style="17" customWidth="1"/>
    <col min="4610" max="4610" width="13.85546875" style="17" customWidth="1"/>
    <col min="4611" max="4611" width="22.28515625" style="17" customWidth="1"/>
    <col min="4612" max="4612" width="17.42578125" style="17" customWidth="1"/>
    <col min="4613" max="4613" width="28" style="17" customWidth="1"/>
    <col min="4614" max="4614" width="30.5703125" style="17" customWidth="1"/>
    <col min="4615" max="4615" width="25.28515625" style="17" customWidth="1"/>
    <col min="4616" max="4616" width="22.85546875" style="17" customWidth="1"/>
    <col min="4617" max="4617" width="28" style="17" customWidth="1"/>
    <col min="4618" max="4618" width="20.28515625" style="17" customWidth="1"/>
    <col min="4619" max="4619" width="40.28515625" style="17" customWidth="1"/>
    <col min="4620" max="4620" width="24.42578125" style="17" customWidth="1"/>
    <col min="4621" max="4621" width="38.7109375" style="17" customWidth="1"/>
    <col min="4622" max="4622" width="18.5703125" style="17" customWidth="1"/>
    <col min="4623" max="4623" width="25.42578125" style="17" customWidth="1"/>
    <col min="4624" max="4624" width="18.85546875" style="17" customWidth="1"/>
    <col min="4625" max="4625" width="32.7109375" style="17" customWidth="1"/>
    <col min="4626" max="4626" width="20" style="17" customWidth="1"/>
    <col min="4627" max="4627" width="29.140625" style="17" customWidth="1"/>
    <col min="4628" max="4628" width="13.5703125" style="17" customWidth="1"/>
    <col min="4629" max="4629" width="35.7109375" style="17" customWidth="1"/>
    <col min="4630" max="4630" width="16.42578125" style="17" customWidth="1"/>
    <col min="4631" max="4631" width="30.42578125" style="17" customWidth="1"/>
    <col min="4632" max="4632" width="17.5703125" style="17" bestFit="1" customWidth="1"/>
    <col min="4633" max="4633" width="31.28515625" style="17" customWidth="1"/>
    <col min="4634" max="4634" width="20.42578125" style="17" customWidth="1"/>
    <col min="4635" max="4635" width="14.85546875" style="17" bestFit="1" customWidth="1"/>
    <col min="4636" max="4637" width="11.42578125" style="17"/>
    <col min="4638" max="4638" width="16.42578125" style="17" customWidth="1"/>
    <col min="4639" max="4864" width="11.42578125" style="17"/>
    <col min="4865" max="4865" width="67" style="17" customWidth="1"/>
    <col min="4866" max="4866" width="13.85546875" style="17" customWidth="1"/>
    <col min="4867" max="4867" width="22.28515625" style="17" customWidth="1"/>
    <col min="4868" max="4868" width="17.42578125" style="17" customWidth="1"/>
    <col min="4869" max="4869" width="28" style="17" customWidth="1"/>
    <col min="4870" max="4870" width="30.5703125" style="17" customWidth="1"/>
    <col min="4871" max="4871" width="25.28515625" style="17" customWidth="1"/>
    <col min="4872" max="4872" width="22.85546875" style="17" customWidth="1"/>
    <col min="4873" max="4873" width="28" style="17" customWidth="1"/>
    <col min="4874" max="4874" width="20.28515625" style="17" customWidth="1"/>
    <col min="4875" max="4875" width="40.28515625" style="17" customWidth="1"/>
    <col min="4876" max="4876" width="24.42578125" style="17" customWidth="1"/>
    <col min="4877" max="4877" width="38.7109375" style="17" customWidth="1"/>
    <col min="4878" max="4878" width="18.5703125" style="17" customWidth="1"/>
    <col min="4879" max="4879" width="25.42578125" style="17" customWidth="1"/>
    <col min="4880" max="4880" width="18.85546875" style="17" customWidth="1"/>
    <col min="4881" max="4881" width="32.7109375" style="17" customWidth="1"/>
    <col min="4882" max="4882" width="20" style="17" customWidth="1"/>
    <col min="4883" max="4883" width="29.140625" style="17" customWidth="1"/>
    <col min="4884" max="4884" width="13.5703125" style="17" customWidth="1"/>
    <col min="4885" max="4885" width="35.7109375" style="17" customWidth="1"/>
    <col min="4886" max="4886" width="16.42578125" style="17" customWidth="1"/>
    <col min="4887" max="4887" width="30.42578125" style="17" customWidth="1"/>
    <col min="4888" max="4888" width="17.5703125" style="17" bestFit="1" customWidth="1"/>
    <col min="4889" max="4889" width="31.28515625" style="17" customWidth="1"/>
    <col min="4890" max="4890" width="20.42578125" style="17" customWidth="1"/>
    <col min="4891" max="4891" width="14.85546875" style="17" bestFit="1" customWidth="1"/>
    <col min="4892" max="4893" width="11.42578125" style="17"/>
    <col min="4894" max="4894" width="16.42578125" style="17" customWidth="1"/>
    <col min="4895" max="5120" width="11.42578125" style="17"/>
    <col min="5121" max="5121" width="67" style="17" customWidth="1"/>
    <col min="5122" max="5122" width="13.85546875" style="17" customWidth="1"/>
    <col min="5123" max="5123" width="22.28515625" style="17" customWidth="1"/>
    <col min="5124" max="5124" width="17.42578125" style="17" customWidth="1"/>
    <col min="5125" max="5125" width="28" style="17" customWidth="1"/>
    <col min="5126" max="5126" width="30.5703125" style="17" customWidth="1"/>
    <col min="5127" max="5127" width="25.28515625" style="17" customWidth="1"/>
    <col min="5128" max="5128" width="22.85546875" style="17" customWidth="1"/>
    <col min="5129" max="5129" width="28" style="17" customWidth="1"/>
    <col min="5130" max="5130" width="20.28515625" style="17" customWidth="1"/>
    <col min="5131" max="5131" width="40.28515625" style="17" customWidth="1"/>
    <col min="5132" max="5132" width="24.42578125" style="17" customWidth="1"/>
    <col min="5133" max="5133" width="38.7109375" style="17" customWidth="1"/>
    <col min="5134" max="5134" width="18.5703125" style="17" customWidth="1"/>
    <col min="5135" max="5135" width="25.42578125" style="17" customWidth="1"/>
    <col min="5136" max="5136" width="18.85546875" style="17" customWidth="1"/>
    <col min="5137" max="5137" width="32.7109375" style="17" customWidth="1"/>
    <col min="5138" max="5138" width="20" style="17" customWidth="1"/>
    <col min="5139" max="5139" width="29.140625" style="17" customWidth="1"/>
    <col min="5140" max="5140" width="13.5703125" style="17" customWidth="1"/>
    <col min="5141" max="5141" width="35.7109375" style="17" customWidth="1"/>
    <col min="5142" max="5142" width="16.42578125" style="17" customWidth="1"/>
    <col min="5143" max="5143" width="30.42578125" style="17" customWidth="1"/>
    <col min="5144" max="5144" width="17.5703125" style="17" bestFit="1" customWidth="1"/>
    <col min="5145" max="5145" width="31.28515625" style="17" customWidth="1"/>
    <col min="5146" max="5146" width="20.42578125" style="17" customWidth="1"/>
    <col min="5147" max="5147" width="14.85546875" style="17" bestFit="1" customWidth="1"/>
    <col min="5148" max="5149" width="11.42578125" style="17"/>
    <col min="5150" max="5150" width="16.42578125" style="17" customWidth="1"/>
    <col min="5151" max="5376" width="11.42578125" style="17"/>
    <col min="5377" max="5377" width="67" style="17" customWidth="1"/>
    <col min="5378" max="5378" width="13.85546875" style="17" customWidth="1"/>
    <col min="5379" max="5379" width="22.28515625" style="17" customWidth="1"/>
    <col min="5380" max="5380" width="17.42578125" style="17" customWidth="1"/>
    <col min="5381" max="5381" width="28" style="17" customWidth="1"/>
    <col min="5382" max="5382" width="30.5703125" style="17" customWidth="1"/>
    <col min="5383" max="5383" width="25.28515625" style="17" customWidth="1"/>
    <col min="5384" max="5384" width="22.85546875" style="17" customWidth="1"/>
    <col min="5385" max="5385" width="28" style="17" customWidth="1"/>
    <col min="5386" max="5386" width="20.28515625" style="17" customWidth="1"/>
    <col min="5387" max="5387" width="40.28515625" style="17" customWidth="1"/>
    <col min="5388" max="5388" width="24.42578125" style="17" customWidth="1"/>
    <col min="5389" max="5389" width="38.7109375" style="17" customWidth="1"/>
    <col min="5390" max="5390" width="18.5703125" style="17" customWidth="1"/>
    <col min="5391" max="5391" width="25.42578125" style="17" customWidth="1"/>
    <col min="5392" max="5392" width="18.85546875" style="17" customWidth="1"/>
    <col min="5393" max="5393" width="32.7109375" style="17" customWidth="1"/>
    <col min="5394" max="5394" width="20" style="17" customWidth="1"/>
    <col min="5395" max="5395" width="29.140625" style="17" customWidth="1"/>
    <col min="5396" max="5396" width="13.5703125" style="17" customWidth="1"/>
    <col min="5397" max="5397" width="35.7109375" style="17" customWidth="1"/>
    <col min="5398" max="5398" width="16.42578125" style="17" customWidth="1"/>
    <col min="5399" max="5399" width="30.42578125" style="17" customWidth="1"/>
    <col min="5400" max="5400" width="17.5703125" style="17" bestFit="1" customWidth="1"/>
    <col min="5401" max="5401" width="31.28515625" style="17" customWidth="1"/>
    <col min="5402" max="5402" width="20.42578125" style="17" customWidth="1"/>
    <col min="5403" max="5403" width="14.85546875" style="17" bestFit="1" customWidth="1"/>
    <col min="5404" max="5405" width="11.42578125" style="17"/>
    <col min="5406" max="5406" width="16.42578125" style="17" customWidth="1"/>
    <col min="5407" max="5632" width="11.42578125" style="17"/>
    <col min="5633" max="5633" width="67" style="17" customWidth="1"/>
    <col min="5634" max="5634" width="13.85546875" style="17" customWidth="1"/>
    <col min="5635" max="5635" width="22.28515625" style="17" customWidth="1"/>
    <col min="5636" max="5636" width="17.42578125" style="17" customWidth="1"/>
    <col min="5637" max="5637" width="28" style="17" customWidth="1"/>
    <col min="5638" max="5638" width="30.5703125" style="17" customWidth="1"/>
    <col min="5639" max="5639" width="25.28515625" style="17" customWidth="1"/>
    <col min="5640" max="5640" width="22.85546875" style="17" customWidth="1"/>
    <col min="5641" max="5641" width="28" style="17" customWidth="1"/>
    <col min="5642" max="5642" width="20.28515625" style="17" customWidth="1"/>
    <col min="5643" max="5643" width="40.28515625" style="17" customWidth="1"/>
    <col min="5644" max="5644" width="24.42578125" style="17" customWidth="1"/>
    <col min="5645" max="5645" width="38.7109375" style="17" customWidth="1"/>
    <col min="5646" max="5646" width="18.5703125" style="17" customWidth="1"/>
    <col min="5647" max="5647" width="25.42578125" style="17" customWidth="1"/>
    <col min="5648" max="5648" width="18.85546875" style="17" customWidth="1"/>
    <col min="5649" max="5649" width="32.7109375" style="17" customWidth="1"/>
    <col min="5650" max="5650" width="20" style="17" customWidth="1"/>
    <col min="5651" max="5651" width="29.140625" style="17" customWidth="1"/>
    <col min="5652" max="5652" width="13.5703125" style="17" customWidth="1"/>
    <col min="5653" max="5653" width="35.7109375" style="17" customWidth="1"/>
    <col min="5654" max="5654" width="16.42578125" style="17" customWidth="1"/>
    <col min="5655" max="5655" width="30.42578125" style="17" customWidth="1"/>
    <col min="5656" max="5656" width="17.5703125" style="17" bestFit="1" customWidth="1"/>
    <col min="5657" max="5657" width="31.28515625" style="17" customWidth="1"/>
    <col min="5658" max="5658" width="20.42578125" style="17" customWidth="1"/>
    <col min="5659" max="5659" width="14.85546875" style="17" bestFit="1" customWidth="1"/>
    <col min="5660" max="5661" width="11.42578125" style="17"/>
    <col min="5662" max="5662" width="16.42578125" style="17" customWidth="1"/>
    <col min="5663" max="5888" width="11.42578125" style="17"/>
    <col min="5889" max="5889" width="67" style="17" customWidth="1"/>
    <col min="5890" max="5890" width="13.85546875" style="17" customWidth="1"/>
    <col min="5891" max="5891" width="22.28515625" style="17" customWidth="1"/>
    <col min="5892" max="5892" width="17.42578125" style="17" customWidth="1"/>
    <col min="5893" max="5893" width="28" style="17" customWidth="1"/>
    <col min="5894" max="5894" width="30.5703125" style="17" customWidth="1"/>
    <col min="5895" max="5895" width="25.28515625" style="17" customWidth="1"/>
    <col min="5896" max="5896" width="22.85546875" style="17" customWidth="1"/>
    <col min="5897" max="5897" width="28" style="17" customWidth="1"/>
    <col min="5898" max="5898" width="20.28515625" style="17" customWidth="1"/>
    <col min="5899" max="5899" width="40.28515625" style="17" customWidth="1"/>
    <col min="5900" max="5900" width="24.42578125" style="17" customWidth="1"/>
    <col min="5901" max="5901" width="38.7109375" style="17" customWidth="1"/>
    <col min="5902" max="5902" width="18.5703125" style="17" customWidth="1"/>
    <col min="5903" max="5903" width="25.42578125" style="17" customWidth="1"/>
    <col min="5904" max="5904" width="18.85546875" style="17" customWidth="1"/>
    <col min="5905" max="5905" width="32.7109375" style="17" customWidth="1"/>
    <col min="5906" max="5906" width="20" style="17" customWidth="1"/>
    <col min="5907" max="5907" width="29.140625" style="17" customWidth="1"/>
    <col min="5908" max="5908" width="13.5703125" style="17" customWidth="1"/>
    <col min="5909" max="5909" width="35.7109375" style="17" customWidth="1"/>
    <col min="5910" max="5910" width="16.42578125" style="17" customWidth="1"/>
    <col min="5911" max="5911" width="30.42578125" style="17" customWidth="1"/>
    <col min="5912" max="5912" width="17.5703125" style="17" bestFit="1" customWidth="1"/>
    <col min="5913" max="5913" width="31.28515625" style="17" customWidth="1"/>
    <col min="5914" max="5914" width="20.42578125" style="17" customWidth="1"/>
    <col min="5915" max="5915" width="14.85546875" style="17" bestFit="1" customWidth="1"/>
    <col min="5916" max="5917" width="11.42578125" style="17"/>
    <col min="5918" max="5918" width="16.42578125" style="17" customWidth="1"/>
    <col min="5919" max="6144" width="11.42578125" style="17"/>
    <col min="6145" max="6145" width="67" style="17" customWidth="1"/>
    <col min="6146" max="6146" width="13.85546875" style="17" customWidth="1"/>
    <col min="6147" max="6147" width="22.28515625" style="17" customWidth="1"/>
    <col min="6148" max="6148" width="17.42578125" style="17" customWidth="1"/>
    <col min="6149" max="6149" width="28" style="17" customWidth="1"/>
    <col min="6150" max="6150" width="30.5703125" style="17" customWidth="1"/>
    <col min="6151" max="6151" width="25.28515625" style="17" customWidth="1"/>
    <col min="6152" max="6152" width="22.85546875" style="17" customWidth="1"/>
    <col min="6153" max="6153" width="28" style="17" customWidth="1"/>
    <col min="6154" max="6154" width="20.28515625" style="17" customWidth="1"/>
    <col min="6155" max="6155" width="40.28515625" style="17" customWidth="1"/>
    <col min="6156" max="6156" width="24.42578125" style="17" customWidth="1"/>
    <col min="6157" max="6157" width="38.7109375" style="17" customWidth="1"/>
    <col min="6158" max="6158" width="18.5703125" style="17" customWidth="1"/>
    <col min="6159" max="6159" width="25.42578125" style="17" customWidth="1"/>
    <col min="6160" max="6160" width="18.85546875" style="17" customWidth="1"/>
    <col min="6161" max="6161" width="32.7109375" style="17" customWidth="1"/>
    <col min="6162" max="6162" width="20" style="17" customWidth="1"/>
    <col min="6163" max="6163" width="29.140625" style="17" customWidth="1"/>
    <col min="6164" max="6164" width="13.5703125" style="17" customWidth="1"/>
    <col min="6165" max="6165" width="35.7109375" style="17" customWidth="1"/>
    <col min="6166" max="6166" width="16.42578125" style="17" customWidth="1"/>
    <col min="6167" max="6167" width="30.42578125" style="17" customWidth="1"/>
    <col min="6168" max="6168" width="17.5703125" style="17" bestFit="1" customWidth="1"/>
    <col min="6169" max="6169" width="31.28515625" style="17" customWidth="1"/>
    <col min="6170" max="6170" width="20.42578125" style="17" customWidth="1"/>
    <col min="6171" max="6171" width="14.85546875" style="17" bestFit="1" customWidth="1"/>
    <col min="6172" max="6173" width="11.42578125" style="17"/>
    <col min="6174" max="6174" width="16.42578125" style="17" customWidth="1"/>
    <col min="6175" max="6400" width="11.42578125" style="17"/>
    <col min="6401" max="6401" width="67" style="17" customWidth="1"/>
    <col min="6402" max="6402" width="13.85546875" style="17" customWidth="1"/>
    <col min="6403" max="6403" width="22.28515625" style="17" customWidth="1"/>
    <col min="6404" max="6404" width="17.42578125" style="17" customWidth="1"/>
    <col min="6405" max="6405" width="28" style="17" customWidth="1"/>
    <col min="6406" max="6406" width="30.5703125" style="17" customWidth="1"/>
    <col min="6407" max="6407" width="25.28515625" style="17" customWidth="1"/>
    <col min="6408" max="6408" width="22.85546875" style="17" customWidth="1"/>
    <col min="6409" max="6409" width="28" style="17" customWidth="1"/>
    <col min="6410" max="6410" width="20.28515625" style="17" customWidth="1"/>
    <col min="6411" max="6411" width="40.28515625" style="17" customWidth="1"/>
    <col min="6412" max="6412" width="24.42578125" style="17" customWidth="1"/>
    <col min="6413" max="6413" width="38.7109375" style="17" customWidth="1"/>
    <col min="6414" max="6414" width="18.5703125" style="17" customWidth="1"/>
    <col min="6415" max="6415" width="25.42578125" style="17" customWidth="1"/>
    <col min="6416" max="6416" width="18.85546875" style="17" customWidth="1"/>
    <col min="6417" max="6417" width="32.7109375" style="17" customWidth="1"/>
    <col min="6418" max="6418" width="20" style="17" customWidth="1"/>
    <col min="6419" max="6419" width="29.140625" style="17" customWidth="1"/>
    <col min="6420" max="6420" width="13.5703125" style="17" customWidth="1"/>
    <col min="6421" max="6421" width="35.7109375" style="17" customWidth="1"/>
    <col min="6422" max="6422" width="16.42578125" style="17" customWidth="1"/>
    <col min="6423" max="6423" width="30.42578125" style="17" customWidth="1"/>
    <col min="6424" max="6424" width="17.5703125" style="17" bestFit="1" customWidth="1"/>
    <col min="6425" max="6425" width="31.28515625" style="17" customWidth="1"/>
    <col min="6426" max="6426" width="20.42578125" style="17" customWidth="1"/>
    <col min="6427" max="6427" width="14.85546875" style="17" bestFit="1" customWidth="1"/>
    <col min="6428" max="6429" width="11.42578125" style="17"/>
    <col min="6430" max="6430" width="16.42578125" style="17" customWidth="1"/>
    <col min="6431" max="6656" width="11.42578125" style="17"/>
    <col min="6657" max="6657" width="67" style="17" customWidth="1"/>
    <col min="6658" max="6658" width="13.85546875" style="17" customWidth="1"/>
    <col min="6659" max="6659" width="22.28515625" style="17" customWidth="1"/>
    <col min="6660" max="6660" width="17.42578125" style="17" customWidth="1"/>
    <col min="6661" max="6661" width="28" style="17" customWidth="1"/>
    <col min="6662" max="6662" width="30.5703125" style="17" customWidth="1"/>
    <col min="6663" max="6663" width="25.28515625" style="17" customWidth="1"/>
    <col min="6664" max="6664" width="22.85546875" style="17" customWidth="1"/>
    <col min="6665" max="6665" width="28" style="17" customWidth="1"/>
    <col min="6666" max="6666" width="20.28515625" style="17" customWidth="1"/>
    <col min="6667" max="6667" width="40.28515625" style="17" customWidth="1"/>
    <col min="6668" max="6668" width="24.42578125" style="17" customWidth="1"/>
    <col min="6669" max="6669" width="38.7109375" style="17" customWidth="1"/>
    <col min="6670" max="6670" width="18.5703125" style="17" customWidth="1"/>
    <col min="6671" max="6671" width="25.42578125" style="17" customWidth="1"/>
    <col min="6672" max="6672" width="18.85546875" style="17" customWidth="1"/>
    <col min="6673" max="6673" width="32.7109375" style="17" customWidth="1"/>
    <col min="6674" max="6674" width="20" style="17" customWidth="1"/>
    <col min="6675" max="6675" width="29.140625" style="17" customWidth="1"/>
    <col min="6676" max="6676" width="13.5703125" style="17" customWidth="1"/>
    <col min="6677" max="6677" width="35.7109375" style="17" customWidth="1"/>
    <col min="6678" max="6678" width="16.42578125" style="17" customWidth="1"/>
    <col min="6679" max="6679" width="30.42578125" style="17" customWidth="1"/>
    <col min="6680" max="6680" width="17.5703125" style="17" bestFit="1" customWidth="1"/>
    <col min="6681" max="6681" width="31.28515625" style="17" customWidth="1"/>
    <col min="6682" max="6682" width="20.42578125" style="17" customWidth="1"/>
    <col min="6683" max="6683" width="14.85546875" style="17" bestFit="1" customWidth="1"/>
    <col min="6684" max="6685" width="11.42578125" style="17"/>
    <col min="6686" max="6686" width="16.42578125" style="17" customWidth="1"/>
    <col min="6687" max="6912" width="11.42578125" style="17"/>
    <col min="6913" max="6913" width="67" style="17" customWidth="1"/>
    <col min="6914" max="6914" width="13.85546875" style="17" customWidth="1"/>
    <col min="6915" max="6915" width="22.28515625" style="17" customWidth="1"/>
    <col min="6916" max="6916" width="17.42578125" style="17" customWidth="1"/>
    <col min="6917" max="6917" width="28" style="17" customWidth="1"/>
    <col min="6918" max="6918" width="30.5703125" style="17" customWidth="1"/>
    <col min="6919" max="6919" width="25.28515625" style="17" customWidth="1"/>
    <col min="6920" max="6920" width="22.85546875" style="17" customWidth="1"/>
    <col min="6921" max="6921" width="28" style="17" customWidth="1"/>
    <col min="6922" max="6922" width="20.28515625" style="17" customWidth="1"/>
    <col min="6923" max="6923" width="40.28515625" style="17" customWidth="1"/>
    <col min="6924" max="6924" width="24.42578125" style="17" customWidth="1"/>
    <col min="6925" max="6925" width="38.7109375" style="17" customWidth="1"/>
    <col min="6926" max="6926" width="18.5703125" style="17" customWidth="1"/>
    <col min="6927" max="6927" width="25.42578125" style="17" customWidth="1"/>
    <col min="6928" max="6928" width="18.85546875" style="17" customWidth="1"/>
    <col min="6929" max="6929" width="32.7109375" style="17" customWidth="1"/>
    <col min="6930" max="6930" width="20" style="17" customWidth="1"/>
    <col min="6931" max="6931" width="29.140625" style="17" customWidth="1"/>
    <col min="6932" max="6932" width="13.5703125" style="17" customWidth="1"/>
    <col min="6933" max="6933" width="35.7109375" style="17" customWidth="1"/>
    <col min="6934" max="6934" width="16.42578125" style="17" customWidth="1"/>
    <col min="6935" max="6935" width="30.42578125" style="17" customWidth="1"/>
    <col min="6936" max="6936" width="17.5703125" style="17" bestFit="1" customWidth="1"/>
    <col min="6937" max="6937" width="31.28515625" style="17" customWidth="1"/>
    <col min="6938" max="6938" width="20.42578125" style="17" customWidth="1"/>
    <col min="6939" max="6939" width="14.85546875" style="17" bestFit="1" customWidth="1"/>
    <col min="6940" max="6941" width="11.42578125" style="17"/>
    <col min="6942" max="6942" width="16.42578125" style="17" customWidth="1"/>
    <col min="6943" max="7168" width="11.42578125" style="17"/>
    <col min="7169" max="7169" width="67" style="17" customWidth="1"/>
    <col min="7170" max="7170" width="13.85546875" style="17" customWidth="1"/>
    <col min="7171" max="7171" width="22.28515625" style="17" customWidth="1"/>
    <col min="7172" max="7172" width="17.42578125" style="17" customWidth="1"/>
    <col min="7173" max="7173" width="28" style="17" customWidth="1"/>
    <col min="7174" max="7174" width="30.5703125" style="17" customWidth="1"/>
    <col min="7175" max="7175" width="25.28515625" style="17" customWidth="1"/>
    <col min="7176" max="7176" width="22.85546875" style="17" customWidth="1"/>
    <col min="7177" max="7177" width="28" style="17" customWidth="1"/>
    <col min="7178" max="7178" width="20.28515625" style="17" customWidth="1"/>
    <col min="7179" max="7179" width="40.28515625" style="17" customWidth="1"/>
    <col min="7180" max="7180" width="24.42578125" style="17" customWidth="1"/>
    <col min="7181" max="7181" width="38.7109375" style="17" customWidth="1"/>
    <col min="7182" max="7182" width="18.5703125" style="17" customWidth="1"/>
    <col min="7183" max="7183" width="25.42578125" style="17" customWidth="1"/>
    <col min="7184" max="7184" width="18.85546875" style="17" customWidth="1"/>
    <col min="7185" max="7185" width="32.7109375" style="17" customWidth="1"/>
    <col min="7186" max="7186" width="20" style="17" customWidth="1"/>
    <col min="7187" max="7187" width="29.140625" style="17" customWidth="1"/>
    <col min="7188" max="7188" width="13.5703125" style="17" customWidth="1"/>
    <col min="7189" max="7189" width="35.7109375" style="17" customWidth="1"/>
    <col min="7190" max="7190" width="16.42578125" style="17" customWidth="1"/>
    <col min="7191" max="7191" width="30.42578125" style="17" customWidth="1"/>
    <col min="7192" max="7192" width="17.5703125" style="17" bestFit="1" customWidth="1"/>
    <col min="7193" max="7193" width="31.28515625" style="17" customWidth="1"/>
    <col min="7194" max="7194" width="20.42578125" style="17" customWidth="1"/>
    <col min="7195" max="7195" width="14.85546875" style="17" bestFit="1" customWidth="1"/>
    <col min="7196" max="7197" width="11.42578125" style="17"/>
    <col min="7198" max="7198" width="16.42578125" style="17" customWidth="1"/>
    <col min="7199" max="7424" width="11.42578125" style="17"/>
    <col min="7425" max="7425" width="67" style="17" customWidth="1"/>
    <col min="7426" max="7426" width="13.85546875" style="17" customWidth="1"/>
    <col min="7427" max="7427" width="22.28515625" style="17" customWidth="1"/>
    <col min="7428" max="7428" width="17.42578125" style="17" customWidth="1"/>
    <col min="7429" max="7429" width="28" style="17" customWidth="1"/>
    <col min="7430" max="7430" width="30.5703125" style="17" customWidth="1"/>
    <col min="7431" max="7431" width="25.28515625" style="17" customWidth="1"/>
    <col min="7432" max="7432" width="22.85546875" style="17" customWidth="1"/>
    <col min="7433" max="7433" width="28" style="17" customWidth="1"/>
    <col min="7434" max="7434" width="20.28515625" style="17" customWidth="1"/>
    <col min="7435" max="7435" width="40.28515625" style="17" customWidth="1"/>
    <col min="7436" max="7436" width="24.42578125" style="17" customWidth="1"/>
    <col min="7437" max="7437" width="38.7109375" style="17" customWidth="1"/>
    <col min="7438" max="7438" width="18.5703125" style="17" customWidth="1"/>
    <col min="7439" max="7439" width="25.42578125" style="17" customWidth="1"/>
    <col min="7440" max="7440" width="18.85546875" style="17" customWidth="1"/>
    <col min="7441" max="7441" width="32.7109375" style="17" customWidth="1"/>
    <col min="7442" max="7442" width="20" style="17" customWidth="1"/>
    <col min="7443" max="7443" width="29.140625" style="17" customWidth="1"/>
    <col min="7444" max="7444" width="13.5703125" style="17" customWidth="1"/>
    <col min="7445" max="7445" width="35.7109375" style="17" customWidth="1"/>
    <col min="7446" max="7446" width="16.42578125" style="17" customWidth="1"/>
    <col min="7447" max="7447" width="30.42578125" style="17" customWidth="1"/>
    <col min="7448" max="7448" width="17.5703125" style="17" bestFit="1" customWidth="1"/>
    <col min="7449" max="7449" width="31.28515625" style="17" customWidth="1"/>
    <col min="7450" max="7450" width="20.42578125" style="17" customWidth="1"/>
    <col min="7451" max="7451" width="14.85546875" style="17" bestFit="1" customWidth="1"/>
    <col min="7452" max="7453" width="11.42578125" style="17"/>
    <col min="7454" max="7454" width="16.42578125" style="17" customWidth="1"/>
    <col min="7455" max="7680" width="11.42578125" style="17"/>
    <col min="7681" max="7681" width="67" style="17" customWidth="1"/>
    <col min="7682" max="7682" width="13.85546875" style="17" customWidth="1"/>
    <col min="7683" max="7683" width="22.28515625" style="17" customWidth="1"/>
    <col min="7684" max="7684" width="17.42578125" style="17" customWidth="1"/>
    <col min="7685" max="7685" width="28" style="17" customWidth="1"/>
    <col min="7686" max="7686" width="30.5703125" style="17" customWidth="1"/>
    <col min="7687" max="7687" width="25.28515625" style="17" customWidth="1"/>
    <col min="7688" max="7688" width="22.85546875" style="17" customWidth="1"/>
    <col min="7689" max="7689" width="28" style="17" customWidth="1"/>
    <col min="7690" max="7690" width="20.28515625" style="17" customWidth="1"/>
    <col min="7691" max="7691" width="40.28515625" style="17" customWidth="1"/>
    <col min="7692" max="7692" width="24.42578125" style="17" customWidth="1"/>
    <col min="7693" max="7693" width="38.7109375" style="17" customWidth="1"/>
    <col min="7694" max="7694" width="18.5703125" style="17" customWidth="1"/>
    <col min="7695" max="7695" width="25.42578125" style="17" customWidth="1"/>
    <col min="7696" max="7696" width="18.85546875" style="17" customWidth="1"/>
    <col min="7697" max="7697" width="32.7109375" style="17" customWidth="1"/>
    <col min="7698" max="7698" width="20" style="17" customWidth="1"/>
    <col min="7699" max="7699" width="29.140625" style="17" customWidth="1"/>
    <col min="7700" max="7700" width="13.5703125" style="17" customWidth="1"/>
    <col min="7701" max="7701" width="35.7109375" style="17" customWidth="1"/>
    <col min="7702" max="7702" width="16.42578125" style="17" customWidth="1"/>
    <col min="7703" max="7703" width="30.42578125" style="17" customWidth="1"/>
    <col min="7704" max="7704" width="17.5703125" style="17" bestFit="1" customWidth="1"/>
    <col min="7705" max="7705" width="31.28515625" style="17" customWidth="1"/>
    <col min="7706" max="7706" width="20.42578125" style="17" customWidth="1"/>
    <col min="7707" max="7707" width="14.85546875" style="17" bestFit="1" customWidth="1"/>
    <col min="7708" max="7709" width="11.42578125" style="17"/>
    <col min="7710" max="7710" width="16.42578125" style="17" customWidth="1"/>
    <col min="7711" max="7936" width="11.42578125" style="17"/>
    <col min="7937" max="7937" width="67" style="17" customWidth="1"/>
    <col min="7938" max="7938" width="13.85546875" style="17" customWidth="1"/>
    <col min="7939" max="7939" width="22.28515625" style="17" customWidth="1"/>
    <col min="7940" max="7940" width="17.42578125" style="17" customWidth="1"/>
    <col min="7941" max="7941" width="28" style="17" customWidth="1"/>
    <col min="7942" max="7942" width="30.5703125" style="17" customWidth="1"/>
    <col min="7943" max="7943" width="25.28515625" style="17" customWidth="1"/>
    <col min="7944" max="7944" width="22.85546875" style="17" customWidth="1"/>
    <col min="7945" max="7945" width="28" style="17" customWidth="1"/>
    <col min="7946" max="7946" width="20.28515625" style="17" customWidth="1"/>
    <col min="7947" max="7947" width="40.28515625" style="17" customWidth="1"/>
    <col min="7948" max="7948" width="24.42578125" style="17" customWidth="1"/>
    <col min="7949" max="7949" width="38.7109375" style="17" customWidth="1"/>
    <col min="7950" max="7950" width="18.5703125" style="17" customWidth="1"/>
    <col min="7951" max="7951" width="25.42578125" style="17" customWidth="1"/>
    <col min="7952" max="7952" width="18.85546875" style="17" customWidth="1"/>
    <col min="7953" max="7953" width="32.7109375" style="17" customWidth="1"/>
    <col min="7954" max="7954" width="20" style="17" customWidth="1"/>
    <col min="7955" max="7955" width="29.140625" style="17" customWidth="1"/>
    <col min="7956" max="7956" width="13.5703125" style="17" customWidth="1"/>
    <col min="7957" max="7957" width="35.7109375" style="17" customWidth="1"/>
    <col min="7958" max="7958" width="16.42578125" style="17" customWidth="1"/>
    <col min="7959" max="7959" width="30.42578125" style="17" customWidth="1"/>
    <col min="7960" max="7960" width="17.5703125" style="17" bestFit="1" customWidth="1"/>
    <col min="7961" max="7961" width="31.28515625" style="17" customWidth="1"/>
    <col min="7962" max="7962" width="20.42578125" style="17" customWidth="1"/>
    <col min="7963" max="7963" width="14.85546875" style="17" bestFit="1" customWidth="1"/>
    <col min="7964" max="7965" width="11.42578125" style="17"/>
    <col min="7966" max="7966" width="16.42578125" style="17" customWidth="1"/>
    <col min="7967" max="8192" width="11.42578125" style="17"/>
    <col min="8193" max="8193" width="67" style="17" customWidth="1"/>
    <col min="8194" max="8194" width="13.85546875" style="17" customWidth="1"/>
    <col min="8195" max="8195" width="22.28515625" style="17" customWidth="1"/>
    <col min="8196" max="8196" width="17.42578125" style="17" customWidth="1"/>
    <col min="8197" max="8197" width="28" style="17" customWidth="1"/>
    <col min="8198" max="8198" width="30.5703125" style="17" customWidth="1"/>
    <col min="8199" max="8199" width="25.28515625" style="17" customWidth="1"/>
    <col min="8200" max="8200" width="22.85546875" style="17" customWidth="1"/>
    <col min="8201" max="8201" width="28" style="17" customWidth="1"/>
    <col min="8202" max="8202" width="20.28515625" style="17" customWidth="1"/>
    <col min="8203" max="8203" width="40.28515625" style="17" customWidth="1"/>
    <col min="8204" max="8204" width="24.42578125" style="17" customWidth="1"/>
    <col min="8205" max="8205" width="38.7109375" style="17" customWidth="1"/>
    <col min="8206" max="8206" width="18.5703125" style="17" customWidth="1"/>
    <col min="8207" max="8207" width="25.42578125" style="17" customWidth="1"/>
    <col min="8208" max="8208" width="18.85546875" style="17" customWidth="1"/>
    <col min="8209" max="8209" width="32.7109375" style="17" customWidth="1"/>
    <col min="8210" max="8210" width="20" style="17" customWidth="1"/>
    <col min="8211" max="8211" width="29.140625" style="17" customWidth="1"/>
    <col min="8212" max="8212" width="13.5703125" style="17" customWidth="1"/>
    <col min="8213" max="8213" width="35.7109375" style="17" customWidth="1"/>
    <col min="8214" max="8214" width="16.42578125" style="17" customWidth="1"/>
    <col min="8215" max="8215" width="30.42578125" style="17" customWidth="1"/>
    <col min="8216" max="8216" width="17.5703125" style="17" bestFit="1" customWidth="1"/>
    <col min="8217" max="8217" width="31.28515625" style="17" customWidth="1"/>
    <col min="8218" max="8218" width="20.42578125" style="17" customWidth="1"/>
    <col min="8219" max="8219" width="14.85546875" style="17" bestFit="1" customWidth="1"/>
    <col min="8220" max="8221" width="11.42578125" style="17"/>
    <col min="8222" max="8222" width="16.42578125" style="17" customWidth="1"/>
    <col min="8223" max="8448" width="11.42578125" style="17"/>
    <col min="8449" max="8449" width="67" style="17" customWidth="1"/>
    <col min="8450" max="8450" width="13.85546875" style="17" customWidth="1"/>
    <col min="8451" max="8451" width="22.28515625" style="17" customWidth="1"/>
    <col min="8452" max="8452" width="17.42578125" style="17" customWidth="1"/>
    <col min="8453" max="8453" width="28" style="17" customWidth="1"/>
    <col min="8454" max="8454" width="30.5703125" style="17" customWidth="1"/>
    <col min="8455" max="8455" width="25.28515625" style="17" customWidth="1"/>
    <col min="8456" max="8456" width="22.85546875" style="17" customWidth="1"/>
    <col min="8457" max="8457" width="28" style="17" customWidth="1"/>
    <col min="8458" max="8458" width="20.28515625" style="17" customWidth="1"/>
    <col min="8459" max="8459" width="40.28515625" style="17" customWidth="1"/>
    <col min="8460" max="8460" width="24.42578125" style="17" customWidth="1"/>
    <col min="8461" max="8461" width="38.7109375" style="17" customWidth="1"/>
    <col min="8462" max="8462" width="18.5703125" style="17" customWidth="1"/>
    <col min="8463" max="8463" width="25.42578125" style="17" customWidth="1"/>
    <col min="8464" max="8464" width="18.85546875" style="17" customWidth="1"/>
    <col min="8465" max="8465" width="32.7109375" style="17" customWidth="1"/>
    <col min="8466" max="8466" width="20" style="17" customWidth="1"/>
    <col min="8467" max="8467" width="29.140625" style="17" customWidth="1"/>
    <col min="8468" max="8468" width="13.5703125" style="17" customWidth="1"/>
    <col min="8469" max="8469" width="35.7109375" style="17" customWidth="1"/>
    <col min="8470" max="8470" width="16.42578125" style="17" customWidth="1"/>
    <col min="8471" max="8471" width="30.42578125" style="17" customWidth="1"/>
    <col min="8472" max="8472" width="17.5703125" style="17" bestFit="1" customWidth="1"/>
    <col min="8473" max="8473" width="31.28515625" style="17" customWidth="1"/>
    <col min="8474" max="8474" width="20.42578125" style="17" customWidth="1"/>
    <col min="8475" max="8475" width="14.85546875" style="17" bestFit="1" customWidth="1"/>
    <col min="8476" max="8477" width="11.42578125" style="17"/>
    <col min="8478" max="8478" width="16.42578125" style="17" customWidth="1"/>
    <col min="8479" max="8704" width="11.42578125" style="17"/>
    <col min="8705" max="8705" width="67" style="17" customWidth="1"/>
    <col min="8706" max="8706" width="13.85546875" style="17" customWidth="1"/>
    <col min="8707" max="8707" width="22.28515625" style="17" customWidth="1"/>
    <col min="8708" max="8708" width="17.42578125" style="17" customWidth="1"/>
    <col min="8709" max="8709" width="28" style="17" customWidth="1"/>
    <col min="8710" max="8710" width="30.5703125" style="17" customWidth="1"/>
    <col min="8711" max="8711" width="25.28515625" style="17" customWidth="1"/>
    <col min="8712" max="8712" width="22.85546875" style="17" customWidth="1"/>
    <col min="8713" max="8713" width="28" style="17" customWidth="1"/>
    <col min="8714" max="8714" width="20.28515625" style="17" customWidth="1"/>
    <col min="8715" max="8715" width="40.28515625" style="17" customWidth="1"/>
    <col min="8716" max="8716" width="24.42578125" style="17" customWidth="1"/>
    <col min="8717" max="8717" width="38.7109375" style="17" customWidth="1"/>
    <col min="8718" max="8718" width="18.5703125" style="17" customWidth="1"/>
    <col min="8719" max="8719" width="25.42578125" style="17" customWidth="1"/>
    <col min="8720" max="8720" width="18.85546875" style="17" customWidth="1"/>
    <col min="8721" max="8721" width="32.7109375" style="17" customWidth="1"/>
    <col min="8722" max="8722" width="20" style="17" customWidth="1"/>
    <col min="8723" max="8723" width="29.140625" style="17" customWidth="1"/>
    <col min="8724" max="8724" width="13.5703125" style="17" customWidth="1"/>
    <col min="8725" max="8725" width="35.7109375" style="17" customWidth="1"/>
    <col min="8726" max="8726" width="16.42578125" style="17" customWidth="1"/>
    <col min="8727" max="8727" width="30.42578125" style="17" customWidth="1"/>
    <col min="8728" max="8728" width="17.5703125" style="17" bestFit="1" customWidth="1"/>
    <col min="8729" max="8729" width="31.28515625" style="17" customWidth="1"/>
    <col min="8730" max="8730" width="20.42578125" style="17" customWidth="1"/>
    <col min="8731" max="8731" width="14.85546875" style="17" bestFit="1" customWidth="1"/>
    <col min="8732" max="8733" width="11.42578125" style="17"/>
    <col min="8734" max="8734" width="16.42578125" style="17" customWidth="1"/>
    <col min="8735" max="8960" width="11.42578125" style="17"/>
    <col min="8961" max="8961" width="67" style="17" customWidth="1"/>
    <col min="8962" max="8962" width="13.85546875" style="17" customWidth="1"/>
    <col min="8963" max="8963" width="22.28515625" style="17" customWidth="1"/>
    <col min="8964" max="8964" width="17.42578125" style="17" customWidth="1"/>
    <col min="8965" max="8965" width="28" style="17" customWidth="1"/>
    <col min="8966" max="8966" width="30.5703125" style="17" customWidth="1"/>
    <col min="8967" max="8967" width="25.28515625" style="17" customWidth="1"/>
    <col min="8968" max="8968" width="22.85546875" style="17" customWidth="1"/>
    <col min="8969" max="8969" width="28" style="17" customWidth="1"/>
    <col min="8970" max="8970" width="20.28515625" style="17" customWidth="1"/>
    <col min="8971" max="8971" width="40.28515625" style="17" customWidth="1"/>
    <col min="8972" max="8972" width="24.42578125" style="17" customWidth="1"/>
    <col min="8973" max="8973" width="38.7109375" style="17" customWidth="1"/>
    <col min="8974" max="8974" width="18.5703125" style="17" customWidth="1"/>
    <col min="8975" max="8975" width="25.42578125" style="17" customWidth="1"/>
    <col min="8976" max="8976" width="18.85546875" style="17" customWidth="1"/>
    <col min="8977" max="8977" width="32.7109375" style="17" customWidth="1"/>
    <col min="8978" max="8978" width="20" style="17" customWidth="1"/>
    <col min="8979" max="8979" width="29.140625" style="17" customWidth="1"/>
    <col min="8980" max="8980" width="13.5703125" style="17" customWidth="1"/>
    <col min="8981" max="8981" width="35.7109375" style="17" customWidth="1"/>
    <col min="8982" max="8982" width="16.42578125" style="17" customWidth="1"/>
    <col min="8983" max="8983" width="30.42578125" style="17" customWidth="1"/>
    <col min="8984" max="8984" width="17.5703125" style="17" bestFit="1" customWidth="1"/>
    <col min="8985" max="8985" width="31.28515625" style="17" customWidth="1"/>
    <col min="8986" max="8986" width="20.42578125" style="17" customWidth="1"/>
    <col min="8987" max="8987" width="14.85546875" style="17" bestFit="1" customWidth="1"/>
    <col min="8988" max="8989" width="11.42578125" style="17"/>
    <col min="8990" max="8990" width="16.42578125" style="17" customWidth="1"/>
    <col min="8991" max="9216" width="11.42578125" style="17"/>
    <col min="9217" max="9217" width="67" style="17" customWidth="1"/>
    <col min="9218" max="9218" width="13.85546875" style="17" customWidth="1"/>
    <col min="9219" max="9219" width="22.28515625" style="17" customWidth="1"/>
    <col min="9220" max="9220" width="17.42578125" style="17" customWidth="1"/>
    <col min="9221" max="9221" width="28" style="17" customWidth="1"/>
    <col min="9222" max="9222" width="30.5703125" style="17" customWidth="1"/>
    <col min="9223" max="9223" width="25.28515625" style="17" customWidth="1"/>
    <col min="9224" max="9224" width="22.85546875" style="17" customWidth="1"/>
    <col min="9225" max="9225" width="28" style="17" customWidth="1"/>
    <col min="9226" max="9226" width="20.28515625" style="17" customWidth="1"/>
    <col min="9227" max="9227" width="40.28515625" style="17" customWidth="1"/>
    <col min="9228" max="9228" width="24.42578125" style="17" customWidth="1"/>
    <col min="9229" max="9229" width="38.7109375" style="17" customWidth="1"/>
    <col min="9230" max="9230" width="18.5703125" style="17" customWidth="1"/>
    <col min="9231" max="9231" width="25.42578125" style="17" customWidth="1"/>
    <col min="9232" max="9232" width="18.85546875" style="17" customWidth="1"/>
    <col min="9233" max="9233" width="32.7109375" style="17" customWidth="1"/>
    <col min="9234" max="9234" width="20" style="17" customWidth="1"/>
    <col min="9235" max="9235" width="29.140625" style="17" customWidth="1"/>
    <col min="9236" max="9236" width="13.5703125" style="17" customWidth="1"/>
    <col min="9237" max="9237" width="35.7109375" style="17" customWidth="1"/>
    <col min="9238" max="9238" width="16.42578125" style="17" customWidth="1"/>
    <col min="9239" max="9239" width="30.42578125" style="17" customWidth="1"/>
    <col min="9240" max="9240" width="17.5703125" style="17" bestFit="1" customWidth="1"/>
    <col min="9241" max="9241" width="31.28515625" style="17" customWidth="1"/>
    <col min="9242" max="9242" width="20.42578125" style="17" customWidth="1"/>
    <col min="9243" max="9243" width="14.85546875" style="17" bestFit="1" customWidth="1"/>
    <col min="9244" max="9245" width="11.42578125" style="17"/>
    <col min="9246" max="9246" width="16.42578125" style="17" customWidth="1"/>
    <col min="9247" max="9472" width="11.42578125" style="17"/>
    <col min="9473" max="9473" width="67" style="17" customWidth="1"/>
    <col min="9474" max="9474" width="13.85546875" style="17" customWidth="1"/>
    <col min="9475" max="9475" width="22.28515625" style="17" customWidth="1"/>
    <col min="9476" max="9476" width="17.42578125" style="17" customWidth="1"/>
    <col min="9477" max="9477" width="28" style="17" customWidth="1"/>
    <col min="9478" max="9478" width="30.5703125" style="17" customWidth="1"/>
    <col min="9479" max="9479" width="25.28515625" style="17" customWidth="1"/>
    <col min="9480" max="9480" width="22.85546875" style="17" customWidth="1"/>
    <col min="9481" max="9481" width="28" style="17" customWidth="1"/>
    <col min="9482" max="9482" width="20.28515625" style="17" customWidth="1"/>
    <col min="9483" max="9483" width="40.28515625" style="17" customWidth="1"/>
    <col min="9484" max="9484" width="24.42578125" style="17" customWidth="1"/>
    <col min="9485" max="9485" width="38.7109375" style="17" customWidth="1"/>
    <col min="9486" max="9486" width="18.5703125" style="17" customWidth="1"/>
    <col min="9487" max="9487" width="25.42578125" style="17" customWidth="1"/>
    <col min="9488" max="9488" width="18.85546875" style="17" customWidth="1"/>
    <col min="9489" max="9489" width="32.7109375" style="17" customWidth="1"/>
    <col min="9490" max="9490" width="20" style="17" customWidth="1"/>
    <col min="9491" max="9491" width="29.140625" style="17" customWidth="1"/>
    <col min="9492" max="9492" width="13.5703125" style="17" customWidth="1"/>
    <col min="9493" max="9493" width="35.7109375" style="17" customWidth="1"/>
    <col min="9494" max="9494" width="16.42578125" style="17" customWidth="1"/>
    <col min="9495" max="9495" width="30.42578125" style="17" customWidth="1"/>
    <col min="9496" max="9496" width="17.5703125" style="17" bestFit="1" customWidth="1"/>
    <col min="9497" max="9497" width="31.28515625" style="17" customWidth="1"/>
    <col min="9498" max="9498" width="20.42578125" style="17" customWidth="1"/>
    <col min="9499" max="9499" width="14.85546875" style="17" bestFit="1" customWidth="1"/>
    <col min="9500" max="9501" width="11.42578125" style="17"/>
    <col min="9502" max="9502" width="16.42578125" style="17" customWidth="1"/>
    <col min="9503" max="9728" width="11.42578125" style="17"/>
    <col min="9729" max="9729" width="67" style="17" customWidth="1"/>
    <col min="9730" max="9730" width="13.85546875" style="17" customWidth="1"/>
    <col min="9731" max="9731" width="22.28515625" style="17" customWidth="1"/>
    <col min="9732" max="9732" width="17.42578125" style="17" customWidth="1"/>
    <col min="9733" max="9733" width="28" style="17" customWidth="1"/>
    <col min="9734" max="9734" width="30.5703125" style="17" customWidth="1"/>
    <col min="9735" max="9735" width="25.28515625" style="17" customWidth="1"/>
    <col min="9736" max="9736" width="22.85546875" style="17" customWidth="1"/>
    <col min="9737" max="9737" width="28" style="17" customWidth="1"/>
    <col min="9738" max="9738" width="20.28515625" style="17" customWidth="1"/>
    <col min="9739" max="9739" width="40.28515625" style="17" customWidth="1"/>
    <col min="9740" max="9740" width="24.42578125" style="17" customWidth="1"/>
    <col min="9741" max="9741" width="38.7109375" style="17" customWidth="1"/>
    <col min="9742" max="9742" width="18.5703125" style="17" customWidth="1"/>
    <col min="9743" max="9743" width="25.42578125" style="17" customWidth="1"/>
    <col min="9744" max="9744" width="18.85546875" style="17" customWidth="1"/>
    <col min="9745" max="9745" width="32.7109375" style="17" customWidth="1"/>
    <col min="9746" max="9746" width="20" style="17" customWidth="1"/>
    <col min="9747" max="9747" width="29.140625" style="17" customWidth="1"/>
    <col min="9748" max="9748" width="13.5703125" style="17" customWidth="1"/>
    <col min="9749" max="9749" width="35.7109375" style="17" customWidth="1"/>
    <col min="9750" max="9750" width="16.42578125" style="17" customWidth="1"/>
    <col min="9751" max="9751" width="30.42578125" style="17" customWidth="1"/>
    <col min="9752" max="9752" width="17.5703125" style="17" bestFit="1" customWidth="1"/>
    <col min="9753" max="9753" width="31.28515625" style="17" customWidth="1"/>
    <col min="9754" max="9754" width="20.42578125" style="17" customWidth="1"/>
    <col min="9755" max="9755" width="14.85546875" style="17" bestFit="1" customWidth="1"/>
    <col min="9756" max="9757" width="11.42578125" style="17"/>
    <col min="9758" max="9758" width="16.42578125" style="17" customWidth="1"/>
    <col min="9759" max="9984" width="11.42578125" style="17"/>
    <col min="9985" max="9985" width="67" style="17" customWidth="1"/>
    <col min="9986" max="9986" width="13.85546875" style="17" customWidth="1"/>
    <col min="9987" max="9987" width="22.28515625" style="17" customWidth="1"/>
    <col min="9988" max="9988" width="17.42578125" style="17" customWidth="1"/>
    <col min="9989" max="9989" width="28" style="17" customWidth="1"/>
    <col min="9990" max="9990" width="30.5703125" style="17" customWidth="1"/>
    <col min="9991" max="9991" width="25.28515625" style="17" customWidth="1"/>
    <col min="9992" max="9992" width="22.85546875" style="17" customWidth="1"/>
    <col min="9993" max="9993" width="28" style="17" customWidth="1"/>
    <col min="9994" max="9994" width="20.28515625" style="17" customWidth="1"/>
    <col min="9995" max="9995" width="40.28515625" style="17" customWidth="1"/>
    <col min="9996" max="9996" width="24.42578125" style="17" customWidth="1"/>
    <col min="9997" max="9997" width="38.7109375" style="17" customWidth="1"/>
    <col min="9998" max="9998" width="18.5703125" style="17" customWidth="1"/>
    <col min="9999" max="9999" width="25.42578125" style="17" customWidth="1"/>
    <col min="10000" max="10000" width="18.85546875" style="17" customWidth="1"/>
    <col min="10001" max="10001" width="32.7109375" style="17" customWidth="1"/>
    <col min="10002" max="10002" width="20" style="17" customWidth="1"/>
    <col min="10003" max="10003" width="29.140625" style="17" customWidth="1"/>
    <col min="10004" max="10004" width="13.5703125" style="17" customWidth="1"/>
    <col min="10005" max="10005" width="35.7109375" style="17" customWidth="1"/>
    <col min="10006" max="10006" width="16.42578125" style="17" customWidth="1"/>
    <col min="10007" max="10007" width="30.42578125" style="17" customWidth="1"/>
    <col min="10008" max="10008" width="17.5703125" style="17" bestFit="1" customWidth="1"/>
    <col min="10009" max="10009" width="31.28515625" style="17" customWidth="1"/>
    <col min="10010" max="10010" width="20.42578125" style="17" customWidth="1"/>
    <col min="10011" max="10011" width="14.85546875" style="17" bestFit="1" customWidth="1"/>
    <col min="10012" max="10013" width="11.42578125" style="17"/>
    <col min="10014" max="10014" width="16.42578125" style="17" customWidth="1"/>
    <col min="10015" max="10240" width="11.42578125" style="17"/>
    <col min="10241" max="10241" width="67" style="17" customWidth="1"/>
    <col min="10242" max="10242" width="13.85546875" style="17" customWidth="1"/>
    <col min="10243" max="10243" width="22.28515625" style="17" customWidth="1"/>
    <col min="10244" max="10244" width="17.42578125" style="17" customWidth="1"/>
    <col min="10245" max="10245" width="28" style="17" customWidth="1"/>
    <col min="10246" max="10246" width="30.5703125" style="17" customWidth="1"/>
    <col min="10247" max="10247" width="25.28515625" style="17" customWidth="1"/>
    <col min="10248" max="10248" width="22.85546875" style="17" customWidth="1"/>
    <col min="10249" max="10249" width="28" style="17" customWidth="1"/>
    <col min="10250" max="10250" width="20.28515625" style="17" customWidth="1"/>
    <col min="10251" max="10251" width="40.28515625" style="17" customWidth="1"/>
    <col min="10252" max="10252" width="24.42578125" style="17" customWidth="1"/>
    <col min="10253" max="10253" width="38.7109375" style="17" customWidth="1"/>
    <col min="10254" max="10254" width="18.5703125" style="17" customWidth="1"/>
    <col min="10255" max="10255" width="25.42578125" style="17" customWidth="1"/>
    <col min="10256" max="10256" width="18.85546875" style="17" customWidth="1"/>
    <col min="10257" max="10257" width="32.7109375" style="17" customWidth="1"/>
    <col min="10258" max="10258" width="20" style="17" customWidth="1"/>
    <col min="10259" max="10259" width="29.140625" style="17" customWidth="1"/>
    <col min="10260" max="10260" width="13.5703125" style="17" customWidth="1"/>
    <col min="10261" max="10261" width="35.7109375" style="17" customWidth="1"/>
    <col min="10262" max="10262" width="16.42578125" style="17" customWidth="1"/>
    <col min="10263" max="10263" width="30.42578125" style="17" customWidth="1"/>
    <col min="10264" max="10264" width="17.5703125" style="17" bestFit="1" customWidth="1"/>
    <col min="10265" max="10265" width="31.28515625" style="17" customWidth="1"/>
    <col min="10266" max="10266" width="20.42578125" style="17" customWidth="1"/>
    <col min="10267" max="10267" width="14.85546875" style="17" bestFit="1" customWidth="1"/>
    <col min="10268" max="10269" width="11.42578125" style="17"/>
    <col min="10270" max="10270" width="16.42578125" style="17" customWidth="1"/>
    <col min="10271" max="10496" width="11.42578125" style="17"/>
    <col min="10497" max="10497" width="67" style="17" customWidth="1"/>
    <col min="10498" max="10498" width="13.85546875" style="17" customWidth="1"/>
    <col min="10499" max="10499" width="22.28515625" style="17" customWidth="1"/>
    <col min="10500" max="10500" width="17.42578125" style="17" customWidth="1"/>
    <col min="10501" max="10501" width="28" style="17" customWidth="1"/>
    <col min="10502" max="10502" width="30.5703125" style="17" customWidth="1"/>
    <col min="10503" max="10503" width="25.28515625" style="17" customWidth="1"/>
    <col min="10504" max="10504" width="22.85546875" style="17" customWidth="1"/>
    <col min="10505" max="10505" width="28" style="17" customWidth="1"/>
    <col min="10506" max="10506" width="20.28515625" style="17" customWidth="1"/>
    <col min="10507" max="10507" width="40.28515625" style="17" customWidth="1"/>
    <col min="10508" max="10508" width="24.42578125" style="17" customWidth="1"/>
    <col min="10509" max="10509" width="38.7109375" style="17" customWidth="1"/>
    <col min="10510" max="10510" width="18.5703125" style="17" customWidth="1"/>
    <col min="10511" max="10511" width="25.42578125" style="17" customWidth="1"/>
    <col min="10512" max="10512" width="18.85546875" style="17" customWidth="1"/>
    <col min="10513" max="10513" width="32.7109375" style="17" customWidth="1"/>
    <col min="10514" max="10514" width="20" style="17" customWidth="1"/>
    <col min="10515" max="10515" width="29.140625" style="17" customWidth="1"/>
    <col min="10516" max="10516" width="13.5703125" style="17" customWidth="1"/>
    <col min="10517" max="10517" width="35.7109375" style="17" customWidth="1"/>
    <col min="10518" max="10518" width="16.42578125" style="17" customWidth="1"/>
    <col min="10519" max="10519" width="30.42578125" style="17" customWidth="1"/>
    <col min="10520" max="10520" width="17.5703125" style="17" bestFit="1" customWidth="1"/>
    <col min="10521" max="10521" width="31.28515625" style="17" customWidth="1"/>
    <col min="10522" max="10522" width="20.42578125" style="17" customWidth="1"/>
    <col min="10523" max="10523" width="14.85546875" style="17" bestFit="1" customWidth="1"/>
    <col min="10524" max="10525" width="11.42578125" style="17"/>
    <col min="10526" max="10526" width="16.42578125" style="17" customWidth="1"/>
    <col min="10527" max="10752" width="11.42578125" style="17"/>
    <col min="10753" max="10753" width="67" style="17" customWidth="1"/>
    <col min="10754" max="10754" width="13.85546875" style="17" customWidth="1"/>
    <col min="10755" max="10755" width="22.28515625" style="17" customWidth="1"/>
    <col min="10756" max="10756" width="17.42578125" style="17" customWidth="1"/>
    <col min="10757" max="10757" width="28" style="17" customWidth="1"/>
    <col min="10758" max="10758" width="30.5703125" style="17" customWidth="1"/>
    <col min="10759" max="10759" width="25.28515625" style="17" customWidth="1"/>
    <col min="10760" max="10760" width="22.85546875" style="17" customWidth="1"/>
    <col min="10761" max="10761" width="28" style="17" customWidth="1"/>
    <col min="10762" max="10762" width="20.28515625" style="17" customWidth="1"/>
    <col min="10763" max="10763" width="40.28515625" style="17" customWidth="1"/>
    <col min="10764" max="10764" width="24.42578125" style="17" customWidth="1"/>
    <col min="10765" max="10765" width="38.7109375" style="17" customWidth="1"/>
    <col min="10766" max="10766" width="18.5703125" style="17" customWidth="1"/>
    <col min="10767" max="10767" width="25.42578125" style="17" customWidth="1"/>
    <col min="10768" max="10768" width="18.85546875" style="17" customWidth="1"/>
    <col min="10769" max="10769" width="32.7109375" style="17" customWidth="1"/>
    <col min="10770" max="10770" width="20" style="17" customWidth="1"/>
    <col min="10771" max="10771" width="29.140625" style="17" customWidth="1"/>
    <col min="10772" max="10772" width="13.5703125" style="17" customWidth="1"/>
    <col min="10773" max="10773" width="35.7109375" style="17" customWidth="1"/>
    <col min="10774" max="10774" width="16.42578125" style="17" customWidth="1"/>
    <col min="10775" max="10775" width="30.42578125" style="17" customWidth="1"/>
    <col min="10776" max="10776" width="17.5703125" style="17" bestFit="1" customWidth="1"/>
    <col min="10777" max="10777" width="31.28515625" style="17" customWidth="1"/>
    <col min="10778" max="10778" width="20.42578125" style="17" customWidth="1"/>
    <col min="10779" max="10779" width="14.85546875" style="17" bestFit="1" customWidth="1"/>
    <col min="10780" max="10781" width="11.42578125" style="17"/>
    <col min="10782" max="10782" width="16.42578125" style="17" customWidth="1"/>
    <col min="10783" max="11008" width="11.42578125" style="17"/>
    <col min="11009" max="11009" width="67" style="17" customWidth="1"/>
    <col min="11010" max="11010" width="13.85546875" style="17" customWidth="1"/>
    <col min="11011" max="11011" width="22.28515625" style="17" customWidth="1"/>
    <col min="11012" max="11012" width="17.42578125" style="17" customWidth="1"/>
    <col min="11013" max="11013" width="28" style="17" customWidth="1"/>
    <col min="11014" max="11014" width="30.5703125" style="17" customWidth="1"/>
    <col min="11015" max="11015" width="25.28515625" style="17" customWidth="1"/>
    <col min="11016" max="11016" width="22.85546875" style="17" customWidth="1"/>
    <col min="11017" max="11017" width="28" style="17" customWidth="1"/>
    <col min="11018" max="11018" width="20.28515625" style="17" customWidth="1"/>
    <col min="11019" max="11019" width="40.28515625" style="17" customWidth="1"/>
    <col min="11020" max="11020" width="24.42578125" style="17" customWidth="1"/>
    <col min="11021" max="11021" width="38.7109375" style="17" customWidth="1"/>
    <col min="11022" max="11022" width="18.5703125" style="17" customWidth="1"/>
    <col min="11023" max="11023" width="25.42578125" style="17" customWidth="1"/>
    <col min="11024" max="11024" width="18.85546875" style="17" customWidth="1"/>
    <col min="11025" max="11025" width="32.7109375" style="17" customWidth="1"/>
    <col min="11026" max="11026" width="20" style="17" customWidth="1"/>
    <col min="11027" max="11027" width="29.140625" style="17" customWidth="1"/>
    <col min="11028" max="11028" width="13.5703125" style="17" customWidth="1"/>
    <col min="11029" max="11029" width="35.7109375" style="17" customWidth="1"/>
    <col min="11030" max="11030" width="16.42578125" style="17" customWidth="1"/>
    <col min="11031" max="11031" width="30.42578125" style="17" customWidth="1"/>
    <col min="11032" max="11032" width="17.5703125" style="17" bestFit="1" customWidth="1"/>
    <col min="11033" max="11033" width="31.28515625" style="17" customWidth="1"/>
    <col min="11034" max="11034" width="20.42578125" style="17" customWidth="1"/>
    <col min="11035" max="11035" width="14.85546875" style="17" bestFit="1" customWidth="1"/>
    <col min="11036" max="11037" width="11.42578125" style="17"/>
    <col min="11038" max="11038" width="16.42578125" style="17" customWidth="1"/>
    <col min="11039" max="11264" width="11.42578125" style="17"/>
    <col min="11265" max="11265" width="67" style="17" customWidth="1"/>
    <col min="11266" max="11266" width="13.85546875" style="17" customWidth="1"/>
    <col min="11267" max="11267" width="22.28515625" style="17" customWidth="1"/>
    <col min="11268" max="11268" width="17.42578125" style="17" customWidth="1"/>
    <col min="11269" max="11269" width="28" style="17" customWidth="1"/>
    <col min="11270" max="11270" width="30.5703125" style="17" customWidth="1"/>
    <col min="11271" max="11271" width="25.28515625" style="17" customWidth="1"/>
    <col min="11272" max="11272" width="22.85546875" style="17" customWidth="1"/>
    <col min="11273" max="11273" width="28" style="17" customWidth="1"/>
    <col min="11274" max="11274" width="20.28515625" style="17" customWidth="1"/>
    <col min="11275" max="11275" width="40.28515625" style="17" customWidth="1"/>
    <col min="11276" max="11276" width="24.42578125" style="17" customWidth="1"/>
    <col min="11277" max="11277" width="38.7109375" style="17" customWidth="1"/>
    <col min="11278" max="11278" width="18.5703125" style="17" customWidth="1"/>
    <col min="11279" max="11279" width="25.42578125" style="17" customWidth="1"/>
    <col min="11280" max="11280" width="18.85546875" style="17" customWidth="1"/>
    <col min="11281" max="11281" width="32.7109375" style="17" customWidth="1"/>
    <col min="11282" max="11282" width="20" style="17" customWidth="1"/>
    <col min="11283" max="11283" width="29.140625" style="17" customWidth="1"/>
    <col min="11284" max="11284" width="13.5703125" style="17" customWidth="1"/>
    <col min="11285" max="11285" width="35.7109375" style="17" customWidth="1"/>
    <col min="11286" max="11286" width="16.42578125" style="17" customWidth="1"/>
    <col min="11287" max="11287" width="30.42578125" style="17" customWidth="1"/>
    <col min="11288" max="11288" width="17.5703125" style="17" bestFit="1" customWidth="1"/>
    <col min="11289" max="11289" width="31.28515625" style="17" customWidth="1"/>
    <col min="11290" max="11290" width="20.42578125" style="17" customWidth="1"/>
    <col min="11291" max="11291" width="14.85546875" style="17" bestFit="1" customWidth="1"/>
    <col min="11292" max="11293" width="11.42578125" style="17"/>
    <col min="11294" max="11294" width="16.42578125" style="17" customWidth="1"/>
    <col min="11295" max="11520" width="11.42578125" style="17"/>
    <col min="11521" max="11521" width="67" style="17" customWidth="1"/>
    <col min="11522" max="11522" width="13.85546875" style="17" customWidth="1"/>
    <col min="11523" max="11523" width="22.28515625" style="17" customWidth="1"/>
    <col min="11524" max="11524" width="17.42578125" style="17" customWidth="1"/>
    <col min="11525" max="11525" width="28" style="17" customWidth="1"/>
    <col min="11526" max="11526" width="30.5703125" style="17" customWidth="1"/>
    <col min="11527" max="11527" width="25.28515625" style="17" customWidth="1"/>
    <col min="11528" max="11528" width="22.85546875" style="17" customWidth="1"/>
    <col min="11529" max="11529" width="28" style="17" customWidth="1"/>
    <col min="11530" max="11530" width="20.28515625" style="17" customWidth="1"/>
    <col min="11531" max="11531" width="40.28515625" style="17" customWidth="1"/>
    <col min="11532" max="11532" width="24.42578125" style="17" customWidth="1"/>
    <col min="11533" max="11533" width="38.7109375" style="17" customWidth="1"/>
    <col min="11534" max="11534" width="18.5703125" style="17" customWidth="1"/>
    <col min="11535" max="11535" width="25.42578125" style="17" customWidth="1"/>
    <col min="11536" max="11536" width="18.85546875" style="17" customWidth="1"/>
    <col min="11537" max="11537" width="32.7109375" style="17" customWidth="1"/>
    <col min="11538" max="11538" width="20" style="17" customWidth="1"/>
    <col min="11539" max="11539" width="29.140625" style="17" customWidth="1"/>
    <col min="11540" max="11540" width="13.5703125" style="17" customWidth="1"/>
    <col min="11541" max="11541" width="35.7109375" style="17" customWidth="1"/>
    <col min="11542" max="11542" width="16.42578125" style="17" customWidth="1"/>
    <col min="11543" max="11543" width="30.42578125" style="17" customWidth="1"/>
    <col min="11544" max="11544" width="17.5703125" style="17" bestFit="1" customWidth="1"/>
    <col min="11545" max="11545" width="31.28515625" style="17" customWidth="1"/>
    <col min="11546" max="11546" width="20.42578125" style="17" customWidth="1"/>
    <col min="11547" max="11547" width="14.85546875" style="17" bestFit="1" customWidth="1"/>
    <col min="11548" max="11549" width="11.42578125" style="17"/>
    <col min="11550" max="11550" width="16.42578125" style="17" customWidth="1"/>
    <col min="11551" max="11776" width="11.42578125" style="17"/>
    <col min="11777" max="11777" width="67" style="17" customWidth="1"/>
    <col min="11778" max="11778" width="13.85546875" style="17" customWidth="1"/>
    <col min="11779" max="11779" width="22.28515625" style="17" customWidth="1"/>
    <col min="11780" max="11780" width="17.42578125" style="17" customWidth="1"/>
    <col min="11781" max="11781" width="28" style="17" customWidth="1"/>
    <col min="11782" max="11782" width="30.5703125" style="17" customWidth="1"/>
    <col min="11783" max="11783" width="25.28515625" style="17" customWidth="1"/>
    <col min="11784" max="11784" width="22.85546875" style="17" customWidth="1"/>
    <col min="11785" max="11785" width="28" style="17" customWidth="1"/>
    <col min="11786" max="11786" width="20.28515625" style="17" customWidth="1"/>
    <col min="11787" max="11787" width="40.28515625" style="17" customWidth="1"/>
    <col min="11788" max="11788" width="24.42578125" style="17" customWidth="1"/>
    <col min="11789" max="11789" width="38.7109375" style="17" customWidth="1"/>
    <col min="11790" max="11790" width="18.5703125" style="17" customWidth="1"/>
    <col min="11791" max="11791" width="25.42578125" style="17" customWidth="1"/>
    <col min="11792" max="11792" width="18.85546875" style="17" customWidth="1"/>
    <col min="11793" max="11793" width="32.7109375" style="17" customWidth="1"/>
    <col min="11794" max="11794" width="20" style="17" customWidth="1"/>
    <col min="11795" max="11795" width="29.140625" style="17" customWidth="1"/>
    <col min="11796" max="11796" width="13.5703125" style="17" customWidth="1"/>
    <col min="11797" max="11797" width="35.7109375" style="17" customWidth="1"/>
    <col min="11798" max="11798" width="16.42578125" style="17" customWidth="1"/>
    <col min="11799" max="11799" width="30.42578125" style="17" customWidth="1"/>
    <col min="11800" max="11800" width="17.5703125" style="17" bestFit="1" customWidth="1"/>
    <col min="11801" max="11801" width="31.28515625" style="17" customWidth="1"/>
    <col min="11802" max="11802" width="20.42578125" style="17" customWidth="1"/>
    <col min="11803" max="11803" width="14.85546875" style="17" bestFit="1" customWidth="1"/>
    <col min="11804" max="11805" width="11.42578125" style="17"/>
    <col min="11806" max="11806" width="16.42578125" style="17" customWidth="1"/>
    <col min="11807" max="12032" width="11.42578125" style="17"/>
    <col min="12033" max="12033" width="67" style="17" customWidth="1"/>
    <col min="12034" max="12034" width="13.85546875" style="17" customWidth="1"/>
    <col min="12035" max="12035" width="22.28515625" style="17" customWidth="1"/>
    <col min="12036" max="12036" width="17.42578125" style="17" customWidth="1"/>
    <col min="12037" max="12037" width="28" style="17" customWidth="1"/>
    <col min="12038" max="12038" width="30.5703125" style="17" customWidth="1"/>
    <col min="12039" max="12039" width="25.28515625" style="17" customWidth="1"/>
    <col min="12040" max="12040" width="22.85546875" style="17" customWidth="1"/>
    <col min="12041" max="12041" width="28" style="17" customWidth="1"/>
    <col min="12042" max="12042" width="20.28515625" style="17" customWidth="1"/>
    <col min="12043" max="12043" width="40.28515625" style="17" customWidth="1"/>
    <col min="12044" max="12044" width="24.42578125" style="17" customWidth="1"/>
    <col min="12045" max="12045" width="38.7109375" style="17" customWidth="1"/>
    <col min="12046" max="12046" width="18.5703125" style="17" customWidth="1"/>
    <col min="12047" max="12047" width="25.42578125" style="17" customWidth="1"/>
    <col min="12048" max="12048" width="18.85546875" style="17" customWidth="1"/>
    <col min="12049" max="12049" width="32.7109375" style="17" customWidth="1"/>
    <col min="12050" max="12050" width="20" style="17" customWidth="1"/>
    <col min="12051" max="12051" width="29.140625" style="17" customWidth="1"/>
    <col min="12052" max="12052" width="13.5703125" style="17" customWidth="1"/>
    <col min="12053" max="12053" width="35.7109375" style="17" customWidth="1"/>
    <col min="12054" max="12054" width="16.42578125" style="17" customWidth="1"/>
    <col min="12055" max="12055" width="30.42578125" style="17" customWidth="1"/>
    <col min="12056" max="12056" width="17.5703125" style="17" bestFit="1" customWidth="1"/>
    <col min="12057" max="12057" width="31.28515625" style="17" customWidth="1"/>
    <col min="12058" max="12058" width="20.42578125" style="17" customWidth="1"/>
    <col min="12059" max="12059" width="14.85546875" style="17" bestFit="1" customWidth="1"/>
    <col min="12060" max="12061" width="11.42578125" style="17"/>
    <col min="12062" max="12062" width="16.42578125" style="17" customWidth="1"/>
    <col min="12063" max="12288" width="11.42578125" style="17"/>
    <col min="12289" max="12289" width="67" style="17" customWidth="1"/>
    <col min="12290" max="12290" width="13.85546875" style="17" customWidth="1"/>
    <col min="12291" max="12291" width="22.28515625" style="17" customWidth="1"/>
    <col min="12292" max="12292" width="17.42578125" style="17" customWidth="1"/>
    <col min="12293" max="12293" width="28" style="17" customWidth="1"/>
    <col min="12294" max="12294" width="30.5703125" style="17" customWidth="1"/>
    <col min="12295" max="12295" width="25.28515625" style="17" customWidth="1"/>
    <col min="12296" max="12296" width="22.85546875" style="17" customWidth="1"/>
    <col min="12297" max="12297" width="28" style="17" customWidth="1"/>
    <col min="12298" max="12298" width="20.28515625" style="17" customWidth="1"/>
    <col min="12299" max="12299" width="40.28515625" style="17" customWidth="1"/>
    <col min="12300" max="12300" width="24.42578125" style="17" customWidth="1"/>
    <col min="12301" max="12301" width="38.7109375" style="17" customWidth="1"/>
    <col min="12302" max="12302" width="18.5703125" style="17" customWidth="1"/>
    <col min="12303" max="12303" width="25.42578125" style="17" customWidth="1"/>
    <col min="12304" max="12304" width="18.85546875" style="17" customWidth="1"/>
    <col min="12305" max="12305" width="32.7109375" style="17" customWidth="1"/>
    <col min="12306" max="12306" width="20" style="17" customWidth="1"/>
    <col min="12307" max="12307" width="29.140625" style="17" customWidth="1"/>
    <col min="12308" max="12308" width="13.5703125" style="17" customWidth="1"/>
    <col min="12309" max="12309" width="35.7109375" style="17" customWidth="1"/>
    <col min="12310" max="12310" width="16.42578125" style="17" customWidth="1"/>
    <col min="12311" max="12311" width="30.42578125" style="17" customWidth="1"/>
    <col min="12312" max="12312" width="17.5703125" style="17" bestFit="1" customWidth="1"/>
    <col min="12313" max="12313" width="31.28515625" style="17" customWidth="1"/>
    <col min="12314" max="12314" width="20.42578125" style="17" customWidth="1"/>
    <col min="12315" max="12315" width="14.85546875" style="17" bestFit="1" customWidth="1"/>
    <col min="12316" max="12317" width="11.42578125" style="17"/>
    <col min="12318" max="12318" width="16.42578125" style="17" customWidth="1"/>
    <col min="12319" max="12544" width="11.42578125" style="17"/>
    <col min="12545" max="12545" width="67" style="17" customWidth="1"/>
    <col min="12546" max="12546" width="13.85546875" style="17" customWidth="1"/>
    <col min="12547" max="12547" width="22.28515625" style="17" customWidth="1"/>
    <col min="12548" max="12548" width="17.42578125" style="17" customWidth="1"/>
    <col min="12549" max="12549" width="28" style="17" customWidth="1"/>
    <col min="12550" max="12550" width="30.5703125" style="17" customWidth="1"/>
    <col min="12551" max="12551" width="25.28515625" style="17" customWidth="1"/>
    <col min="12552" max="12552" width="22.85546875" style="17" customWidth="1"/>
    <col min="12553" max="12553" width="28" style="17" customWidth="1"/>
    <col min="12554" max="12554" width="20.28515625" style="17" customWidth="1"/>
    <col min="12555" max="12555" width="40.28515625" style="17" customWidth="1"/>
    <col min="12556" max="12556" width="24.42578125" style="17" customWidth="1"/>
    <col min="12557" max="12557" width="38.7109375" style="17" customWidth="1"/>
    <col min="12558" max="12558" width="18.5703125" style="17" customWidth="1"/>
    <col min="12559" max="12559" width="25.42578125" style="17" customWidth="1"/>
    <col min="12560" max="12560" width="18.85546875" style="17" customWidth="1"/>
    <col min="12561" max="12561" width="32.7109375" style="17" customWidth="1"/>
    <col min="12562" max="12562" width="20" style="17" customWidth="1"/>
    <col min="12563" max="12563" width="29.140625" style="17" customWidth="1"/>
    <col min="12564" max="12564" width="13.5703125" style="17" customWidth="1"/>
    <col min="12565" max="12565" width="35.7109375" style="17" customWidth="1"/>
    <col min="12566" max="12566" width="16.42578125" style="17" customWidth="1"/>
    <col min="12567" max="12567" width="30.42578125" style="17" customWidth="1"/>
    <col min="12568" max="12568" width="17.5703125" style="17" bestFit="1" customWidth="1"/>
    <col min="12569" max="12569" width="31.28515625" style="17" customWidth="1"/>
    <col min="12570" max="12570" width="20.42578125" style="17" customWidth="1"/>
    <col min="12571" max="12571" width="14.85546875" style="17" bestFit="1" customWidth="1"/>
    <col min="12572" max="12573" width="11.42578125" style="17"/>
    <col min="12574" max="12574" width="16.42578125" style="17" customWidth="1"/>
    <col min="12575" max="12800" width="11.42578125" style="17"/>
    <col min="12801" max="12801" width="67" style="17" customWidth="1"/>
    <col min="12802" max="12802" width="13.85546875" style="17" customWidth="1"/>
    <col min="12803" max="12803" width="22.28515625" style="17" customWidth="1"/>
    <col min="12804" max="12804" width="17.42578125" style="17" customWidth="1"/>
    <col min="12805" max="12805" width="28" style="17" customWidth="1"/>
    <col min="12806" max="12806" width="30.5703125" style="17" customWidth="1"/>
    <col min="12807" max="12807" width="25.28515625" style="17" customWidth="1"/>
    <col min="12808" max="12808" width="22.85546875" style="17" customWidth="1"/>
    <col min="12809" max="12809" width="28" style="17" customWidth="1"/>
    <col min="12810" max="12810" width="20.28515625" style="17" customWidth="1"/>
    <col min="12811" max="12811" width="40.28515625" style="17" customWidth="1"/>
    <col min="12812" max="12812" width="24.42578125" style="17" customWidth="1"/>
    <col min="12813" max="12813" width="38.7109375" style="17" customWidth="1"/>
    <col min="12814" max="12814" width="18.5703125" style="17" customWidth="1"/>
    <col min="12815" max="12815" width="25.42578125" style="17" customWidth="1"/>
    <col min="12816" max="12816" width="18.85546875" style="17" customWidth="1"/>
    <col min="12817" max="12817" width="32.7109375" style="17" customWidth="1"/>
    <col min="12818" max="12818" width="20" style="17" customWidth="1"/>
    <col min="12819" max="12819" width="29.140625" style="17" customWidth="1"/>
    <col min="12820" max="12820" width="13.5703125" style="17" customWidth="1"/>
    <col min="12821" max="12821" width="35.7109375" style="17" customWidth="1"/>
    <col min="12822" max="12822" width="16.42578125" style="17" customWidth="1"/>
    <col min="12823" max="12823" width="30.42578125" style="17" customWidth="1"/>
    <col min="12824" max="12824" width="17.5703125" style="17" bestFit="1" customWidth="1"/>
    <col min="12825" max="12825" width="31.28515625" style="17" customWidth="1"/>
    <col min="12826" max="12826" width="20.42578125" style="17" customWidth="1"/>
    <col min="12827" max="12827" width="14.85546875" style="17" bestFit="1" customWidth="1"/>
    <col min="12828" max="12829" width="11.42578125" style="17"/>
    <col min="12830" max="12830" width="16.42578125" style="17" customWidth="1"/>
    <col min="12831" max="13056" width="11.42578125" style="17"/>
    <col min="13057" max="13057" width="67" style="17" customWidth="1"/>
    <col min="13058" max="13058" width="13.85546875" style="17" customWidth="1"/>
    <col min="13059" max="13059" width="22.28515625" style="17" customWidth="1"/>
    <col min="13060" max="13060" width="17.42578125" style="17" customWidth="1"/>
    <col min="13061" max="13061" width="28" style="17" customWidth="1"/>
    <col min="13062" max="13062" width="30.5703125" style="17" customWidth="1"/>
    <col min="13063" max="13063" width="25.28515625" style="17" customWidth="1"/>
    <col min="13064" max="13064" width="22.85546875" style="17" customWidth="1"/>
    <col min="13065" max="13065" width="28" style="17" customWidth="1"/>
    <col min="13066" max="13066" width="20.28515625" style="17" customWidth="1"/>
    <col min="13067" max="13067" width="40.28515625" style="17" customWidth="1"/>
    <col min="13068" max="13068" width="24.42578125" style="17" customWidth="1"/>
    <col min="13069" max="13069" width="38.7109375" style="17" customWidth="1"/>
    <col min="13070" max="13070" width="18.5703125" style="17" customWidth="1"/>
    <col min="13071" max="13071" width="25.42578125" style="17" customWidth="1"/>
    <col min="13072" max="13072" width="18.85546875" style="17" customWidth="1"/>
    <col min="13073" max="13073" width="32.7109375" style="17" customWidth="1"/>
    <col min="13074" max="13074" width="20" style="17" customWidth="1"/>
    <col min="13075" max="13075" width="29.140625" style="17" customWidth="1"/>
    <col min="13076" max="13076" width="13.5703125" style="17" customWidth="1"/>
    <col min="13077" max="13077" width="35.7109375" style="17" customWidth="1"/>
    <col min="13078" max="13078" width="16.42578125" style="17" customWidth="1"/>
    <col min="13079" max="13079" width="30.42578125" style="17" customWidth="1"/>
    <col min="13080" max="13080" width="17.5703125" style="17" bestFit="1" customWidth="1"/>
    <col min="13081" max="13081" width="31.28515625" style="17" customWidth="1"/>
    <col min="13082" max="13082" width="20.42578125" style="17" customWidth="1"/>
    <col min="13083" max="13083" width="14.85546875" style="17" bestFit="1" customWidth="1"/>
    <col min="13084" max="13085" width="11.42578125" style="17"/>
    <col min="13086" max="13086" width="16.42578125" style="17" customWidth="1"/>
    <col min="13087" max="13312" width="11.42578125" style="17"/>
    <col min="13313" max="13313" width="67" style="17" customWidth="1"/>
    <col min="13314" max="13314" width="13.85546875" style="17" customWidth="1"/>
    <col min="13315" max="13315" width="22.28515625" style="17" customWidth="1"/>
    <col min="13316" max="13316" width="17.42578125" style="17" customWidth="1"/>
    <col min="13317" max="13317" width="28" style="17" customWidth="1"/>
    <col min="13318" max="13318" width="30.5703125" style="17" customWidth="1"/>
    <col min="13319" max="13319" width="25.28515625" style="17" customWidth="1"/>
    <col min="13320" max="13320" width="22.85546875" style="17" customWidth="1"/>
    <col min="13321" max="13321" width="28" style="17" customWidth="1"/>
    <col min="13322" max="13322" width="20.28515625" style="17" customWidth="1"/>
    <col min="13323" max="13323" width="40.28515625" style="17" customWidth="1"/>
    <col min="13324" max="13324" width="24.42578125" style="17" customWidth="1"/>
    <col min="13325" max="13325" width="38.7109375" style="17" customWidth="1"/>
    <col min="13326" max="13326" width="18.5703125" style="17" customWidth="1"/>
    <col min="13327" max="13327" width="25.42578125" style="17" customWidth="1"/>
    <col min="13328" max="13328" width="18.85546875" style="17" customWidth="1"/>
    <col min="13329" max="13329" width="32.7109375" style="17" customWidth="1"/>
    <col min="13330" max="13330" width="20" style="17" customWidth="1"/>
    <col min="13331" max="13331" width="29.140625" style="17" customWidth="1"/>
    <col min="13332" max="13332" width="13.5703125" style="17" customWidth="1"/>
    <col min="13333" max="13333" width="35.7109375" style="17" customWidth="1"/>
    <col min="13334" max="13334" width="16.42578125" style="17" customWidth="1"/>
    <col min="13335" max="13335" width="30.42578125" style="17" customWidth="1"/>
    <col min="13336" max="13336" width="17.5703125" style="17" bestFit="1" customWidth="1"/>
    <col min="13337" max="13337" width="31.28515625" style="17" customWidth="1"/>
    <col min="13338" max="13338" width="20.42578125" style="17" customWidth="1"/>
    <col min="13339" max="13339" width="14.85546875" style="17" bestFit="1" customWidth="1"/>
    <col min="13340" max="13341" width="11.42578125" style="17"/>
    <col min="13342" max="13342" width="16.42578125" style="17" customWidth="1"/>
    <col min="13343" max="13568" width="11.42578125" style="17"/>
    <col min="13569" max="13569" width="67" style="17" customWidth="1"/>
    <col min="13570" max="13570" width="13.85546875" style="17" customWidth="1"/>
    <col min="13571" max="13571" width="22.28515625" style="17" customWidth="1"/>
    <col min="13572" max="13572" width="17.42578125" style="17" customWidth="1"/>
    <col min="13573" max="13573" width="28" style="17" customWidth="1"/>
    <col min="13574" max="13574" width="30.5703125" style="17" customWidth="1"/>
    <col min="13575" max="13575" width="25.28515625" style="17" customWidth="1"/>
    <col min="13576" max="13576" width="22.85546875" style="17" customWidth="1"/>
    <col min="13577" max="13577" width="28" style="17" customWidth="1"/>
    <col min="13578" max="13578" width="20.28515625" style="17" customWidth="1"/>
    <col min="13579" max="13579" width="40.28515625" style="17" customWidth="1"/>
    <col min="13580" max="13580" width="24.42578125" style="17" customWidth="1"/>
    <col min="13581" max="13581" width="38.7109375" style="17" customWidth="1"/>
    <col min="13582" max="13582" width="18.5703125" style="17" customWidth="1"/>
    <col min="13583" max="13583" width="25.42578125" style="17" customWidth="1"/>
    <col min="13584" max="13584" width="18.85546875" style="17" customWidth="1"/>
    <col min="13585" max="13585" width="32.7109375" style="17" customWidth="1"/>
    <col min="13586" max="13586" width="20" style="17" customWidth="1"/>
    <col min="13587" max="13587" width="29.140625" style="17" customWidth="1"/>
    <col min="13588" max="13588" width="13.5703125" style="17" customWidth="1"/>
    <col min="13589" max="13589" width="35.7109375" style="17" customWidth="1"/>
    <col min="13590" max="13590" width="16.42578125" style="17" customWidth="1"/>
    <col min="13591" max="13591" width="30.42578125" style="17" customWidth="1"/>
    <col min="13592" max="13592" width="17.5703125" style="17" bestFit="1" customWidth="1"/>
    <col min="13593" max="13593" width="31.28515625" style="17" customWidth="1"/>
    <col min="13594" max="13594" width="20.42578125" style="17" customWidth="1"/>
    <col min="13595" max="13595" width="14.85546875" style="17" bestFit="1" customWidth="1"/>
    <col min="13596" max="13597" width="11.42578125" style="17"/>
    <col min="13598" max="13598" width="16.42578125" style="17" customWidth="1"/>
    <col min="13599" max="13824" width="11.42578125" style="17"/>
    <col min="13825" max="13825" width="67" style="17" customWidth="1"/>
    <col min="13826" max="13826" width="13.85546875" style="17" customWidth="1"/>
    <col min="13827" max="13827" width="22.28515625" style="17" customWidth="1"/>
    <col min="13828" max="13828" width="17.42578125" style="17" customWidth="1"/>
    <col min="13829" max="13829" width="28" style="17" customWidth="1"/>
    <col min="13830" max="13830" width="30.5703125" style="17" customWidth="1"/>
    <col min="13831" max="13831" width="25.28515625" style="17" customWidth="1"/>
    <col min="13832" max="13832" width="22.85546875" style="17" customWidth="1"/>
    <col min="13833" max="13833" width="28" style="17" customWidth="1"/>
    <col min="13834" max="13834" width="20.28515625" style="17" customWidth="1"/>
    <col min="13835" max="13835" width="40.28515625" style="17" customWidth="1"/>
    <col min="13836" max="13836" width="24.42578125" style="17" customWidth="1"/>
    <col min="13837" max="13837" width="38.7109375" style="17" customWidth="1"/>
    <col min="13838" max="13838" width="18.5703125" style="17" customWidth="1"/>
    <col min="13839" max="13839" width="25.42578125" style="17" customWidth="1"/>
    <col min="13840" max="13840" width="18.85546875" style="17" customWidth="1"/>
    <col min="13841" max="13841" width="32.7109375" style="17" customWidth="1"/>
    <col min="13842" max="13842" width="20" style="17" customWidth="1"/>
    <col min="13843" max="13843" width="29.140625" style="17" customWidth="1"/>
    <col min="13844" max="13844" width="13.5703125" style="17" customWidth="1"/>
    <col min="13845" max="13845" width="35.7109375" style="17" customWidth="1"/>
    <col min="13846" max="13846" width="16.42578125" style="17" customWidth="1"/>
    <col min="13847" max="13847" width="30.42578125" style="17" customWidth="1"/>
    <col min="13848" max="13848" width="17.5703125" style="17" bestFit="1" customWidth="1"/>
    <col min="13849" max="13849" width="31.28515625" style="17" customWidth="1"/>
    <col min="13850" max="13850" width="20.42578125" style="17" customWidth="1"/>
    <col min="13851" max="13851" width="14.85546875" style="17" bestFit="1" customWidth="1"/>
    <col min="13852" max="13853" width="11.42578125" style="17"/>
    <col min="13854" max="13854" width="16.42578125" style="17" customWidth="1"/>
    <col min="13855" max="14080" width="11.42578125" style="17"/>
    <col min="14081" max="14081" width="67" style="17" customWidth="1"/>
    <col min="14082" max="14082" width="13.85546875" style="17" customWidth="1"/>
    <col min="14083" max="14083" width="22.28515625" style="17" customWidth="1"/>
    <col min="14084" max="14084" width="17.42578125" style="17" customWidth="1"/>
    <col min="14085" max="14085" width="28" style="17" customWidth="1"/>
    <col min="14086" max="14086" width="30.5703125" style="17" customWidth="1"/>
    <col min="14087" max="14087" width="25.28515625" style="17" customWidth="1"/>
    <col min="14088" max="14088" width="22.85546875" style="17" customWidth="1"/>
    <col min="14089" max="14089" width="28" style="17" customWidth="1"/>
    <col min="14090" max="14090" width="20.28515625" style="17" customWidth="1"/>
    <col min="14091" max="14091" width="40.28515625" style="17" customWidth="1"/>
    <col min="14092" max="14092" width="24.42578125" style="17" customWidth="1"/>
    <col min="14093" max="14093" width="38.7109375" style="17" customWidth="1"/>
    <col min="14094" max="14094" width="18.5703125" style="17" customWidth="1"/>
    <col min="14095" max="14095" width="25.42578125" style="17" customWidth="1"/>
    <col min="14096" max="14096" width="18.85546875" style="17" customWidth="1"/>
    <col min="14097" max="14097" width="32.7109375" style="17" customWidth="1"/>
    <col min="14098" max="14098" width="20" style="17" customWidth="1"/>
    <col min="14099" max="14099" width="29.140625" style="17" customWidth="1"/>
    <col min="14100" max="14100" width="13.5703125" style="17" customWidth="1"/>
    <col min="14101" max="14101" width="35.7109375" style="17" customWidth="1"/>
    <col min="14102" max="14102" width="16.42578125" style="17" customWidth="1"/>
    <col min="14103" max="14103" width="30.42578125" style="17" customWidth="1"/>
    <col min="14104" max="14104" width="17.5703125" style="17" bestFit="1" customWidth="1"/>
    <col min="14105" max="14105" width="31.28515625" style="17" customWidth="1"/>
    <col min="14106" max="14106" width="20.42578125" style="17" customWidth="1"/>
    <col min="14107" max="14107" width="14.85546875" style="17" bestFit="1" customWidth="1"/>
    <col min="14108" max="14109" width="11.42578125" style="17"/>
    <col min="14110" max="14110" width="16.42578125" style="17" customWidth="1"/>
    <col min="14111" max="14336" width="11.42578125" style="17"/>
    <col min="14337" max="14337" width="67" style="17" customWidth="1"/>
    <col min="14338" max="14338" width="13.85546875" style="17" customWidth="1"/>
    <col min="14339" max="14339" width="22.28515625" style="17" customWidth="1"/>
    <col min="14340" max="14340" width="17.42578125" style="17" customWidth="1"/>
    <col min="14341" max="14341" width="28" style="17" customWidth="1"/>
    <col min="14342" max="14342" width="30.5703125" style="17" customWidth="1"/>
    <col min="14343" max="14343" width="25.28515625" style="17" customWidth="1"/>
    <col min="14344" max="14344" width="22.85546875" style="17" customWidth="1"/>
    <col min="14345" max="14345" width="28" style="17" customWidth="1"/>
    <col min="14346" max="14346" width="20.28515625" style="17" customWidth="1"/>
    <col min="14347" max="14347" width="40.28515625" style="17" customWidth="1"/>
    <col min="14348" max="14348" width="24.42578125" style="17" customWidth="1"/>
    <col min="14349" max="14349" width="38.7109375" style="17" customWidth="1"/>
    <col min="14350" max="14350" width="18.5703125" style="17" customWidth="1"/>
    <col min="14351" max="14351" width="25.42578125" style="17" customWidth="1"/>
    <col min="14352" max="14352" width="18.85546875" style="17" customWidth="1"/>
    <col min="14353" max="14353" width="32.7109375" style="17" customWidth="1"/>
    <col min="14354" max="14354" width="20" style="17" customWidth="1"/>
    <col min="14355" max="14355" width="29.140625" style="17" customWidth="1"/>
    <col min="14356" max="14356" width="13.5703125" style="17" customWidth="1"/>
    <col min="14357" max="14357" width="35.7109375" style="17" customWidth="1"/>
    <col min="14358" max="14358" width="16.42578125" style="17" customWidth="1"/>
    <col min="14359" max="14359" width="30.42578125" style="17" customWidth="1"/>
    <col min="14360" max="14360" width="17.5703125" style="17" bestFit="1" customWidth="1"/>
    <col min="14361" max="14361" width="31.28515625" style="17" customWidth="1"/>
    <col min="14362" max="14362" width="20.42578125" style="17" customWidth="1"/>
    <col min="14363" max="14363" width="14.85546875" style="17" bestFit="1" customWidth="1"/>
    <col min="14364" max="14365" width="11.42578125" style="17"/>
    <col min="14366" max="14366" width="16.42578125" style="17" customWidth="1"/>
    <col min="14367" max="14592" width="11.42578125" style="17"/>
    <col min="14593" max="14593" width="67" style="17" customWidth="1"/>
    <col min="14594" max="14594" width="13.85546875" style="17" customWidth="1"/>
    <col min="14595" max="14595" width="22.28515625" style="17" customWidth="1"/>
    <col min="14596" max="14596" width="17.42578125" style="17" customWidth="1"/>
    <col min="14597" max="14597" width="28" style="17" customWidth="1"/>
    <col min="14598" max="14598" width="30.5703125" style="17" customWidth="1"/>
    <col min="14599" max="14599" width="25.28515625" style="17" customWidth="1"/>
    <col min="14600" max="14600" width="22.85546875" style="17" customWidth="1"/>
    <col min="14601" max="14601" width="28" style="17" customWidth="1"/>
    <col min="14602" max="14602" width="20.28515625" style="17" customWidth="1"/>
    <col min="14603" max="14603" width="40.28515625" style="17" customWidth="1"/>
    <col min="14604" max="14604" width="24.42578125" style="17" customWidth="1"/>
    <col min="14605" max="14605" width="38.7109375" style="17" customWidth="1"/>
    <col min="14606" max="14606" width="18.5703125" style="17" customWidth="1"/>
    <col min="14607" max="14607" width="25.42578125" style="17" customWidth="1"/>
    <col min="14608" max="14608" width="18.85546875" style="17" customWidth="1"/>
    <col min="14609" max="14609" width="32.7109375" style="17" customWidth="1"/>
    <col min="14610" max="14610" width="20" style="17" customWidth="1"/>
    <col min="14611" max="14611" width="29.140625" style="17" customWidth="1"/>
    <col min="14612" max="14612" width="13.5703125" style="17" customWidth="1"/>
    <col min="14613" max="14613" width="35.7109375" style="17" customWidth="1"/>
    <col min="14614" max="14614" width="16.42578125" style="17" customWidth="1"/>
    <col min="14615" max="14615" width="30.42578125" style="17" customWidth="1"/>
    <col min="14616" max="14616" width="17.5703125" style="17" bestFit="1" customWidth="1"/>
    <col min="14617" max="14617" width="31.28515625" style="17" customWidth="1"/>
    <col min="14618" max="14618" width="20.42578125" style="17" customWidth="1"/>
    <col min="14619" max="14619" width="14.85546875" style="17" bestFit="1" customWidth="1"/>
    <col min="14620" max="14621" width="11.42578125" style="17"/>
    <col min="14622" max="14622" width="16.42578125" style="17" customWidth="1"/>
    <col min="14623" max="14848" width="11.42578125" style="17"/>
    <col min="14849" max="14849" width="67" style="17" customWidth="1"/>
    <col min="14850" max="14850" width="13.85546875" style="17" customWidth="1"/>
    <col min="14851" max="14851" width="22.28515625" style="17" customWidth="1"/>
    <col min="14852" max="14852" width="17.42578125" style="17" customWidth="1"/>
    <col min="14853" max="14853" width="28" style="17" customWidth="1"/>
    <col min="14854" max="14854" width="30.5703125" style="17" customWidth="1"/>
    <col min="14855" max="14855" width="25.28515625" style="17" customWidth="1"/>
    <col min="14856" max="14856" width="22.85546875" style="17" customWidth="1"/>
    <col min="14857" max="14857" width="28" style="17" customWidth="1"/>
    <col min="14858" max="14858" width="20.28515625" style="17" customWidth="1"/>
    <col min="14859" max="14859" width="40.28515625" style="17" customWidth="1"/>
    <col min="14860" max="14860" width="24.42578125" style="17" customWidth="1"/>
    <col min="14861" max="14861" width="38.7109375" style="17" customWidth="1"/>
    <col min="14862" max="14862" width="18.5703125" style="17" customWidth="1"/>
    <col min="14863" max="14863" width="25.42578125" style="17" customWidth="1"/>
    <col min="14864" max="14864" width="18.85546875" style="17" customWidth="1"/>
    <col min="14865" max="14865" width="32.7109375" style="17" customWidth="1"/>
    <col min="14866" max="14866" width="20" style="17" customWidth="1"/>
    <col min="14867" max="14867" width="29.140625" style="17" customWidth="1"/>
    <col min="14868" max="14868" width="13.5703125" style="17" customWidth="1"/>
    <col min="14869" max="14869" width="35.7109375" style="17" customWidth="1"/>
    <col min="14870" max="14870" width="16.42578125" style="17" customWidth="1"/>
    <col min="14871" max="14871" width="30.42578125" style="17" customWidth="1"/>
    <col min="14872" max="14872" width="17.5703125" style="17" bestFit="1" customWidth="1"/>
    <col min="14873" max="14873" width="31.28515625" style="17" customWidth="1"/>
    <col min="14874" max="14874" width="20.42578125" style="17" customWidth="1"/>
    <col min="14875" max="14875" width="14.85546875" style="17" bestFit="1" customWidth="1"/>
    <col min="14876" max="14877" width="11.42578125" style="17"/>
    <col min="14878" max="14878" width="16.42578125" style="17" customWidth="1"/>
    <col min="14879" max="15104" width="11.42578125" style="17"/>
    <col min="15105" max="15105" width="67" style="17" customWidth="1"/>
    <col min="15106" max="15106" width="13.85546875" style="17" customWidth="1"/>
    <col min="15107" max="15107" width="22.28515625" style="17" customWidth="1"/>
    <col min="15108" max="15108" width="17.42578125" style="17" customWidth="1"/>
    <col min="15109" max="15109" width="28" style="17" customWidth="1"/>
    <col min="15110" max="15110" width="30.5703125" style="17" customWidth="1"/>
    <col min="15111" max="15111" width="25.28515625" style="17" customWidth="1"/>
    <col min="15112" max="15112" width="22.85546875" style="17" customWidth="1"/>
    <col min="15113" max="15113" width="28" style="17" customWidth="1"/>
    <col min="15114" max="15114" width="20.28515625" style="17" customWidth="1"/>
    <col min="15115" max="15115" width="40.28515625" style="17" customWidth="1"/>
    <col min="15116" max="15116" width="24.42578125" style="17" customWidth="1"/>
    <col min="15117" max="15117" width="38.7109375" style="17" customWidth="1"/>
    <col min="15118" max="15118" width="18.5703125" style="17" customWidth="1"/>
    <col min="15119" max="15119" width="25.42578125" style="17" customWidth="1"/>
    <col min="15120" max="15120" width="18.85546875" style="17" customWidth="1"/>
    <col min="15121" max="15121" width="32.7109375" style="17" customWidth="1"/>
    <col min="15122" max="15122" width="20" style="17" customWidth="1"/>
    <col min="15123" max="15123" width="29.140625" style="17" customWidth="1"/>
    <col min="15124" max="15124" width="13.5703125" style="17" customWidth="1"/>
    <col min="15125" max="15125" width="35.7109375" style="17" customWidth="1"/>
    <col min="15126" max="15126" width="16.42578125" style="17" customWidth="1"/>
    <col min="15127" max="15127" width="30.42578125" style="17" customWidth="1"/>
    <col min="15128" max="15128" width="17.5703125" style="17" bestFit="1" customWidth="1"/>
    <col min="15129" max="15129" width="31.28515625" style="17" customWidth="1"/>
    <col min="15130" max="15130" width="20.42578125" style="17" customWidth="1"/>
    <col min="15131" max="15131" width="14.85546875" style="17" bestFit="1" customWidth="1"/>
    <col min="15132" max="15133" width="11.42578125" style="17"/>
    <col min="15134" max="15134" width="16.42578125" style="17" customWidth="1"/>
    <col min="15135" max="15360" width="11.42578125" style="17"/>
    <col min="15361" max="15361" width="67" style="17" customWidth="1"/>
    <col min="15362" max="15362" width="13.85546875" style="17" customWidth="1"/>
    <col min="15363" max="15363" width="22.28515625" style="17" customWidth="1"/>
    <col min="15364" max="15364" width="17.42578125" style="17" customWidth="1"/>
    <col min="15365" max="15365" width="28" style="17" customWidth="1"/>
    <col min="15366" max="15366" width="30.5703125" style="17" customWidth="1"/>
    <col min="15367" max="15367" width="25.28515625" style="17" customWidth="1"/>
    <col min="15368" max="15368" width="22.85546875" style="17" customWidth="1"/>
    <col min="15369" max="15369" width="28" style="17" customWidth="1"/>
    <col min="15370" max="15370" width="20.28515625" style="17" customWidth="1"/>
    <col min="15371" max="15371" width="40.28515625" style="17" customWidth="1"/>
    <col min="15372" max="15372" width="24.42578125" style="17" customWidth="1"/>
    <col min="15373" max="15373" width="38.7109375" style="17" customWidth="1"/>
    <col min="15374" max="15374" width="18.5703125" style="17" customWidth="1"/>
    <col min="15375" max="15375" width="25.42578125" style="17" customWidth="1"/>
    <col min="15376" max="15376" width="18.85546875" style="17" customWidth="1"/>
    <col min="15377" max="15377" width="32.7109375" style="17" customWidth="1"/>
    <col min="15378" max="15378" width="20" style="17" customWidth="1"/>
    <col min="15379" max="15379" width="29.140625" style="17" customWidth="1"/>
    <col min="15380" max="15380" width="13.5703125" style="17" customWidth="1"/>
    <col min="15381" max="15381" width="35.7109375" style="17" customWidth="1"/>
    <col min="15382" max="15382" width="16.42578125" style="17" customWidth="1"/>
    <col min="15383" max="15383" width="30.42578125" style="17" customWidth="1"/>
    <col min="15384" max="15384" width="17.5703125" style="17" bestFit="1" customWidth="1"/>
    <col min="15385" max="15385" width="31.28515625" style="17" customWidth="1"/>
    <col min="15386" max="15386" width="20.42578125" style="17" customWidth="1"/>
    <col min="15387" max="15387" width="14.85546875" style="17" bestFit="1" customWidth="1"/>
    <col min="15388" max="15389" width="11.42578125" style="17"/>
    <col min="15390" max="15390" width="16.42578125" style="17" customWidth="1"/>
    <col min="15391" max="15616" width="11.42578125" style="17"/>
    <col min="15617" max="15617" width="67" style="17" customWidth="1"/>
    <col min="15618" max="15618" width="13.85546875" style="17" customWidth="1"/>
    <col min="15619" max="15619" width="22.28515625" style="17" customWidth="1"/>
    <col min="15620" max="15620" width="17.42578125" style="17" customWidth="1"/>
    <col min="15621" max="15621" width="28" style="17" customWidth="1"/>
    <col min="15622" max="15622" width="30.5703125" style="17" customWidth="1"/>
    <col min="15623" max="15623" width="25.28515625" style="17" customWidth="1"/>
    <col min="15624" max="15624" width="22.85546875" style="17" customWidth="1"/>
    <col min="15625" max="15625" width="28" style="17" customWidth="1"/>
    <col min="15626" max="15626" width="20.28515625" style="17" customWidth="1"/>
    <col min="15627" max="15627" width="40.28515625" style="17" customWidth="1"/>
    <col min="15628" max="15628" width="24.42578125" style="17" customWidth="1"/>
    <col min="15629" max="15629" width="38.7109375" style="17" customWidth="1"/>
    <col min="15630" max="15630" width="18.5703125" style="17" customWidth="1"/>
    <col min="15631" max="15631" width="25.42578125" style="17" customWidth="1"/>
    <col min="15632" max="15632" width="18.85546875" style="17" customWidth="1"/>
    <col min="15633" max="15633" width="32.7109375" style="17" customWidth="1"/>
    <col min="15634" max="15634" width="20" style="17" customWidth="1"/>
    <col min="15635" max="15635" width="29.140625" style="17" customWidth="1"/>
    <col min="15636" max="15636" width="13.5703125" style="17" customWidth="1"/>
    <col min="15637" max="15637" width="35.7109375" style="17" customWidth="1"/>
    <col min="15638" max="15638" width="16.42578125" style="17" customWidth="1"/>
    <col min="15639" max="15639" width="30.42578125" style="17" customWidth="1"/>
    <col min="15640" max="15640" width="17.5703125" style="17" bestFit="1" customWidth="1"/>
    <col min="15641" max="15641" width="31.28515625" style="17" customWidth="1"/>
    <col min="15642" max="15642" width="20.42578125" style="17" customWidth="1"/>
    <col min="15643" max="15643" width="14.85546875" style="17" bestFit="1" customWidth="1"/>
    <col min="15644" max="15645" width="11.42578125" style="17"/>
    <col min="15646" max="15646" width="16.42578125" style="17" customWidth="1"/>
    <col min="15647" max="15872" width="11.42578125" style="17"/>
    <col min="15873" max="15873" width="67" style="17" customWidth="1"/>
    <col min="15874" max="15874" width="13.85546875" style="17" customWidth="1"/>
    <col min="15875" max="15875" width="22.28515625" style="17" customWidth="1"/>
    <col min="15876" max="15876" width="17.42578125" style="17" customWidth="1"/>
    <col min="15877" max="15877" width="28" style="17" customWidth="1"/>
    <col min="15878" max="15878" width="30.5703125" style="17" customWidth="1"/>
    <col min="15879" max="15879" width="25.28515625" style="17" customWidth="1"/>
    <col min="15880" max="15880" width="22.85546875" style="17" customWidth="1"/>
    <col min="15881" max="15881" width="28" style="17" customWidth="1"/>
    <col min="15882" max="15882" width="20.28515625" style="17" customWidth="1"/>
    <col min="15883" max="15883" width="40.28515625" style="17" customWidth="1"/>
    <col min="15884" max="15884" width="24.42578125" style="17" customWidth="1"/>
    <col min="15885" max="15885" width="38.7109375" style="17" customWidth="1"/>
    <col min="15886" max="15886" width="18.5703125" style="17" customWidth="1"/>
    <col min="15887" max="15887" width="25.42578125" style="17" customWidth="1"/>
    <col min="15888" max="15888" width="18.85546875" style="17" customWidth="1"/>
    <col min="15889" max="15889" width="32.7109375" style="17" customWidth="1"/>
    <col min="15890" max="15890" width="20" style="17" customWidth="1"/>
    <col min="15891" max="15891" width="29.140625" style="17" customWidth="1"/>
    <col min="15892" max="15892" width="13.5703125" style="17" customWidth="1"/>
    <col min="15893" max="15893" width="35.7109375" style="17" customWidth="1"/>
    <col min="15894" max="15894" width="16.42578125" style="17" customWidth="1"/>
    <col min="15895" max="15895" width="30.42578125" style="17" customWidth="1"/>
    <col min="15896" max="15896" width="17.5703125" style="17" bestFit="1" customWidth="1"/>
    <col min="15897" max="15897" width="31.28515625" style="17" customWidth="1"/>
    <col min="15898" max="15898" width="20.42578125" style="17" customWidth="1"/>
    <col min="15899" max="15899" width="14.85546875" style="17" bestFit="1" customWidth="1"/>
    <col min="15900" max="15901" width="11.42578125" style="17"/>
    <col min="15902" max="15902" width="16.42578125" style="17" customWidth="1"/>
    <col min="15903" max="16128" width="11.42578125" style="17"/>
    <col min="16129" max="16129" width="67" style="17" customWidth="1"/>
    <col min="16130" max="16130" width="13.85546875" style="17" customWidth="1"/>
    <col min="16131" max="16131" width="22.28515625" style="17" customWidth="1"/>
    <col min="16132" max="16132" width="17.42578125" style="17" customWidth="1"/>
    <col min="16133" max="16133" width="28" style="17" customWidth="1"/>
    <col min="16134" max="16134" width="30.5703125" style="17" customWidth="1"/>
    <col min="16135" max="16135" width="25.28515625" style="17" customWidth="1"/>
    <col min="16136" max="16136" width="22.85546875" style="17" customWidth="1"/>
    <col min="16137" max="16137" width="28" style="17" customWidth="1"/>
    <col min="16138" max="16138" width="20.28515625" style="17" customWidth="1"/>
    <col min="16139" max="16139" width="40.28515625" style="17" customWidth="1"/>
    <col min="16140" max="16140" width="24.42578125" style="17" customWidth="1"/>
    <col min="16141" max="16141" width="38.7109375" style="17" customWidth="1"/>
    <col min="16142" max="16142" width="18.5703125" style="17" customWidth="1"/>
    <col min="16143" max="16143" width="25.42578125" style="17" customWidth="1"/>
    <col min="16144" max="16144" width="18.85546875" style="17" customWidth="1"/>
    <col min="16145" max="16145" width="32.7109375" style="17" customWidth="1"/>
    <col min="16146" max="16146" width="20" style="17" customWidth="1"/>
    <col min="16147" max="16147" width="29.140625" style="17" customWidth="1"/>
    <col min="16148" max="16148" width="13.5703125" style="17" customWidth="1"/>
    <col min="16149" max="16149" width="35.7109375" style="17" customWidth="1"/>
    <col min="16150" max="16150" width="16.42578125" style="17" customWidth="1"/>
    <col min="16151" max="16151" width="30.42578125" style="17" customWidth="1"/>
    <col min="16152" max="16152" width="17.5703125" style="17" bestFit="1" customWidth="1"/>
    <col min="16153" max="16153" width="31.28515625" style="17" customWidth="1"/>
    <col min="16154" max="16154" width="20.42578125" style="17" customWidth="1"/>
    <col min="16155" max="16155" width="14.85546875" style="17" bestFit="1" customWidth="1"/>
    <col min="16156" max="16157" width="11.42578125" style="17"/>
    <col min="16158" max="16158" width="16.42578125" style="17" customWidth="1"/>
    <col min="16159" max="16384" width="11.42578125" style="17"/>
  </cols>
  <sheetData>
    <row r="1" spans="1:30" s="5" customFormat="1" ht="93.75" customHeight="1" thickBot="1" x14ac:dyDescent="0.3">
      <c r="A1" s="1" t="s">
        <v>0</v>
      </c>
      <c r="B1" s="2"/>
      <c r="C1" s="2"/>
      <c r="D1" s="2"/>
      <c r="E1" s="2"/>
      <c r="F1" s="2"/>
      <c r="G1" s="2"/>
      <c r="H1" s="2"/>
      <c r="I1" s="2"/>
      <c r="J1" s="2"/>
      <c r="K1" s="2"/>
      <c r="L1" s="2"/>
      <c r="M1" s="2"/>
      <c r="N1" s="2"/>
      <c r="O1" s="2"/>
      <c r="P1" s="2"/>
      <c r="Q1" s="2"/>
      <c r="R1" s="2"/>
      <c r="S1" s="2"/>
      <c r="T1" s="2"/>
      <c r="U1" s="2"/>
      <c r="V1" s="2"/>
      <c r="W1" s="3"/>
      <c r="X1" s="4"/>
      <c r="Y1" s="4"/>
      <c r="Z1" s="4"/>
      <c r="AA1" s="4"/>
      <c r="AB1" s="4"/>
      <c r="AC1" s="4"/>
      <c r="AD1" s="4"/>
    </row>
    <row r="2" spans="1:30" s="5" customFormat="1" ht="11.25" customHeight="1" thickBot="1" x14ac:dyDescent="0.3">
      <c r="A2" s="6"/>
      <c r="B2" s="7"/>
      <c r="C2" s="7"/>
      <c r="D2" s="7"/>
      <c r="E2" s="7"/>
      <c r="F2" s="7"/>
      <c r="G2" s="7"/>
      <c r="H2" s="7"/>
      <c r="I2" s="7"/>
      <c r="J2" s="7"/>
      <c r="K2" s="7"/>
      <c r="L2" s="7"/>
      <c r="M2" s="7"/>
      <c r="N2" s="7"/>
      <c r="O2" s="7"/>
      <c r="P2" s="7"/>
      <c r="Q2" s="7"/>
      <c r="R2" s="7"/>
      <c r="S2" s="7"/>
      <c r="T2" s="7"/>
      <c r="U2" s="7"/>
      <c r="V2" s="8"/>
      <c r="W2" s="9"/>
      <c r="X2" s="4"/>
      <c r="Y2" s="4"/>
      <c r="Z2" s="4"/>
      <c r="AA2" s="4"/>
      <c r="AB2" s="4"/>
      <c r="AC2" s="4"/>
      <c r="AD2" s="4"/>
    </row>
    <row r="3" spans="1:30" ht="50.25" customHeight="1" x14ac:dyDescent="0.25">
      <c r="A3" s="10" t="s">
        <v>1</v>
      </c>
      <c r="B3" s="11" t="s">
        <v>2</v>
      </c>
      <c r="C3" s="12" t="s">
        <v>3</v>
      </c>
      <c r="D3" s="13"/>
      <c r="E3" s="14"/>
      <c r="F3" s="12" t="s">
        <v>4</v>
      </c>
      <c r="G3" s="14"/>
      <c r="H3" s="340" t="s">
        <v>5</v>
      </c>
      <c r="I3" s="341"/>
      <c r="J3" s="342" t="s">
        <v>6</v>
      </c>
      <c r="K3" s="343"/>
      <c r="L3" s="340" t="s">
        <v>7</v>
      </c>
      <c r="M3" s="341"/>
      <c r="N3" s="12" t="s">
        <v>8</v>
      </c>
      <c r="O3" s="14"/>
      <c r="P3" s="340" t="s">
        <v>9</v>
      </c>
      <c r="Q3" s="341"/>
      <c r="R3" s="12" t="s">
        <v>10</v>
      </c>
      <c r="S3" s="14"/>
      <c r="T3" s="340" t="s">
        <v>11</v>
      </c>
      <c r="U3" s="341"/>
      <c r="V3" s="12" t="s">
        <v>12</v>
      </c>
      <c r="W3" s="15"/>
    </row>
    <row r="4" spans="1:30" s="29" customFormat="1" ht="54.75" customHeight="1" thickBot="1" x14ac:dyDescent="0.3">
      <c r="A4" s="18"/>
      <c r="B4" s="19"/>
      <c r="C4" s="20" t="s">
        <v>13</v>
      </c>
      <c r="D4" s="21" t="s">
        <v>14</v>
      </c>
      <c r="E4" s="22" t="s">
        <v>15</v>
      </c>
      <c r="F4" s="21" t="s">
        <v>16</v>
      </c>
      <c r="G4" s="22" t="s">
        <v>15</v>
      </c>
      <c r="H4" s="20" t="s">
        <v>14</v>
      </c>
      <c r="I4" s="23" t="s">
        <v>15</v>
      </c>
      <c r="J4" s="24" t="s">
        <v>16</v>
      </c>
      <c r="K4" s="20" t="s">
        <v>15</v>
      </c>
      <c r="L4" s="20"/>
      <c r="M4" s="20" t="s">
        <v>15</v>
      </c>
      <c r="N4" s="20" t="s">
        <v>16</v>
      </c>
      <c r="O4" s="20" t="s">
        <v>15</v>
      </c>
      <c r="P4" s="20" t="s">
        <v>16</v>
      </c>
      <c r="Q4" s="25" t="s">
        <v>15</v>
      </c>
      <c r="R4" s="20" t="s">
        <v>16</v>
      </c>
      <c r="S4" s="20" t="s">
        <v>15</v>
      </c>
      <c r="T4" s="20" t="s">
        <v>16</v>
      </c>
      <c r="U4" s="25" t="s">
        <v>15</v>
      </c>
      <c r="V4" s="26" t="s">
        <v>16</v>
      </c>
      <c r="W4" s="27" t="s">
        <v>15</v>
      </c>
      <c r="X4" s="28"/>
      <c r="Y4" s="28"/>
      <c r="Z4" s="28"/>
      <c r="AA4" s="28"/>
      <c r="AB4" s="28"/>
      <c r="AC4" s="28"/>
      <c r="AD4" s="28"/>
    </row>
    <row r="5" spans="1:30" ht="53.25" customHeight="1" thickBot="1" x14ac:dyDescent="0.3">
      <c r="A5" s="30" t="s">
        <v>17</v>
      </c>
      <c r="B5" s="31"/>
      <c r="C5" s="31"/>
      <c r="D5" s="31"/>
      <c r="E5" s="32">
        <f>+E6+E9</f>
        <v>906448029</v>
      </c>
      <c r="F5" s="32">
        <f>+F6+F9</f>
        <v>0</v>
      </c>
      <c r="G5" s="32">
        <f>+G6+G9</f>
        <v>447448682</v>
      </c>
      <c r="H5" s="32">
        <f>+H6+H9</f>
        <v>0</v>
      </c>
      <c r="I5" s="33">
        <f>+I6+I9+I12</f>
        <v>1235513017</v>
      </c>
      <c r="J5" s="33"/>
      <c r="K5" s="33">
        <f>+K6+K9+K12</f>
        <v>1112925122.2690001</v>
      </c>
      <c r="L5" s="32">
        <f>+L6+L9</f>
        <v>0</v>
      </c>
      <c r="M5" s="34">
        <f>+M6+M9+M12</f>
        <v>4570905280.1536694</v>
      </c>
      <c r="N5" s="34"/>
      <c r="O5" s="32">
        <f>+O6+O9+O12</f>
        <v>2383900493</v>
      </c>
      <c r="P5" s="32">
        <f>+P6+P9</f>
        <v>0</v>
      </c>
      <c r="Q5" s="32">
        <f>+Q6+Q9+Q12</f>
        <v>2515165514</v>
      </c>
      <c r="R5" s="32">
        <f>+R6+R9+R12</f>
        <v>0</v>
      </c>
      <c r="S5" s="32">
        <f>+S6+S9+S12</f>
        <v>0</v>
      </c>
      <c r="T5" s="32"/>
      <c r="U5" s="32">
        <f>+U6+U9+U12</f>
        <v>2612079814</v>
      </c>
      <c r="V5" s="32">
        <f>+V6+V9</f>
        <v>0</v>
      </c>
      <c r="W5" s="32">
        <f>+W6+W9</f>
        <v>0</v>
      </c>
      <c r="X5" s="35"/>
    </row>
    <row r="6" spans="1:30" ht="81.75" customHeight="1" thickBot="1" x14ac:dyDescent="0.3">
      <c r="A6" s="36" t="s">
        <v>18</v>
      </c>
      <c r="B6" s="37"/>
      <c r="C6" s="38"/>
      <c r="D6" s="39"/>
      <c r="E6" s="40">
        <f>SUM(E7:E8)</f>
        <v>393456532</v>
      </c>
      <c r="F6" s="40"/>
      <c r="G6" s="41">
        <f>SUM(G7:G8)</f>
        <v>157651868</v>
      </c>
      <c r="H6" s="42"/>
      <c r="I6" s="43">
        <f>SUM(I7:I8)</f>
        <v>92397396</v>
      </c>
      <c r="J6" s="44"/>
      <c r="K6" s="45">
        <f>SUM(K7:K8)</f>
        <v>88189506</v>
      </c>
      <c r="L6" s="40"/>
      <c r="M6" s="46">
        <f>SUM(M7:M8)</f>
        <v>301059136</v>
      </c>
      <c r="N6" s="47"/>
      <c r="O6" s="45">
        <f>SUM(O7:O8)</f>
        <v>69462362</v>
      </c>
      <c r="P6" s="42"/>
      <c r="Q6" s="42">
        <v>418753320</v>
      </c>
      <c r="R6" s="47"/>
      <c r="S6" s="42">
        <f>SUM(S7:S8)</f>
        <v>0</v>
      </c>
      <c r="T6" s="42"/>
      <c r="U6" s="42">
        <v>420847086</v>
      </c>
      <c r="V6" s="47"/>
      <c r="W6" s="42">
        <f>SUM(W7:W8)</f>
        <v>0</v>
      </c>
      <c r="X6" s="48"/>
      <c r="AD6" s="49"/>
    </row>
    <row r="7" spans="1:30" ht="81.75" customHeight="1" x14ac:dyDescent="0.25">
      <c r="A7" s="50" t="s">
        <v>19</v>
      </c>
      <c r="B7" s="51" t="s">
        <v>20</v>
      </c>
      <c r="C7" s="52" t="s">
        <v>21</v>
      </c>
      <c r="D7" s="52">
        <v>100</v>
      </c>
      <c r="E7" s="53">
        <f>+I7+M7+Q7+U7</f>
        <v>279485030</v>
      </c>
      <c r="F7" s="54">
        <f>AVERAGE(J7,N7,R7,V7)</f>
        <v>37.5</v>
      </c>
      <c r="G7" s="53">
        <f>+K7+O7+S7+W7</f>
        <v>108951410</v>
      </c>
      <c r="H7" s="55">
        <v>100</v>
      </c>
      <c r="I7" s="56">
        <v>72999300</v>
      </c>
      <c r="J7" s="44">
        <v>100</v>
      </c>
      <c r="K7" s="57">
        <v>68791410</v>
      </c>
      <c r="L7" s="58">
        <v>100</v>
      </c>
      <c r="M7" s="59">
        <v>206485730</v>
      </c>
      <c r="N7" s="60">
        <v>50</v>
      </c>
      <c r="O7" s="53">
        <f>+'[1]320101-2.1'!G13</f>
        <v>40160000</v>
      </c>
      <c r="P7" s="61">
        <v>30</v>
      </c>
      <c r="Q7" s="62"/>
      <c r="R7" s="63">
        <v>0</v>
      </c>
      <c r="S7" s="64">
        <v>0</v>
      </c>
      <c r="T7" s="65">
        <v>30</v>
      </c>
      <c r="U7" s="64"/>
      <c r="V7" s="66">
        <v>0</v>
      </c>
      <c r="W7" s="67">
        <v>0</v>
      </c>
      <c r="X7" s="48"/>
      <c r="AD7" s="49"/>
    </row>
    <row r="8" spans="1:30" ht="81.75" customHeight="1" x14ac:dyDescent="0.25">
      <c r="A8" s="68" t="s">
        <v>22</v>
      </c>
      <c r="B8" s="69" t="s">
        <v>20</v>
      </c>
      <c r="C8" s="70" t="s">
        <v>23</v>
      </c>
      <c r="D8" s="70">
        <v>1</v>
      </c>
      <c r="E8" s="53">
        <f>+I8+M8+Q8+U8</f>
        <v>113971502</v>
      </c>
      <c r="F8" s="54">
        <f>AVERAGE(J8,N8,R8,V8)</f>
        <v>0.375</v>
      </c>
      <c r="G8" s="53">
        <f>+K8+O8+S8+W8</f>
        <v>48700458</v>
      </c>
      <c r="H8" s="55">
        <v>1</v>
      </c>
      <c r="I8" s="71">
        <v>19398096</v>
      </c>
      <c r="J8" s="63">
        <v>1</v>
      </c>
      <c r="K8" s="57">
        <v>19398096</v>
      </c>
      <c r="L8" s="72">
        <v>1</v>
      </c>
      <c r="M8" s="53">
        <v>94573406</v>
      </c>
      <c r="N8" s="73">
        <v>0.5</v>
      </c>
      <c r="O8" s="53">
        <f>+'[1]320101-2.1'!G21</f>
        <v>29302362</v>
      </c>
      <c r="P8" s="61">
        <v>3</v>
      </c>
      <c r="Q8" s="62"/>
      <c r="R8" s="63">
        <v>0</v>
      </c>
      <c r="S8" s="64">
        <v>0</v>
      </c>
      <c r="T8" s="65">
        <v>3</v>
      </c>
      <c r="U8" s="64"/>
      <c r="V8" s="66">
        <v>0</v>
      </c>
      <c r="W8" s="67">
        <v>0</v>
      </c>
      <c r="X8" s="48"/>
      <c r="Z8" s="74"/>
      <c r="AD8" s="49"/>
    </row>
    <row r="9" spans="1:30" ht="68.25" customHeight="1" x14ac:dyDescent="0.25">
      <c r="A9" s="75" t="s">
        <v>24</v>
      </c>
      <c r="B9" s="37"/>
      <c r="C9" s="76"/>
      <c r="D9" s="77"/>
      <c r="E9" s="78">
        <f>SUM(E10:E11)</f>
        <v>512991497</v>
      </c>
      <c r="F9" s="79"/>
      <c r="G9" s="78">
        <f>SUM(G10:G11)</f>
        <v>289796814</v>
      </c>
      <c r="H9" s="58"/>
      <c r="I9" s="80">
        <f>SUM(I10:I11)</f>
        <v>130991497</v>
      </c>
      <c r="J9" s="81"/>
      <c r="K9" s="78">
        <f>SUM(K10:K11)</f>
        <v>129956545</v>
      </c>
      <c r="L9" s="72"/>
      <c r="M9" s="82">
        <f>SUM(M10:M11)</f>
        <v>382000000</v>
      </c>
      <c r="N9" s="79"/>
      <c r="O9" s="78">
        <f>SUM(O10:O11)</f>
        <v>159840269</v>
      </c>
      <c r="P9" s="83"/>
      <c r="Q9" s="84">
        <v>532992960</v>
      </c>
      <c r="R9" s="81"/>
      <c r="S9" s="84">
        <f>SUM(S10:S11)</f>
        <v>0</v>
      </c>
      <c r="T9" s="84"/>
      <c r="U9" s="84">
        <v>601892608</v>
      </c>
      <c r="V9" s="85"/>
      <c r="W9" s="86">
        <f>SUM(W10:W11)</f>
        <v>0</v>
      </c>
      <c r="X9" s="48"/>
      <c r="Y9" s="87"/>
      <c r="Z9" s="48"/>
    </row>
    <row r="10" spans="1:30" ht="116.25" customHeight="1" x14ac:dyDescent="0.25">
      <c r="A10" s="88" t="s">
        <v>25</v>
      </c>
      <c r="B10" s="89" t="s">
        <v>20</v>
      </c>
      <c r="C10" s="90" t="s">
        <v>21</v>
      </c>
      <c r="D10" s="91">
        <v>100</v>
      </c>
      <c r="E10" s="53">
        <f>+I10+M10+Q10+U10</f>
        <v>394649401</v>
      </c>
      <c r="F10" s="91">
        <f>AVERAGE(J10,N10,R10,V10)</f>
        <v>75</v>
      </c>
      <c r="G10" s="53">
        <f>+K10+O10+S10+W10</f>
        <v>222614447</v>
      </c>
      <c r="H10" s="92">
        <v>100</v>
      </c>
      <c r="I10" s="56">
        <v>111593401</v>
      </c>
      <c r="J10" s="63">
        <v>100</v>
      </c>
      <c r="K10" s="53">
        <v>110558449</v>
      </c>
      <c r="L10" s="72">
        <v>100</v>
      </c>
      <c r="M10" s="93">
        <v>283056000</v>
      </c>
      <c r="N10" s="63">
        <v>50</v>
      </c>
      <c r="O10" s="53">
        <f>+'[1]320102-2.3'!G11</f>
        <v>112055998</v>
      </c>
      <c r="P10" s="72">
        <v>75</v>
      </c>
      <c r="Q10" s="64"/>
      <c r="R10" s="63"/>
      <c r="S10" s="64"/>
      <c r="T10" s="72">
        <v>100</v>
      </c>
      <c r="U10" s="64"/>
      <c r="V10" s="94"/>
      <c r="W10" s="67"/>
      <c r="X10" s="48"/>
      <c r="Y10" s="48"/>
      <c r="Z10" s="48"/>
    </row>
    <row r="11" spans="1:30" ht="116.25" customHeight="1" x14ac:dyDescent="0.25">
      <c r="A11" s="88" t="s">
        <v>22</v>
      </c>
      <c r="B11" s="95" t="s">
        <v>20</v>
      </c>
      <c r="C11" s="96" t="s">
        <v>21</v>
      </c>
      <c r="D11" s="91">
        <v>100</v>
      </c>
      <c r="E11" s="53">
        <f>+I11+M11+Q11+U11</f>
        <v>118342096</v>
      </c>
      <c r="F11" s="91">
        <f>AVERAGE(J11,N11,R11,V11)</f>
        <v>0.75</v>
      </c>
      <c r="G11" s="53">
        <f>+K11+O11+S11+W11</f>
        <v>67182367</v>
      </c>
      <c r="H11" s="92">
        <v>1</v>
      </c>
      <c r="I11" s="56">
        <v>19398096</v>
      </c>
      <c r="J11" s="63">
        <v>1</v>
      </c>
      <c r="K11" s="53">
        <v>19398096</v>
      </c>
      <c r="L11" s="72">
        <v>1</v>
      </c>
      <c r="M11" s="93">
        <v>98944000</v>
      </c>
      <c r="N11" s="73">
        <v>0.5</v>
      </c>
      <c r="O11" s="53">
        <f>+'[1]320102-2.3'!G19</f>
        <v>47784271</v>
      </c>
      <c r="P11" s="72">
        <v>100</v>
      </c>
      <c r="Q11" s="64"/>
      <c r="R11" s="63"/>
      <c r="S11" s="64"/>
      <c r="T11" s="72">
        <v>100</v>
      </c>
      <c r="U11" s="64"/>
      <c r="V11" s="94"/>
      <c r="W11" s="97"/>
      <c r="X11" s="98"/>
      <c r="Z11" s="99"/>
    </row>
    <row r="12" spans="1:30" ht="44.25" customHeight="1" thickBot="1" x14ac:dyDescent="0.3">
      <c r="A12" s="100" t="s">
        <v>26</v>
      </c>
      <c r="B12" s="101"/>
      <c r="C12" s="102"/>
      <c r="D12" s="103"/>
      <c r="E12" s="78">
        <f>SUM(E13:E24)</f>
        <v>4899970268.1536694</v>
      </c>
      <c r="F12" s="79"/>
      <c r="G12" s="78">
        <f>SUM(G13:G24)</f>
        <v>3049376933.2690001</v>
      </c>
      <c r="H12" s="104">
        <v>0</v>
      </c>
      <c r="I12" s="80">
        <f>SUM(I13:I24)</f>
        <v>1012124124</v>
      </c>
      <c r="J12" s="81"/>
      <c r="K12" s="78">
        <f>SUM(K13:K24)</f>
        <v>894779071.26900005</v>
      </c>
      <c r="L12" s="79">
        <v>0</v>
      </c>
      <c r="M12" s="82">
        <f>SUM(M13:M24)</f>
        <v>3887846144.1536694</v>
      </c>
      <c r="N12" s="79"/>
      <c r="O12" s="78">
        <f>SUM(O13:O24)</f>
        <v>2154597862</v>
      </c>
      <c r="P12" s="78">
        <f t="shared" ref="P12:W12" si="0">SUM(P13:P24)</f>
        <v>126</v>
      </c>
      <c r="Q12" s="78">
        <v>1563419234</v>
      </c>
      <c r="R12" s="78">
        <f t="shared" si="0"/>
        <v>0</v>
      </c>
      <c r="S12" s="78">
        <f t="shared" si="0"/>
        <v>0</v>
      </c>
      <c r="T12" s="78">
        <f t="shared" si="0"/>
        <v>126</v>
      </c>
      <c r="U12" s="78">
        <v>1589340120</v>
      </c>
      <c r="V12" s="78">
        <f t="shared" si="0"/>
        <v>0</v>
      </c>
      <c r="W12" s="78">
        <f t="shared" si="0"/>
        <v>0</v>
      </c>
      <c r="X12" s="48"/>
      <c r="Z12" s="48"/>
    </row>
    <row r="13" spans="1:30" ht="113.25" customHeight="1" x14ac:dyDescent="0.25">
      <c r="A13" s="105" t="s">
        <v>27</v>
      </c>
      <c r="B13" s="69" t="s">
        <v>20</v>
      </c>
      <c r="C13" s="106" t="s">
        <v>21</v>
      </c>
      <c r="D13" s="107">
        <v>100</v>
      </c>
      <c r="E13" s="53">
        <f>+I13+M13+Q13+U13</f>
        <v>61868481.692000002</v>
      </c>
      <c r="F13" s="91">
        <v>25</v>
      </c>
      <c r="G13" s="53">
        <f>+K13+O13+S13+W13</f>
        <v>55242081</v>
      </c>
      <c r="H13" s="92">
        <v>100</v>
      </c>
      <c r="I13" s="108">
        <v>26400000</v>
      </c>
      <c r="J13" s="63">
        <v>100</v>
      </c>
      <c r="K13" s="109">
        <v>26400000</v>
      </c>
      <c r="L13" s="72">
        <v>100</v>
      </c>
      <c r="M13" s="93">
        <v>35468481.692000002</v>
      </c>
      <c r="N13" s="63">
        <v>100</v>
      </c>
      <c r="O13" s="53">
        <f>+'[1]320103-4.1'!G10</f>
        <v>28842081</v>
      </c>
      <c r="P13" s="72">
        <v>100</v>
      </c>
      <c r="Q13" s="64"/>
      <c r="R13" s="63"/>
      <c r="S13" s="64"/>
      <c r="T13" s="72">
        <v>100</v>
      </c>
      <c r="U13" s="64"/>
      <c r="V13" s="110"/>
      <c r="W13" s="67"/>
      <c r="X13" s="111"/>
      <c r="Z13" s="48"/>
    </row>
    <row r="14" spans="1:30" ht="88.5" customHeight="1" x14ac:dyDescent="0.25">
      <c r="A14" s="112" t="s">
        <v>28</v>
      </c>
      <c r="B14" s="69" t="s">
        <v>20</v>
      </c>
      <c r="C14" s="113" t="s">
        <v>21</v>
      </c>
      <c r="D14" s="53">
        <v>100</v>
      </c>
      <c r="E14" s="53">
        <f>+I14+M14+Q14+U14</f>
        <v>136197435</v>
      </c>
      <c r="F14" s="91">
        <f>AVERAGE(J14,N14,R14,V14)</f>
        <v>64</v>
      </c>
      <c r="G14" s="53">
        <f>+K14+O14+S14+W14</f>
        <v>131604176</v>
      </c>
      <c r="H14" s="114">
        <v>100</v>
      </c>
      <c r="I14" s="108">
        <v>71278795</v>
      </c>
      <c r="J14" s="63">
        <v>99</v>
      </c>
      <c r="K14" s="109">
        <v>68251776</v>
      </c>
      <c r="L14" s="72">
        <v>100</v>
      </c>
      <c r="M14" s="93">
        <v>64918640</v>
      </c>
      <c r="N14" s="63">
        <v>29</v>
      </c>
      <c r="O14" s="53">
        <f>+'[1]320103-4.1'!G17</f>
        <v>63352400</v>
      </c>
      <c r="P14" s="72">
        <v>25</v>
      </c>
      <c r="Q14" s="64"/>
      <c r="R14" s="115"/>
      <c r="S14" s="64"/>
      <c r="T14" s="72">
        <v>25</v>
      </c>
      <c r="U14" s="116"/>
      <c r="V14" s="94"/>
      <c r="W14" s="67"/>
      <c r="X14" s="48"/>
    </row>
    <row r="15" spans="1:30" ht="88.5" customHeight="1" x14ac:dyDescent="0.25">
      <c r="A15" s="117" t="s">
        <v>29</v>
      </c>
      <c r="B15" s="69" t="s">
        <v>20</v>
      </c>
      <c r="C15" s="113" t="s">
        <v>21</v>
      </c>
      <c r="D15" s="53">
        <v>80</v>
      </c>
      <c r="E15" s="53">
        <f t="shared" ref="E15:E24" si="1">+I15+M15+Q15+U15</f>
        <v>1166514548.0599999</v>
      </c>
      <c r="F15" s="91">
        <f t="shared" ref="F15:F24" si="2">AVERAGE(J15,N15,R15,V15)</f>
        <v>50</v>
      </c>
      <c r="G15" s="53">
        <f t="shared" ref="G15:G71" si="3">+K15+O15+S15+W15</f>
        <v>862308225</v>
      </c>
      <c r="H15" s="118">
        <v>70</v>
      </c>
      <c r="I15" s="108">
        <v>469581873</v>
      </c>
      <c r="J15" s="119">
        <v>80</v>
      </c>
      <c r="K15" s="109">
        <v>384910637</v>
      </c>
      <c r="L15" s="72">
        <v>80</v>
      </c>
      <c r="M15" s="93">
        <v>696932675.06000006</v>
      </c>
      <c r="N15" s="63">
        <v>20</v>
      </c>
      <c r="O15" s="53">
        <f>+'[1]320103-4.1'!G56</f>
        <v>477397588</v>
      </c>
      <c r="P15" s="72"/>
      <c r="Q15" s="64"/>
      <c r="R15" s="115"/>
      <c r="S15" s="64"/>
      <c r="T15" s="72"/>
      <c r="U15" s="116"/>
      <c r="V15" s="94"/>
      <c r="W15" s="67"/>
      <c r="X15" s="48"/>
    </row>
    <row r="16" spans="1:30" ht="88.5" customHeight="1" x14ac:dyDescent="0.25">
      <c r="A16" s="117" t="s">
        <v>30</v>
      </c>
      <c r="B16" s="69" t="s">
        <v>20</v>
      </c>
      <c r="C16" s="113" t="s">
        <v>31</v>
      </c>
      <c r="D16" s="53">
        <v>60</v>
      </c>
      <c r="E16" s="53">
        <f t="shared" si="1"/>
        <v>0</v>
      </c>
      <c r="F16" s="91">
        <f t="shared" si="2"/>
        <v>60</v>
      </c>
      <c r="G16" s="53">
        <f t="shared" si="3"/>
        <v>0</v>
      </c>
      <c r="H16" s="118">
        <v>60</v>
      </c>
      <c r="I16" s="108">
        <v>0</v>
      </c>
      <c r="J16" s="119">
        <v>60</v>
      </c>
      <c r="K16" s="109">
        <v>0</v>
      </c>
      <c r="L16" s="72">
        <v>60</v>
      </c>
      <c r="M16" s="93">
        <v>0</v>
      </c>
      <c r="N16" s="63">
        <v>60</v>
      </c>
      <c r="O16" s="53">
        <f>+'[1]320103-4.1'!G59</f>
        <v>0</v>
      </c>
      <c r="P16" s="72"/>
      <c r="Q16" s="64"/>
      <c r="R16" s="115"/>
      <c r="S16" s="64"/>
      <c r="T16" s="72"/>
      <c r="U16" s="116"/>
      <c r="V16" s="94"/>
      <c r="W16" s="67"/>
      <c r="X16" s="48"/>
    </row>
    <row r="17" spans="1:26" ht="88.5" customHeight="1" x14ac:dyDescent="0.25">
      <c r="A17" s="112" t="s">
        <v>32</v>
      </c>
      <c r="B17" s="69" t="s">
        <v>20</v>
      </c>
      <c r="C17" s="113" t="s">
        <v>21</v>
      </c>
      <c r="D17" s="53">
        <v>80</v>
      </c>
      <c r="E17" s="53">
        <f t="shared" si="1"/>
        <v>384058822.52999997</v>
      </c>
      <c r="F17" s="91">
        <f t="shared" si="2"/>
        <v>67.5</v>
      </c>
      <c r="G17" s="53">
        <f t="shared" si="3"/>
        <v>365598276</v>
      </c>
      <c r="H17" s="118">
        <v>70</v>
      </c>
      <c r="I17" s="108">
        <v>72216869</v>
      </c>
      <c r="J17" s="119">
        <v>75</v>
      </c>
      <c r="K17" s="109">
        <v>65421798</v>
      </c>
      <c r="L17" s="72">
        <v>80</v>
      </c>
      <c r="M17" s="93">
        <v>311841953.52999997</v>
      </c>
      <c r="N17" s="63">
        <v>60</v>
      </c>
      <c r="O17" s="53">
        <f>+'[1]320103-4.1'!G97</f>
        <v>300176478</v>
      </c>
      <c r="P17" s="72"/>
      <c r="Q17" s="64"/>
      <c r="R17" s="115"/>
      <c r="S17" s="64"/>
      <c r="T17" s="72"/>
      <c r="U17" s="116"/>
      <c r="V17" s="94"/>
      <c r="W17" s="67"/>
      <c r="X17" s="48"/>
    </row>
    <row r="18" spans="1:26" ht="88.5" customHeight="1" x14ac:dyDescent="0.25">
      <c r="A18" s="117" t="s">
        <v>33</v>
      </c>
      <c r="B18" s="69" t="s">
        <v>20</v>
      </c>
      <c r="C18" s="113" t="s">
        <v>21</v>
      </c>
      <c r="D18" s="53">
        <v>25</v>
      </c>
      <c r="E18" s="53">
        <f t="shared" si="1"/>
        <v>907084967.48799992</v>
      </c>
      <c r="F18" s="91">
        <f t="shared" si="2"/>
        <v>17.5</v>
      </c>
      <c r="G18" s="53">
        <f t="shared" si="3"/>
        <v>684173957</v>
      </c>
      <c r="H18" s="118">
        <v>20</v>
      </c>
      <c r="I18" s="108">
        <v>222367667</v>
      </c>
      <c r="J18" s="119">
        <v>23</v>
      </c>
      <c r="K18" s="109">
        <v>215693379</v>
      </c>
      <c r="L18" s="72">
        <v>25</v>
      </c>
      <c r="M18" s="93">
        <v>684717300.48799992</v>
      </c>
      <c r="N18" s="63">
        <v>12</v>
      </c>
      <c r="O18" s="53">
        <f>+'[1]320103-4.1'!G124</f>
        <v>468480578</v>
      </c>
      <c r="P18" s="72"/>
      <c r="Q18" s="64"/>
      <c r="R18" s="115"/>
      <c r="S18" s="64"/>
      <c r="T18" s="72"/>
      <c r="U18" s="116"/>
      <c r="V18" s="94"/>
      <c r="W18" s="67"/>
      <c r="X18" s="48"/>
    </row>
    <row r="19" spans="1:26" ht="88.5" customHeight="1" x14ac:dyDescent="0.25">
      <c r="A19" s="112" t="s">
        <v>34</v>
      </c>
      <c r="B19" s="69" t="s">
        <v>20</v>
      </c>
      <c r="C19" s="113" t="s">
        <v>35</v>
      </c>
      <c r="D19" s="53">
        <v>120</v>
      </c>
      <c r="E19" s="53">
        <f t="shared" si="1"/>
        <v>53821287</v>
      </c>
      <c r="F19" s="91">
        <f>AVERAGE(J19,N19,R19,V19)</f>
        <v>95</v>
      </c>
      <c r="G19" s="53">
        <f t="shared" si="3"/>
        <v>20538686</v>
      </c>
      <c r="H19" s="118">
        <v>60</v>
      </c>
      <c r="I19" s="108">
        <v>20538687</v>
      </c>
      <c r="J19" s="119">
        <v>60</v>
      </c>
      <c r="K19" s="109">
        <v>20538686</v>
      </c>
      <c r="L19" s="72">
        <v>120</v>
      </c>
      <c r="M19" s="93">
        <v>33282600</v>
      </c>
      <c r="N19" s="63">
        <v>130</v>
      </c>
      <c r="O19" s="53">
        <f>+'[1]320103-4.1'!G128</f>
        <v>0</v>
      </c>
      <c r="P19" s="72"/>
      <c r="Q19" s="64"/>
      <c r="R19" s="115"/>
      <c r="S19" s="64"/>
      <c r="T19" s="72"/>
      <c r="U19" s="116"/>
      <c r="V19" s="94"/>
      <c r="W19" s="67"/>
      <c r="X19" s="48"/>
    </row>
    <row r="20" spans="1:26" ht="88.5" customHeight="1" x14ac:dyDescent="0.25">
      <c r="A20" s="112" t="s">
        <v>36</v>
      </c>
      <c r="B20" s="69" t="s">
        <v>20</v>
      </c>
      <c r="C20" s="113" t="s">
        <v>35</v>
      </c>
      <c r="D20" s="53">
        <v>1</v>
      </c>
      <c r="E20" s="53">
        <f t="shared" si="1"/>
        <v>16522687</v>
      </c>
      <c r="F20" s="91">
        <f t="shared" si="2"/>
        <v>0.75</v>
      </c>
      <c r="G20" s="53">
        <f t="shared" si="3"/>
        <v>16522686.436000001</v>
      </c>
      <c r="H20" s="118">
        <v>1</v>
      </c>
      <c r="I20" s="108">
        <v>16522687</v>
      </c>
      <c r="J20" s="119">
        <v>1</v>
      </c>
      <c r="K20" s="109">
        <v>16522686.436000001</v>
      </c>
      <c r="L20" s="72">
        <v>1</v>
      </c>
      <c r="M20" s="93">
        <v>0</v>
      </c>
      <c r="N20" s="73">
        <v>0.5</v>
      </c>
      <c r="O20" s="53">
        <f>+'[1]320103-4.1'!G131</f>
        <v>0</v>
      </c>
      <c r="P20" s="72"/>
      <c r="Q20" s="64"/>
      <c r="R20" s="115"/>
      <c r="S20" s="64"/>
      <c r="T20" s="72"/>
      <c r="U20" s="116"/>
      <c r="V20" s="94"/>
      <c r="W20" s="67"/>
      <c r="X20" s="48"/>
    </row>
    <row r="21" spans="1:26" ht="88.5" customHeight="1" x14ac:dyDescent="0.25">
      <c r="A21" s="112" t="s">
        <v>37</v>
      </c>
      <c r="B21" s="69" t="s">
        <v>20</v>
      </c>
      <c r="C21" s="113" t="s">
        <v>35</v>
      </c>
      <c r="D21" s="53">
        <v>1</v>
      </c>
      <c r="E21" s="53">
        <f t="shared" si="1"/>
        <v>92368000</v>
      </c>
      <c r="F21" s="91">
        <f t="shared" si="2"/>
        <v>0</v>
      </c>
      <c r="G21" s="53">
        <f t="shared" si="3"/>
        <v>0</v>
      </c>
      <c r="H21" s="118" t="s">
        <v>38</v>
      </c>
      <c r="I21" s="108">
        <v>0</v>
      </c>
      <c r="J21" s="119" t="s">
        <v>38</v>
      </c>
      <c r="K21" s="109">
        <v>0</v>
      </c>
      <c r="L21" s="72">
        <v>1</v>
      </c>
      <c r="M21" s="93">
        <v>92368000</v>
      </c>
      <c r="N21" s="63">
        <v>0</v>
      </c>
      <c r="O21" s="53">
        <f>+'[1]320103-4.1'!G135</f>
        <v>0</v>
      </c>
      <c r="P21" s="72"/>
      <c r="Q21" s="64"/>
      <c r="R21" s="115"/>
      <c r="S21" s="64"/>
      <c r="T21" s="72"/>
      <c r="U21" s="116"/>
      <c r="V21" s="94"/>
      <c r="W21" s="67"/>
      <c r="X21" s="48"/>
    </row>
    <row r="22" spans="1:26" ht="88.5" customHeight="1" x14ac:dyDescent="0.25">
      <c r="A22" s="112" t="s">
        <v>39</v>
      </c>
      <c r="B22" s="69" t="s">
        <v>20</v>
      </c>
      <c r="C22" s="113" t="s">
        <v>21</v>
      </c>
      <c r="D22" s="120">
        <v>100</v>
      </c>
      <c r="E22" s="53">
        <f t="shared" si="1"/>
        <v>118041400</v>
      </c>
      <c r="F22" s="91">
        <f t="shared" si="2"/>
        <v>57</v>
      </c>
      <c r="G22" s="53">
        <f t="shared" si="3"/>
        <v>90631562.833000004</v>
      </c>
      <c r="H22" s="118">
        <v>100</v>
      </c>
      <c r="I22" s="108">
        <v>70000000</v>
      </c>
      <c r="J22" s="119">
        <v>100</v>
      </c>
      <c r="K22" s="109">
        <v>65782562.833000004</v>
      </c>
      <c r="L22" s="72">
        <v>100</v>
      </c>
      <c r="M22" s="93">
        <v>48041400</v>
      </c>
      <c r="N22" s="63">
        <v>14</v>
      </c>
      <c r="O22" s="53">
        <f>+'[1]320103-4.1'!G141</f>
        <v>24849000</v>
      </c>
      <c r="P22" s="72"/>
      <c r="Q22" s="64"/>
      <c r="R22" s="115"/>
      <c r="S22" s="64"/>
      <c r="T22" s="72"/>
      <c r="U22" s="116"/>
      <c r="V22" s="94"/>
      <c r="W22" s="67"/>
      <c r="X22" s="48"/>
    </row>
    <row r="23" spans="1:26" ht="88.5" customHeight="1" x14ac:dyDescent="0.25">
      <c r="A23" s="112" t="s">
        <v>40</v>
      </c>
      <c r="B23" s="69" t="s">
        <v>20</v>
      </c>
      <c r="C23" s="113" t="s">
        <v>21</v>
      </c>
      <c r="D23" s="120">
        <v>100</v>
      </c>
      <c r="E23" s="53">
        <f t="shared" si="1"/>
        <v>38588086</v>
      </c>
      <c r="F23" s="91">
        <f t="shared" si="2"/>
        <v>71</v>
      </c>
      <c r="G23" s="53">
        <f t="shared" si="3"/>
        <v>36628086</v>
      </c>
      <c r="H23" s="118">
        <v>100</v>
      </c>
      <c r="I23" s="108">
        <v>12000000</v>
      </c>
      <c r="J23" s="119">
        <v>100</v>
      </c>
      <c r="K23" s="109">
        <v>10040000</v>
      </c>
      <c r="L23" s="72">
        <v>100</v>
      </c>
      <c r="M23" s="93">
        <v>26588086</v>
      </c>
      <c r="N23" s="63">
        <v>42</v>
      </c>
      <c r="O23" s="53">
        <f>+'[1]320103-4.1'!G146</f>
        <v>26588086</v>
      </c>
      <c r="P23" s="72"/>
      <c r="Q23" s="64"/>
      <c r="R23" s="115"/>
      <c r="S23" s="64"/>
      <c r="T23" s="72"/>
      <c r="U23" s="116"/>
      <c r="V23" s="94"/>
      <c r="W23" s="67"/>
      <c r="X23" s="48"/>
    </row>
    <row r="24" spans="1:26" ht="88.5" customHeight="1" x14ac:dyDescent="0.25">
      <c r="A24" s="112" t="s">
        <v>41</v>
      </c>
      <c r="B24" s="69" t="s">
        <v>20</v>
      </c>
      <c r="C24" s="113" t="s">
        <v>23</v>
      </c>
      <c r="D24" s="53">
        <v>1</v>
      </c>
      <c r="E24" s="53">
        <f t="shared" si="1"/>
        <v>1924904553.3836696</v>
      </c>
      <c r="F24" s="91">
        <f t="shared" si="2"/>
        <v>0.75</v>
      </c>
      <c r="G24" s="53">
        <f t="shared" si="3"/>
        <v>786129197</v>
      </c>
      <c r="H24" s="121">
        <v>1</v>
      </c>
      <c r="I24" s="56">
        <v>31217546</v>
      </c>
      <c r="J24" s="121">
        <v>1</v>
      </c>
      <c r="K24" s="53">
        <v>21217546</v>
      </c>
      <c r="L24" s="72">
        <v>1</v>
      </c>
      <c r="M24" s="93">
        <v>1893687007.3836696</v>
      </c>
      <c r="N24" s="73">
        <v>0.5</v>
      </c>
      <c r="O24" s="122">
        <f>+'[1]320103-4.1'!G153</f>
        <v>764911651</v>
      </c>
      <c r="P24" s="72">
        <v>1</v>
      </c>
      <c r="Q24" s="64"/>
      <c r="R24" s="63"/>
      <c r="S24" s="64"/>
      <c r="T24" s="72">
        <v>1</v>
      </c>
      <c r="U24" s="116"/>
      <c r="V24" s="94"/>
      <c r="W24" s="67"/>
      <c r="X24" s="48"/>
    </row>
    <row r="25" spans="1:26" ht="49.5" customHeight="1" x14ac:dyDescent="0.25">
      <c r="A25" s="123" t="s">
        <v>42</v>
      </c>
      <c r="B25" s="124"/>
      <c r="C25" s="125"/>
      <c r="D25" s="126"/>
      <c r="E25" s="127">
        <f>+E26+E31+E34</f>
        <v>9468834448.3488007</v>
      </c>
      <c r="F25" s="127">
        <f>+F26+F31+F34</f>
        <v>43.5</v>
      </c>
      <c r="G25" s="128">
        <f t="shared" si="3"/>
        <v>8722944623.7840004</v>
      </c>
      <c r="H25" s="129">
        <f>+H26+H31+H34</f>
        <v>82</v>
      </c>
      <c r="I25" s="130">
        <f>+I26+I37+I41</f>
        <v>7387648187.4136</v>
      </c>
      <c r="J25" s="130">
        <f>+J26+J37+J41</f>
        <v>0</v>
      </c>
      <c r="K25" s="130">
        <f>+K26+K37+K41</f>
        <v>7108383028.7840004</v>
      </c>
      <c r="L25" s="131"/>
      <c r="M25" s="127">
        <f>+M26+M37+M41</f>
        <v>7582826221.5847998</v>
      </c>
      <c r="N25" s="127"/>
      <c r="O25" s="127">
        <f>+O26+O37+O41</f>
        <v>1614561595</v>
      </c>
      <c r="P25" s="127">
        <f t="shared" ref="P25:W25" si="4">+P26+P37+P41</f>
        <v>101</v>
      </c>
      <c r="Q25" s="127">
        <f>+Q26+Q37+Q41</f>
        <v>7184871219</v>
      </c>
      <c r="R25" s="127">
        <f t="shared" si="4"/>
        <v>0</v>
      </c>
      <c r="S25" s="127">
        <f t="shared" si="4"/>
        <v>0</v>
      </c>
      <c r="T25" s="127">
        <f t="shared" si="4"/>
        <v>101</v>
      </c>
      <c r="U25" s="127">
        <f t="shared" si="4"/>
        <v>7464118214</v>
      </c>
      <c r="V25" s="127">
        <f t="shared" si="4"/>
        <v>0</v>
      </c>
      <c r="W25" s="127">
        <f t="shared" si="4"/>
        <v>0</v>
      </c>
      <c r="X25" s="48"/>
    </row>
    <row r="26" spans="1:26" ht="36.75" customHeight="1" x14ac:dyDescent="0.25">
      <c r="A26" s="132" t="s">
        <v>43</v>
      </c>
      <c r="B26" s="133"/>
      <c r="C26" s="134"/>
      <c r="D26" s="135"/>
      <c r="E26" s="136">
        <f>SUM(E27:E36)</f>
        <v>8319110245.4688005</v>
      </c>
      <c r="F26" s="79"/>
      <c r="G26" s="84">
        <f>SUM(G27:G36)</f>
        <v>4650871797.8920002</v>
      </c>
      <c r="H26" s="137"/>
      <c r="I26" s="138">
        <f>SUM(I27:I36)</f>
        <v>3990284305.5679998</v>
      </c>
      <c r="J26" s="82"/>
      <c r="K26" s="82">
        <f>SUM(K27:K36)</f>
        <v>3787492408.8920002</v>
      </c>
      <c r="L26" s="139"/>
      <c r="M26" s="84">
        <f t="shared" ref="M26:W26" si="5">SUM(M27:M36)</f>
        <v>4328825939.9007998</v>
      </c>
      <c r="N26" s="140">
        <f t="shared" si="5"/>
        <v>133.5</v>
      </c>
      <c r="O26" s="84">
        <f t="shared" si="5"/>
        <v>863379389</v>
      </c>
      <c r="P26" s="140">
        <f t="shared" si="5"/>
        <v>101</v>
      </c>
      <c r="Q26" s="84">
        <v>4033496996</v>
      </c>
      <c r="R26" s="140">
        <f t="shared" si="5"/>
        <v>0</v>
      </c>
      <c r="S26" s="84">
        <f t="shared" si="5"/>
        <v>0</v>
      </c>
      <c r="T26" s="140">
        <f t="shared" si="5"/>
        <v>101</v>
      </c>
      <c r="U26" s="84">
        <v>4291188800</v>
      </c>
      <c r="V26" s="140">
        <f t="shared" si="5"/>
        <v>0</v>
      </c>
      <c r="W26" s="84">
        <f t="shared" si="5"/>
        <v>0</v>
      </c>
      <c r="X26" s="48"/>
      <c r="Y26" s="48"/>
      <c r="Z26" s="48"/>
    </row>
    <row r="27" spans="1:26" ht="42.75" customHeight="1" x14ac:dyDescent="0.25">
      <c r="A27" s="141" t="s">
        <v>44</v>
      </c>
      <c r="B27" s="142" t="s">
        <v>45</v>
      </c>
      <c r="C27" s="143" t="s">
        <v>46</v>
      </c>
      <c r="D27" s="91">
        <f>AVERAGE(H27,L27,P27,T27)</f>
        <v>65</v>
      </c>
      <c r="E27" s="53">
        <f>+I27+M27+Q27+U27</f>
        <v>193014854.928</v>
      </c>
      <c r="F27" s="91">
        <f t="shared" ref="F27:F36" si="6">AVERAGE(J27,N27,R27,V27)</f>
        <v>17</v>
      </c>
      <c r="G27" s="53">
        <f t="shared" si="3"/>
        <v>156531511.28258124</v>
      </c>
      <c r="H27" s="144">
        <v>30</v>
      </c>
      <c r="I27" s="145">
        <v>128377244.8</v>
      </c>
      <c r="J27" s="63">
        <v>30</v>
      </c>
      <c r="K27" s="53">
        <v>126893901.28258124</v>
      </c>
      <c r="L27" s="72">
        <v>30</v>
      </c>
      <c r="M27" s="93">
        <v>64637610.127999999</v>
      </c>
      <c r="N27" s="63">
        <v>4</v>
      </c>
      <c r="O27" s="122">
        <f>+'[1]320201-1.1'!G10</f>
        <v>29637610</v>
      </c>
      <c r="P27" s="72">
        <v>100</v>
      </c>
      <c r="Q27" s="64"/>
      <c r="R27" s="63"/>
      <c r="S27" s="64"/>
      <c r="T27" s="72">
        <v>100</v>
      </c>
      <c r="U27" s="116"/>
      <c r="V27" s="94"/>
      <c r="W27" s="67"/>
      <c r="X27" s="48"/>
      <c r="Z27" s="48"/>
    </row>
    <row r="28" spans="1:26" ht="42.75" customHeight="1" x14ac:dyDescent="0.25">
      <c r="A28" s="141" t="s">
        <v>47</v>
      </c>
      <c r="B28" s="142" t="s">
        <v>45</v>
      </c>
      <c r="C28" s="143" t="s">
        <v>35</v>
      </c>
      <c r="D28" s="91">
        <f t="shared" ref="D28:D40" si="7">AVERAGE(H28,L28,P28,T28)</f>
        <v>3</v>
      </c>
      <c r="E28" s="53">
        <f t="shared" ref="E28:E36" si="8">+I28+M28+Q28+U28</f>
        <v>215039999.692</v>
      </c>
      <c r="F28" s="91">
        <f t="shared" si="6"/>
        <v>2.5</v>
      </c>
      <c r="G28" s="53">
        <f t="shared" si="3"/>
        <v>104999999.692</v>
      </c>
      <c r="H28" s="144">
        <v>3</v>
      </c>
      <c r="I28" s="56">
        <v>104999999.692</v>
      </c>
      <c r="J28" s="44">
        <v>3</v>
      </c>
      <c r="K28" s="53">
        <v>104999999.692</v>
      </c>
      <c r="L28" s="72">
        <v>3</v>
      </c>
      <c r="M28" s="93">
        <v>110040000</v>
      </c>
      <c r="N28" s="63">
        <v>2</v>
      </c>
      <c r="O28" s="122">
        <f>+'[1]320201-1.1'!G18</f>
        <v>0</v>
      </c>
      <c r="P28" s="72"/>
      <c r="Q28" s="64"/>
      <c r="R28" s="63"/>
      <c r="S28" s="64"/>
      <c r="T28" s="72"/>
      <c r="U28" s="116"/>
      <c r="V28" s="94"/>
      <c r="W28" s="67"/>
      <c r="X28" s="48"/>
      <c r="Z28" s="48"/>
    </row>
    <row r="29" spans="1:26" ht="56.25" customHeight="1" x14ac:dyDescent="0.25">
      <c r="A29" s="141" t="s">
        <v>48</v>
      </c>
      <c r="B29" s="142" t="s">
        <v>45</v>
      </c>
      <c r="C29" s="143" t="s">
        <v>35</v>
      </c>
      <c r="D29" s="91">
        <f t="shared" si="7"/>
        <v>2</v>
      </c>
      <c r="E29" s="53">
        <f t="shared" si="8"/>
        <v>418956285.07599998</v>
      </c>
      <c r="F29" s="91">
        <f t="shared" si="6"/>
        <v>1</v>
      </c>
      <c r="G29" s="53">
        <f t="shared" si="3"/>
        <v>317931145</v>
      </c>
      <c r="H29" s="144">
        <v>2</v>
      </c>
      <c r="I29" s="56">
        <v>327379758.07599998</v>
      </c>
      <c r="J29" s="44">
        <v>2</v>
      </c>
      <c r="K29" s="53">
        <v>317931145</v>
      </c>
      <c r="L29" s="72">
        <v>2</v>
      </c>
      <c r="M29" s="93">
        <v>91576527</v>
      </c>
      <c r="N29" s="63">
        <v>0</v>
      </c>
      <c r="O29" s="122">
        <f>+'[1]320201-1.1'!G25</f>
        <v>0</v>
      </c>
      <c r="P29" s="72"/>
      <c r="Q29" s="64"/>
      <c r="R29" s="63"/>
      <c r="S29" s="64"/>
      <c r="T29" s="72"/>
      <c r="U29" s="116"/>
      <c r="V29" s="94"/>
      <c r="W29" s="67"/>
      <c r="X29" s="48"/>
      <c r="Z29" s="48"/>
    </row>
    <row r="30" spans="1:26" ht="42.75" customHeight="1" x14ac:dyDescent="0.25">
      <c r="A30" s="141" t="s">
        <v>49</v>
      </c>
      <c r="B30" s="142"/>
      <c r="C30" s="143" t="s">
        <v>35</v>
      </c>
      <c r="D30" s="91">
        <f t="shared" si="7"/>
        <v>3</v>
      </c>
      <c r="E30" s="53">
        <f t="shared" si="8"/>
        <v>1061064000</v>
      </c>
      <c r="F30" s="91">
        <f t="shared" si="6"/>
        <v>1.5</v>
      </c>
      <c r="G30" s="53">
        <f t="shared" si="3"/>
        <v>440527389.42073214</v>
      </c>
      <c r="H30" s="144">
        <v>3</v>
      </c>
      <c r="I30" s="56">
        <v>500000000</v>
      </c>
      <c r="J30" s="44">
        <v>3</v>
      </c>
      <c r="K30" s="53">
        <v>440527389.42073214</v>
      </c>
      <c r="L30" s="72">
        <v>3</v>
      </c>
      <c r="M30" s="93">
        <v>561064000</v>
      </c>
      <c r="N30" s="63">
        <v>0</v>
      </c>
      <c r="O30" s="122">
        <f>+'[1]320201-1.1'!G33</f>
        <v>0</v>
      </c>
      <c r="P30" s="72"/>
      <c r="Q30" s="64"/>
      <c r="R30" s="63"/>
      <c r="S30" s="64"/>
      <c r="T30" s="72"/>
      <c r="U30" s="116"/>
      <c r="V30" s="94"/>
      <c r="W30" s="67"/>
      <c r="X30" s="48"/>
      <c r="Z30" s="48"/>
    </row>
    <row r="31" spans="1:26" ht="42.75" customHeight="1" x14ac:dyDescent="0.25">
      <c r="A31" s="141" t="s">
        <v>50</v>
      </c>
      <c r="B31" s="142"/>
      <c r="C31" s="143" t="s">
        <v>21</v>
      </c>
      <c r="D31" s="91">
        <f t="shared" si="7"/>
        <v>78.5</v>
      </c>
      <c r="E31" s="53">
        <f t="shared" si="8"/>
        <v>178041275.95199999</v>
      </c>
      <c r="F31" s="91">
        <f t="shared" si="6"/>
        <v>25</v>
      </c>
      <c r="G31" s="53">
        <f t="shared" si="3"/>
        <v>111339697</v>
      </c>
      <c r="H31" s="144">
        <v>57</v>
      </c>
      <c r="I31" s="56">
        <v>123000000</v>
      </c>
      <c r="J31" s="44">
        <v>50</v>
      </c>
      <c r="K31" s="53">
        <v>111339697</v>
      </c>
      <c r="L31" s="72">
        <v>100</v>
      </c>
      <c r="M31" s="93">
        <v>55041275.952</v>
      </c>
      <c r="N31" s="63">
        <v>0</v>
      </c>
      <c r="O31" s="122">
        <f>+'[1]320201-1.1'!G39</f>
        <v>0</v>
      </c>
      <c r="P31" s="72"/>
      <c r="Q31" s="64"/>
      <c r="R31" s="63"/>
      <c r="S31" s="64"/>
      <c r="T31" s="72"/>
      <c r="U31" s="116"/>
      <c r="V31" s="94"/>
      <c r="W31" s="67"/>
      <c r="X31" s="48"/>
      <c r="Z31" s="48"/>
    </row>
    <row r="32" spans="1:26" ht="42.75" customHeight="1" x14ac:dyDescent="0.25">
      <c r="A32" s="88" t="s">
        <v>51</v>
      </c>
      <c r="B32" s="142"/>
      <c r="C32" s="143" t="s">
        <v>21</v>
      </c>
      <c r="D32" s="91">
        <f t="shared" si="7"/>
        <v>100</v>
      </c>
      <c r="E32" s="53">
        <f t="shared" si="8"/>
        <v>19004492.130000003</v>
      </c>
      <c r="F32" s="91">
        <f t="shared" si="6"/>
        <v>62.5</v>
      </c>
      <c r="G32" s="53">
        <f t="shared" si="3"/>
        <v>4898516</v>
      </c>
      <c r="H32" s="144">
        <v>100</v>
      </c>
      <c r="I32" s="56">
        <v>5000000</v>
      </c>
      <c r="J32" s="44">
        <v>100</v>
      </c>
      <c r="K32" s="53">
        <v>4898516</v>
      </c>
      <c r="L32" s="72">
        <v>100</v>
      </c>
      <c r="M32" s="93">
        <v>14004492.130000001</v>
      </c>
      <c r="N32" s="63">
        <v>25</v>
      </c>
      <c r="O32" s="122">
        <f>+'[1]320201-1.1'!G46</f>
        <v>0</v>
      </c>
      <c r="P32" s="72"/>
      <c r="Q32" s="64"/>
      <c r="R32" s="63"/>
      <c r="S32" s="64"/>
      <c r="T32" s="72"/>
      <c r="U32" s="116"/>
      <c r="V32" s="94"/>
      <c r="W32" s="67"/>
      <c r="X32" s="48"/>
      <c r="Z32" s="48"/>
    </row>
    <row r="33" spans="1:31" ht="42.75" customHeight="1" x14ac:dyDescent="0.25">
      <c r="A33" s="88" t="s">
        <v>52</v>
      </c>
      <c r="B33" s="142"/>
      <c r="C33" s="143" t="s">
        <v>21</v>
      </c>
      <c r="D33" s="91">
        <f t="shared" si="7"/>
        <v>100</v>
      </c>
      <c r="E33" s="53">
        <f t="shared" si="8"/>
        <v>4590891372.4907999</v>
      </c>
      <c r="F33" s="91">
        <f t="shared" si="6"/>
        <v>75</v>
      </c>
      <c r="G33" s="53">
        <f t="shared" si="3"/>
        <v>2739089526.129014</v>
      </c>
      <c r="H33" s="144">
        <v>100</v>
      </c>
      <c r="I33" s="56">
        <v>2100000000</v>
      </c>
      <c r="J33" s="44">
        <v>100</v>
      </c>
      <c r="K33" s="53">
        <v>2068633086.1290143</v>
      </c>
      <c r="L33" s="72">
        <v>100</v>
      </c>
      <c r="M33" s="93">
        <v>2490891372.4907999</v>
      </c>
      <c r="N33" s="63">
        <v>50</v>
      </c>
      <c r="O33" s="122">
        <f>+'[1]320201-1.1'!G64</f>
        <v>670456440</v>
      </c>
      <c r="P33" s="72"/>
      <c r="Q33" s="64"/>
      <c r="R33" s="63"/>
      <c r="S33" s="64"/>
      <c r="T33" s="72"/>
      <c r="U33" s="116"/>
      <c r="V33" s="94"/>
      <c r="W33" s="67"/>
      <c r="X33" s="48"/>
      <c r="Z33" s="48"/>
    </row>
    <row r="34" spans="1:31" ht="42.75" customHeight="1" x14ac:dyDescent="0.25">
      <c r="A34" s="88" t="s">
        <v>53</v>
      </c>
      <c r="B34" s="142"/>
      <c r="C34" s="143" t="s">
        <v>21</v>
      </c>
      <c r="D34" s="91">
        <f t="shared" si="7"/>
        <v>25</v>
      </c>
      <c r="E34" s="53">
        <f t="shared" si="8"/>
        <v>971682926.92799997</v>
      </c>
      <c r="F34" s="91">
        <f t="shared" si="6"/>
        <v>18.5</v>
      </c>
      <c r="G34" s="53">
        <f t="shared" si="3"/>
        <v>501973006.73793042</v>
      </c>
      <c r="H34" s="144">
        <v>25</v>
      </c>
      <c r="I34" s="56">
        <v>500000000</v>
      </c>
      <c r="J34" s="44">
        <v>25</v>
      </c>
      <c r="K34" s="53">
        <v>447290853.73793042</v>
      </c>
      <c r="L34" s="72">
        <v>25</v>
      </c>
      <c r="M34" s="93">
        <v>471682926.92799997</v>
      </c>
      <c r="N34" s="63">
        <v>12</v>
      </c>
      <c r="O34" s="122">
        <f>+'[1]320201-1.1'!G70</f>
        <v>54682153</v>
      </c>
      <c r="P34" s="72"/>
      <c r="Q34" s="64"/>
      <c r="R34" s="63"/>
      <c r="S34" s="64"/>
      <c r="T34" s="72"/>
      <c r="U34" s="116"/>
      <c r="V34" s="94"/>
      <c r="W34" s="67"/>
      <c r="X34" s="48"/>
      <c r="Z34" s="48"/>
    </row>
    <row r="35" spans="1:31" ht="42.75" customHeight="1" x14ac:dyDescent="0.25">
      <c r="A35" s="88" t="s">
        <v>54</v>
      </c>
      <c r="B35" s="142"/>
      <c r="C35" s="143" t="s">
        <v>21</v>
      </c>
      <c r="D35" s="91">
        <f t="shared" si="7"/>
        <v>100</v>
      </c>
      <c r="E35" s="53">
        <f t="shared" si="8"/>
        <v>486611128.27200001</v>
      </c>
      <c r="F35" s="91">
        <f t="shared" si="6"/>
        <v>70</v>
      </c>
      <c r="G35" s="53">
        <f t="shared" si="3"/>
        <v>182860650.62974238</v>
      </c>
      <c r="H35" s="144">
        <v>100</v>
      </c>
      <c r="I35" s="56">
        <v>150000000</v>
      </c>
      <c r="J35" s="44">
        <v>100</v>
      </c>
      <c r="K35" s="53">
        <v>117450517.6297424</v>
      </c>
      <c r="L35" s="72">
        <v>100</v>
      </c>
      <c r="M35" s="93">
        <v>336611128.27200001</v>
      </c>
      <c r="N35" s="63">
        <v>40</v>
      </c>
      <c r="O35" s="122">
        <f>+'[1]320201-1.1'!G75</f>
        <v>65410133</v>
      </c>
      <c r="P35" s="72"/>
      <c r="Q35" s="64"/>
      <c r="R35" s="63"/>
      <c r="S35" s="64"/>
      <c r="T35" s="72"/>
      <c r="U35" s="116"/>
      <c r="V35" s="94"/>
      <c r="W35" s="67"/>
      <c r="X35" s="48"/>
      <c r="Z35" s="48"/>
    </row>
    <row r="36" spans="1:31" ht="46.5" customHeight="1" x14ac:dyDescent="0.25">
      <c r="A36" s="146" t="s">
        <v>41</v>
      </c>
      <c r="B36" s="142" t="s">
        <v>45</v>
      </c>
      <c r="C36" s="143" t="s">
        <v>23</v>
      </c>
      <c r="D36" s="91">
        <f t="shared" si="7"/>
        <v>0.75</v>
      </c>
      <c r="E36" s="53">
        <f t="shared" si="8"/>
        <v>184803910</v>
      </c>
      <c r="F36" s="91">
        <f t="shared" si="6"/>
        <v>0.75</v>
      </c>
      <c r="G36" s="53">
        <f t="shared" si="3"/>
        <v>90720356</v>
      </c>
      <c r="H36" s="121">
        <v>1</v>
      </c>
      <c r="I36" s="56">
        <v>51527303</v>
      </c>
      <c r="J36" s="44">
        <v>1</v>
      </c>
      <c r="K36" s="53">
        <v>47527303</v>
      </c>
      <c r="L36" s="72">
        <v>0</v>
      </c>
      <c r="M36" s="93">
        <v>133276607</v>
      </c>
      <c r="N36" s="147">
        <v>0.5</v>
      </c>
      <c r="O36" s="122">
        <f>+'[1]320201-1.1'!G82</f>
        <v>43193053</v>
      </c>
      <c r="P36" s="72">
        <v>1</v>
      </c>
      <c r="Q36" s="64"/>
      <c r="R36" s="63"/>
      <c r="S36" s="64"/>
      <c r="T36" s="72">
        <v>1</v>
      </c>
      <c r="U36" s="116"/>
      <c r="V36" s="94"/>
      <c r="W36" s="67"/>
      <c r="X36" s="48"/>
      <c r="Y36" s="148"/>
      <c r="Z36" s="149"/>
    </row>
    <row r="37" spans="1:31" ht="51" customHeight="1" thickBot="1" x14ac:dyDescent="0.3">
      <c r="A37" s="100" t="s">
        <v>55</v>
      </c>
      <c r="B37" s="150"/>
      <c r="C37" s="151"/>
      <c r="D37" s="152"/>
      <c r="E37" s="78">
        <f>SUM(E38:E40)</f>
        <v>2522467142.0296001</v>
      </c>
      <c r="F37" s="78"/>
      <c r="G37" s="78">
        <f>SUM(G38:G40)</f>
        <v>2260500431.0560002</v>
      </c>
      <c r="H37" s="153">
        <v>0</v>
      </c>
      <c r="I37" s="43">
        <f>SUM(I38:I40)</f>
        <v>1533764459.3456001</v>
      </c>
      <c r="J37" s="81"/>
      <c r="K37" s="78">
        <f>SUM(K38:K40)</f>
        <v>1509318225.0560002</v>
      </c>
      <c r="L37" s="152">
        <v>0</v>
      </c>
      <c r="M37" s="154">
        <f>SUM(M38:M40)</f>
        <v>988702682.68400002</v>
      </c>
      <c r="N37" s="134"/>
      <c r="O37" s="155">
        <f>SUM(O38:O40)</f>
        <v>751182206</v>
      </c>
      <c r="P37" s="156"/>
      <c r="Q37" s="156">
        <v>1377509020</v>
      </c>
      <c r="R37" s="81"/>
      <c r="S37" s="156">
        <f>SUM(S38:S40)</f>
        <v>0</v>
      </c>
      <c r="T37" s="156"/>
      <c r="U37" s="156">
        <v>1444409153</v>
      </c>
      <c r="V37" s="85"/>
      <c r="W37" s="157">
        <f>SUM(W38:W40)</f>
        <v>0</v>
      </c>
      <c r="X37" s="48"/>
      <c r="Y37" s="48"/>
      <c r="Z37" s="48"/>
    </row>
    <row r="38" spans="1:31" ht="116.25" customHeight="1" x14ac:dyDescent="0.25">
      <c r="A38" s="158" t="s">
        <v>56</v>
      </c>
      <c r="B38" s="142" t="s">
        <v>45</v>
      </c>
      <c r="C38" s="159" t="s">
        <v>35</v>
      </c>
      <c r="D38" s="91">
        <f t="shared" si="7"/>
        <v>75.25</v>
      </c>
      <c r="E38" s="53">
        <f>+I38+M38+Q38+U38</f>
        <v>1544977726.0296001</v>
      </c>
      <c r="F38" s="91">
        <f>AVERAGE(J38,N38,R38,V38)</f>
        <v>50.25</v>
      </c>
      <c r="G38" s="53">
        <f t="shared" si="3"/>
        <v>1403330408.0560002</v>
      </c>
      <c r="H38" s="72">
        <v>100</v>
      </c>
      <c r="I38" s="56">
        <v>910151839.34560001</v>
      </c>
      <c r="J38" s="63">
        <v>100</v>
      </c>
      <c r="K38" s="53">
        <v>888753850.05600011</v>
      </c>
      <c r="L38" s="72">
        <v>1</v>
      </c>
      <c r="M38" s="160">
        <f>+'[2]320202'!$T$6</f>
        <v>634825886.68400002</v>
      </c>
      <c r="N38" s="73">
        <v>0.5</v>
      </c>
      <c r="O38" s="53">
        <f>+'[1]320202-4.2'!G48</f>
        <v>514576558</v>
      </c>
      <c r="P38" s="72">
        <v>100</v>
      </c>
      <c r="Q38" s="64"/>
      <c r="R38" s="63"/>
      <c r="S38" s="64"/>
      <c r="T38" s="72">
        <v>100</v>
      </c>
      <c r="U38" s="64"/>
      <c r="V38" s="94"/>
      <c r="W38" s="67"/>
      <c r="X38" s="48"/>
      <c r="Y38" s="48"/>
      <c r="Z38" s="48"/>
    </row>
    <row r="39" spans="1:31" ht="111" customHeight="1" x14ac:dyDescent="0.25">
      <c r="A39" s="112" t="s">
        <v>57</v>
      </c>
      <c r="B39" s="142" t="s">
        <v>45</v>
      </c>
      <c r="C39" s="159" t="s">
        <v>35</v>
      </c>
      <c r="D39" s="91">
        <f t="shared" si="7"/>
        <v>75.25</v>
      </c>
      <c r="E39" s="53">
        <f>+I39+M39+Q39+U39</f>
        <v>83432400</v>
      </c>
      <c r="F39" s="91">
        <f>AVERAGE(J39,N39,R39,V39)</f>
        <v>50.25</v>
      </c>
      <c r="G39" s="53">
        <f t="shared" si="3"/>
        <v>58131600</v>
      </c>
      <c r="H39" s="72">
        <v>100</v>
      </c>
      <c r="I39" s="56">
        <v>27108000</v>
      </c>
      <c r="J39" s="63">
        <v>100</v>
      </c>
      <c r="K39" s="53">
        <v>24999600</v>
      </c>
      <c r="L39" s="121">
        <v>1</v>
      </c>
      <c r="M39" s="161">
        <f>+'[2]320202'!$T$10</f>
        <v>56324400</v>
      </c>
      <c r="N39" s="73">
        <v>0.5</v>
      </c>
      <c r="O39" s="53">
        <f>+'[1]320202-4.2'!G51</f>
        <v>33132000</v>
      </c>
      <c r="P39" s="72">
        <v>100</v>
      </c>
      <c r="Q39" s="64"/>
      <c r="R39" s="63"/>
      <c r="S39" s="64"/>
      <c r="T39" s="72">
        <v>100</v>
      </c>
      <c r="U39" s="64"/>
      <c r="V39" s="63"/>
      <c r="W39" s="162"/>
      <c r="X39" s="48"/>
      <c r="Y39" s="163"/>
      <c r="Z39" s="163"/>
      <c r="AA39" s="163"/>
      <c r="AB39" s="163"/>
      <c r="AC39" s="163"/>
      <c r="AD39" s="164"/>
      <c r="AE39" s="165"/>
    </row>
    <row r="40" spans="1:31" ht="105.75" customHeight="1" x14ac:dyDescent="0.25">
      <c r="A40" s="112" t="s">
        <v>58</v>
      </c>
      <c r="B40" s="142" t="s">
        <v>45</v>
      </c>
      <c r="C40" s="159" t="s">
        <v>35</v>
      </c>
      <c r="D40" s="91">
        <f t="shared" si="7"/>
        <v>75.25</v>
      </c>
      <c r="E40" s="53">
        <f>+I40+M40+Q40+U40</f>
        <v>894057016</v>
      </c>
      <c r="F40" s="91">
        <f>AVERAGE(J40,N40,R40,V40)</f>
        <v>50.25</v>
      </c>
      <c r="G40" s="53">
        <f t="shared" si="3"/>
        <v>799038423</v>
      </c>
      <c r="H40" s="72">
        <v>100</v>
      </c>
      <c r="I40" s="56">
        <v>596504620</v>
      </c>
      <c r="J40" s="63">
        <v>100</v>
      </c>
      <c r="K40" s="53">
        <v>595564775</v>
      </c>
      <c r="L40" s="72">
        <v>1</v>
      </c>
      <c r="M40" s="161">
        <f>+'[2]320202'!$T$13</f>
        <v>297552396</v>
      </c>
      <c r="N40" s="73">
        <v>0.5</v>
      </c>
      <c r="O40" s="53">
        <f>+'[1]320202-4.2'!G63</f>
        <v>203473648</v>
      </c>
      <c r="P40" s="72">
        <v>100</v>
      </c>
      <c r="Q40" s="64"/>
      <c r="R40" s="73"/>
      <c r="S40" s="64"/>
      <c r="T40" s="72">
        <v>100</v>
      </c>
      <c r="U40" s="64"/>
      <c r="V40" s="94"/>
      <c r="W40" s="67"/>
      <c r="X40" s="48"/>
      <c r="Y40" s="48"/>
      <c r="Z40" s="48"/>
    </row>
    <row r="41" spans="1:31" ht="73.5" customHeight="1" thickBot="1" x14ac:dyDescent="0.3">
      <c r="A41" s="166" t="s">
        <v>59</v>
      </c>
      <c r="B41" s="150"/>
      <c r="C41" s="152"/>
      <c r="D41" s="167"/>
      <c r="E41" s="78">
        <f>SUM(E42:E47)</f>
        <v>4128897021.5</v>
      </c>
      <c r="F41" s="78"/>
      <c r="G41" s="78">
        <f>SUM(G42:G47)</f>
        <v>1811572394.8360002</v>
      </c>
      <c r="H41" s="168">
        <v>0</v>
      </c>
      <c r="I41" s="80">
        <f>SUM(I42:I47)</f>
        <v>1863599422.5</v>
      </c>
      <c r="J41" s="81"/>
      <c r="K41" s="78">
        <f>SUM(K42:K47)</f>
        <v>1811572394.8360002</v>
      </c>
      <c r="L41" s="168">
        <v>0</v>
      </c>
      <c r="M41" s="78">
        <f>SUM(M42:M47)</f>
        <v>2265297599</v>
      </c>
      <c r="N41" s="134"/>
      <c r="O41" s="78">
        <f>SUM(O42:O47)</f>
        <v>0</v>
      </c>
      <c r="P41" s="169"/>
      <c r="Q41" s="156">
        <v>1773865203</v>
      </c>
      <c r="R41" s="81"/>
      <c r="S41" s="156">
        <f>SUM(S42:S47)</f>
        <v>0</v>
      </c>
      <c r="T41" s="156"/>
      <c r="U41" s="156">
        <v>1728520261</v>
      </c>
      <c r="V41" s="85"/>
      <c r="W41" s="157">
        <f>SUM(W42:W47)</f>
        <v>0</v>
      </c>
      <c r="X41" s="48"/>
      <c r="Z41" s="48"/>
    </row>
    <row r="42" spans="1:31" ht="64.5" customHeight="1" x14ac:dyDescent="0.25">
      <c r="A42" s="170" t="s">
        <v>60</v>
      </c>
      <c r="B42" s="171" t="s">
        <v>45</v>
      </c>
      <c r="C42" s="159" t="s">
        <v>21</v>
      </c>
      <c r="D42" s="91">
        <f>AVERAGE(H42,L42,P42,T42)</f>
        <v>100</v>
      </c>
      <c r="E42" s="53">
        <f t="shared" ref="E42:E47" si="9">+I42+M42+Q42+U42</f>
        <v>763693014</v>
      </c>
      <c r="F42" s="91">
        <f t="shared" ref="F42:F46" si="10">AVERAGE(J42,N42,R42,V42)</f>
        <v>50</v>
      </c>
      <c r="G42" s="53">
        <f t="shared" ref="G42:G47" si="11">+K42+O42+S42+W42</f>
        <v>121973987</v>
      </c>
      <c r="H42" s="72">
        <v>100</v>
      </c>
      <c r="I42" s="56">
        <v>122000000</v>
      </c>
      <c r="J42" s="63">
        <v>100</v>
      </c>
      <c r="K42" s="172">
        <v>121973987</v>
      </c>
      <c r="L42" s="72">
        <v>100</v>
      </c>
      <c r="M42" s="93">
        <v>641693014</v>
      </c>
      <c r="N42" s="63">
        <v>0</v>
      </c>
      <c r="O42" s="53">
        <f>+'[1]320203-1.2'!G13</f>
        <v>0</v>
      </c>
      <c r="P42" s="72">
        <v>100</v>
      </c>
      <c r="Q42" s="64"/>
      <c r="R42" s="63"/>
      <c r="S42" s="62"/>
      <c r="T42" s="173"/>
      <c r="U42" s="64"/>
      <c r="V42" s="174"/>
      <c r="W42" s="67">
        <v>0</v>
      </c>
      <c r="X42" s="48"/>
      <c r="Z42" s="48"/>
    </row>
    <row r="43" spans="1:31" ht="64.5" customHeight="1" x14ac:dyDescent="0.25">
      <c r="A43" s="175" t="s">
        <v>61</v>
      </c>
      <c r="B43" s="171"/>
      <c r="C43" s="176" t="s">
        <v>62</v>
      </c>
      <c r="D43" s="91">
        <f t="shared" ref="D43:D60" si="12">AVERAGE(H43,L43,P43,T43)</f>
        <v>25</v>
      </c>
      <c r="E43" s="53">
        <f t="shared" si="9"/>
        <v>41787200</v>
      </c>
      <c r="F43" s="91">
        <f t="shared" si="10"/>
        <v>18</v>
      </c>
      <c r="G43" s="53">
        <f t="shared" si="11"/>
        <v>39246082.82</v>
      </c>
      <c r="H43" s="72">
        <v>25</v>
      </c>
      <c r="I43" s="56">
        <v>41787200</v>
      </c>
      <c r="J43" s="63">
        <v>36</v>
      </c>
      <c r="K43" s="53">
        <v>39246082.82</v>
      </c>
      <c r="L43" s="72">
        <v>25</v>
      </c>
      <c r="M43" s="93">
        <v>0</v>
      </c>
      <c r="N43" s="63">
        <v>0</v>
      </c>
      <c r="O43" s="53">
        <v>0</v>
      </c>
      <c r="P43" s="72"/>
      <c r="Q43" s="64"/>
      <c r="R43" s="63"/>
      <c r="S43" s="62"/>
      <c r="T43" s="173"/>
      <c r="U43" s="64"/>
      <c r="V43" s="174"/>
      <c r="W43" s="67"/>
      <c r="X43" s="48"/>
      <c r="Z43" s="48"/>
    </row>
    <row r="44" spans="1:31" ht="64.5" customHeight="1" x14ac:dyDescent="0.25">
      <c r="A44" s="177" t="s">
        <v>63</v>
      </c>
      <c r="B44" s="171"/>
      <c r="C44" s="176" t="s">
        <v>21</v>
      </c>
      <c r="D44" s="91">
        <f t="shared" si="12"/>
        <v>100</v>
      </c>
      <c r="E44" s="53">
        <f t="shared" si="9"/>
        <v>628777397.39999998</v>
      </c>
      <c r="F44" s="91">
        <f t="shared" si="10"/>
        <v>55</v>
      </c>
      <c r="G44" s="53">
        <f t="shared" si="11"/>
        <v>304251579.764</v>
      </c>
      <c r="H44" s="72">
        <v>100</v>
      </c>
      <c r="I44" s="56">
        <v>304823665.39999998</v>
      </c>
      <c r="J44" s="63">
        <v>100</v>
      </c>
      <c r="K44" s="53">
        <v>304251579.764</v>
      </c>
      <c r="L44" s="72">
        <v>100</v>
      </c>
      <c r="M44" s="93">
        <v>323953732</v>
      </c>
      <c r="N44" s="63">
        <v>10</v>
      </c>
      <c r="O44" s="53">
        <f>+'[1]320203-1.2'!G21</f>
        <v>0</v>
      </c>
      <c r="P44" s="72"/>
      <c r="Q44" s="64"/>
      <c r="R44" s="63"/>
      <c r="S44" s="62"/>
      <c r="T44" s="173"/>
      <c r="U44" s="64"/>
      <c r="V44" s="174"/>
      <c r="W44" s="67"/>
      <c r="X44" s="48"/>
      <c r="Z44" s="48"/>
    </row>
    <row r="45" spans="1:31" ht="64.5" customHeight="1" x14ac:dyDescent="0.25">
      <c r="A45" s="177" t="s">
        <v>64</v>
      </c>
      <c r="B45" s="171"/>
      <c r="C45" s="176" t="s">
        <v>62</v>
      </c>
      <c r="D45" s="91">
        <f t="shared" si="12"/>
        <v>500</v>
      </c>
      <c r="E45" s="53">
        <f t="shared" si="9"/>
        <v>1622724847.0999999</v>
      </c>
      <c r="F45" s="91">
        <f t="shared" si="10"/>
        <v>250</v>
      </c>
      <c r="G45" s="53">
        <f t="shared" si="11"/>
        <v>673631836.14400005</v>
      </c>
      <c r="H45" s="72">
        <v>500</v>
      </c>
      <c r="I45" s="56">
        <v>678407316.10000002</v>
      </c>
      <c r="J45" s="63">
        <v>500</v>
      </c>
      <c r="K45" s="53">
        <v>673631836.14400005</v>
      </c>
      <c r="L45" s="72">
        <v>500</v>
      </c>
      <c r="M45" s="93">
        <v>944317531</v>
      </c>
      <c r="N45" s="63">
        <v>0</v>
      </c>
      <c r="O45" s="53">
        <f>+'[1]320203-1.2'!G28</f>
        <v>0</v>
      </c>
      <c r="P45" s="72"/>
      <c r="Q45" s="64"/>
      <c r="R45" s="63"/>
      <c r="S45" s="62"/>
      <c r="T45" s="173"/>
      <c r="U45" s="64"/>
      <c r="V45" s="174"/>
      <c r="W45" s="67"/>
      <c r="X45" s="48"/>
      <c r="Z45" s="48"/>
    </row>
    <row r="46" spans="1:31" ht="64.5" customHeight="1" x14ac:dyDescent="0.25">
      <c r="A46" s="177" t="s">
        <v>65</v>
      </c>
      <c r="B46" s="171"/>
      <c r="C46" s="176" t="s">
        <v>21</v>
      </c>
      <c r="D46" s="91">
        <f t="shared" si="12"/>
        <v>100</v>
      </c>
      <c r="E46" s="53">
        <f t="shared" si="9"/>
        <v>612050699</v>
      </c>
      <c r="F46" s="91">
        <f t="shared" si="10"/>
        <v>55</v>
      </c>
      <c r="G46" s="53">
        <f t="shared" si="11"/>
        <v>334870507.10799998</v>
      </c>
      <c r="H46" s="72">
        <v>100</v>
      </c>
      <c r="I46" s="56">
        <v>337050699</v>
      </c>
      <c r="J46" s="63">
        <v>100</v>
      </c>
      <c r="K46" s="53">
        <v>334870507.10799998</v>
      </c>
      <c r="L46" s="72">
        <v>100</v>
      </c>
      <c r="M46" s="93">
        <v>275000000</v>
      </c>
      <c r="N46" s="63">
        <v>10</v>
      </c>
      <c r="O46" s="53">
        <f>+'[1]320203-1.2'!G37</f>
        <v>0</v>
      </c>
      <c r="P46" s="72"/>
      <c r="Q46" s="64"/>
      <c r="R46" s="63"/>
      <c r="S46" s="62"/>
      <c r="T46" s="173"/>
      <c r="U46" s="64"/>
      <c r="V46" s="174"/>
      <c r="W46" s="67"/>
      <c r="X46" s="48"/>
      <c r="Z46" s="48"/>
    </row>
    <row r="47" spans="1:31" ht="64.5" customHeight="1" x14ac:dyDescent="0.25">
      <c r="A47" s="177" t="s">
        <v>66</v>
      </c>
      <c r="B47" s="171"/>
      <c r="C47" s="176" t="s">
        <v>62</v>
      </c>
      <c r="D47" s="91">
        <f t="shared" si="12"/>
        <v>345</v>
      </c>
      <c r="E47" s="53">
        <f t="shared" si="9"/>
        <v>459863864</v>
      </c>
      <c r="F47" s="91">
        <f>AVERAGE(J47,N47,R47,V47)</f>
        <v>785.45714999999996</v>
      </c>
      <c r="G47" s="53">
        <f t="shared" si="11"/>
        <v>337598402</v>
      </c>
      <c r="H47" s="72">
        <v>340</v>
      </c>
      <c r="I47" s="56">
        <v>379530542</v>
      </c>
      <c r="J47" s="63">
        <v>1570.9142999999999</v>
      </c>
      <c r="K47" s="53">
        <v>337598402</v>
      </c>
      <c r="L47" s="72">
        <v>350</v>
      </c>
      <c r="M47" s="93">
        <v>80333322</v>
      </c>
      <c r="N47" s="63">
        <v>0</v>
      </c>
      <c r="O47" s="53">
        <f>+'[1]320203-1.2'!G45</f>
        <v>0</v>
      </c>
      <c r="P47" s="72"/>
      <c r="Q47" s="64"/>
      <c r="R47" s="63"/>
      <c r="S47" s="62"/>
      <c r="T47" s="173"/>
      <c r="U47" s="64"/>
      <c r="V47" s="174"/>
      <c r="W47" s="67"/>
      <c r="X47" s="48"/>
      <c r="Z47" s="48"/>
    </row>
    <row r="48" spans="1:31" ht="64.5" customHeight="1" x14ac:dyDescent="0.25">
      <c r="A48" s="178" t="s">
        <v>67</v>
      </c>
      <c r="B48" s="179"/>
      <c r="C48" s="180"/>
      <c r="D48" s="180"/>
      <c r="E48" s="181">
        <f>SUM(E49+E53)</f>
        <v>24442439012.996002</v>
      </c>
      <c r="F48" s="181"/>
      <c r="G48" s="181">
        <f>SUM(G49+G53)</f>
        <v>19991715216.807999</v>
      </c>
      <c r="H48" s="181"/>
      <c r="I48" s="182">
        <f>SUM(I49+I53)</f>
        <v>11621020615.799999</v>
      </c>
      <c r="J48" s="181"/>
      <c r="K48" s="181">
        <f>SUM(K49+K53)</f>
        <v>11577953627.808001</v>
      </c>
      <c r="L48" s="181">
        <f>SUM(L49+L53)</f>
        <v>0</v>
      </c>
      <c r="M48" s="183">
        <f>+M49+M53</f>
        <v>12821418397.195999</v>
      </c>
      <c r="N48" s="183"/>
      <c r="O48" s="183">
        <f>+O49+O53</f>
        <v>8413761589</v>
      </c>
      <c r="P48" s="183">
        <f t="shared" ref="P48:W48" si="13">+P49+P53</f>
        <v>0</v>
      </c>
      <c r="Q48" s="183">
        <f t="shared" si="13"/>
        <v>11522800069</v>
      </c>
      <c r="R48" s="183">
        <f t="shared" si="13"/>
        <v>0</v>
      </c>
      <c r="S48" s="183">
        <f t="shared" si="13"/>
        <v>0</v>
      </c>
      <c r="T48" s="183">
        <f t="shared" si="13"/>
        <v>0</v>
      </c>
      <c r="U48" s="183">
        <f t="shared" si="13"/>
        <v>12388502016</v>
      </c>
      <c r="V48" s="183">
        <f t="shared" si="13"/>
        <v>0</v>
      </c>
      <c r="W48" s="183">
        <f t="shared" si="13"/>
        <v>0</v>
      </c>
      <c r="X48" s="48"/>
      <c r="Z48" s="48"/>
    </row>
    <row r="49" spans="1:30" s="186" customFormat="1" ht="49.5" customHeight="1" thickBot="1" x14ac:dyDescent="0.3">
      <c r="A49" s="184" t="s">
        <v>68</v>
      </c>
      <c r="B49" s="135"/>
      <c r="C49" s="135"/>
      <c r="D49" s="185"/>
      <c r="E49" s="78">
        <f>SUM(E50:E52)</f>
        <v>18552816906.288002</v>
      </c>
      <c r="F49" s="78"/>
      <c r="G49" s="78">
        <f>SUM(G50:G52)</f>
        <v>16066799826</v>
      </c>
      <c r="H49" s="79"/>
      <c r="I49" s="80">
        <f>SUM(I50:I52)</f>
        <v>8870865331.7999992</v>
      </c>
      <c r="J49" s="78">
        <f>SUM(J50:J52)</f>
        <v>131</v>
      </c>
      <c r="K49" s="78">
        <f>SUM(K50:K52)</f>
        <v>8864285257</v>
      </c>
      <c r="L49" s="156"/>
      <c r="M49" s="156">
        <f>SUM(M50:M52)</f>
        <v>9681951574.487999</v>
      </c>
      <c r="N49" s="156"/>
      <c r="O49" s="156">
        <f>SUM(O50:O52)</f>
        <v>7202514569</v>
      </c>
      <c r="P49" s="156"/>
      <c r="Q49" s="156">
        <v>8519097946</v>
      </c>
      <c r="R49" s="156"/>
      <c r="S49" s="156">
        <f>SUM(S50:S52)</f>
        <v>0</v>
      </c>
      <c r="T49" s="156"/>
      <c r="U49" s="156">
        <v>9983300788</v>
      </c>
      <c r="V49" s="156"/>
      <c r="W49" s="156">
        <f>SUM(W50:W52)</f>
        <v>0</v>
      </c>
      <c r="X49" s="48"/>
      <c r="Y49" s="16"/>
      <c r="Z49" s="16"/>
      <c r="AA49" s="16"/>
      <c r="AB49" s="16"/>
      <c r="AC49" s="16"/>
      <c r="AD49" s="16"/>
    </row>
    <row r="50" spans="1:30" ht="75" customHeight="1" x14ac:dyDescent="0.25">
      <c r="A50" s="170" t="s">
        <v>69</v>
      </c>
      <c r="B50" s="171" t="s">
        <v>20</v>
      </c>
      <c r="C50" s="171" t="s">
        <v>21</v>
      </c>
      <c r="D50" s="91">
        <f t="shared" si="12"/>
        <v>40</v>
      </c>
      <c r="E50" s="53">
        <f t="shared" ref="E50:F52" si="14">+I50+M50+Q50+U50</f>
        <v>2152972572.4000001</v>
      </c>
      <c r="F50" s="53">
        <f>AVERAGE(J50,N50,R50,V50)</f>
        <v>22.5</v>
      </c>
      <c r="G50" s="53">
        <f t="shared" si="3"/>
        <v>1919224650</v>
      </c>
      <c r="H50" s="72">
        <v>30</v>
      </c>
      <c r="I50" s="56">
        <v>670782143.39999998</v>
      </c>
      <c r="J50" s="63">
        <v>30</v>
      </c>
      <c r="K50" s="53">
        <v>667144545</v>
      </c>
      <c r="L50" s="72">
        <v>50</v>
      </c>
      <c r="M50" s="53">
        <v>1482190429</v>
      </c>
      <c r="N50" s="63">
        <v>15</v>
      </c>
      <c r="O50" s="53">
        <f>+'[1]320301-1.3'!G12</f>
        <v>1252080105</v>
      </c>
      <c r="P50" s="72"/>
      <c r="Q50" s="62"/>
      <c r="R50" s="63"/>
      <c r="S50" s="64"/>
      <c r="T50" s="72"/>
      <c r="U50" s="62"/>
      <c r="V50" s="63"/>
      <c r="W50" s="67"/>
      <c r="X50" s="187"/>
      <c r="Y50" s="17"/>
      <c r="Z50" s="17"/>
      <c r="AA50" s="17"/>
      <c r="AB50" s="17"/>
      <c r="AC50" s="17"/>
      <c r="AD50" s="17"/>
    </row>
    <row r="51" spans="1:30" ht="63" customHeight="1" x14ac:dyDescent="0.25">
      <c r="A51" s="188" t="s">
        <v>70</v>
      </c>
      <c r="B51" s="171" t="s">
        <v>20</v>
      </c>
      <c r="C51" s="171" t="s">
        <v>21</v>
      </c>
      <c r="D51" s="91">
        <f t="shared" si="12"/>
        <v>100</v>
      </c>
      <c r="E51" s="53">
        <f t="shared" si="14"/>
        <v>10760093214.888</v>
      </c>
      <c r="F51" s="53">
        <f>AVERAGE(J51,N51,R51,V51)</f>
        <v>57.5</v>
      </c>
      <c r="G51" s="53">
        <f t="shared" si="3"/>
        <v>8507824057</v>
      </c>
      <c r="H51" s="72">
        <v>100</v>
      </c>
      <c r="I51" s="56">
        <v>4623119916.3999996</v>
      </c>
      <c r="J51" s="63">
        <v>100</v>
      </c>
      <c r="K51" s="53">
        <v>4620177440</v>
      </c>
      <c r="L51" s="72">
        <v>100</v>
      </c>
      <c r="M51" s="53">
        <f>6136973298.488</f>
        <v>6136973298.4879999</v>
      </c>
      <c r="N51" s="63">
        <v>15</v>
      </c>
      <c r="O51" s="53">
        <f>+'[1]320301-1.3'!G35</f>
        <v>3887646617</v>
      </c>
      <c r="P51" s="72"/>
      <c r="Q51" s="62"/>
      <c r="R51" s="63"/>
      <c r="S51" s="64"/>
      <c r="T51" s="72"/>
      <c r="U51" s="62"/>
      <c r="V51" s="63"/>
      <c r="W51" s="67"/>
      <c r="X51" s="187"/>
      <c r="Y51" s="17"/>
      <c r="Z51" s="17"/>
      <c r="AA51" s="17"/>
      <c r="AB51" s="17"/>
      <c r="AC51" s="17"/>
      <c r="AD51" s="17"/>
    </row>
    <row r="52" spans="1:30" ht="66" customHeight="1" x14ac:dyDescent="0.25">
      <c r="A52" s="189" t="s">
        <v>71</v>
      </c>
      <c r="B52" s="171" t="s">
        <v>72</v>
      </c>
      <c r="C52" s="171" t="s">
        <v>35</v>
      </c>
      <c r="D52" s="91">
        <f t="shared" si="12"/>
        <v>3</v>
      </c>
      <c r="E52" s="53">
        <f t="shared" si="14"/>
        <v>5639751119</v>
      </c>
      <c r="F52" s="53">
        <f t="shared" si="14"/>
        <v>2</v>
      </c>
      <c r="G52" s="53">
        <f t="shared" si="3"/>
        <v>5639751119</v>
      </c>
      <c r="H52" s="72">
        <v>1</v>
      </c>
      <c r="I52" s="56">
        <v>3576963272</v>
      </c>
      <c r="J52" s="63">
        <v>1</v>
      </c>
      <c r="K52" s="53">
        <v>3576963272</v>
      </c>
      <c r="L52" s="72">
        <v>1</v>
      </c>
      <c r="M52" s="93">
        <v>2062787847</v>
      </c>
      <c r="N52" s="63">
        <v>1</v>
      </c>
      <c r="O52" s="53">
        <f>+'[1]320301-1.3'!G42</f>
        <v>2062787847</v>
      </c>
      <c r="P52" s="72">
        <v>5</v>
      </c>
      <c r="Q52" s="64"/>
      <c r="R52" s="73"/>
      <c r="S52" s="64"/>
      <c r="T52" s="72">
        <v>5</v>
      </c>
      <c r="U52" s="64"/>
      <c r="V52" s="94"/>
      <c r="W52" s="67"/>
      <c r="X52" s="48"/>
    </row>
    <row r="53" spans="1:30" ht="62.25" customHeight="1" thickBot="1" x14ac:dyDescent="0.3">
      <c r="A53" s="100" t="s">
        <v>73</v>
      </c>
      <c r="B53" s="150"/>
      <c r="C53" s="152"/>
      <c r="D53" s="167"/>
      <c r="E53" s="78">
        <f>SUM(E54:E60)</f>
        <v>5889622106.7080002</v>
      </c>
      <c r="F53" s="134"/>
      <c r="G53" s="82">
        <f>SUM(G54:G60)</f>
        <v>3924915390.8080001</v>
      </c>
      <c r="H53" s="168">
        <v>0</v>
      </c>
      <c r="I53" s="80">
        <f>SUM(I54:I60)</f>
        <v>2750155284</v>
      </c>
      <c r="J53" s="81"/>
      <c r="K53" s="78">
        <f>SUM(K54:K60)</f>
        <v>2713668370.8080001</v>
      </c>
      <c r="L53" s="152"/>
      <c r="M53" s="78">
        <f>SUM(M54:M60)</f>
        <v>3139466822.7080002</v>
      </c>
      <c r="N53" s="134"/>
      <c r="O53" s="78">
        <f>SUM(O54:O60)</f>
        <v>1211247020</v>
      </c>
      <c r="P53" s="156"/>
      <c r="Q53" s="156">
        <v>3003702123</v>
      </c>
      <c r="R53" s="81"/>
      <c r="S53" s="156">
        <f>SUM(S54:S60)</f>
        <v>0</v>
      </c>
      <c r="T53" s="156"/>
      <c r="U53" s="156">
        <v>2405201228</v>
      </c>
      <c r="V53" s="85"/>
      <c r="W53" s="157">
        <f>SUM(W54:W60)</f>
        <v>0</v>
      </c>
      <c r="X53" s="48"/>
      <c r="Y53" s="48"/>
      <c r="Z53" s="49"/>
    </row>
    <row r="54" spans="1:30" ht="54.75" customHeight="1" x14ac:dyDescent="0.25">
      <c r="A54" s="105" t="s">
        <v>74</v>
      </c>
      <c r="B54" s="190" t="s">
        <v>20</v>
      </c>
      <c r="C54" s="106" t="s">
        <v>21</v>
      </c>
      <c r="D54" s="91">
        <f t="shared" si="12"/>
        <v>100</v>
      </c>
      <c r="E54" s="53">
        <f>+I54+M54+Q54+U54</f>
        <v>33026400</v>
      </c>
      <c r="F54" s="53">
        <v>25</v>
      </c>
      <c r="G54" s="53">
        <f t="shared" si="3"/>
        <v>33026400</v>
      </c>
      <c r="H54" s="72">
        <v>100</v>
      </c>
      <c r="I54" s="56">
        <v>26400000</v>
      </c>
      <c r="J54" s="63">
        <v>100</v>
      </c>
      <c r="K54" s="53">
        <v>26400000</v>
      </c>
      <c r="L54" s="72">
        <v>100</v>
      </c>
      <c r="M54" s="191">
        <v>6626400</v>
      </c>
      <c r="N54" s="63">
        <v>100</v>
      </c>
      <c r="O54" s="53">
        <f>+'[1]320302-3.2'!G12</f>
        <v>6626400</v>
      </c>
      <c r="P54" s="72">
        <v>100</v>
      </c>
      <c r="Q54" s="64"/>
      <c r="R54" s="63"/>
      <c r="S54" s="62"/>
      <c r="T54" s="173">
        <v>100</v>
      </c>
      <c r="U54" s="64"/>
      <c r="V54" s="174"/>
      <c r="W54" s="192">
        <v>0</v>
      </c>
      <c r="X54" s="87"/>
      <c r="Z54" s="49"/>
    </row>
    <row r="55" spans="1:30" ht="66" customHeight="1" x14ac:dyDescent="0.25">
      <c r="A55" s="117" t="s">
        <v>75</v>
      </c>
      <c r="B55" s="190" t="s">
        <v>20</v>
      </c>
      <c r="C55" s="113" t="s">
        <v>21</v>
      </c>
      <c r="D55" s="91">
        <f t="shared" si="12"/>
        <v>100</v>
      </c>
      <c r="E55" s="53">
        <f t="shared" ref="E55:E60" si="15">+I55+M55+Q55+U55</f>
        <v>33026400</v>
      </c>
      <c r="F55" s="53">
        <v>25</v>
      </c>
      <c r="G55" s="53">
        <f t="shared" si="3"/>
        <v>33026400</v>
      </c>
      <c r="H55" s="72">
        <v>100</v>
      </c>
      <c r="I55" s="56">
        <v>26400000</v>
      </c>
      <c r="J55" s="63">
        <v>100</v>
      </c>
      <c r="K55" s="53">
        <v>26400000</v>
      </c>
      <c r="L55" s="72">
        <v>100</v>
      </c>
      <c r="M55" s="191">
        <v>6626400</v>
      </c>
      <c r="N55" s="63">
        <v>100</v>
      </c>
      <c r="O55" s="53">
        <f>+'[1]320302-3.2'!G21</f>
        <v>6626400</v>
      </c>
      <c r="P55" s="72">
        <v>100</v>
      </c>
      <c r="Q55" s="64"/>
      <c r="R55" s="63"/>
      <c r="S55" s="62"/>
      <c r="T55" s="173">
        <v>100</v>
      </c>
      <c r="U55" s="64"/>
      <c r="V55" s="174"/>
      <c r="W55" s="67">
        <v>0</v>
      </c>
      <c r="X55" s="48"/>
    </row>
    <row r="56" spans="1:30" ht="54.75" customHeight="1" x14ac:dyDescent="0.25">
      <c r="A56" s="117" t="s">
        <v>76</v>
      </c>
      <c r="B56" s="190" t="s">
        <v>20</v>
      </c>
      <c r="C56" s="113" t="s">
        <v>21</v>
      </c>
      <c r="D56" s="91">
        <f t="shared" si="12"/>
        <v>90</v>
      </c>
      <c r="E56" s="53">
        <f t="shared" si="15"/>
        <v>516147934.47400022</v>
      </c>
      <c r="F56" s="53">
        <v>25</v>
      </c>
      <c r="G56" s="53">
        <f t="shared" si="3"/>
        <v>199288633</v>
      </c>
      <c r="H56" s="72">
        <v>100</v>
      </c>
      <c r="I56" s="56">
        <v>199288633</v>
      </c>
      <c r="J56" s="63">
        <v>100</v>
      </c>
      <c r="K56" s="53">
        <v>199288633</v>
      </c>
      <c r="L56" s="72">
        <v>60</v>
      </c>
      <c r="M56" s="191">
        <v>316859301.47400022</v>
      </c>
      <c r="N56" s="63">
        <v>30</v>
      </c>
      <c r="O56" s="53">
        <f>+'[1]320302-3.2'!G24</f>
        <v>0</v>
      </c>
      <c r="P56" s="72">
        <v>100</v>
      </c>
      <c r="Q56" s="64"/>
      <c r="R56" s="63"/>
      <c r="S56" s="62"/>
      <c r="T56" s="173">
        <v>100</v>
      </c>
      <c r="U56" s="64"/>
      <c r="V56" s="174"/>
      <c r="W56" s="67">
        <v>0</v>
      </c>
      <c r="X56" s="48"/>
    </row>
    <row r="57" spans="1:30" ht="61.5" customHeight="1" x14ac:dyDescent="0.25">
      <c r="A57" s="117" t="s">
        <v>77</v>
      </c>
      <c r="B57" s="190" t="s">
        <v>20</v>
      </c>
      <c r="C57" s="113" t="s">
        <v>21</v>
      </c>
      <c r="D57" s="91">
        <f t="shared" si="12"/>
        <v>90</v>
      </c>
      <c r="E57" s="53">
        <f t="shared" si="15"/>
        <v>654112424.23399997</v>
      </c>
      <c r="F57" s="53">
        <v>25</v>
      </c>
      <c r="G57" s="53">
        <f t="shared" si="3"/>
        <v>321379451</v>
      </c>
      <c r="H57" s="72">
        <v>100</v>
      </c>
      <c r="I57" s="56">
        <v>324995200</v>
      </c>
      <c r="J57" s="63">
        <v>99</v>
      </c>
      <c r="K57" s="193">
        <v>321379451</v>
      </c>
      <c r="L57" s="72">
        <v>60</v>
      </c>
      <c r="M57" s="191">
        <v>329117224.23399997</v>
      </c>
      <c r="N57" s="63">
        <v>30</v>
      </c>
      <c r="O57" s="53">
        <f>+'[1]320302-3.2'!G29</f>
        <v>0</v>
      </c>
      <c r="P57" s="72">
        <v>100</v>
      </c>
      <c r="Q57" s="64"/>
      <c r="R57" s="63"/>
      <c r="S57" s="62"/>
      <c r="T57" s="173">
        <v>100</v>
      </c>
      <c r="U57" s="64"/>
      <c r="V57" s="174"/>
      <c r="W57" s="67"/>
      <c r="X57" s="48"/>
      <c r="Y57" s="49"/>
      <c r="Z57" s="49"/>
    </row>
    <row r="58" spans="1:30" ht="61.5" customHeight="1" x14ac:dyDescent="0.25">
      <c r="A58" s="112" t="s">
        <v>78</v>
      </c>
      <c r="B58" s="190" t="s">
        <v>20</v>
      </c>
      <c r="C58" s="113" t="s">
        <v>35</v>
      </c>
      <c r="D58" s="91">
        <f t="shared" si="12"/>
        <v>65.25</v>
      </c>
      <c r="E58" s="53">
        <f t="shared" si="15"/>
        <v>3727477781.4320002</v>
      </c>
      <c r="F58" s="53">
        <f>AVERAGE(J58,N58,R58,V58)</f>
        <v>40.25</v>
      </c>
      <c r="G58" s="53">
        <f t="shared" si="3"/>
        <v>2712949740.8080001</v>
      </c>
      <c r="H58" s="72">
        <v>70</v>
      </c>
      <c r="I58" s="56">
        <v>1576566831</v>
      </c>
      <c r="J58" s="63">
        <v>80</v>
      </c>
      <c r="K58" s="53">
        <v>1544635511.8080001</v>
      </c>
      <c r="L58" s="72">
        <v>1</v>
      </c>
      <c r="M58" s="191">
        <v>2150910950.4320002</v>
      </c>
      <c r="N58" s="63">
        <v>0.5</v>
      </c>
      <c r="O58" s="53">
        <f>+'[1]320302-3.2'!G71</f>
        <v>1168314229</v>
      </c>
      <c r="P58" s="72">
        <v>90</v>
      </c>
      <c r="Q58" s="64"/>
      <c r="R58" s="63"/>
      <c r="S58" s="62"/>
      <c r="T58" s="173">
        <v>100</v>
      </c>
      <c r="U58" s="64"/>
      <c r="V58" s="174"/>
      <c r="W58" s="67"/>
      <c r="X58" s="48"/>
    </row>
    <row r="59" spans="1:30" ht="61.5" customHeight="1" x14ac:dyDescent="0.25">
      <c r="A59" s="112" t="s">
        <v>79</v>
      </c>
      <c r="B59" s="190" t="s">
        <v>20</v>
      </c>
      <c r="C59" s="113" t="s">
        <v>35</v>
      </c>
      <c r="D59" s="91">
        <f t="shared" si="12"/>
        <v>60</v>
      </c>
      <c r="E59" s="53">
        <f t="shared" si="15"/>
        <v>0</v>
      </c>
      <c r="F59" s="53">
        <f>AVERAGE(J59,N59,R59,V59)</f>
        <v>60</v>
      </c>
      <c r="G59" s="53">
        <f t="shared" si="3"/>
        <v>0</v>
      </c>
      <c r="H59" s="72">
        <v>60</v>
      </c>
      <c r="I59" s="56">
        <v>0</v>
      </c>
      <c r="J59" s="63">
        <v>60</v>
      </c>
      <c r="K59" s="53">
        <v>0</v>
      </c>
      <c r="L59" s="72" t="s">
        <v>38</v>
      </c>
      <c r="M59" s="191">
        <v>0</v>
      </c>
      <c r="N59" s="63" t="s">
        <v>38</v>
      </c>
      <c r="O59" s="53">
        <f>+'[1]320302-3.2'!G75</f>
        <v>0</v>
      </c>
      <c r="P59" s="72">
        <v>60</v>
      </c>
      <c r="Q59" s="64"/>
      <c r="R59" s="63"/>
      <c r="S59" s="62"/>
      <c r="T59" s="173">
        <v>60</v>
      </c>
      <c r="U59" s="64"/>
      <c r="V59" s="174"/>
      <c r="W59" s="67"/>
      <c r="X59" s="48"/>
    </row>
    <row r="60" spans="1:30" ht="61.5" customHeight="1" x14ac:dyDescent="0.25">
      <c r="A60" s="112" t="s">
        <v>80</v>
      </c>
      <c r="B60" s="190" t="s">
        <v>20</v>
      </c>
      <c r="C60" s="113" t="s">
        <v>21</v>
      </c>
      <c r="D60" s="91">
        <f t="shared" si="12"/>
        <v>82.5</v>
      </c>
      <c r="E60" s="53">
        <f t="shared" si="15"/>
        <v>925831166.56799996</v>
      </c>
      <c r="F60" s="53">
        <f>AVERAGE(J60,N60,R60,V60)</f>
        <v>37.5</v>
      </c>
      <c r="G60" s="53">
        <f t="shared" si="3"/>
        <v>625244766</v>
      </c>
      <c r="H60" s="72">
        <v>70</v>
      </c>
      <c r="I60" s="56">
        <v>596504620</v>
      </c>
      <c r="J60" s="63">
        <v>75</v>
      </c>
      <c r="K60" s="53">
        <v>595564775</v>
      </c>
      <c r="L60" s="72">
        <v>100</v>
      </c>
      <c r="M60" s="191">
        <v>329326546.56799996</v>
      </c>
      <c r="N60" s="63">
        <v>0</v>
      </c>
      <c r="O60" s="53">
        <f>+'[1]320302-3.2'!G80</f>
        <v>29679991</v>
      </c>
      <c r="P60" s="72">
        <v>80</v>
      </c>
      <c r="Q60" s="64"/>
      <c r="R60" s="63"/>
      <c r="S60" s="62"/>
      <c r="T60" s="173">
        <v>80</v>
      </c>
      <c r="U60" s="64"/>
      <c r="V60" s="174"/>
      <c r="W60" s="67"/>
      <c r="X60" s="48"/>
    </row>
    <row r="61" spans="1:30" ht="61.5" customHeight="1" x14ac:dyDescent="0.25">
      <c r="A61" s="178" t="s">
        <v>81</v>
      </c>
      <c r="B61" s="179"/>
      <c r="C61" s="180"/>
      <c r="D61" s="180"/>
      <c r="E61" s="181">
        <f>SUM(E62)</f>
        <v>497200089.12</v>
      </c>
      <c r="F61" s="181"/>
      <c r="G61" s="181">
        <f>SUM(G62)</f>
        <v>395773965</v>
      </c>
      <c r="H61" s="181"/>
      <c r="I61" s="182">
        <f>SUM(I62)</f>
        <v>227759591</v>
      </c>
      <c r="J61" s="181"/>
      <c r="K61" s="181">
        <f>SUM(K62)</f>
        <v>227348949</v>
      </c>
      <c r="L61" s="181"/>
      <c r="M61" s="181">
        <f>SUM(M62)</f>
        <v>269440498.12</v>
      </c>
      <c r="N61" s="181"/>
      <c r="O61" s="181">
        <f t="shared" ref="O61:W61" si="16">SUM(O62)</f>
        <v>168425016</v>
      </c>
      <c r="P61" s="181">
        <f t="shared" si="16"/>
        <v>0</v>
      </c>
      <c r="Q61" s="181">
        <f t="shared" si="16"/>
        <v>352912575</v>
      </c>
      <c r="R61" s="181">
        <f t="shared" si="16"/>
        <v>0</v>
      </c>
      <c r="S61" s="181">
        <f t="shared" si="16"/>
        <v>0</v>
      </c>
      <c r="T61" s="181">
        <f t="shared" si="16"/>
        <v>0</v>
      </c>
      <c r="U61" s="181">
        <f t="shared" si="16"/>
        <v>416436838</v>
      </c>
      <c r="V61" s="181">
        <f t="shared" si="16"/>
        <v>0</v>
      </c>
      <c r="W61" s="181">
        <f t="shared" si="16"/>
        <v>0</v>
      </c>
      <c r="X61" s="48"/>
    </row>
    <row r="62" spans="1:30" ht="57" customHeight="1" x14ac:dyDescent="0.25">
      <c r="A62" s="100" t="s">
        <v>82</v>
      </c>
      <c r="B62" s="101"/>
      <c r="C62" s="194"/>
      <c r="D62" s="194"/>
      <c r="E62" s="136">
        <f>SUM(E63:E64)</f>
        <v>497200089.12</v>
      </c>
      <c r="F62" s="136"/>
      <c r="G62" s="136">
        <f>SUM(G63:G64)</f>
        <v>395773965</v>
      </c>
      <c r="H62" s="195"/>
      <c r="I62" s="196">
        <f>SUM(I63:I64)</f>
        <v>227759591</v>
      </c>
      <c r="J62" s="197"/>
      <c r="K62" s="136">
        <f>SUM(K63:K64)</f>
        <v>227348949</v>
      </c>
      <c r="L62" s="198">
        <v>0</v>
      </c>
      <c r="M62" s="82">
        <f>SUM(M63:M64)</f>
        <v>269440498.12</v>
      </c>
      <c r="N62" s="199"/>
      <c r="O62" s="136">
        <f>SUM(O63:O64)</f>
        <v>168425016</v>
      </c>
      <c r="P62" s="200"/>
      <c r="Q62" s="200">
        <v>352912575</v>
      </c>
      <c r="R62" s="201"/>
      <c r="S62" s="200">
        <f>SUM(S63:S64)</f>
        <v>0</v>
      </c>
      <c r="T62" s="200"/>
      <c r="U62" s="200">
        <v>416436838</v>
      </c>
      <c r="V62" s="202"/>
      <c r="W62" s="203">
        <f>SUM(W63:W64)</f>
        <v>0</v>
      </c>
      <c r="X62" s="48"/>
      <c r="Z62" s="48"/>
    </row>
    <row r="63" spans="1:30" ht="92.25" customHeight="1" x14ac:dyDescent="0.25">
      <c r="A63" s="112" t="s">
        <v>83</v>
      </c>
      <c r="B63" s="190" t="s">
        <v>20</v>
      </c>
      <c r="C63" s="113" t="s">
        <v>21</v>
      </c>
      <c r="D63" s="91">
        <f>AVERAGE(H63,L63,P63,T63)</f>
        <v>75</v>
      </c>
      <c r="E63" s="53">
        <f>+I63+M63+Q63+U63</f>
        <v>391898059.12</v>
      </c>
      <c r="F63" s="53">
        <f>AVERAGE(J63,N63,R63,V63)</f>
        <v>37.5</v>
      </c>
      <c r="G63" s="53">
        <f t="shared" si="3"/>
        <v>310351135</v>
      </c>
      <c r="H63" s="72">
        <v>25</v>
      </c>
      <c r="I63" s="56">
        <v>191281761</v>
      </c>
      <c r="J63" s="63">
        <v>25</v>
      </c>
      <c r="K63" s="53">
        <v>190871119</v>
      </c>
      <c r="L63" s="72">
        <v>100</v>
      </c>
      <c r="M63" s="93">
        <v>200616298.12</v>
      </c>
      <c r="N63" s="63">
        <v>50</v>
      </c>
      <c r="O63" s="53">
        <f>+'[1]320401-4.4'!G11</f>
        <v>119480016</v>
      </c>
      <c r="P63" s="72">
        <v>75</v>
      </c>
      <c r="Q63" s="64"/>
      <c r="R63" s="63"/>
      <c r="S63" s="62"/>
      <c r="T63" s="72">
        <v>100</v>
      </c>
      <c r="U63" s="64"/>
      <c r="V63" s="174"/>
      <c r="W63" s="67"/>
      <c r="X63" s="48"/>
      <c r="Y63" s="48"/>
      <c r="Z63" s="48"/>
    </row>
    <row r="64" spans="1:30" ht="92.25" customHeight="1" x14ac:dyDescent="0.25">
      <c r="A64" s="204" t="s">
        <v>84</v>
      </c>
      <c r="B64" s="190" t="s">
        <v>20</v>
      </c>
      <c r="C64" s="113" t="s">
        <v>21</v>
      </c>
      <c r="D64" s="91">
        <f>AVERAGE(H64,L64,P64,T64)</f>
        <v>66.25</v>
      </c>
      <c r="E64" s="53">
        <f>+I64+M64+Q64+U64</f>
        <v>105302030</v>
      </c>
      <c r="F64" s="53">
        <f>AVERAGE(J64,N64,R64,V64)</f>
        <v>30</v>
      </c>
      <c r="G64" s="53">
        <f t="shared" si="3"/>
        <v>85422830</v>
      </c>
      <c r="H64" s="205">
        <v>5</v>
      </c>
      <c r="I64" s="56">
        <v>36477830</v>
      </c>
      <c r="J64" s="206">
        <v>5</v>
      </c>
      <c r="K64" s="53">
        <v>36477830</v>
      </c>
      <c r="L64" s="72">
        <v>90</v>
      </c>
      <c r="M64" s="93">
        <v>68824200</v>
      </c>
      <c r="N64" s="63">
        <v>55</v>
      </c>
      <c r="O64" s="53">
        <f>+'[1]320401-4.4'!G15</f>
        <v>48945000</v>
      </c>
      <c r="P64" s="72">
        <v>70</v>
      </c>
      <c r="Q64" s="64"/>
      <c r="R64" s="63"/>
      <c r="S64" s="62"/>
      <c r="T64" s="72">
        <v>100</v>
      </c>
      <c r="U64" s="64"/>
      <c r="V64" s="174"/>
      <c r="W64" s="67"/>
      <c r="X64" s="48"/>
    </row>
    <row r="65" spans="1:26" ht="92.25" customHeight="1" x14ac:dyDescent="0.25">
      <c r="A65" s="178" t="s">
        <v>85</v>
      </c>
      <c r="B65" s="180"/>
      <c r="C65" s="180"/>
      <c r="D65" s="179"/>
      <c r="E65" s="181">
        <f>SUM(E66+E69+E72+E75)</f>
        <v>8244032885.1545</v>
      </c>
      <c r="F65" s="181"/>
      <c r="G65" s="181">
        <f>SUM(G66+G69+G72+G75)</f>
        <v>2206874181.5999999</v>
      </c>
      <c r="H65" s="181">
        <f>SUM(H66+H69+H72+H75)</f>
        <v>0</v>
      </c>
      <c r="I65" s="182">
        <f>SUM(I66+I69+I72+I75)</f>
        <v>1943443130</v>
      </c>
      <c r="J65" s="181">
        <f>SUM(J66+J69+J72+J75)</f>
        <v>0</v>
      </c>
      <c r="K65" s="181">
        <f>SUM(K66+K69+K72+K75)</f>
        <v>1920923302.5999999</v>
      </c>
      <c r="L65" s="180"/>
      <c r="M65" s="183">
        <f>+M66+M69+M72+M75</f>
        <v>6300589755.1545</v>
      </c>
      <c r="N65" s="183"/>
      <c r="O65" s="183">
        <f>+O66+O69+O72+O75</f>
        <v>285950879</v>
      </c>
      <c r="P65" s="183">
        <f t="shared" ref="P65:W65" si="17">+P66+P69+P72+P75</f>
        <v>100</v>
      </c>
      <c r="Q65" s="183">
        <f>+Q66+Q69+Q72+Q75</f>
        <v>2234314893</v>
      </c>
      <c r="R65" s="183">
        <f t="shared" si="17"/>
        <v>0</v>
      </c>
      <c r="S65" s="183">
        <f t="shared" si="17"/>
        <v>0</v>
      </c>
      <c r="T65" s="183">
        <f t="shared" si="17"/>
        <v>100</v>
      </c>
      <c r="U65" s="183">
        <f>+U66+U69+U72+U75</f>
        <v>2240730280</v>
      </c>
      <c r="V65" s="183">
        <f t="shared" si="17"/>
        <v>0</v>
      </c>
      <c r="W65" s="183">
        <f t="shared" si="17"/>
        <v>0</v>
      </c>
      <c r="X65" s="48"/>
    </row>
    <row r="66" spans="1:26" ht="60.75" customHeight="1" x14ac:dyDescent="0.25">
      <c r="A66" s="100" t="s">
        <v>86</v>
      </c>
      <c r="B66" s="150"/>
      <c r="C66" s="167"/>
      <c r="D66" s="167"/>
      <c r="E66" s="78">
        <f>SUM(E67:E68)</f>
        <v>369489497</v>
      </c>
      <c r="F66" s="78"/>
      <c r="G66" s="78">
        <f>SUM(G67:G68)</f>
        <v>304874841</v>
      </c>
      <c r="H66" s="156"/>
      <c r="I66" s="80">
        <f>SUM(I67:I68)</f>
        <v>139387741</v>
      </c>
      <c r="J66" s="78"/>
      <c r="K66" s="78">
        <f>SUM(K67:K68)</f>
        <v>136248299</v>
      </c>
      <c r="L66" s="156"/>
      <c r="M66" s="78">
        <f>SUM(M67:M68)</f>
        <v>230101756</v>
      </c>
      <c r="N66" s="156">
        <f t="shared" ref="N66:W66" si="18">SUM(N67:N68)</f>
        <v>62.5</v>
      </c>
      <c r="O66" s="78">
        <f>SUM(O67:O68)</f>
        <v>168626542</v>
      </c>
      <c r="P66" s="156">
        <f t="shared" si="18"/>
        <v>100</v>
      </c>
      <c r="Q66" s="156">
        <v>259087500</v>
      </c>
      <c r="R66" s="156">
        <f t="shared" si="18"/>
        <v>0</v>
      </c>
      <c r="S66" s="156">
        <f t="shared" si="18"/>
        <v>0</v>
      </c>
      <c r="T66" s="156">
        <f t="shared" si="18"/>
        <v>100</v>
      </c>
      <c r="U66" s="156">
        <v>272041875</v>
      </c>
      <c r="V66" s="156">
        <f t="shared" si="18"/>
        <v>0</v>
      </c>
      <c r="W66" s="156">
        <f t="shared" si="18"/>
        <v>0</v>
      </c>
      <c r="X66" s="48"/>
      <c r="Z66" s="48"/>
    </row>
    <row r="67" spans="1:26" ht="84.75" customHeight="1" x14ac:dyDescent="0.25">
      <c r="A67" s="117" t="s">
        <v>87</v>
      </c>
      <c r="B67" s="190" t="s">
        <v>20</v>
      </c>
      <c r="C67" s="159" t="s">
        <v>21</v>
      </c>
      <c r="D67" s="91">
        <f t="shared" ref="D67:D73" si="19">AVERAGE(H67,L67,P67,T67)</f>
        <v>100</v>
      </c>
      <c r="E67" s="53">
        <f>+I67+M67+Q67+U67</f>
        <v>252238854</v>
      </c>
      <c r="F67" s="53">
        <f>AVERAGE(J67,N67,R67,V67)</f>
        <v>81</v>
      </c>
      <c r="G67" s="53">
        <f t="shared" si="3"/>
        <v>236734732</v>
      </c>
      <c r="H67" s="72">
        <v>100</v>
      </c>
      <c r="I67" s="56">
        <v>122413704</v>
      </c>
      <c r="J67" s="63">
        <v>100</v>
      </c>
      <c r="K67" s="53">
        <v>119274262</v>
      </c>
      <c r="L67" s="72">
        <v>100</v>
      </c>
      <c r="M67" s="93">
        <v>129825150</v>
      </c>
      <c r="N67" s="63">
        <v>62</v>
      </c>
      <c r="O67" s="53">
        <f>+'[1]320501-3.3'!G11</f>
        <v>117460470</v>
      </c>
      <c r="P67" s="72">
        <v>100</v>
      </c>
      <c r="Q67" s="64"/>
      <c r="R67" s="147"/>
      <c r="S67" s="64"/>
      <c r="T67" s="207">
        <v>100</v>
      </c>
      <c r="U67" s="64"/>
      <c r="V67" s="94"/>
      <c r="W67" s="67"/>
      <c r="X67" s="48"/>
      <c r="Z67" s="48"/>
    </row>
    <row r="68" spans="1:26" ht="60.75" customHeight="1" x14ac:dyDescent="0.25">
      <c r="A68" s="112" t="s">
        <v>88</v>
      </c>
      <c r="B68" s="190" t="s">
        <v>20</v>
      </c>
      <c r="C68" s="159" t="s">
        <v>23</v>
      </c>
      <c r="D68" s="91">
        <f t="shared" si="19"/>
        <v>50.5</v>
      </c>
      <c r="E68" s="53">
        <f>+I68+M68+Q68+U68</f>
        <v>117250643</v>
      </c>
      <c r="F68" s="53">
        <f>AVERAGE(J68,N68,R68,V68)</f>
        <v>50.25</v>
      </c>
      <c r="G68" s="53">
        <f t="shared" si="3"/>
        <v>68140109</v>
      </c>
      <c r="H68" s="72">
        <v>100</v>
      </c>
      <c r="I68" s="56">
        <v>16974037</v>
      </c>
      <c r="J68" s="63">
        <v>100</v>
      </c>
      <c r="K68" s="53">
        <v>16974037</v>
      </c>
      <c r="L68" s="72">
        <v>1</v>
      </c>
      <c r="M68" s="93">
        <v>100276606</v>
      </c>
      <c r="N68" s="73">
        <v>0.5</v>
      </c>
      <c r="O68" s="53">
        <f>+'[1]320501-3.3'!G19</f>
        <v>51166072</v>
      </c>
      <c r="P68" s="72"/>
      <c r="Q68" s="64"/>
      <c r="R68" s="147"/>
      <c r="S68" s="64"/>
      <c r="T68" s="207"/>
      <c r="U68" s="64"/>
      <c r="V68" s="94"/>
      <c r="W68" s="67"/>
      <c r="X68" s="48"/>
      <c r="Z68" s="48"/>
    </row>
    <row r="69" spans="1:26" ht="60.75" customHeight="1" thickBot="1" x14ac:dyDescent="0.3">
      <c r="A69" s="100" t="s">
        <v>89</v>
      </c>
      <c r="B69" s="150"/>
      <c r="C69" s="167"/>
      <c r="D69" s="167"/>
      <c r="E69" s="208">
        <f>SUM(E70:E71)</f>
        <v>3417877288.1545</v>
      </c>
      <c r="F69" s="208"/>
      <c r="G69" s="208">
        <f>SUM(G70:G71)</f>
        <v>1696272603.5999999</v>
      </c>
      <c r="H69" s="156"/>
      <c r="I69" s="80">
        <f>SUM(I70:I71)</f>
        <v>1604055389</v>
      </c>
      <c r="J69" s="78"/>
      <c r="K69" s="78">
        <f>SUM(K70:K71)</f>
        <v>1587288603.5999999</v>
      </c>
      <c r="L69" s="156"/>
      <c r="M69" s="78">
        <f>SUM(M70:M71)</f>
        <v>1813821899.1545</v>
      </c>
      <c r="N69" s="78">
        <f t="shared" ref="N69:W69" si="20">SUM(N70:N71)</f>
        <v>42</v>
      </c>
      <c r="O69" s="78">
        <f>SUM(O70:O71)</f>
        <v>108984000</v>
      </c>
      <c r="P69" s="156">
        <f t="shared" si="20"/>
        <v>0</v>
      </c>
      <c r="Q69" s="156">
        <v>1675227393</v>
      </c>
      <c r="R69" s="156">
        <f t="shared" si="20"/>
        <v>0</v>
      </c>
      <c r="S69" s="156">
        <f t="shared" si="20"/>
        <v>0</v>
      </c>
      <c r="T69" s="156">
        <f t="shared" si="20"/>
        <v>0</v>
      </c>
      <c r="U69" s="156">
        <v>1668688405</v>
      </c>
      <c r="V69" s="156">
        <f t="shared" si="20"/>
        <v>0</v>
      </c>
      <c r="W69" s="156">
        <f t="shared" si="20"/>
        <v>0</v>
      </c>
      <c r="X69" s="48"/>
      <c r="Z69" s="48"/>
    </row>
    <row r="70" spans="1:26" ht="60.75" customHeight="1" x14ac:dyDescent="0.25">
      <c r="A70" s="141" t="s">
        <v>90</v>
      </c>
      <c r="B70" s="190"/>
      <c r="C70" s="159" t="s">
        <v>21</v>
      </c>
      <c r="D70" s="91">
        <f t="shared" si="19"/>
        <v>100</v>
      </c>
      <c r="E70" s="53">
        <f>+I70+M70+Q70+U70</f>
        <v>2965102493.6545</v>
      </c>
      <c r="F70" s="53">
        <f>AVERAGE(J70,N70,R70,V70)</f>
        <v>71</v>
      </c>
      <c r="G70" s="53">
        <f t="shared" si="3"/>
        <v>1590447505.5999999</v>
      </c>
      <c r="H70" s="72">
        <v>100</v>
      </c>
      <c r="I70" s="56">
        <v>1498230496</v>
      </c>
      <c r="J70" s="63">
        <v>100</v>
      </c>
      <c r="K70" s="53">
        <v>1481463505.5999999</v>
      </c>
      <c r="L70" s="72">
        <v>100</v>
      </c>
      <c r="M70" s="209">
        <v>1466871997.6545</v>
      </c>
      <c r="N70" s="63">
        <v>42</v>
      </c>
      <c r="O70" s="53">
        <f>+'[1]320502-3.4'!G16</f>
        <v>108984000</v>
      </c>
      <c r="P70" s="72"/>
      <c r="Q70" s="64"/>
      <c r="R70" s="147"/>
      <c r="S70" s="64"/>
      <c r="T70" s="207"/>
      <c r="U70" s="64"/>
      <c r="V70" s="94"/>
      <c r="W70" s="67"/>
      <c r="X70" s="48"/>
      <c r="Z70" s="48"/>
    </row>
    <row r="71" spans="1:26" ht="60.75" customHeight="1" x14ac:dyDescent="0.25">
      <c r="A71" s="141" t="s">
        <v>91</v>
      </c>
      <c r="B71" s="190"/>
      <c r="C71" s="159" t="s">
        <v>21</v>
      </c>
      <c r="D71" s="91">
        <f t="shared" si="19"/>
        <v>100</v>
      </c>
      <c r="E71" s="53">
        <f>+I71+M71+Q71+U71</f>
        <v>452774794.5</v>
      </c>
      <c r="F71" s="53">
        <f>AVERAGE(J71,N71,R71,V71)</f>
        <v>50</v>
      </c>
      <c r="G71" s="53">
        <f t="shared" si="3"/>
        <v>105825098</v>
      </c>
      <c r="H71" s="72">
        <v>100</v>
      </c>
      <c r="I71" s="56">
        <v>105824893</v>
      </c>
      <c r="J71" s="63">
        <v>100</v>
      </c>
      <c r="K71" s="53">
        <v>105825098</v>
      </c>
      <c r="L71" s="72">
        <v>100</v>
      </c>
      <c r="M71" s="210">
        <v>346949901.5</v>
      </c>
      <c r="N71" s="63">
        <v>0</v>
      </c>
      <c r="O71" s="53">
        <f>+'[1]320502-3.4'!G24</f>
        <v>0</v>
      </c>
      <c r="P71" s="72"/>
      <c r="Q71" s="64"/>
      <c r="R71" s="147"/>
      <c r="S71" s="64"/>
      <c r="T71" s="207"/>
      <c r="U71" s="64"/>
      <c r="V71" s="94"/>
      <c r="W71" s="67"/>
      <c r="X71" s="48"/>
      <c r="Z71" s="48"/>
    </row>
    <row r="72" spans="1:26" ht="60.75" customHeight="1" x14ac:dyDescent="0.25">
      <c r="A72" s="100" t="s">
        <v>92</v>
      </c>
      <c r="B72" s="150"/>
      <c r="C72" s="167"/>
      <c r="D72" s="167"/>
      <c r="E72" s="208">
        <f>SUM(E73:E74)</f>
        <v>530000000</v>
      </c>
      <c r="F72" s="208">
        <f>SUM(F73:F74)</f>
        <v>3.25</v>
      </c>
      <c r="G72" s="208">
        <f>SUM(G73:G74)</f>
        <v>205726737</v>
      </c>
      <c r="H72" s="156"/>
      <c r="I72" s="80">
        <f>SUM(I73:I74)</f>
        <v>200000000</v>
      </c>
      <c r="J72" s="78"/>
      <c r="K72" s="78">
        <f>SUM(K73:K74)</f>
        <v>197386400</v>
      </c>
      <c r="L72" s="156"/>
      <c r="M72" s="78">
        <f>SUM(M73:M74)</f>
        <v>330000000</v>
      </c>
      <c r="N72" s="156"/>
      <c r="O72" s="78">
        <f>SUM(O73:O74)</f>
        <v>8340337</v>
      </c>
      <c r="P72" s="156">
        <f t="shared" ref="P72:W72" si="21">SUM(P73:P77)</f>
        <v>0</v>
      </c>
      <c r="Q72" s="156">
        <v>300000000</v>
      </c>
      <c r="R72" s="156">
        <f t="shared" si="21"/>
        <v>0</v>
      </c>
      <c r="S72" s="156">
        <f t="shared" si="21"/>
        <v>0</v>
      </c>
      <c r="T72" s="156">
        <f t="shared" si="21"/>
        <v>0</v>
      </c>
      <c r="U72" s="156">
        <v>300000000</v>
      </c>
      <c r="V72" s="156">
        <f t="shared" si="21"/>
        <v>0</v>
      </c>
      <c r="W72" s="156">
        <f t="shared" si="21"/>
        <v>0</v>
      </c>
      <c r="X72" s="48"/>
      <c r="Z72" s="48"/>
    </row>
    <row r="73" spans="1:26" ht="60.75" customHeight="1" x14ac:dyDescent="0.25">
      <c r="A73" s="141" t="s">
        <v>93</v>
      </c>
      <c r="B73" s="190" t="s">
        <v>21</v>
      </c>
      <c r="C73" s="159" t="s">
        <v>94</v>
      </c>
      <c r="D73" s="91">
        <f t="shared" si="19"/>
        <v>5</v>
      </c>
      <c r="E73" s="53">
        <f>+I73+M73+Q73+U73</f>
        <v>475180000</v>
      </c>
      <c r="F73" s="53">
        <f>AVERAGE(J73,N73,R73,V73)</f>
        <v>3</v>
      </c>
      <c r="G73" s="53">
        <f>+K73+O73+S73+W73</f>
        <v>197386400</v>
      </c>
      <c r="H73" s="72">
        <v>5</v>
      </c>
      <c r="I73" s="56">
        <v>200000000</v>
      </c>
      <c r="J73" s="63">
        <v>5</v>
      </c>
      <c r="K73" s="53">
        <v>197386400</v>
      </c>
      <c r="L73" s="72">
        <v>5</v>
      </c>
      <c r="M73" s="93">
        <v>275180000</v>
      </c>
      <c r="N73" s="73">
        <v>1</v>
      </c>
      <c r="O73" s="53">
        <f>+'[1]320503-3.5'!G14</f>
        <v>0</v>
      </c>
      <c r="P73" s="72"/>
      <c r="Q73" s="64"/>
      <c r="R73" s="147"/>
      <c r="S73" s="64"/>
      <c r="T73" s="207"/>
      <c r="U73" s="64"/>
      <c r="V73" s="94"/>
      <c r="W73" s="67"/>
      <c r="X73" s="48"/>
      <c r="Z73" s="48"/>
    </row>
    <row r="74" spans="1:26" ht="60.75" customHeight="1" x14ac:dyDescent="0.25">
      <c r="A74" s="141" t="s">
        <v>88</v>
      </c>
      <c r="B74" s="190" t="s">
        <v>23</v>
      </c>
      <c r="C74" s="159">
        <v>1</v>
      </c>
      <c r="D74" s="91">
        <f>AVERAGE(H74,L74,P74,T74)</f>
        <v>0.5</v>
      </c>
      <c r="E74" s="53">
        <f>+I74+M74+Q74+U74</f>
        <v>54820000</v>
      </c>
      <c r="F74" s="53">
        <f>AVERAGE(J74,N74,R74,V74)</f>
        <v>0.25</v>
      </c>
      <c r="G74" s="53">
        <f>+K74+O74+S74+W74</f>
        <v>8340337</v>
      </c>
      <c r="H74" s="72">
        <v>0</v>
      </c>
      <c r="I74" s="56">
        <v>0</v>
      </c>
      <c r="J74" s="63">
        <v>0</v>
      </c>
      <c r="K74" s="53">
        <v>0</v>
      </c>
      <c r="L74" s="72">
        <v>1</v>
      </c>
      <c r="M74" s="93">
        <v>54820000</v>
      </c>
      <c r="N74" s="73">
        <v>0.5</v>
      </c>
      <c r="O74" s="53">
        <f>+'[1]320503-3.5'!G16</f>
        <v>8340337</v>
      </c>
      <c r="P74" s="72"/>
      <c r="Q74" s="64"/>
      <c r="R74" s="147"/>
      <c r="S74" s="64"/>
      <c r="T74" s="207"/>
      <c r="U74" s="64"/>
      <c r="V74" s="94"/>
      <c r="W74" s="211"/>
      <c r="X74" s="48"/>
      <c r="Z74" s="48"/>
    </row>
    <row r="75" spans="1:26" ht="60.75" customHeight="1" x14ac:dyDescent="0.25">
      <c r="A75" s="100" t="s">
        <v>95</v>
      </c>
      <c r="B75" s="212"/>
      <c r="C75" s="213"/>
      <c r="D75" s="214"/>
      <c r="E75" s="208">
        <f>SUM(E76)</f>
        <v>3926666100</v>
      </c>
      <c r="F75" s="208"/>
      <c r="G75" s="208">
        <f>SUM(G76)</f>
        <v>0</v>
      </c>
      <c r="H75" s="214"/>
      <c r="I75" s="80">
        <f>SUM(I76)</f>
        <v>0</v>
      </c>
      <c r="J75" s="214"/>
      <c r="K75" s="78">
        <f>SUM(K76)</f>
        <v>0</v>
      </c>
      <c r="L75" s="214"/>
      <c r="M75" s="82">
        <f>+M76</f>
        <v>3926666100</v>
      </c>
      <c r="N75" s="214"/>
      <c r="O75" s="82">
        <f>+O76</f>
        <v>0</v>
      </c>
      <c r="P75" s="214"/>
      <c r="Q75" s="215"/>
      <c r="R75" s="216"/>
      <c r="S75" s="215"/>
      <c r="T75" s="215"/>
      <c r="U75" s="215"/>
      <c r="V75" s="217"/>
      <c r="W75" s="218"/>
      <c r="X75" s="48"/>
      <c r="Z75" s="48"/>
    </row>
    <row r="76" spans="1:26" ht="60.75" customHeight="1" x14ac:dyDescent="0.25">
      <c r="A76" s="141" t="s">
        <v>96</v>
      </c>
      <c r="B76" s="190" t="s">
        <v>97</v>
      </c>
      <c r="C76" s="159">
        <v>1</v>
      </c>
      <c r="D76" s="91">
        <f>AVERAGE(H76,L76,P76,T76)</f>
        <v>0.5</v>
      </c>
      <c r="E76" s="53">
        <f>+I76+M76+Q76+U76</f>
        <v>3926666100</v>
      </c>
      <c r="F76" s="53">
        <f>AVERAGE(J76,N76,R76,V76)</f>
        <v>0</v>
      </c>
      <c r="G76" s="53">
        <f>+K76+O76+S76+W76</f>
        <v>0</v>
      </c>
      <c r="H76" s="72">
        <v>0</v>
      </c>
      <c r="I76" s="56">
        <v>0</v>
      </c>
      <c r="J76" s="63">
        <v>0</v>
      </c>
      <c r="K76" s="53">
        <v>0</v>
      </c>
      <c r="L76" s="72">
        <v>1</v>
      </c>
      <c r="M76" s="93">
        <v>3926666100</v>
      </c>
      <c r="N76" s="63">
        <v>0</v>
      </c>
      <c r="O76" s="53">
        <v>0</v>
      </c>
      <c r="P76" s="72"/>
      <c r="Q76" s="64"/>
      <c r="R76" s="147"/>
      <c r="S76" s="64"/>
      <c r="T76" s="207"/>
      <c r="U76" s="64"/>
      <c r="V76" s="94"/>
      <c r="W76" s="211"/>
      <c r="X76" s="48"/>
      <c r="Z76" s="48"/>
    </row>
    <row r="77" spans="1:26" ht="60.75" customHeight="1" x14ac:dyDescent="0.25">
      <c r="A77" s="178" t="s">
        <v>98</v>
      </c>
      <c r="B77" s="179"/>
      <c r="C77" s="179"/>
      <c r="D77" s="179"/>
      <c r="E77" s="181">
        <f>SUM(E78:E80)</f>
        <v>1177533398</v>
      </c>
      <c r="F77" s="181">
        <f>SUM(F78:F80)</f>
        <v>92.5</v>
      </c>
      <c r="G77" s="181">
        <f>SUM(G78:G80)</f>
        <v>381911528</v>
      </c>
      <c r="H77" s="181">
        <f>SUM(H78:H80)</f>
        <v>250</v>
      </c>
      <c r="I77" s="182">
        <f>SUM(I78)</f>
        <v>160416014</v>
      </c>
      <c r="J77" s="181"/>
      <c r="K77" s="181">
        <f>SUM(K78)</f>
        <v>143265764</v>
      </c>
      <c r="L77" s="179"/>
      <c r="M77" s="181">
        <f>+M78</f>
        <v>428350685</v>
      </c>
      <c r="N77" s="181"/>
      <c r="O77" s="181">
        <f>+O78</f>
        <v>47690000</v>
      </c>
      <c r="P77" s="181">
        <f t="shared" ref="P77:W77" si="22">+P78</f>
        <v>0</v>
      </c>
      <c r="Q77" s="181">
        <f t="shared" si="22"/>
        <v>224169627</v>
      </c>
      <c r="R77" s="181">
        <f t="shared" si="22"/>
        <v>0</v>
      </c>
      <c r="S77" s="181">
        <f t="shared" si="22"/>
        <v>0</v>
      </c>
      <c r="T77" s="181">
        <f t="shared" si="22"/>
        <v>0</v>
      </c>
      <c r="U77" s="181">
        <f t="shared" si="22"/>
        <v>227021101</v>
      </c>
      <c r="V77" s="181">
        <f t="shared" si="22"/>
        <v>0</v>
      </c>
      <c r="W77" s="181">
        <f t="shared" si="22"/>
        <v>0</v>
      </c>
      <c r="X77" s="48"/>
      <c r="Z77" s="48"/>
    </row>
    <row r="78" spans="1:26" ht="60.75" customHeight="1" x14ac:dyDescent="0.25">
      <c r="A78" s="100" t="s">
        <v>99</v>
      </c>
      <c r="B78" s="150"/>
      <c r="C78" s="167"/>
      <c r="D78" s="167"/>
      <c r="E78" s="208">
        <f>SUM(E79:E80)</f>
        <v>588766699</v>
      </c>
      <c r="F78" s="208"/>
      <c r="G78" s="208">
        <f>SUM(G79:G80)</f>
        <v>190955764</v>
      </c>
      <c r="H78" s="156">
        <f>SUM(H79:H80)</f>
        <v>125</v>
      </c>
      <c r="I78" s="80">
        <f>SUM(I79:I80)</f>
        <v>160416014</v>
      </c>
      <c r="J78" s="78"/>
      <c r="K78" s="78">
        <f>SUM(K79:K80)</f>
        <v>143265764</v>
      </c>
      <c r="L78" s="156"/>
      <c r="M78" s="78">
        <f>SUM(M79:M80)</f>
        <v>428350685</v>
      </c>
      <c r="N78" s="78">
        <f t="shared" ref="N78:W78" si="23">SUM(N79:N80)</f>
        <v>62</v>
      </c>
      <c r="O78" s="78">
        <f>SUM(O79:O80)</f>
        <v>47690000</v>
      </c>
      <c r="P78" s="156">
        <f t="shared" si="23"/>
        <v>0</v>
      </c>
      <c r="Q78" s="156">
        <v>224169627</v>
      </c>
      <c r="R78" s="156">
        <f t="shared" si="23"/>
        <v>0</v>
      </c>
      <c r="S78" s="156">
        <f t="shared" si="23"/>
        <v>0</v>
      </c>
      <c r="T78" s="156">
        <f t="shared" si="23"/>
        <v>0</v>
      </c>
      <c r="U78" s="156">
        <v>227021101</v>
      </c>
      <c r="V78" s="156">
        <f t="shared" si="23"/>
        <v>0</v>
      </c>
      <c r="W78" s="156">
        <f t="shared" si="23"/>
        <v>0</v>
      </c>
      <c r="X78" s="48"/>
      <c r="Z78" s="48"/>
    </row>
    <row r="79" spans="1:26" ht="60.75" customHeight="1" x14ac:dyDescent="0.25">
      <c r="A79" s="219" t="s">
        <v>100</v>
      </c>
      <c r="B79" s="190"/>
      <c r="C79" s="159" t="s">
        <v>21</v>
      </c>
      <c r="D79" s="91">
        <f>AVERAGE(H79,L79,P79,T79)</f>
        <v>100</v>
      </c>
      <c r="E79" s="53">
        <f>+I79+M79+Q79+U79</f>
        <v>101995263</v>
      </c>
      <c r="F79" s="53">
        <f>AVERAGE(J79,N79,R79,V79)</f>
        <v>81</v>
      </c>
      <c r="G79" s="53">
        <f t="shared" ref="G79:G91" si="24">+K79+O79+S79+W79</f>
        <v>93786986</v>
      </c>
      <c r="H79" s="72">
        <v>100</v>
      </c>
      <c r="I79" s="56">
        <v>49285263</v>
      </c>
      <c r="J79" s="63">
        <v>100</v>
      </c>
      <c r="K79" s="53">
        <v>46096986</v>
      </c>
      <c r="L79" s="72">
        <v>100</v>
      </c>
      <c r="M79" s="93">
        <v>52710000</v>
      </c>
      <c r="N79" s="63">
        <v>62</v>
      </c>
      <c r="O79" s="53">
        <f>+'[1]320601-'!G14</f>
        <v>47690000</v>
      </c>
      <c r="P79" s="72"/>
      <c r="Q79" s="64"/>
      <c r="R79" s="147"/>
      <c r="S79" s="64"/>
      <c r="T79" s="207"/>
      <c r="U79" s="64"/>
      <c r="V79" s="94"/>
      <c r="W79" s="67"/>
      <c r="X79" s="48"/>
      <c r="Z79" s="48"/>
    </row>
    <row r="80" spans="1:26" ht="60.75" customHeight="1" x14ac:dyDescent="0.25">
      <c r="A80" s="112" t="s">
        <v>101</v>
      </c>
      <c r="B80" s="190"/>
      <c r="C80" s="159" t="s">
        <v>21</v>
      </c>
      <c r="D80" s="91">
        <f>AVERAGE(H80,L80,P80,T80)</f>
        <v>37.5</v>
      </c>
      <c r="E80" s="53">
        <f>+I80+M80+Q80+U80</f>
        <v>486771436</v>
      </c>
      <c r="F80" s="53">
        <f>AVERAGE(J80,N80,R80,V80)</f>
        <v>11.5</v>
      </c>
      <c r="G80" s="53">
        <f t="shared" si="24"/>
        <v>97168778</v>
      </c>
      <c r="H80" s="72">
        <v>25</v>
      </c>
      <c r="I80" s="56">
        <v>111130751</v>
      </c>
      <c r="J80" s="63">
        <v>23</v>
      </c>
      <c r="K80" s="53">
        <v>97168778</v>
      </c>
      <c r="L80" s="72">
        <v>50</v>
      </c>
      <c r="M80" s="93">
        <v>375640685</v>
      </c>
      <c r="N80" s="63">
        <v>0</v>
      </c>
      <c r="O80" s="53">
        <f>+'[1]320601-'!G23</f>
        <v>0</v>
      </c>
      <c r="P80" s="72"/>
      <c r="Q80" s="64"/>
      <c r="R80" s="147"/>
      <c r="S80" s="64"/>
      <c r="T80" s="207"/>
      <c r="U80" s="64"/>
      <c r="V80" s="94"/>
      <c r="W80" s="67"/>
      <c r="X80" s="48"/>
      <c r="Z80" s="48"/>
    </row>
    <row r="81" spans="1:26" ht="60.75" customHeight="1" x14ac:dyDescent="0.25">
      <c r="A81" s="178" t="s">
        <v>102</v>
      </c>
      <c r="B81" s="179"/>
      <c r="C81" s="179"/>
      <c r="D81" s="179"/>
      <c r="E81" s="183">
        <f>SUM(E82)</f>
        <v>1807792695.1879997</v>
      </c>
      <c r="F81" s="183"/>
      <c r="G81" s="183">
        <f t="shared" ref="G81:L81" si="25">SUM(G82)</f>
        <v>1069032741.372</v>
      </c>
      <c r="H81" s="183">
        <f t="shared" si="25"/>
        <v>101</v>
      </c>
      <c r="I81" s="220">
        <f t="shared" si="25"/>
        <v>713654392</v>
      </c>
      <c r="J81" s="183">
        <f t="shared" si="25"/>
        <v>101</v>
      </c>
      <c r="K81" s="183">
        <f t="shared" si="25"/>
        <v>711969981.37199998</v>
      </c>
      <c r="L81" s="183">
        <f t="shared" si="25"/>
        <v>0</v>
      </c>
      <c r="M81" s="181">
        <f>+M82</f>
        <v>1094138303.188</v>
      </c>
      <c r="N81" s="181"/>
      <c r="O81" s="181">
        <f>+O82</f>
        <v>357062760</v>
      </c>
      <c r="P81" s="181">
        <f t="shared" ref="P81:W81" si="26">+P82</f>
        <v>0</v>
      </c>
      <c r="Q81" s="181">
        <f t="shared" si="26"/>
        <v>1061840530</v>
      </c>
      <c r="R81" s="181">
        <f t="shared" si="26"/>
        <v>0</v>
      </c>
      <c r="S81" s="181">
        <f t="shared" si="26"/>
        <v>0</v>
      </c>
      <c r="T81" s="181">
        <f t="shared" si="26"/>
        <v>0</v>
      </c>
      <c r="U81" s="181">
        <f t="shared" si="26"/>
        <v>1113711766</v>
      </c>
      <c r="V81" s="181">
        <f t="shared" si="26"/>
        <v>0</v>
      </c>
      <c r="W81" s="181">
        <f t="shared" si="26"/>
        <v>0</v>
      </c>
      <c r="X81" s="48"/>
      <c r="Z81" s="48"/>
    </row>
    <row r="82" spans="1:26" ht="60.75" customHeight="1" x14ac:dyDescent="0.25">
      <c r="A82" s="100" t="s">
        <v>103</v>
      </c>
      <c r="B82" s="150"/>
      <c r="C82" s="167"/>
      <c r="D82" s="167"/>
      <c r="E82" s="82">
        <f>SUM(E83:E84)</f>
        <v>1807792695.1879997</v>
      </c>
      <c r="F82" s="82"/>
      <c r="G82" s="82">
        <f>SUM(G83:G84)</f>
        <v>1069032741.372</v>
      </c>
      <c r="H82" s="156">
        <f>SUM(H83:H84)</f>
        <v>101</v>
      </c>
      <c r="I82" s="80">
        <f>SUM(I83:I84)</f>
        <v>713654392</v>
      </c>
      <c r="J82" s="78">
        <f>SUM(J83:J84)</f>
        <v>101</v>
      </c>
      <c r="K82" s="78">
        <f>SUM(K83:K84)</f>
        <v>711969981.37199998</v>
      </c>
      <c r="L82" s="156"/>
      <c r="M82" s="78">
        <f>SUM(M83:M84)</f>
        <v>1094138303.188</v>
      </c>
      <c r="N82" s="78"/>
      <c r="O82" s="78">
        <f>SUM(O83:O84)</f>
        <v>357062760</v>
      </c>
      <c r="P82" s="156"/>
      <c r="Q82" s="156">
        <v>1061840530</v>
      </c>
      <c r="R82" s="156">
        <f>SUM(R83:R84)</f>
        <v>0</v>
      </c>
      <c r="S82" s="156">
        <f>SUM(S83:S84)</f>
        <v>0</v>
      </c>
      <c r="T82" s="156">
        <f>SUM(T83:T84)</f>
        <v>0</v>
      </c>
      <c r="U82" s="156">
        <v>1113711766</v>
      </c>
      <c r="V82" s="156">
        <f>SUM(V83:V84)</f>
        <v>0</v>
      </c>
      <c r="W82" s="156">
        <f>SUM(W83:W84)</f>
        <v>0</v>
      </c>
      <c r="X82" s="48"/>
      <c r="Z82" s="48"/>
    </row>
    <row r="83" spans="1:26" ht="60.75" customHeight="1" x14ac:dyDescent="0.25">
      <c r="A83" s="221" t="s">
        <v>104</v>
      </c>
      <c r="B83" s="190"/>
      <c r="C83" s="222" t="s">
        <v>21</v>
      </c>
      <c r="D83" s="91">
        <f>AVERAGE(H83,L83,P83,T83)</f>
        <v>100</v>
      </c>
      <c r="E83" s="53">
        <f>+I83+M83+Q83+U83</f>
        <v>1643131265.1999998</v>
      </c>
      <c r="F83" s="53">
        <f>AVERAGE(J83,N83,R83,V83)</f>
        <v>75</v>
      </c>
      <c r="G83" s="53">
        <f>+K83+O83+S83+W83</f>
        <v>975379214.37199998</v>
      </c>
      <c r="H83" s="72">
        <v>100</v>
      </c>
      <c r="I83" s="56">
        <v>688091492</v>
      </c>
      <c r="J83" s="63">
        <v>100</v>
      </c>
      <c r="K83" s="53">
        <v>686407081.37199998</v>
      </c>
      <c r="L83" s="72">
        <v>100</v>
      </c>
      <c r="M83" s="210">
        <v>955039773.19999993</v>
      </c>
      <c r="N83" s="63">
        <v>50</v>
      </c>
      <c r="O83" s="210">
        <f>+'[1]320801-4.6'!G17</f>
        <v>288972133</v>
      </c>
      <c r="P83" s="72"/>
      <c r="Q83" s="64"/>
      <c r="R83" s="147"/>
      <c r="S83" s="64"/>
      <c r="T83" s="207"/>
      <c r="U83" s="64"/>
      <c r="V83" s="94"/>
      <c r="W83" s="67"/>
      <c r="X83" s="48"/>
      <c r="Z83" s="48"/>
    </row>
    <row r="84" spans="1:26" ht="60.75" customHeight="1" x14ac:dyDescent="0.25">
      <c r="A84" s="177" t="s">
        <v>88</v>
      </c>
      <c r="B84" s="190"/>
      <c r="C84" s="222" t="s">
        <v>23</v>
      </c>
      <c r="D84" s="91">
        <f>AVERAGE(H84,L84,P84,T84)</f>
        <v>1</v>
      </c>
      <c r="E84" s="53">
        <f>+I84+M84+Q84+U84</f>
        <v>164661429.98800001</v>
      </c>
      <c r="F84" s="53">
        <f>AVERAGE(J84,N84,R84,V84)</f>
        <v>0.75</v>
      </c>
      <c r="G84" s="53">
        <f t="shared" si="24"/>
        <v>93653527</v>
      </c>
      <c r="H84" s="72">
        <v>1</v>
      </c>
      <c r="I84" s="56">
        <v>25562900</v>
      </c>
      <c r="J84" s="63">
        <v>1</v>
      </c>
      <c r="K84" s="53">
        <v>25562900</v>
      </c>
      <c r="L84" s="72">
        <v>1</v>
      </c>
      <c r="M84" s="210">
        <v>139098529.98800001</v>
      </c>
      <c r="N84" s="73">
        <v>0.5</v>
      </c>
      <c r="O84" s="210">
        <f>+'[1]320801-4.6'!G25</f>
        <v>68090627</v>
      </c>
      <c r="P84" s="72"/>
      <c r="Q84" s="64"/>
      <c r="R84" s="147"/>
      <c r="S84" s="64"/>
      <c r="T84" s="207"/>
      <c r="U84" s="64"/>
      <c r="V84" s="94"/>
      <c r="W84" s="67"/>
      <c r="X84" s="48"/>
      <c r="Z84" s="48"/>
    </row>
    <row r="85" spans="1:26" ht="60.75" customHeight="1" x14ac:dyDescent="0.25">
      <c r="A85" s="178" t="s">
        <v>105</v>
      </c>
      <c r="B85" s="179"/>
      <c r="C85" s="179"/>
      <c r="D85" s="179"/>
      <c r="E85" s="181">
        <f>SUM(E86)</f>
        <v>3527245049.7200003</v>
      </c>
      <c r="F85" s="181"/>
      <c r="G85" s="181">
        <f>SUM(G86)</f>
        <v>1513290968.668</v>
      </c>
      <c r="H85" s="181">
        <f>SUM(H86)</f>
        <v>30</v>
      </c>
      <c r="I85" s="182">
        <f>SUM(I86)</f>
        <v>877773852.96000004</v>
      </c>
      <c r="J85" s="181">
        <f>SUM(J86)</f>
        <v>30</v>
      </c>
      <c r="K85" s="181">
        <f>SUM(K86)</f>
        <v>814007279.66799998</v>
      </c>
      <c r="L85" s="179"/>
      <c r="M85" s="181">
        <f>+M86</f>
        <v>2649471196.7600002</v>
      </c>
      <c r="N85" s="179"/>
      <c r="O85" s="181">
        <f>+O86</f>
        <v>699283689</v>
      </c>
      <c r="P85" s="181">
        <f t="shared" ref="P85:W85" si="27">+P86</f>
        <v>0</v>
      </c>
      <c r="Q85" s="181">
        <f t="shared" si="27"/>
        <v>943533375</v>
      </c>
      <c r="R85" s="181">
        <f t="shared" si="27"/>
        <v>0</v>
      </c>
      <c r="S85" s="181">
        <f t="shared" si="27"/>
        <v>0</v>
      </c>
      <c r="T85" s="181">
        <f t="shared" si="27"/>
        <v>0</v>
      </c>
      <c r="U85" s="181">
        <f t="shared" si="27"/>
        <v>989778427</v>
      </c>
      <c r="V85" s="181">
        <f t="shared" si="27"/>
        <v>0</v>
      </c>
      <c r="W85" s="181">
        <f t="shared" si="27"/>
        <v>0</v>
      </c>
      <c r="X85" s="48"/>
      <c r="Z85" s="48"/>
    </row>
    <row r="86" spans="1:26" ht="60.75" customHeight="1" x14ac:dyDescent="0.25">
      <c r="A86" s="100" t="s">
        <v>106</v>
      </c>
      <c r="B86" s="150"/>
      <c r="C86" s="167"/>
      <c r="D86" s="223"/>
      <c r="E86" s="78">
        <f>SUM(E87:E92)</f>
        <v>3527245049.7200003</v>
      </c>
      <c r="F86" s="78"/>
      <c r="G86" s="82">
        <f>SUM(G87:G92)</f>
        <v>1513290968.668</v>
      </c>
      <c r="H86" s="156">
        <f>SUM(H87:H88)</f>
        <v>30</v>
      </c>
      <c r="I86" s="80">
        <f>SUM(I87:I92)</f>
        <v>877773852.96000004</v>
      </c>
      <c r="J86" s="78">
        <f>SUM(J87:J88)</f>
        <v>30</v>
      </c>
      <c r="K86" s="78">
        <f>SUM(K87:K92)</f>
        <v>814007279.66799998</v>
      </c>
      <c r="L86" s="156"/>
      <c r="M86" s="78">
        <f>SUM(M87:M92)</f>
        <v>2649471196.7600002</v>
      </c>
      <c r="N86" s="78"/>
      <c r="O86" s="78">
        <f>SUM(O87:O92)</f>
        <v>699283689</v>
      </c>
      <c r="P86" s="156"/>
      <c r="Q86" s="156">
        <v>943533375</v>
      </c>
      <c r="R86" s="156"/>
      <c r="S86" s="156"/>
      <c r="T86" s="156"/>
      <c r="U86" s="156">
        <v>989778427</v>
      </c>
      <c r="V86" s="156"/>
      <c r="W86" s="156"/>
      <c r="X86" s="48"/>
      <c r="Z86" s="48"/>
    </row>
    <row r="87" spans="1:26" ht="60.75" customHeight="1" x14ac:dyDescent="0.25">
      <c r="A87" s="224" t="s">
        <v>107</v>
      </c>
      <c r="B87" s="190" t="s">
        <v>108</v>
      </c>
      <c r="C87" s="159" t="s">
        <v>21</v>
      </c>
      <c r="D87" s="91">
        <f t="shared" ref="D87:D92" si="28">AVERAGE(H87,L87,P87,T87)</f>
        <v>37.5</v>
      </c>
      <c r="E87" s="53">
        <f>+I87+M87+Q87+U87</f>
        <v>510258385.39999998</v>
      </c>
      <c r="F87" s="53">
        <f t="shared" ref="F87:F92" si="29">AVERAGE(J87,N87,R87,V87)</f>
        <v>25</v>
      </c>
      <c r="G87" s="53">
        <f>+K87+O87+S87+W87</f>
        <v>485517269.30799997</v>
      </c>
      <c r="H87" s="72">
        <v>25</v>
      </c>
      <c r="I87" s="56">
        <v>268297197</v>
      </c>
      <c r="J87" s="225">
        <v>25</v>
      </c>
      <c r="K87" s="53">
        <v>259985476.66799998</v>
      </c>
      <c r="L87" s="72">
        <v>50</v>
      </c>
      <c r="M87" s="93">
        <v>241961188.40000001</v>
      </c>
      <c r="N87" s="63">
        <v>25</v>
      </c>
      <c r="O87" s="53">
        <f>+'[1]329901-4.5'!G14</f>
        <v>225531792.63999999</v>
      </c>
      <c r="P87" s="72"/>
      <c r="Q87" s="64"/>
      <c r="R87" s="147"/>
      <c r="S87" s="64"/>
      <c r="T87" s="207"/>
      <c r="U87" s="64"/>
      <c r="V87" s="94"/>
      <c r="W87" s="67"/>
      <c r="X87" s="48"/>
      <c r="Z87" s="48"/>
    </row>
    <row r="88" spans="1:26" ht="60.75" customHeight="1" x14ac:dyDescent="0.25">
      <c r="A88" s="224" t="s">
        <v>109</v>
      </c>
      <c r="B88" s="190" t="s">
        <v>108</v>
      </c>
      <c r="C88" s="159" t="s">
        <v>21</v>
      </c>
      <c r="D88" s="91">
        <f t="shared" si="28"/>
        <v>22.5</v>
      </c>
      <c r="E88" s="53">
        <f t="shared" ref="E88:E92" si="30">+I88+M88+Q88+U88</f>
        <v>24909662.32</v>
      </c>
      <c r="F88" s="53">
        <f t="shared" si="29"/>
        <v>10</v>
      </c>
      <c r="G88" s="53">
        <f t="shared" si="24"/>
        <v>21104662.359999999</v>
      </c>
      <c r="H88" s="72">
        <v>5</v>
      </c>
      <c r="I88" s="56">
        <v>8494924.9600000009</v>
      </c>
      <c r="J88" s="226">
        <v>5</v>
      </c>
      <c r="K88" s="53">
        <v>4689925</v>
      </c>
      <c r="L88" s="72">
        <v>40</v>
      </c>
      <c r="M88" s="93">
        <v>16414737.359999998</v>
      </c>
      <c r="N88" s="63">
        <v>15</v>
      </c>
      <c r="O88" s="53">
        <f>+'[1]329901-4.5'!G22</f>
        <v>16414737.359999999</v>
      </c>
      <c r="P88" s="72"/>
      <c r="Q88" s="64"/>
      <c r="R88" s="147"/>
      <c r="S88" s="64"/>
      <c r="T88" s="207"/>
      <c r="U88" s="64"/>
      <c r="V88" s="94"/>
      <c r="W88" s="67"/>
      <c r="X88" s="48"/>
      <c r="Z88" s="48"/>
    </row>
    <row r="89" spans="1:26" ht="60.75" customHeight="1" x14ac:dyDescent="0.25">
      <c r="A89" s="224" t="s">
        <v>110</v>
      </c>
      <c r="B89" s="190" t="s">
        <v>108</v>
      </c>
      <c r="C89" s="159" t="s">
        <v>21</v>
      </c>
      <c r="D89" s="91">
        <f>AVERAGE(H89,L89,P89,T89)</f>
        <v>37.5</v>
      </c>
      <c r="E89" s="53">
        <f t="shared" si="30"/>
        <v>1141208516</v>
      </c>
      <c r="F89" s="53">
        <f t="shared" si="29"/>
        <v>36.5</v>
      </c>
      <c r="G89" s="53">
        <f t="shared" si="24"/>
        <v>896035511</v>
      </c>
      <c r="H89" s="72">
        <v>25</v>
      </c>
      <c r="I89" s="56">
        <v>515401441</v>
      </c>
      <c r="J89" s="227">
        <v>25</v>
      </c>
      <c r="K89" s="53">
        <v>504393926</v>
      </c>
      <c r="L89" s="72">
        <v>50</v>
      </c>
      <c r="M89" s="93">
        <v>625807075</v>
      </c>
      <c r="N89" s="63">
        <v>48</v>
      </c>
      <c r="O89" s="53">
        <f>+'[1]329901-4.5'!G37</f>
        <v>391641585</v>
      </c>
      <c r="P89" s="72"/>
      <c r="Q89" s="64"/>
      <c r="R89" s="147"/>
      <c r="S89" s="64"/>
      <c r="T89" s="207"/>
      <c r="U89" s="64"/>
      <c r="V89" s="94"/>
      <c r="W89" s="67"/>
      <c r="X89" s="48"/>
      <c r="Z89" s="48"/>
    </row>
    <row r="90" spans="1:26" ht="60.75" customHeight="1" x14ac:dyDescent="0.25">
      <c r="A90" s="224" t="s">
        <v>111</v>
      </c>
      <c r="B90" s="190" t="s">
        <v>108</v>
      </c>
      <c r="C90" s="159" t="s">
        <v>21</v>
      </c>
      <c r="D90" s="91">
        <f t="shared" si="28"/>
        <v>40</v>
      </c>
      <c r="E90" s="53">
        <f t="shared" si="30"/>
        <v>158838651</v>
      </c>
      <c r="F90" s="53">
        <f t="shared" si="29"/>
        <v>15</v>
      </c>
      <c r="G90" s="53">
        <f t="shared" si="24"/>
        <v>53521061</v>
      </c>
      <c r="H90" s="72">
        <v>20</v>
      </c>
      <c r="I90" s="56">
        <v>67000000</v>
      </c>
      <c r="J90" s="227">
        <v>20</v>
      </c>
      <c r="K90" s="53">
        <v>30820621</v>
      </c>
      <c r="L90" s="72">
        <v>60</v>
      </c>
      <c r="M90" s="93">
        <v>91838651</v>
      </c>
      <c r="N90" s="63">
        <v>10</v>
      </c>
      <c r="O90" s="53">
        <f>+'[1]329901-4.5'!G42</f>
        <v>22700440</v>
      </c>
      <c r="P90" s="72"/>
      <c r="Q90" s="64"/>
      <c r="R90" s="147"/>
      <c r="S90" s="64"/>
      <c r="T90" s="207"/>
      <c r="U90" s="64"/>
      <c r="V90" s="94"/>
      <c r="W90" s="67"/>
      <c r="X90" s="48"/>
      <c r="Z90" s="48"/>
    </row>
    <row r="91" spans="1:26" ht="60.75" customHeight="1" x14ac:dyDescent="0.25">
      <c r="A91" s="224" t="s">
        <v>112</v>
      </c>
      <c r="B91" s="190" t="s">
        <v>20</v>
      </c>
      <c r="C91" s="159" t="s">
        <v>23</v>
      </c>
      <c r="D91" s="91">
        <f t="shared" si="28"/>
        <v>1</v>
      </c>
      <c r="E91" s="53">
        <f t="shared" si="30"/>
        <v>1435258951</v>
      </c>
      <c r="F91" s="53">
        <f t="shared" si="29"/>
        <v>0.57499999999999996</v>
      </c>
      <c r="G91" s="53">
        <f t="shared" si="24"/>
        <v>11561041</v>
      </c>
      <c r="H91" s="72">
        <v>1</v>
      </c>
      <c r="I91" s="56">
        <v>14016000</v>
      </c>
      <c r="J91" s="227">
        <v>1</v>
      </c>
      <c r="K91" s="53">
        <v>11561041</v>
      </c>
      <c r="L91" s="72">
        <v>1</v>
      </c>
      <c r="M91" s="93">
        <v>1421242951</v>
      </c>
      <c r="N91" s="147">
        <v>0.15</v>
      </c>
      <c r="O91" s="53">
        <f>+'[1]329901-4.5'!G50</f>
        <v>0</v>
      </c>
      <c r="P91" s="72"/>
      <c r="Q91" s="64"/>
      <c r="R91" s="147"/>
      <c r="S91" s="64"/>
      <c r="T91" s="207"/>
      <c r="U91" s="64"/>
      <c r="V91" s="94"/>
      <c r="W91" s="67"/>
      <c r="X91" s="48"/>
      <c r="Z91" s="48"/>
    </row>
    <row r="92" spans="1:26" ht="60.75" customHeight="1" thickBot="1" x14ac:dyDescent="0.3">
      <c r="A92" s="224" t="s">
        <v>88</v>
      </c>
      <c r="B92" s="190" t="s">
        <v>20</v>
      </c>
      <c r="C92" s="159" t="s">
        <v>23</v>
      </c>
      <c r="D92" s="91">
        <f t="shared" si="28"/>
        <v>1</v>
      </c>
      <c r="E92" s="53">
        <f t="shared" si="30"/>
        <v>256770884</v>
      </c>
      <c r="F92" s="53">
        <f t="shared" si="29"/>
        <v>0.75</v>
      </c>
      <c r="G92" s="53">
        <f>+K92+O92+S92+W92</f>
        <v>45551424</v>
      </c>
      <c r="H92" s="72">
        <v>1</v>
      </c>
      <c r="I92" s="56">
        <v>4564290</v>
      </c>
      <c r="J92" s="227">
        <v>1</v>
      </c>
      <c r="K92" s="53">
        <v>2556290</v>
      </c>
      <c r="L92" s="72">
        <v>1</v>
      </c>
      <c r="M92" s="93">
        <v>252206594</v>
      </c>
      <c r="N92" s="73">
        <v>0.5</v>
      </c>
      <c r="O92" s="53">
        <f>+'[1]329901-4.5'!G58</f>
        <v>42995134</v>
      </c>
      <c r="P92" s="72"/>
      <c r="Q92" s="64"/>
      <c r="R92" s="147"/>
      <c r="S92" s="64"/>
      <c r="T92" s="207"/>
      <c r="U92" s="64"/>
      <c r="V92" s="94"/>
      <c r="W92" s="67"/>
      <c r="X92" s="48"/>
      <c r="Z92" s="48"/>
    </row>
    <row r="93" spans="1:26" ht="38.25" customHeight="1" thickBot="1" x14ac:dyDescent="0.3">
      <c r="A93" s="228" t="s">
        <v>113</v>
      </c>
      <c r="B93" s="31"/>
      <c r="C93" s="31"/>
      <c r="D93" s="229"/>
      <c r="E93" s="230">
        <f>SUM(E85+E81+E77+E65+E61+E48+E25+E5)</f>
        <v>50071525607.527306</v>
      </c>
      <c r="F93" s="230"/>
      <c r="G93" s="230">
        <f>SUM(G85+G81+G77+G65+G61+G48+G25+G5)</f>
        <v>34728991907.231995</v>
      </c>
      <c r="H93" s="230"/>
      <c r="I93" s="231">
        <f>SUM(I85+I81+I77+I65+I61+I48+I25+I5)</f>
        <v>24167228800.173599</v>
      </c>
      <c r="J93" s="230"/>
      <c r="K93" s="230">
        <f>SUM(K85+K81+K77+K65+K61+K48+K25+K5)</f>
        <v>23616777055.501003</v>
      </c>
      <c r="L93" s="232"/>
      <c r="M93" s="230">
        <f>+M85+M81+M77+M65+M61+M48+M25+M5</f>
        <v>35717140337.156975</v>
      </c>
      <c r="N93" s="230">
        <f>+N85+N81+N77+N65+N61+N48+N25+N5</f>
        <v>0</v>
      </c>
      <c r="O93" s="230">
        <f>+O85+O81+O77+O65+O61+O48+O25+O5</f>
        <v>13970636021</v>
      </c>
      <c r="P93" s="230"/>
      <c r="Q93" s="230">
        <f>+Q85+Q81+Q77+Q65+Q61+Q48+Q25+Q5</f>
        <v>26039607802</v>
      </c>
      <c r="R93" s="230">
        <f t="shared" ref="R93:W93" si="31">+R85+R81+R77+R65+R61+R48+R25+R5</f>
        <v>0</v>
      </c>
      <c r="S93" s="230">
        <f t="shared" si="31"/>
        <v>0</v>
      </c>
      <c r="T93" s="230">
        <f t="shared" si="31"/>
        <v>201</v>
      </c>
      <c r="U93" s="230">
        <f t="shared" si="31"/>
        <v>27452378456</v>
      </c>
      <c r="V93" s="230">
        <f t="shared" si="31"/>
        <v>0</v>
      </c>
      <c r="W93" s="230">
        <f t="shared" si="31"/>
        <v>0</v>
      </c>
    </row>
    <row r="94" spans="1:26" ht="3.75" customHeight="1" thickBot="1" x14ac:dyDescent="0.3">
      <c r="A94" s="233"/>
      <c r="B94" s="234"/>
      <c r="C94" s="234"/>
      <c r="D94" s="234"/>
      <c r="E94" s="235"/>
      <c r="F94" s="236"/>
      <c r="G94" s="235"/>
      <c r="H94" s="234"/>
      <c r="I94" s="237"/>
      <c r="J94" s="238"/>
      <c r="K94" s="236"/>
      <c r="L94" s="234"/>
      <c r="M94" s="236"/>
      <c r="N94" s="236"/>
      <c r="O94" s="236"/>
      <c r="P94" s="234"/>
      <c r="Q94" s="239"/>
      <c r="R94" s="240"/>
      <c r="S94" s="241"/>
      <c r="T94" s="234"/>
      <c r="U94" s="239"/>
      <c r="V94" s="242"/>
      <c r="W94" s="243"/>
    </row>
    <row r="95" spans="1:26" x14ac:dyDescent="0.25">
      <c r="E95" s="29"/>
      <c r="G95" s="244"/>
      <c r="H95" s="187"/>
      <c r="I95" s="145">
        <v>24167229405.953598</v>
      </c>
      <c r="J95" s="245"/>
      <c r="K95" s="244">
        <v>23616777055.897995</v>
      </c>
      <c r="M95" s="244">
        <v>35717140337.620163</v>
      </c>
      <c r="N95" s="244"/>
      <c r="O95" s="244">
        <v>13970636021</v>
      </c>
    </row>
    <row r="96" spans="1:26" x14ac:dyDescent="0.25">
      <c r="E96" s="249"/>
      <c r="G96" s="244"/>
      <c r="H96" s="187"/>
      <c r="I96" s="145">
        <f>+I95-I93</f>
        <v>605.77999877929688</v>
      </c>
      <c r="J96" s="145"/>
      <c r="K96" s="145">
        <f>+K95-K93</f>
        <v>0.39699172973632813</v>
      </c>
      <c r="M96" s="244">
        <f>+M95-M93</f>
        <v>0.46318817138671875</v>
      </c>
      <c r="N96" s="244"/>
      <c r="O96" s="244">
        <f>+O95-O93</f>
        <v>0</v>
      </c>
      <c r="P96" s="187"/>
      <c r="Q96" s="187">
        <v>26039607802</v>
      </c>
      <c r="R96" s="250"/>
      <c r="U96" s="187">
        <v>27452378456</v>
      </c>
    </row>
    <row r="97" spans="5:21" x14ac:dyDescent="0.25">
      <c r="E97" s="29"/>
      <c r="G97" s="244"/>
      <c r="H97" s="187"/>
      <c r="J97" s="244"/>
      <c r="K97" s="244"/>
      <c r="M97" s="251"/>
      <c r="O97" s="244"/>
      <c r="P97" s="187"/>
      <c r="Q97" s="187">
        <f>+Q96-Q93</f>
        <v>0</v>
      </c>
      <c r="R97" s="187">
        <f>+R96-R93</f>
        <v>0</v>
      </c>
      <c r="S97" s="187">
        <f>+S96-S93</f>
        <v>0</v>
      </c>
      <c r="T97" s="187"/>
      <c r="U97" s="187">
        <f>+U96-U93</f>
        <v>0</v>
      </c>
    </row>
    <row r="98" spans="5:21" x14ac:dyDescent="0.25">
      <c r="E98" s="244"/>
      <c r="G98" s="244"/>
      <c r="H98" s="187"/>
      <c r="J98" s="244"/>
      <c r="K98" s="244"/>
      <c r="M98" s="244"/>
      <c r="O98" s="244"/>
      <c r="P98" s="187"/>
      <c r="R98" s="250"/>
    </row>
    <row r="99" spans="5:21" x14ac:dyDescent="0.25">
      <c r="E99" s="29"/>
      <c r="G99" s="244"/>
      <c r="H99" s="187"/>
      <c r="I99" s="145">
        <f>+I93+K93+M93+O93</f>
        <v>97471782213.831573</v>
      </c>
      <c r="J99" s="244"/>
      <c r="K99" s="244"/>
      <c r="O99" s="244"/>
      <c r="P99" s="187"/>
      <c r="R99" s="250"/>
    </row>
    <row r="100" spans="5:21" x14ac:dyDescent="0.25">
      <c r="E100" s="29"/>
      <c r="G100" s="244"/>
      <c r="H100" s="187"/>
      <c r="J100" s="244"/>
      <c r="K100" s="244"/>
      <c r="O100" s="244"/>
      <c r="P100" s="187"/>
      <c r="R100" s="250"/>
    </row>
    <row r="101" spans="5:21" x14ac:dyDescent="0.25">
      <c r="E101" s="29"/>
      <c r="G101" s="244"/>
      <c r="H101" s="187"/>
      <c r="J101" s="244"/>
      <c r="K101" s="244"/>
      <c r="O101" s="244"/>
      <c r="P101" s="187"/>
      <c r="R101" s="250"/>
    </row>
    <row r="102" spans="5:21" x14ac:dyDescent="0.25">
      <c r="E102" s="29"/>
      <c r="G102" s="244"/>
      <c r="H102" s="187"/>
      <c r="J102" s="244"/>
      <c r="K102" s="244"/>
      <c r="O102" s="244"/>
      <c r="P102" s="187"/>
      <c r="R102" s="250"/>
    </row>
    <row r="103" spans="5:21" x14ac:dyDescent="0.25">
      <c r="E103" s="29"/>
      <c r="G103" s="244"/>
      <c r="H103" s="187"/>
      <c r="J103" s="244"/>
      <c r="K103" s="244"/>
      <c r="O103" s="244"/>
      <c r="P103" s="187"/>
      <c r="R103" s="250"/>
    </row>
    <row r="104" spans="5:21" x14ac:dyDescent="0.25">
      <c r="E104" s="29"/>
      <c r="G104" s="244"/>
      <c r="H104" s="187"/>
      <c r="J104" s="244"/>
      <c r="K104" s="244"/>
      <c r="M104" s="244"/>
      <c r="O104" s="244"/>
      <c r="P104" s="187"/>
      <c r="R104" s="250"/>
    </row>
    <row r="105" spans="5:21" x14ac:dyDescent="0.25">
      <c r="E105" s="29"/>
      <c r="G105" s="244"/>
      <c r="H105" s="187"/>
      <c r="J105" s="244"/>
      <c r="K105" s="244"/>
      <c r="O105" s="244"/>
      <c r="P105" s="187"/>
      <c r="R105" s="250"/>
    </row>
    <row r="106" spans="5:21" x14ac:dyDescent="0.25">
      <c r="E106" s="29"/>
      <c r="G106" s="244"/>
      <c r="H106" s="187"/>
      <c r="J106" s="244"/>
      <c r="K106" s="244"/>
      <c r="M106" s="249"/>
      <c r="O106" s="244"/>
      <c r="P106" s="187"/>
      <c r="R106" s="250"/>
    </row>
    <row r="107" spans="5:21" x14ac:dyDescent="0.25">
      <c r="E107" s="29"/>
      <c r="G107" s="244"/>
      <c r="H107" s="187"/>
      <c r="J107" s="244"/>
      <c r="K107" s="244"/>
      <c r="M107" s="251"/>
      <c r="O107" s="244"/>
      <c r="P107" s="187"/>
      <c r="R107" s="250"/>
    </row>
    <row r="108" spans="5:21" x14ac:dyDescent="0.25">
      <c r="E108" s="29"/>
      <c r="G108" s="244"/>
      <c r="H108" s="187"/>
      <c r="J108" s="244"/>
      <c r="K108" s="244"/>
      <c r="M108" s="244"/>
    </row>
    <row r="109" spans="5:21" x14ac:dyDescent="0.25">
      <c r="E109" s="29"/>
      <c r="G109" s="244"/>
      <c r="H109" s="187"/>
      <c r="J109" s="244"/>
      <c r="K109" s="244"/>
      <c r="M109" s="244"/>
      <c r="S109" s="247" t="s">
        <v>114</v>
      </c>
    </row>
    <row r="110" spans="5:21" x14ac:dyDescent="0.25">
      <c r="E110" s="29"/>
      <c r="G110" s="244"/>
      <c r="H110" s="187"/>
      <c r="J110" s="244"/>
      <c r="K110" s="244"/>
    </row>
    <row r="111" spans="5:21" x14ac:dyDescent="0.25">
      <c r="E111" s="29"/>
      <c r="G111" s="244"/>
      <c r="H111" s="187"/>
      <c r="J111" s="244"/>
      <c r="K111" s="244"/>
    </row>
    <row r="112" spans="5:21" x14ac:dyDescent="0.25">
      <c r="E112" s="29"/>
      <c r="G112" s="29"/>
      <c r="J112" s="29"/>
    </row>
    <row r="113" spans="5:10" x14ac:dyDescent="0.25">
      <c r="E113" s="29"/>
      <c r="G113" s="29"/>
      <c r="J113" s="29"/>
    </row>
    <row r="114" spans="5:10" x14ac:dyDescent="0.25">
      <c r="E114" s="29"/>
      <c r="G114" s="29"/>
      <c r="J114" s="29"/>
    </row>
    <row r="115" spans="5:10" x14ac:dyDescent="0.25">
      <c r="E115" s="29"/>
      <c r="G115" s="29"/>
      <c r="J115" s="29"/>
    </row>
    <row r="116" spans="5:10" x14ac:dyDescent="0.25">
      <c r="E116" s="29"/>
      <c r="G116" s="29"/>
      <c r="J116" s="29"/>
    </row>
    <row r="117" spans="5:10" x14ac:dyDescent="0.25">
      <c r="E117" s="29"/>
      <c r="G117" s="29"/>
      <c r="J117" s="29"/>
    </row>
    <row r="118" spans="5:10" x14ac:dyDescent="0.25">
      <c r="E118" s="29"/>
      <c r="G118" s="29"/>
      <c r="J118" s="29"/>
    </row>
    <row r="119" spans="5:10" x14ac:dyDescent="0.25">
      <c r="E119" s="29"/>
      <c r="G119" s="29"/>
      <c r="J119" s="29"/>
    </row>
    <row r="120" spans="5:10" x14ac:dyDescent="0.25">
      <c r="E120" s="29"/>
      <c r="G120" s="29"/>
      <c r="J120" s="29"/>
    </row>
    <row r="121" spans="5:10" x14ac:dyDescent="0.25">
      <c r="E121" s="29"/>
      <c r="G121" s="29"/>
      <c r="J121" s="29"/>
    </row>
    <row r="122" spans="5:10" x14ac:dyDescent="0.25">
      <c r="E122" s="29"/>
      <c r="G122" s="29"/>
      <c r="J122" s="29"/>
    </row>
    <row r="123" spans="5:10" x14ac:dyDescent="0.25">
      <c r="E123" s="29"/>
      <c r="G123" s="29"/>
      <c r="J123" s="29"/>
    </row>
    <row r="124" spans="5:10" x14ac:dyDescent="0.25">
      <c r="E124" s="29"/>
      <c r="G124" s="29"/>
      <c r="J124" s="29"/>
    </row>
    <row r="125" spans="5:10" x14ac:dyDescent="0.25">
      <c r="E125" s="29"/>
      <c r="G125" s="29"/>
      <c r="J125" s="29"/>
    </row>
    <row r="126" spans="5:10" x14ac:dyDescent="0.25">
      <c r="E126" s="29"/>
      <c r="G126" s="29"/>
      <c r="J126" s="29"/>
    </row>
    <row r="127" spans="5:10" x14ac:dyDescent="0.25">
      <c r="E127" s="29"/>
      <c r="G127" s="29"/>
    </row>
    <row r="128" spans="5:10" x14ac:dyDescent="0.25">
      <c r="E128" s="29"/>
      <c r="G128" s="29"/>
    </row>
    <row r="129" spans="5:7" x14ac:dyDescent="0.25">
      <c r="E129" s="29"/>
      <c r="G129" s="29"/>
    </row>
    <row r="130" spans="5:7" x14ac:dyDescent="0.25">
      <c r="E130" s="29"/>
      <c r="G130" s="29"/>
    </row>
    <row r="131" spans="5:7" x14ac:dyDescent="0.25">
      <c r="E131" s="29"/>
      <c r="G131" s="29"/>
    </row>
    <row r="132" spans="5:7" x14ac:dyDescent="0.25">
      <c r="E132" s="29"/>
      <c r="G132" s="29"/>
    </row>
    <row r="133" spans="5:7" x14ac:dyDescent="0.25">
      <c r="E133" s="29"/>
      <c r="G133" s="29"/>
    </row>
    <row r="134" spans="5:7" x14ac:dyDescent="0.25">
      <c r="E134" s="29"/>
      <c r="G134" s="29"/>
    </row>
    <row r="135" spans="5:7" x14ac:dyDescent="0.25">
      <c r="E135" s="29"/>
      <c r="G135" s="29"/>
    </row>
    <row r="136" spans="5:7" x14ac:dyDescent="0.25">
      <c r="E136" s="29"/>
      <c r="G136" s="29"/>
    </row>
    <row r="137" spans="5:7" x14ac:dyDescent="0.25">
      <c r="E137" s="29"/>
      <c r="G137" s="29"/>
    </row>
    <row r="138" spans="5:7" x14ac:dyDescent="0.25">
      <c r="E138" s="29"/>
      <c r="G138" s="29"/>
    </row>
    <row r="139" spans="5:7" x14ac:dyDescent="0.25">
      <c r="E139" s="29"/>
      <c r="G139" s="29"/>
    </row>
    <row r="140" spans="5:7" x14ac:dyDescent="0.25">
      <c r="E140" s="29"/>
      <c r="G140" s="29"/>
    </row>
    <row r="141" spans="5:7" x14ac:dyDescent="0.25">
      <c r="E141" s="29"/>
      <c r="G141" s="29"/>
    </row>
    <row r="142" spans="5:7" x14ac:dyDescent="0.25">
      <c r="E142" s="29"/>
      <c r="G142" s="29"/>
    </row>
    <row r="143" spans="5:7" x14ac:dyDescent="0.25">
      <c r="E143" s="29"/>
      <c r="G143" s="29"/>
    </row>
    <row r="144" spans="5:7" x14ac:dyDescent="0.25">
      <c r="E144" s="29"/>
      <c r="G144" s="29"/>
    </row>
    <row r="145" spans="5:7" x14ac:dyDescent="0.25">
      <c r="E145" s="29"/>
      <c r="G145" s="29"/>
    </row>
    <row r="146" spans="5:7" x14ac:dyDescent="0.25">
      <c r="E146" s="29"/>
      <c r="G146" s="29"/>
    </row>
    <row r="147" spans="5:7" x14ac:dyDescent="0.25">
      <c r="E147" s="29"/>
      <c r="G147" s="29"/>
    </row>
    <row r="148" spans="5:7" x14ac:dyDescent="0.25">
      <c r="E148" s="29"/>
      <c r="G148" s="29"/>
    </row>
    <row r="149" spans="5:7" x14ac:dyDescent="0.25">
      <c r="E149" s="29"/>
      <c r="G149" s="29"/>
    </row>
    <row r="150" spans="5:7" x14ac:dyDescent="0.25">
      <c r="E150" s="29"/>
      <c r="G150" s="29"/>
    </row>
    <row r="151" spans="5:7" x14ac:dyDescent="0.25">
      <c r="E151" s="29"/>
      <c r="G151" s="29"/>
    </row>
    <row r="152" spans="5:7" x14ac:dyDescent="0.25">
      <c r="E152" s="29"/>
      <c r="G152" s="29"/>
    </row>
    <row r="153" spans="5:7" x14ac:dyDescent="0.25">
      <c r="E153" s="29"/>
      <c r="G153" s="29"/>
    </row>
    <row r="154" spans="5:7" x14ac:dyDescent="0.25">
      <c r="E154" s="29"/>
      <c r="G154" s="29"/>
    </row>
    <row r="155" spans="5:7" x14ac:dyDescent="0.25">
      <c r="E155" s="29"/>
      <c r="G155" s="29"/>
    </row>
    <row r="156" spans="5:7" x14ac:dyDescent="0.25">
      <c r="E156" s="29"/>
      <c r="G156" s="29"/>
    </row>
    <row r="157" spans="5:7" x14ac:dyDescent="0.25">
      <c r="E157" s="29"/>
      <c r="G157" s="29"/>
    </row>
    <row r="158" spans="5:7" x14ac:dyDescent="0.25">
      <c r="E158" s="29"/>
      <c r="G158" s="29"/>
    </row>
    <row r="159" spans="5:7" x14ac:dyDescent="0.25">
      <c r="E159" s="29"/>
      <c r="G159" s="29"/>
    </row>
    <row r="160" spans="5:7" x14ac:dyDescent="0.25">
      <c r="E160" s="29"/>
      <c r="G160" s="29"/>
    </row>
    <row r="161" spans="5:7" x14ac:dyDescent="0.25">
      <c r="E161" s="29"/>
      <c r="G161" s="29"/>
    </row>
    <row r="162" spans="5:7" x14ac:dyDescent="0.25">
      <c r="E162" s="29"/>
      <c r="G162" s="29"/>
    </row>
    <row r="163" spans="5:7" x14ac:dyDescent="0.25">
      <c r="E163" s="29"/>
      <c r="G163" s="29"/>
    </row>
    <row r="164" spans="5:7" x14ac:dyDescent="0.25">
      <c r="E164" s="29"/>
      <c r="G164" s="29"/>
    </row>
    <row r="165" spans="5:7" x14ac:dyDescent="0.25">
      <c r="E165" s="29"/>
      <c r="G165" s="29"/>
    </row>
    <row r="166" spans="5:7" x14ac:dyDescent="0.25">
      <c r="E166" s="29"/>
      <c r="G166" s="29"/>
    </row>
    <row r="167" spans="5:7" x14ac:dyDescent="0.25">
      <c r="E167" s="29"/>
      <c r="G167" s="29"/>
    </row>
    <row r="168" spans="5:7" x14ac:dyDescent="0.25">
      <c r="E168" s="29"/>
      <c r="G168" s="29"/>
    </row>
    <row r="169" spans="5:7" x14ac:dyDescent="0.25">
      <c r="E169" s="29"/>
      <c r="G169" s="29"/>
    </row>
    <row r="170" spans="5:7" x14ac:dyDescent="0.25">
      <c r="E170" s="29"/>
      <c r="G170" s="29"/>
    </row>
    <row r="171" spans="5:7" x14ac:dyDescent="0.25">
      <c r="E171" s="29"/>
      <c r="G171" s="29"/>
    </row>
    <row r="172" spans="5:7" x14ac:dyDescent="0.25">
      <c r="E172" s="29"/>
      <c r="G172" s="29"/>
    </row>
    <row r="173" spans="5:7" x14ac:dyDescent="0.25">
      <c r="E173" s="29"/>
      <c r="G173" s="29"/>
    </row>
    <row r="174" spans="5:7" x14ac:dyDescent="0.25">
      <c r="E174" s="29"/>
      <c r="G174" s="29"/>
    </row>
    <row r="175" spans="5:7" x14ac:dyDescent="0.25">
      <c r="E175" s="29"/>
      <c r="G175" s="29"/>
    </row>
    <row r="176" spans="5:7" x14ac:dyDescent="0.25">
      <c r="E176" s="29"/>
      <c r="G176" s="29"/>
    </row>
    <row r="177" spans="5:7" x14ac:dyDescent="0.25">
      <c r="E177" s="29"/>
      <c r="G177" s="29"/>
    </row>
    <row r="178" spans="5:7" x14ac:dyDescent="0.25">
      <c r="E178" s="29"/>
      <c r="G178" s="29"/>
    </row>
    <row r="179" spans="5:7" x14ac:dyDescent="0.25">
      <c r="E179" s="29"/>
      <c r="G179" s="29"/>
    </row>
    <row r="180" spans="5:7" x14ac:dyDescent="0.25">
      <c r="E180" s="29"/>
      <c r="G180" s="29"/>
    </row>
    <row r="181" spans="5:7" x14ac:dyDescent="0.25">
      <c r="E181" s="29"/>
      <c r="G181" s="29"/>
    </row>
    <row r="182" spans="5:7" x14ac:dyDescent="0.25">
      <c r="E182" s="29"/>
      <c r="G182" s="29"/>
    </row>
    <row r="183" spans="5:7" x14ac:dyDescent="0.25">
      <c r="E183" s="29"/>
      <c r="G183" s="29"/>
    </row>
    <row r="184" spans="5:7" x14ac:dyDescent="0.25">
      <c r="E184" s="29"/>
      <c r="G184" s="29"/>
    </row>
    <row r="185" spans="5:7" x14ac:dyDescent="0.25">
      <c r="E185" s="29"/>
      <c r="G185" s="29"/>
    </row>
    <row r="186" spans="5:7" x14ac:dyDescent="0.25">
      <c r="E186" s="29"/>
      <c r="G186" s="29"/>
    </row>
    <row r="187" spans="5:7" x14ac:dyDescent="0.25">
      <c r="E187" s="29"/>
      <c r="G187" s="29"/>
    </row>
    <row r="188" spans="5:7" x14ac:dyDescent="0.25">
      <c r="E188" s="29"/>
      <c r="G188" s="29"/>
    </row>
  </sheetData>
  <mergeCells count="5">
    <mergeCell ref="H3:I3"/>
    <mergeCell ref="J3:K3"/>
    <mergeCell ref="L3:M3"/>
    <mergeCell ref="P3:Q3"/>
    <mergeCell ref="T3:U3"/>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1"/>
  <sheetViews>
    <sheetView tabSelected="1" topLeftCell="E1" workbookViewId="0">
      <selection activeCell="M8" sqref="M8"/>
    </sheetView>
  </sheetViews>
  <sheetFormatPr baseColWidth="10" defaultRowHeight="11.25" x14ac:dyDescent="0.25"/>
  <cols>
    <col min="1" max="1" width="43.42578125" style="281" customWidth="1"/>
    <col min="2" max="2" width="12.42578125" style="281" customWidth="1"/>
    <col min="3" max="3" width="13.7109375" style="281" customWidth="1"/>
    <col min="4" max="4" width="12.85546875" style="281" customWidth="1"/>
    <col min="5" max="5" width="14.42578125" style="281" customWidth="1"/>
    <col min="6" max="6" width="12.28515625" style="281" customWidth="1"/>
    <col min="7" max="7" width="19.140625" style="282" customWidth="1"/>
    <col min="8" max="8" width="12.140625" style="299" customWidth="1"/>
    <col min="9" max="9" width="12" style="281" customWidth="1"/>
    <col min="10" max="10" width="14" style="281" customWidth="1"/>
    <col min="11" max="11" width="19.42578125" style="281" customWidth="1"/>
    <col min="12" max="12" width="16" style="281" customWidth="1"/>
    <col min="13" max="13" width="13.42578125" style="281" customWidth="1"/>
    <col min="14" max="14" width="12.140625" style="281" customWidth="1"/>
    <col min="15" max="15" width="18" style="281" customWidth="1"/>
    <col min="16" max="16" width="16.28515625" style="283" customWidth="1"/>
    <col min="17" max="17" width="15.85546875" style="281" customWidth="1"/>
    <col min="18" max="18" width="16.140625" style="281" customWidth="1"/>
    <col min="19" max="19" width="13.28515625" style="281" customWidth="1"/>
    <col min="20" max="20" width="11.140625" style="284" customWidth="1"/>
    <col min="21" max="21" width="25" style="281" customWidth="1"/>
    <col min="22" max="22" width="20.7109375" style="281" customWidth="1"/>
    <col min="23" max="23" width="32.5703125" style="281" customWidth="1"/>
    <col min="24" max="24" width="37.7109375" style="281" customWidth="1"/>
    <col min="25" max="256" width="11.42578125" style="281"/>
    <col min="257" max="257" width="43.42578125" style="281" customWidth="1"/>
    <col min="258" max="270" width="0" style="281" hidden="1" customWidth="1"/>
    <col min="271" max="271" width="16" style="281" customWidth="1"/>
    <col min="272" max="272" width="16.28515625" style="281" customWidth="1"/>
    <col min="273" max="273" width="15.85546875" style="281" customWidth="1"/>
    <col min="274" max="274" width="16.140625" style="281" customWidth="1"/>
    <col min="275" max="275" width="13.28515625" style="281" customWidth="1"/>
    <col min="276" max="276" width="10.42578125" style="281" customWidth="1"/>
    <col min="277" max="277" width="25" style="281" customWidth="1"/>
    <col min="278" max="278" width="20.7109375" style="281" customWidth="1"/>
    <col min="279" max="279" width="32.5703125" style="281" customWidth="1"/>
    <col min="280" max="280" width="37.7109375" style="281" customWidth="1"/>
    <col min="281" max="512" width="11.42578125" style="281"/>
    <col min="513" max="513" width="43.42578125" style="281" customWidth="1"/>
    <col min="514" max="526" width="0" style="281" hidden="1" customWidth="1"/>
    <col min="527" max="527" width="16" style="281" customWidth="1"/>
    <col min="528" max="528" width="16.28515625" style="281" customWidth="1"/>
    <col min="529" max="529" width="15.85546875" style="281" customWidth="1"/>
    <col min="530" max="530" width="16.140625" style="281" customWidth="1"/>
    <col min="531" max="531" width="13.28515625" style="281" customWidth="1"/>
    <col min="532" max="532" width="10.42578125" style="281" customWidth="1"/>
    <col min="533" max="533" width="25" style="281" customWidth="1"/>
    <col min="534" max="534" width="20.7109375" style="281" customWidth="1"/>
    <col min="535" max="535" width="32.5703125" style="281" customWidth="1"/>
    <col min="536" max="536" width="37.7109375" style="281" customWidth="1"/>
    <col min="537" max="768" width="11.42578125" style="281"/>
    <col min="769" max="769" width="43.42578125" style="281" customWidth="1"/>
    <col min="770" max="782" width="0" style="281" hidden="1" customWidth="1"/>
    <col min="783" max="783" width="16" style="281" customWidth="1"/>
    <col min="784" max="784" width="16.28515625" style="281" customWidth="1"/>
    <col min="785" max="785" width="15.85546875" style="281" customWidth="1"/>
    <col min="786" max="786" width="16.140625" style="281" customWidth="1"/>
    <col min="787" max="787" width="13.28515625" style="281" customWidth="1"/>
    <col min="788" max="788" width="10.42578125" style="281" customWidth="1"/>
    <col min="789" max="789" width="25" style="281" customWidth="1"/>
    <col min="790" max="790" width="20.7109375" style="281" customWidth="1"/>
    <col min="791" max="791" width="32.5703125" style="281" customWidth="1"/>
    <col min="792" max="792" width="37.7109375" style="281" customWidth="1"/>
    <col min="793" max="1024" width="11.42578125" style="281"/>
    <col min="1025" max="1025" width="43.42578125" style="281" customWidth="1"/>
    <col min="1026" max="1038" width="0" style="281" hidden="1" customWidth="1"/>
    <col min="1039" max="1039" width="16" style="281" customWidth="1"/>
    <col min="1040" max="1040" width="16.28515625" style="281" customWidth="1"/>
    <col min="1041" max="1041" width="15.85546875" style="281" customWidth="1"/>
    <col min="1042" max="1042" width="16.140625" style="281" customWidth="1"/>
    <col min="1043" max="1043" width="13.28515625" style="281" customWidth="1"/>
    <col min="1044" max="1044" width="10.42578125" style="281" customWidth="1"/>
    <col min="1045" max="1045" width="25" style="281" customWidth="1"/>
    <col min="1046" max="1046" width="20.7109375" style="281" customWidth="1"/>
    <col min="1047" max="1047" width="32.5703125" style="281" customWidth="1"/>
    <col min="1048" max="1048" width="37.7109375" style="281" customWidth="1"/>
    <col min="1049" max="1280" width="11.42578125" style="281"/>
    <col min="1281" max="1281" width="43.42578125" style="281" customWidth="1"/>
    <col min="1282" max="1294" width="0" style="281" hidden="1" customWidth="1"/>
    <col min="1295" max="1295" width="16" style="281" customWidth="1"/>
    <col min="1296" max="1296" width="16.28515625" style="281" customWidth="1"/>
    <col min="1297" max="1297" width="15.85546875" style="281" customWidth="1"/>
    <col min="1298" max="1298" width="16.140625" style="281" customWidth="1"/>
    <col min="1299" max="1299" width="13.28515625" style="281" customWidth="1"/>
    <col min="1300" max="1300" width="10.42578125" style="281" customWidth="1"/>
    <col min="1301" max="1301" width="25" style="281" customWidth="1"/>
    <col min="1302" max="1302" width="20.7109375" style="281" customWidth="1"/>
    <col min="1303" max="1303" width="32.5703125" style="281" customWidth="1"/>
    <col min="1304" max="1304" width="37.7109375" style="281" customWidth="1"/>
    <col min="1305" max="1536" width="11.42578125" style="281"/>
    <col min="1537" max="1537" width="43.42578125" style="281" customWidth="1"/>
    <col min="1538" max="1550" width="0" style="281" hidden="1" customWidth="1"/>
    <col min="1551" max="1551" width="16" style="281" customWidth="1"/>
    <col min="1552" max="1552" width="16.28515625" style="281" customWidth="1"/>
    <col min="1553" max="1553" width="15.85546875" style="281" customWidth="1"/>
    <col min="1554" max="1554" width="16.140625" style="281" customWidth="1"/>
    <col min="1555" max="1555" width="13.28515625" style="281" customWidth="1"/>
    <col min="1556" max="1556" width="10.42578125" style="281" customWidth="1"/>
    <col min="1557" max="1557" width="25" style="281" customWidth="1"/>
    <col min="1558" max="1558" width="20.7109375" style="281" customWidth="1"/>
    <col min="1559" max="1559" width="32.5703125" style="281" customWidth="1"/>
    <col min="1560" max="1560" width="37.7109375" style="281" customWidth="1"/>
    <col min="1561" max="1792" width="11.42578125" style="281"/>
    <col min="1793" max="1793" width="43.42578125" style="281" customWidth="1"/>
    <col min="1794" max="1806" width="0" style="281" hidden="1" customWidth="1"/>
    <col min="1807" max="1807" width="16" style="281" customWidth="1"/>
    <col min="1808" max="1808" width="16.28515625" style="281" customWidth="1"/>
    <col min="1809" max="1809" width="15.85546875" style="281" customWidth="1"/>
    <col min="1810" max="1810" width="16.140625" style="281" customWidth="1"/>
    <col min="1811" max="1811" width="13.28515625" style="281" customWidth="1"/>
    <col min="1812" max="1812" width="10.42578125" style="281" customWidth="1"/>
    <col min="1813" max="1813" width="25" style="281" customWidth="1"/>
    <col min="1814" max="1814" width="20.7109375" style="281" customWidth="1"/>
    <col min="1815" max="1815" width="32.5703125" style="281" customWidth="1"/>
    <col min="1816" max="1816" width="37.7109375" style="281" customWidth="1"/>
    <col min="1817" max="2048" width="11.42578125" style="281"/>
    <col min="2049" max="2049" width="43.42578125" style="281" customWidth="1"/>
    <col min="2050" max="2062" width="0" style="281" hidden="1" customWidth="1"/>
    <col min="2063" max="2063" width="16" style="281" customWidth="1"/>
    <col min="2064" max="2064" width="16.28515625" style="281" customWidth="1"/>
    <col min="2065" max="2065" width="15.85546875" style="281" customWidth="1"/>
    <col min="2066" max="2066" width="16.140625" style="281" customWidth="1"/>
    <col min="2067" max="2067" width="13.28515625" style="281" customWidth="1"/>
    <col min="2068" max="2068" width="10.42578125" style="281" customWidth="1"/>
    <col min="2069" max="2069" width="25" style="281" customWidth="1"/>
    <col min="2070" max="2070" width="20.7109375" style="281" customWidth="1"/>
    <col min="2071" max="2071" width="32.5703125" style="281" customWidth="1"/>
    <col min="2072" max="2072" width="37.7109375" style="281" customWidth="1"/>
    <col min="2073" max="2304" width="11.42578125" style="281"/>
    <col min="2305" max="2305" width="43.42578125" style="281" customWidth="1"/>
    <col min="2306" max="2318" width="0" style="281" hidden="1" customWidth="1"/>
    <col min="2319" max="2319" width="16" style="281" customWidth="1"/>
    <col min="2320" max="2320" width="16.28515625" style="281" customWidth="1"/>
    <col min="2321" max="2321" width="15.85546875" style="281" customWidth="1"/>
    <col min="2322" max="2322" width="16.140625" style="281" customWidth="1"/>
    <col min="2323" max="2323" width="13.28515625" style="281" customWidth="1"/>
    <col min="2324" max="2324" width="10.42578125" style="281" customWidth="1"/>
    <col min="2325" max="2325" width="25" style="281" customWidth="1"/>
    <col min="2326" max="2326" width="20.7109375" style="281" customWidth="1"/>
    <col min="2327" max="2327" width="32.5703125" style="281" customWidth="1"/>
    <col min="2328" max="2328" width="37.7109375" style="281" customWidth="1"/>
    <col min="2329" max="2560" width="11.42578125" style="281"/>
    <col min="2561" max="2561" width="43.42578125" style="281" customWidth="1"/>
    <col min="2562" max="2574" width="0" style="281" hidden="1" customWidth="1"/>
    <col min="2575" max="2575" width="16" style="281" customWidth="1"/>
    <col min="2576" max="2576" width="16.28515625" style="281" customWidth="1"/>
    <col min="2577" max="2577" width="15.85546875" style="281" customWidth="1"/>
    <col min="2578" max="2578" width="16.140625" style="281" customWidth="1"/>
    <col min="2579" max="2579" width="13.28515625" style="281" customWidth="1"/>
    <col min="2580" max="2580" width="10.42578125" style="281" customWidth="1"/>
    <col min="2581" max="2581" width="25" style="281" customWidth="1"/>
    <col min="2582" max="2582" width="20.7109375" style="281" customWidth="1"/>
    <col min="2583" max="2583" width="32.5703125" style="281" customWidth="1"/>
    <col min="2584" max="2584" width="37.7109375" style="281" customWidth="1"/>
    <col min="2585" max="2816" width="11.42578125" style="281"/>
    <col min="2817" max="2817" width="43.42578125" style="281" customWidth="1"/>
    <col min="2818" max="2830" width="0" style="281" hidden="1" customWidth="1"/>
    <col min="2831" max="2831" width="16" style="281" customWidth="1"/>
    <col min="2832" max="2832" width="16.28515625" style="281" customWidth="1"/>
    <col min="2833" max="2833" width="15.85546875" style="281" customWidth="1"/>
    <col min="2834" max="2834" width="16.140625" style="281" customWidth="1"/>
    <col min="2835" max="2835" width="13.28515625" style="281" customWidth="1"/>
    <col min="2836" max="2836" width="10.42578125" style="281" customWidth="1"/>
    <col min="2837" max="2837" width="25" style="281" customWidth="1"/>
    <col min="2838" max="2838" width="20.7109375" style="281" customWidth="1"/>
    <col min="2839" max="2839" width="32.5703125" style="281" customWidth="1"/>
    <col min="2840" max="2840" width="37.7109375" style="281" customWidth="1"/>
    <col min="2841" max="3072" width="11.42578125" style="281"/>
    <col min="3073" max="3073" width="43.42578125" style="281" customWidth="1"/>
    <col min="3074" max="3086" width="0" style="281" hidden="1" customWidth="1"/>
    <col min="3087" max="3087" width="16" style="281" customWidth="1"/>
    <col min="3088" max="3088" width="16.28515625" style="281" customWidth="1"/>
    <col min="3089" max="3089" width="15.85546875" style="281" customWidth="1"/>
    <col min="3090" max="3090" width="16.140625" style="281" customWidth="1"/>
    <col min="3091" max="3091" width="13.28515625" style="281" customWidth="1"/>
    <col min="3092" max="3092" width="10.42578125" style="281" customWidth="1"/>
    <col min="3093" max="3093" width="25" style="281" customWidth="1"/>
    <col min="3094" max="3094" width="20.7109375" style="281" customWidth="1"/>
    <col min="3095" max="3095" width="32.5703125" style="281" customWidth="1"/>
    <col min="3096" max="3096" width="37.7109375" style="281" customWidth="1"/>
    <col min="3097" max="3328" width="11.42578125" style="281"/>
    <col min="3329" max="3329" width="43.42578125" style="281" customWidth="1"/>
    <col min="3330" max="3342" width="0" style="281" hidden="1" customWidth="1"/>
    <col min="3343" max="3343" width="16" style="281" customWidth="1"/>
    <col min="3344" max="3344" width="16.28515625" style="281" customWidth="1"/>
    <col min="3345" max="3345" width="15.85546875" style="281" customWidth="1"/>
    <col min="3346" max="3346" width="16.140625" style="281" customWidth="1"/>
    <col min="3347" max="3347" width="13.28515625" style="281" customWidth="1"/>
    <col min="3348" max="3348" width="10.42578125" style="281" customWidth="1"/>
    <col min="3349" max="3349" width="25" style="281" customWidth="1"/>
    <col min="3350" max="3350" width="20.7109375" style="281" customWidth="1"/>
    <col min="3351" max="3351" width="32.5703125" style="281" customWidth="1"/>
    <col min="3352" max="3352" width="37.7109375" style="281" customWidth="1"/>
    <col min="3353" max="3584" width="11.42578125" style="281"/>
    <col min="3585" max="3585" width="43.42578125" style="281" customWidth="1"/>
    <col min="3586" max="3598" width="0" style="281" hidden="1" customWidth="1"/>
    <col min="3599" max="3599" width="16" style="281" customWidth="1"/>
    <col min="3600" max="3600" width="16.28515625" style="281" customWidth="1"/>
    <col min="3601" max="3601" width="15.85546875" style="281" customWidth="1"/>
    <col min="3602" max="3602" width="16.140625" style="281" customWidth="1"/>
    <col min="3603" max="3603" width="13.28515625" style="281" customWidth="1"/>
    <col min="3604" max="3604" width="10.42578125" style="281" customWidth="1"/>
    <col min="3605" max="3605" width="25" style="281" customWidth="1"/>
    <col min="3606" max="3606" width="20.7109375" style="281" customWidth="1"/>
    <col min="3607" max="3607" width="32.5703125" style="281" customWidth="1"/>
    <col min="3608" max="3608" width="37.7109375" style="281" customWidth="1"/>
    <col min="3609" max="3840" width="11.42578125" style="281"/>
    <col min="3841" max="3841" width="43.42578125" style="281" customWidth="1"/>
    <col min="3842" max="3854" width="0" style="281" hidden="1" customWidth="1"/>
    <col min="3855" max="3855" width="16" style="281" customWidth="1"/>
    <col min="3856" max="3856" width="16.28515625" style="281" customWidth="1"/>
    <col min="3857" max="3857" width="15.85546875" style="281" customWidth="1"/>
    <col min="3858" max="3858" width="16.140625" style="281" customWidth="1"/>
    <col min="3859" max="3859" width="13.28515625" style="281" customWidth="1"/>
    <col min="3860" max="3860" width="10.42578125" style="281" customWidth="1"/>
    <col min="3861" max="3861" width="25" style="281" customWidth="1"/>
    <col min="3862" max="3862" width="20.7109375" style="281" customWidth="1"/>
    <col min="3863" max="3863" width="32.5703125" style="281" customWidth="1"/>
    <col min="3864" max="3864" width="37.7109375" style="281" customWidth="1"/>
    <col min="3865" max="4096" width="11.42578125" style="281"/>
    <col min="4097" max="4097" width="43.42578125" style="281" customWidth="1"/>
    <col min="4098" max="4110" width="0" style="281" hidden="1" customWidth="1"/>
    <col min="4111" max="4111" width="16" style="281" customWidth="1"/>
    <col min="4112" max="4112" width="16.28515625" style="281" customWidth="1"/>
    <col min="4113" max="4113" width="15.85546875" style="281" customWidth="1"/>
    <col min="4114" max="4114" width="16.140625" style="281" customWidth="1"/>
    <col min="4115" max="4115" width="13.28515625" style="281" customWidth="1"/>
    <col min="4116" max="4116" width="10.42578125" style="281" customWidth="1"/>
    <col min="4117" max="4117" width="25" style="281" customWidth="1"/>
    <col min="4118" max="4118" width="20.7109375" style="281" customWidth="1"/>
    <col min="4119" max="4119" width="32.5703125" style="281" customWidth="1"/>
    <col min="4120" max="4120" width="37.7109375" style="281" customWidth="1"/>
    <col min="4121" max="4352" width="11.42578125" style="281"/>
    <col min="4353" max="4353" width="43.42578125" style="281" customWidth="1"/>
    <col min="4354" max="4366" width="0" style="281" hidden="1" customWidth="1"/>
    <col min="4367" max="4367" width="16" style="281" customWidth="1"/>
    <col min="4368" max="4368" width="16.28515625" style="281" customWidth="1"/>
    <col min="4369" max="4369" width="15.85546875" style="281" customWidth="1"/>
    <col min="4370" max="4370" width="16.140625" style="281" customWidth="1"/>
    <col min="4371" max="4371" width="13.28515625" style="281" customWidth="1"/>
    <col min="4372" max="4372" width="10.42578125" style="281" customWidth="1"/>
    <col min="4373" max="4373" width="25" style="281" customWidth="1"/>
    <col min="4374" max="4374" width="20.7109375" style="281" customWidth="1"/>
    <col min="4375" max="4375" width="32.5703125" style="281" customWidth="1"/>
    <col min="4376" max="4376" width="37.7109375" style="281" customWidth="1"/>
    <col min="4377" max="4608" width="11.42578125" style="281"/>
    <col min="4609" max="4609" width="43.42578125" style="281" customWidth="1"/>
    <col min="4610" max="4622" width="0" style="281" hidden="1" customWidth="1"/>
    <col min="4623" max="4623" width="16" style="281" customWidth="1"/>
    <col min="4624" max="4624" width="16.28515625" style="281" customWidth="1"/>
    <col min="4625" max="4625" width="15.85546875" style="281" customWidth="1"/>
    <col min="4626" max="4626" width="16.140625" style="281" customWidth="1"/>
    <col min="4627" max="4627" width="13.28515625" style="281" customWidth="1"/>
    <col min="4628" max="4628" width="10.42578125" style="281" customWidth="1"/>
    <col min="4629" max="4629" width="25" style="281" customWidth="1"/>
    <col min="4630" max="4630" width="20.7109375" style="281" customWidth="1"/>
    <col min="4631" max="4631" width="32.5703125" style="281" customWidth="1"/>
    <col min="4632" max="4632" width="37.7109375" style="281" customWidth="1"/>
    <col min="4633" max="4864" width="11.42578125" style="281"/>
    <col min="4865" max="4865" width="43.42578125" style="281" customWidth="1"/>
    <col min="4866" max="4878" width="0" style="281" hidden="1" customWidth="1"/>
    <col min="4879" max="4879" width="16" style="281" customWidth="1"/>
    <col min="4880" max="4880" width="16.28515625" style="281" customWidth="1"/>
    <col min="4881" max="4881" width="15.85546875" style="281" customWidth="1"/>
    <col min="4882" max="4882" width="16.140625" style="281" customWidth="1"/>
    <col min="4883" max="4883" width="13.28515625" style="281" customWidth="1"/>
    <col min="4884" max="4884" width="10.42578125" style="281" customWidth="1"/>
    <col min="4885" max="4885" width="25" style="281" customWidth="1"/>
    <col min="4886" max="4886" width="20.7109375" style="281" customWidth="1"/>
    <col min="4887" max="4887" width="32.5703125" style="281" customWidth="1"/>
    <col min="4888" max="4888" width="37.7109375" style="281" customWidth="1"/>
    <col min="4889" max="5120" width="11.42578125" style="281"/>
    <col min="5121" max="5121" width="43.42578125" style="281" customWidth="1"/>
    <col min="5122" max="5134" width="0" style="281" hidden="1" customWidth="1"/>
    <col min="5135" max="5135" width="16" style="281" customWidth="1"/>
    <col min="5136" max="5136" width="16.28515625" style="281" customWidth="1"/>
    <col min="5137" max="5137" width="15.85546875" style="281" customWidth="1"/>
    <col min="5138" max="5138" width="16.140625" style="281" customWidth="1"/>
    <col min="5139" max="5139" width="13.28515625" style="281" customWidth="1"/>
    <col min="5140" max="5140" width="10.42578125" style="281" customWidth="1"/>
    <col min="5141" max="5141" width="25" style="281" customWidth="1"/>
    <col min="5142" max="5142" width="20.7109375" style="281" customWidth="1"/>
    <col min="5143" max="5143" width="32.5703125" style="281" customWidth="1"/>
    <col min="5144" max="5144" width="37.7109375" style="281" customWidth="1"/>
    <col min="5145" max="5376" width="11.42578125" style="281"/>
    <col min="5377" max="5377" width="43.42578125" style="281" customWidth="1"/>
    <col min="5378" max="5390" width="0" style="281" hidden="1" customWidth="1"/>
    <col min="5391" max="5391" width="16" style="281" customWidth="1"/>
    <col min="5392" max="5392" width="16.28515625" style="281" customWidth="1"/>
    <col min="5393" max="5393" width="15.85546875" style="281" customWidth="1"/>
    <col min="5394" max="5394" width="16.140625" style="281" customWidth="1"/>
    <col min="5395" max="5395" width="13.28515625" style="281" customWidth="1"/>
    <col min="5396" max="5396" width="10.42578125" style="281" customWidth="1"/>
    <col min="5397" max="5397" width="25" style="281" customWidth="1"/>
    <col min="5398" max="5398" width="20.7109375" style="281" customWidth="1"/>
    <col min="5399" max="5399" width="32.5703125" style="281" customWidth="1"/>
    <col min="5400" max="5400" width="37.7109375" style="281" customWidth="1"/>
    <col min="5401" max="5632" width="11.42578125" style="281"/>
    <col min="5633" max="5633" width="43.42578125" style="281" customWidth="1"/>
    <col min="5634" max="5646" width="0" style="281" hidden="1" customWidth="1"/>
    <col min="5647" max="5647" width="16" style="281" customWidth="1"/>
    <col min="5648" max="5648" width="16.28515625" style="281" customWidth="1"/>
    <col min="5649" max="5649" width="15.85546875" style="281" customWidth="1"/>
    <col min="5650" max="5650" width="16.140625" style="281" customWidth="1"/>
    <col min="5651" max="5651" width="13.28515625" style="281" customWidth="1"/>
    <col min="5652" max="5652" width="10.42578125" style="281" customWidth="1"/>
    <col min="5653" max="5653" width="25" style="281" customWidth="1"/>
    <col min="5654" max="5654" width="20.7109375" style="281" customWidth="1"/>
    <col min="5655" max="5655" width="32.5703125" style="281" customWidth="1"/>
    <col min="5656" max="5656" width="37.7109375" style="281" customWidth="1"/>
    <col min="5657" max="5888" width="11.42578125" style="281"/>
    <col min="5889" max="5889" width="43.42578125" style="281" customWidth="1"/>
    <col min="5890" max="5902" width="0" style="281" hidden="1" customWidth="1"/>
    <col min="5903" max="5903" width="16" style="281" customWidth="1"/>
    <col min="5904" max="5904" width="16.28515625" style="281" customWidth="1"/>
    <col min="5905" max="5905" width="15.85546875" style="281" customWidth="1"/>
    <col min="5906" max="5906" width="16.140625" style="281" customWidth="1"/>
    <col min="5907" max="5907" width="13.28515625" style="281" customWidth="1"/>
    <col min="5908" max="5908" width="10.42578125" style="281" customWidth="1"/>
    <col min="5909" max="5909" width="25" style="281" customWidth="1"/>
    <col min="5910" max="5910" width="20.7109375" style="281" customWidth="1"/>
    <col min="5911" max="5911" width="32.5703125" style="281" customWidth="1"/>
    <col min="5912" max="5912" width="37.7109375" style="281" customWidth="1"/>
    <col min="5913" max="6144" width="11.42578125" style="281"/>
    <col min="6145" max="6145" width="43.42578125" style="281" customWidth="1"/>
    <col min="6146" max="6158" width="0" style="281" hidden="1" customWidth="1"/>
    <col min="6159" max="6159" width="16" style="281" customWidth="1"/>
    <col min="6160" max="6160" width="16.28515625" style="281" customWidth="1"/>
    <col min="6161" max="6161" width="15.85546875" style="281" customWidth="1"/>
    <col min="6162" max="6162" width="16.140625" style="281" customWidth="1"/>
    <col min="6163" max="6163" width="13.28515625" style="281" customWidth="1"/>
    <col min="6164" max="6164" width="10.42578125" style="281" customWidth="1"/>
    <col min="6165" max="6165" width="25" style="281" customWidth="1"/>
    <col min="6166" max="6166" width="20.7109375" style="281" customWidth="1"/>
    <col min="6167" max="6167" width="32.5703125" style="281" customWidth="1"/>
    <col min="6168" max="6168" width="37.7109375" style="281" customWidth="1"/>
    <col min="6169" max="6400" width="11.42578125" style="281"/>
    <col min="6401" max="6401" width="43.42578125" style="281" customWidth="1"/>
    <col min="6402" max="6414" width="0" style="281" hidden="1" customWidth="1"/>
    <col min="6415" max="6415" width="16" style="281" customWidth="1"/>
    <col min="6416" max="6416" width="16.28515625" style="281" customWidth="1"/>
    <col min="6417" max="6417" width="15.85546875" style="281" customWidth="1"/>
    <col min="6418" max="6418" width="16.140625" style="281" customWidth="1"/>
    <col min="6419" max="6419" width="13.28515625" style="281" customWidth="1"/>
    <col min="6420" max="6420" width="10.42578125" style="281" customWidth="1"/>
    <col min="6421" max="6421" width="25" style="281" customWidth="1"/>
    <col min="6422" max="6422" width="20.7109375" style="281" customWidth="1"/>
    <col min="6423" max="6423" width="32.5703125" style="281" customWidth="1"/>
    <col min="6424" max="6424" width="37.7109375" style="281" customWidth="1"/>
    <col min="6425" max="6656" width="11.42578125" style="281"/>
    <col min="6657" max="6657" width="43.42578125" style="281" customWidth="1"/>
    <col min="6658" max="6670" width="0" style="281" hidden="1" customWidth="1"/>
    <col min="6671" max="6671" width="16" style="281" customWidth="1"/>
    <col min="6672" max="6672" width="16.28515625" style="281" customWidth="1"/>
    <col min="6673" max="6673" width="15.85546875" style="281" customWidth="1"/>
    <col min="6674" max="6674" width="16.140625" style="281" customWidth="1"/>
    <col min="6675" max="6675" width="13.28515625" style="281" customWidth="1"/>
    <col min="6676" max="6676" width="10.42578125" style="281" customWidth="1"/>
    <col min="6677" max="6677" width="25" style="281" customWidth="1"/>
    <col min="6678" max="6678" width="20.7109375" style="281" customWidth="1"/>
    <col min="6679" max="6679" width="32.5703125" style="281" customWidth="1"/>
    <col min="6680" max="6680" width="37.7109375" style="281" customWidth="1"/>
    <col min="6681" max="6912" width="11.42578125" style="281"/>
    <col min="6913" max="6913" width="43.42578125" style="281" customWidth="1"/>
    <col min="6914" max="6926" width="0" style="281" hidden="1" customWidth="1"/>
    <col min="6927" max="6927" width="16" style="281" customWidth="1"/>
    <col min="6928" max="6928" width="16.28515625" style="281" customWidth="1"/>
    <col min="6929" max="6929" width="15.85546875" style="281" customWidth="1"/>
    <col min="6930" max="6930" width="16.140625" style="281" customWidth="1"/>
    <col min="6931" max="6931" width="13.28515625" style="281" customWidth="1"/>
    <col min="6932" max="6932" width="10.42578125" style="281" customWidth="1"/>
    <col min="6933" max="6933" width="25" style="281" customWidth="1"/>
    <col min="6934" max="6934" width="20.7109375" style="281" customWidth="1"/>
    <col min="6935" max="6935" width="32.5703125" style="281" customWidth="1"/>
    <col min="6936" max="6936" width="37.7109375" style="281" customWidth="1"/>
    <col min="6937" max="7168" width="11.42578125" style="281"/>
    <col min="7169" max="7169" width="43.42578125" style="281" customWidth="1"/>
    <col min="7170" max="7182" width="0" style="281" hidden="1" customWidth="1"/>
    <col min="7183" max="7183" width="16" style="281" customWidth="1"/>
    <col min="7184" max="7184" width="16.28515625" style="281" customWidth="1"/>
    <col min="7185" max="7185" width="15.85546875" style="281" customWidth="1"/>
    <col min="7186" max="7186" width="16.140625" style="281" customWidth="1"/>
    <col min="7187" max="7187" width="13.28515625" style="281" customWidth="1"/>
    <col min="7188" max="7188" width="10.42578125" style="281" customWidth="1"/>
    <col min="7189" max="7189" width="25" style="281" customWidth="1"/>
    <col min="7190" max="7190" width="20.7109375" style="281" customWidth="1"/>
    <col min="7191" max="7191" width="32.5703125" style="281" customWidth="1"/>
    <col min="7192" max="7192" width="37.7109375" style="281" customWidth="1"/>
    <col min="7193" max="7424" width="11.42578125" style="281"/>
    <col min="7425" max="7425" width="43.42578125" style="281" customWidth="1"/>
    <col min="7426" max="7438" width="0" style="281" hidden="1" customWidth="1"/>
    <col min="7439" max="7439" width="16" style="281" customWidth="1"/>
    <col min="7440" max="7440" width="16.28515625" style="281" customWidth="1"/>
    <col min="7441" max="7441" width="15.85546875" style="281" customWidth="1"/>
    <col min="7442" max="7442" width="16.140625" style="281" customWidth="1"/>
    <col min="7443" max="7443" width="13.28515625" style="281" customWidth="1"/>
    <col min="7444" max="7444" width="10.42578125" style="281" customWidth="1"/>
    <col min="7445" max="7445" width="25" style="281" customWidth="1"/>
    <col min="7446" max="7446" width="20.7109375" style="281" customWidth="1"/>
    <col min="7447" max="7447" width="32.5703125" style="281" customWidth="1"/>
    <col min="7448" max="7448" width="37.7109375" style="281" customWidth="1"/>
    <col min="7449" max="7680" width="11.42578125" style="281"/>
    <col min="7681" max="7681" width="43.42578125" style="281" customWidth="1"/>
    <col min="7682" max="7694" width="0" style="281" hidden="1" customWidth="1"/>
    <col min="7695" max="7695" width="16" style="281" customWidth="1"/>
    <col min="7696" max="7696" width="16.28515625" style="281" customWidth="1"/>
    <col min="7697" max="7697" width="15.85546875" style="281" customWidth="1"/>
    <col min="7698" max="7698" width="16.140625" style="281" customWidth="1"/>
    <col min="7699" max="7699" width="13.28515625" style="281" customWidth="1"/>
    <col min="7700" max="7700" width="10.42578125" style="281" customWidth="1"/>
    <col min="7701" max="7701" width="25" style="281" customWidth="1"/>
    <col min="7702" max="7702" width="20.7109375" style="281" customWidth="1"/>
    <col min="7703" max="7703" width="32.5703125" style="281" customWidth="1"/>
    <col min="7704" max="7704" width="37.7109375" style="281" customWidth="1"/>
    <col min="7705" max="7936" width="11.42578125" style="281"/>
    <col min="7937" max="7937" width="43.42578125" style="281" customWidth="1"/>
    <col min="7938" max="7950" width="0" style="281" hidden="1" customWidth="1"/>
    <col min="7951" max="7951" width="16" style="281" customWidth="1"/>
    <col min="7952" max="7952" width="16.28515625" style="281" customWidth="1"/>
    <col min="7953" max="7953" width="15.85546875" style="281" customWidth="1"/>
    <col min="7954" max="7954" width="16.140625" style="281" customWidth="1"/>
    <col min="7955" max="7955" width="13.28515625" style="281" customWidth="1"/>
    <col min="7956" max="7956" width="10.42578125" style="281" customWidth="1"/>
    <col min="7957" max="7957" width="25" style="281" customWidth="1"/>
    <col min="7958" max="7958" width="20.7109375" style="281" customWidth="1"/>
    <col min="7959" max="7959" width="32.5703125" style="281" customWidth="1"/>
    <col min="7960" max="7960" width="37.7109375" style="281" customWidth="1"/>
    <col min="7961" max="8192" width="11.42578125" style="281"/>
    <col min="8193" max="8193" width="43.42578125" style="281" customWidth="1"/>
    <col min="8194" max="8206" width="0" style="281" hidden="1" customWidth="1"/>
    <col min="8207" max="8207" width="16" style="281" customWidth="1"/>
    <col min="8208" max="8208" width="16.28515625" style="281" customWidth="1"/>
    <col min="8209" max="8209" width="15.85546875" style="281" customWidth="1"/>
    <col min="8210" max="8210" width="16.140625" style="281" customWidth="1"/>
    <col min="8211" max="8211" width="13.28515625" style="281" customWidth="1"/>
    <col min="8212" max="8212" width="10.42578125" style="281" customWidth="1"/>
    <col min="8213" max="8213" width="25" style="281" customWidth="1"/>
    <col min="8214" max="8214" width="20.7109375" style="281" customWidth="1"/>
    <col min="8215" max="8215" width="32.5703125" style="281" customWidth="1"/>
    <col min="8216" max="8216" width="37.7109375" style="281" customWidth="1"/>
    <col min="8217" max="8448" width="11.42578125" style="281"/>
    <col min="8449" max="8449" width="43.42578125" style="281" customWidth="1"/>
    <col min="8450" max="8462" width="0" style="281" hidden="1" customWidth="1"/>
    <col min="8463" max="8463" width="16" style="281" customWidth="1"/>
    <col min="8464" max="8464" width="16.28515625" style="281" customWidth="1"/>
    <col min="8465" max="8465" width="15.85546875" style="281" customWidth="1"/>
    <col min="8466" max="8466" width="16.140625" style="281" customWidth="1"/>
    <col min="8467" max="8467" width="13.28515625" style="281" customWidth="1"/>
    <col min="8468" max="8468" width="10.42578125" style="281" customWidth="1"/>
    <col min="8469" max="8469" width="25" style="281" customWidth="1"/>
    <col min="8470" max="8470" width="20.7109375" style="281" customWidth="1"/>
    <col min="8471" max="8471" width="32.5703125" style="281" customWidth="1"/>
    <col min="8472" max="8472" width="37.7109375" style="281" customWidth="1"/>
    <col min="8473" max="8704" width="11.42578125" style="281"/>
    <col min="8705" max="8705" width="43.42578125" style="281" customWidth="1"/>
    <col min="8706" max="8718" width="0" style="281" hidden="1" customWidth="1"/>
    <col min="8719" max="8719" width="16" style="281" customWidth="1"/>
    <col min="8720" max="8720" width="16.28515625" style="281" customWidth="1"/>
    <col min="8721" max="8721" width="15.85546875" style="281" customWidth="1"/>
    <col min="8722" max="8722" width="16.140625" style="281" customWidth="1"/>
    <col min="8723" max="8723" width="13.28515625" style="281" customWidth="1"/>
    <col min="8724" max="8724" width="10.42578125" style="281" customWidth="1"/>
    <col min="8725" max="8725" width="25" style="281" customWidth="1"/>
    <col min="8726" max="8726" width="20.7109375" style="281" customWidth="1"/>
    <col min="8727" max="8727" width="32.5703125" style="281" customWidth="1"/>
    <col min="8728" max="8728" width="37.7109375" style="281" customWidth="1"/>
    <col min="8729" max="8960" width="11.42578125" style="281"/>
    <col min="8961" max="8961" width="43.42578125" style="281" customWidth="1"/>
    <col min="8962" max="8974" width="0" style="281" hidden="1" customWidth="1"/>
    <col min="8975" max="8975" width="16" style="281" customWidth="1"/>
    <col min="8976" max="8976" width="16.28515625" style="281" customWidth="1"/>
    <col min="8977" max="8977" width="15.85546875" style="281" customWidth="1"/>
    <col min="8978" max="8978" width="16.140625" style="281" customWidth="1"/>
    <col min="8979" max="8979" width="13.28515625" style="281" customWidth="1"/>
    <col min="8980" max="8980" width="10.42578125" style="281" customWidth="1"/>
    <col min="8981" max="8981" width="25" style="281" customWidth="1"/>
    <col min="8982" max="8982" width="20.7109375" style="281" customWidth="1"/>
    <col min="8983" max="8983" width="32.5703125" style="281" customWidth="1"/>
    <col min="8984" max="8984" width="37.7109375" style="281" customWidth="1"/>
    <col min="8985" max="9216" width="11.42578125" style="281"/>
    <col min="9217" max="9217" width="43.42578125" style="281" customWidth="1"/>
    <col min="9218" max="9230" width="0" style="281" hidden="1" customWidth="1"/>
    <col min="9231" max="9231" width="16" style="281" customWidth="1"/>
    <col min="9232" max="9232" width="16.28515625" style="281" customWidth="1"/>
    <col min="9233" max="9233" width="15.85546875" style="281" customWidth="1"/>
    <col min="9234" max="9234" width="16.140625" style="281" customWidth="1"/>
    <col min="9235" max="9235" width="13.28515625" style="281" customWidth="1"/>
    <col min="9236" max="9236" width="10.42578125" style="281" customWidth="1"/>
    <col min="9237" max="9237" width="25" style="281" customWidth="1"/>
    <col min="9238" max="9238" width="20.7109375" style="281" customWidth="1"/>
    <col min="9239" max="9239" width="32.5703125" style="281" customWidth="1"/>
    <col min="9240" max="9240" width="37.7109375" style="281" customWidth="1"/>
    <col min="9241" max="9472" width="11.42578125" style="281"/>
    <col min="9473" max="9473" width="43.42578125" style="281" customWidth="1"/>
    <col min="9474" max="9486" width="0" style="281" hidden="1" customWidth="1"/>
    <col min="9487" max="9487" width="16" style="281" customWidth="1"/>
    <col min="9488" max="9488" width="16.28515625" style="281" customWidth="1"/>
    <col min="9489" max="9489" width="15.85546875" style="281" customWidth="1"/>
    <col min="9490" max="9490" width="16.140625" style="281" customWidth="1"/>
    <col min="9491" max="9491" width="13.28515625" style="281" customWidth="1"/>
    <col min="9492" max="9492" width="10.42578125" style="281" customWidth="1"/>
    <col min="9493" max="9493" width="25" style="281" customWidth="1"/>
    <col min="9494" max="9494" width="20.7109375" style="281" customWidth="1"/>
    <col min="9495" max="9495" width="32.5703125" style="281" customWidth="1"/>
    <col min="9496" max="9496" width="37.7109375" style="281" customWidth="1"/>
    <col min="9497" max="9728" width="11.42578125" style="281"/>
    <col min="9729" max="9729" width="43.42578125" style="281" customWidth="1"/>
    <col min="9730" max="9742" width="0" style="281" hidden="1" customWidth="1"/>
    <col min="9743" max="9743" width="16" style="281" customWidth="1"/>
    <col min="9744" max="9744" width="16.28515625" style="281" customWidth="1"/>
    <col min="9745" max="9745" width="15.85546875" style="281" customWidth="1"/>
    <col min="9746" max="9746" width="16.140625" style="281" customWidth="1"/>
    <col min="9747" max="9747" width="13.28515625" style="281" customWidth="1"/>
    <col min="9748" max="9748" width="10.42578125" style="281" customWidth="1"/>
    <col min="9749" max="9749" width="25" style="281" customWidth="1"/>
    <col min="9750" max="9750" width="20.7109375" style="281" customWidth="1"/>
    <col min="9751" max="9751" width="32.5703125" style="281" customWidth="1"/>
    <col min="9752" max="9752" width="37.7109375" style="281" customWidth="1"/>
    <col min="9753" max="9984" width="11.42578125" style="281"/>
    <col min="9985" max="9985" width="43.42578125" style="281" customWidth="1"/>
    <col min="9986" max="9998" width="0" style="281" hidden="1" customWidth="1"/>
    <col min="9999" max="9999" width="16" style="281" customWidth="1"/>
    <col min="10000" max="10000" width="16.28515625" style="281" customWidth="1"/>
    <col min="10001" max="10001" width="15.85546875" style="281" customWidth="1"/>
    <col min="10002" max="10002" width="16.140625" style="281" customWidth="1"/>
    <col min="10003" max="10003" width="13.28515625" style="281" customWidth="1"/>
    <col min="10004" max="10004" width="10.42578125" style="281" customWidth="1"/>
    <col min="10005" max="10005" width="25" style="281" customWidth="1"/>
    <col min="10006" max="10006" width="20.7109375" style="281" customWidth="1"/>
    <col min="10007" max="10007" width="32.5703125" style="281" customWidth="1"/>
    <col min="10008" max="10008" width="37.7109375" style="281" customWidth="1"/>
    <col min="10009" max="10240" width="11.42578125" style="281"/>
    <col min="10241" max="10241" width="43.42578125" style="281" customWidth="1"/>
    <col min="10242" max="10254" width="0" style="281" hidden="1" customWidth="1"/>
    <col min="10255" max="10255" width="16" style="281" customWidth="1"/>
    <col min="10256" max="10256" width="16.28515625" style="281" customWidth="1"/>
    <col min="10257" max="10257" width="15.85546875" style="281" customWidth="1"/>
    <col min="10258" max="10258" width="16.140625" style="281" customWidth="1"/>
    <col min="10259" max="10259" width="13.28515625" style="281" customWidth="1"/>
    <col min="10260" max="10260" width="10.42578125" style="281" customWidth="1"/>
    <col min="10261" max="10261" width="25" style="281" customWidth="1"/>
    <col min="10262" max="10262" width="20.7109375" style="281" customWidth="1"/>
    <col min="10263" max="10263" width="32.5703125" style="281" customWidth="1"/>
    <col min="10264" max="10264" width="37.7109375" style="281" customWidth="1"/>
    <col min="10265" max="10496" width="11.42578125" style="281"/>
    <col min="10497" max="10497" width="43.42578125" style="281" customWidth="1"/>
    <col min="10498" max="10510" width="0" style="281" hidden="1" customWidth="1"/>
    <col min="10511" max="10511" width="16" style="281" customWidth="1"/>
    <col min="10512" max="10512" width="16.28515625" style="281" customWidth="1"/>
    <col min="10513" max="10513" width="15.85546875" style="281" customWidth="1"/>
    <col min="10514" max="10514" width="16.140625" style="281" customWidth="1"/>
    <col min="10515" max="10515" width="13.28515625" style="281" customWidth="1"/>
    <col min="10516" max="10516" width="10.42578125" style="281" customWidth="1"/>
    <col min="10517" max="10517" width="25" style="281" customWidth="1"/>
    <col min="10518" max="10518" width="20.7109375" style="281" customWidth="1"/>
    <col min="10519" max="10519" width="32.5703125" style="281" customWidth="1"/>
    <col min="10520" max="10520" width="37.7109375" style="281" customWidth="1"/>
    <col min="10521" max="10752" width="11.42578125" style="281"/>
    <col min="10753" max="10753" width="43.42578125" style="281" customWidth="1"/>
    <col min="10754" max="10766" width="0" style="281" hidden="1" customWidth="1"/>
    <col min="10767" max="10767" width="16" style="281" customWidth="1"/>
    <col min="10768" max="10768" width="16.28515625" style="281" customWidth="1"/>
    <col min="10769" max="10769" width="15.85546875" style="281" customWidth="1"/>
    <col min="10770" max="10770" width="16.140625" style="281" customWidth="1"/>
    <col min="10771" max="10771" width="13.28515625" style="281" customWidth="1"/>
    <col min="10772" max="10772" width="10.42578125" style="281" customWidth="1"/>
    <col min="10773" max="10773" width="25" style="281" customWidth="1"/>
    <col min="10774" max="10774" width="20.7109375" style="281" customWidth="1"/>
    <col min="10775" max="10775" width="32.5703125" style="281" customWidth="1"/>
    <col min="10776" max="10776" width="37.7109375" style="281" customWidth="1"/>
    <col min="10777" max="11008" width="11.42578125" style="281"/>
    <col min="11009" max="11009" width="43.42578125" style="281" customWidth="1"/>
    <col min="11010" max="11022" width="0" style="281" hidden="1" customWidth="1"/>
    <col min="11023" max="11023" width="16" style="281" customWidth="1"/>
    <col min="11024" max="11024" width="16.28515625" style="281" customWidth="1"/>
    <col min="11025" max="11025" width="15.85546875" style="281" customWidth="1"/>
    <col min="11026" max="11026" width="16.140625" style="281" customWidth="1"/>
    <col min="11027" max="11027" width="13.28515625" style="281" customWidth="1"/>
    <col min="11028" max="11028" width="10.42578125" style="281" customWidth="1"/>
    <col min="11029" max="11029" width="25" style="281" customWidth="1"/>
    <col min="11030" max="11030" width="20.7109375" style="281" customWidth="1"/>
    <col min="11031" max="11031" width="32.5703125" style="281" customWidth="1"/>
    <col min="11032" max="11032" width="37.7109375" style="281" customWidth="1"/>
    <col min="11033" max="11264" width="11.42578125" style="281"/>
    <col min="11265" max="11265" width="43.42578125" style="281" customWidth="1"/>
    <col min="11266" max="11278" width="0" style="281" hidden="1" customWidth="1"/>
    <col min="11279" max="11279" width="16" style="281" customWidth="1"/>
    <col min="11280" max="11280" width="16.28515625" style="281" customWidth="1"/>
    <col min="11281" max="11281" width="15.85546875" style="281" customWidth="1"/>
    <col min="11282" max="11282" width="16.140625" style="281" customWidth="1"/>
    <col min="11283" max="11283" width="13.28515625" style="281" customWidth="1"/>
    <col min="11284" max="11284" width="10.42578125" style="281" customWidth="1"/>
    <col min="11285" max="11285" width="25" style="281" customWidth="1"/>
    <col min="11286" max="11286" width="20.7109375" style="281" customWidth="1"/>
    <col min="11287" max="11287" width="32.5703125" style="281" customWidth="1"/>
    <col min="11288" max="11288" width="37.7109375" style="281" customWidth="1"/>
    <col min="11289" max="11520" width="11.42578125" style="281"/>
    <col min="11521" max="11521" width="43.42578125" style="281" customWidth="1"/>
    <col min="11522" max="11534" width="0" style="281" hidden="1" customWidth="1"/>
    <col min="11535" max="11535" width="16" style="281" customWidth="1"/>
    <col min="11536" max="11536" width="16.28515625" style="281" customWidth="1"/>
    <col min="11537" max="11537" width="15.85546875" style="281" customWidth="1"/>
    <col min="11538" max="11538" width="16.140625" style="281" customWidth="1"/>
    <col min="11539" max="11539" width="13.28515625" style="281" customWidth="1"/>
    <col min="11540" max="11540" width="10.42578125" style="281" customWidth="1"/>
    <col min="11541" max="11541" width="25" style="281" customWidth="1"/>
    <col min="11542" max="11542" width="20.7109375" style="281" customWidth="1"/>
    <col min="11543" max="11543" width="32.5703125" style="281" customWidth="1"/>
    <col min="11544" max="11544" width="37.7109375" style="281" customWidth="1"/>
    <col min="11545" max="11776" width="11.42578125" style="281"/>
    <col min="11777" max="11777" width="43.42578125" style="281" customWidth="1"/>
    <col min="11778" max="11790" width="0" style="281" hidden="1" customWidth="1"/>
    <col min="11791" max="11791" width="16" style="281" customWidth="1"/>
    <col min="11792" max="11792" width="16.28515625" style="281" customWidth="1"/>
    <col min="11793" max="11793" width="15.85546875" style="281" customWidth="1"/>
    <col min="11794" max="11794" width="16.140625" style="281" customWidth="1"/>
    <col min="11795" max="11795" width="13.28515625" style="281" customWidth="1"/>
    <col min="11796" max="11796" width="10.42578125" style="281" customWidth="1"/>
    <col min="11797" max="11797" width="25" style="281" customWidth="1"/>
    <col min="11798" max="11798" width="20.7109375" style="281" customWidth="1"/>
    <col min="11799" max="11799" width="32.5703125" style="281" customWidth="1"/>
    <col min="11800" max="11800" width="37.7109375" style="281" customWidth="1"/>
    <col min="11801" max="12032" width="11.42578125" style="281"/>
    <col min="12033" max="12033" width="43.42578125" style="281" customWidth="1"/>
    <col min="12034" max="12046" width="0" style="281" hidden="1" customWidth="1"/>
    <col min="12047" max="12047" width="16" style="281" customWidth="1"/>
    <col min="12048" max="12048" width="16.28515625" style="281" customWidth="1"/>
    <col min="12049" max="12049" width="15.85546875" style="281" customWidth="1"/>
    <col min="12050" max="12050" width="16.140625" style="281" customWidth="1"/>
    <col min="12051" max="12051" width="13.28515625" style="281" customWidth="1"/>
    <col min="12052" max="12052" width="10.42578125" style="281" customWidth="1"/>
    <col min="12053" max="12053" width="25" style="281" customWidth="1"/>
    <col min="12054" max="12054" width="20.7109375" style="281" customWidth="1"/>
    <col min="12055" max="12055" width="32.5703125" style="281" customWidth="1"/>
    <col min="12056" max="12056" width="37.7109375" style="281" customWidth="1"/>
    <col min="12057" max="12288" width="11.42578125" style="281"/>
    <col min="12289" max="12289" width="43.42578125" style="281" customWidth="1"/>
    <col min="12290" max="12302" width="0" style="281" hidden="1" customWidth="1"/>
    <col min="12303" max="12303" width="16" style="281" customWidth="1"/>
    <col min="12304" max="12304" width="16.28515625" style="281" customWidth="1"/>
    <col min="12305" max="12305" width="15.85546875" style="281" customWidth="1"/>
    <col min="12306" max="12306" width="16.140625" style="281" customWidth="1"/>
    <col min="12307" max="12307" width="13.28515625" style="281" customWidth="1"/>
    <col min="12308" max="12308" width="10.42578125" style="281" customWidth="1"/>
    <col min="12309" max="12309" width="25" style="281" customWidth="1"/>
    <col min="12310" max="12310" width="20.7109375" style="281" customWidth="1"/>
    <col min="12311" max="12311" width="32.5703125" style="281" customWidth="1"/>
    <col min="12312" max="12312" width="37.7109375" style="281" customWidth="1"/>
    <col min="12313" max="12544" width="11.42578125" style="281"/>
    <col min="12545" max="12545" width="43.42578125" style="281" customWidth="1"/>
    <col min="12546" max="12558" width="0" style="281" hidden="1" customWidth="1"/>
    <col min="12559" max="12559" width="16" style="281" customWidth="1"/>
    <col min="12560" max="12560" width="16.28515625" style="281" customWidth="1"/>
    <col min="12561" max="12561" width="15.85546875" style="281" customWidth="1"/>
    <col min="12562" max="12562" width="16.140625" style="281" customWidth="1"/>
    <col min="12563" max="12563" width="13.28515625" style="281" customWidth="1"/>
    <col min="12564" max="12564" width="10.42578125" style="281" customWidth="1"/>
    <col min="12565" max="12565" width="25" style="281" customWidth="1"/>
    <col min="12566" max="12566" width="20.7109375" style="281" customWidth="1"/>
    <col min="12567" max="12567" width="32.5703125" style="281" customWidth="1"/>
    <col min="12568" max="12568" width="37.7109375" style="281" customWidth="1"/>
    <col min="12569" max="12800" width="11.42578125" style="281"/>
    <col min="12801" max="12801" width="43.42578125" style="281" customWidth="1"/>
    <col min="12802" max="12814" width="0" style="281" hidden="1" customWidth="1"/>
    <col min="12815" max="12815" width="16" style="281" customWidth="1"/>
    <col min="12816" max="12816" width="16.28515625" style="281" customWidth="1"/>
    <col min="12817" max="12817" width="15.85546875" style="281" customWidth="1"/>
    <col min="12818" max="12818" width="16.140625" style="281" customWidth="1"/>
    <col min="12819" max="12819" width="13.28515625" style="281" customWidth="1"/>
    <col min="12820" max="12820" width="10.42578125" style="281" customWidth="1"/>
    <col min="12821" max="12821" width="25" style="281" customWidth="1"/>
    <col min="12822" max="12822" width="20.7109375" style="281" customWidth="1"/>
    <col min="12823" max="12823" width="32.5703125" style="281" customWidth="1"/>
    <col min="12824" max="12824" width="37.7109375" style="281" customWidth="1"/>
    <col min="12825" max="13056" width="11.42578125" style="281"/>
    <col min="13057" max="13057" width="43.42578125" style="281" customWidth="1"/>
    <col min="13058" max="13070" width="0" style="281" hidden="1" customWidth="1"/>
    <col min="13071" max="13071" width="16" style="281" customWidth="1"/>
    <col min="13072" max="13072" width="16.28515625" style="281" customWidth="1"/>
    <col min="13073" max="13073" width="15.85546875" style="281" customWidth="1"/>
    <col min="13074" max="13074" width="16.140625" style="281" customWidth="1"/>
    <col min="13075" max="13075" width="13.28515625" style="281" customWidth="1"/>
    <col min="13076" max="13076" width="10.42578125" style="281" customWidth="1"/>
    <col min="13077" max="13077" width="25" style="281" customWidth="1"/>
    <col min="13078" max="13078" width="20.7109375" style="281" customWidth="1"/>
    <col min="13079" max="13079" width="32.5703125" style="281" customWidth="1"/>
    <col min="13080" max="13080" width="37.7109375" style="281" customWidth="1"/>
    <col min="13081" max="13312" width="11.42578125" style="281"/>
    <col min="13313" max="13313" width="43.42578125" style="281" customWidth="1"/>
    <col min="13314" max="13326" width="0" style="281" hidden="1" customWidth="1"/>
    <col min="13327" max="13327" width="16" style="281" customWidth="1"/>
    <col min="13328" max="13328" width="16.28515625" style="281" customWidth="1"/>
    <col min="13329" max="13329" width="15.85546875" style="281" customWidth="1"/>
    <col min="13330" max="13330" width="16.140625" style="281" customWidth="1"/>
    <col min="13331" max="13331" width="13.28515625" style="281" customWidth="1"/>
    <col min="13332" max="13332" width="10.42578125" style="281" customWidth="1"/>
    <col min="13333" max="13333" width="25" style="281" customWidth="1"/>
    <col min="13334" max="13334" width="20.7109375" style="281" customWidth="1"/>
    <col min="13335" max="13335" width="32.5703125" style="281" customWidth="1"/>
    <col min="13336" max="13336" width="37.7109375" style="281" customWidth="1"/>
    <col min="13337" max="13568" width="11.42578125" style="281"/>
    <col min="13569" max="13569" width="43.42578125" style="281" customWidth="1"/>
    <col min="13570" max="13582" width="0" style="281" hidden="1" customWidth="1"/>
    <col min="13583" max="13583" width="16" style="281" customWidth="1"/>
    <col min="13584" max="13584" width="16.28515625" style="281" customWidth="1"/>
    <col min="13585" max="13585" width="15.85546875" style="281" customWidth="1"/>
    <col min="13586" max="13586" width="16.140625" style="281" customWidth="1"/>
    <col min="13587" max="13587" width="13.28515625" style="281" customWidth="1"/>
    <col min="13588" max="13588" width="10.42578125" style="281" customWidth="1"/>
    <col min="13589" max="13589" width="25" style="281" customWidth="1"/>
    <col min="13590" max="13590" width="20.7109375" style="281" customWidth="1"/>
    <col min="13591" max="13591" width="32.5703125" style="281" customWidth="1"/>
    <col min="13592" max="13592" width="37.7109375" style="281" customWidth="1"/>
    <col min="13593" max="13824" width="11.42578125" style="281"/>
    <col min="13825" max="13825" width="43.42578125" style="281" customWidth="1"/>
    <col min="13826" max="13838" width="0" style="281" hidden="1" customWidth="1"/>
    <col min="13839" max="13839" width="16" style="281" customWidth="1"/>
    <col min="13840" max="13840" width="16.28515625" style="281" customWidth="1"/>
    <col min="13841" max="13841" width="15.85546875" style="281" customWidth="1"/>
    <col min="13842" max="13842" width="16.140625" style="281" customWidth="1"/>
    <col min="13843" max="13843" width="13.28515625" style="281" customWidth="1"/>
    <col min="13844" max="13844" width="10.42578125" style="281" customWidth="1"/>
    <col min="13845" max="13845" width="25" style="281" customWidth="1"/>
    <col min="13846" max="13846" width="20.7109375" style="281" customWidth="1"/>
    <col min="13847" max="13847" width="32.5703125" style="281" customWidth="1"/>
    <col min="13848" max="13848" width="37.7109375" style="281" customWidth="1"/>
    <col min="13849" max="14080" width="11.42578125" style="281"/>
    <col min="14081" max="14081" width="43.42578125" style="281" customWidth="1"/>
    <col min="14082" max="14094" width="0" style="281" hidden="1" customWidth="1"/>
    <col min="14095" max="14095" width="16" style="281" customWidth="1"/>
    <col min="14096" max="14096" width="16.28515625" style="281" customWidth="1"/>
    <col min="14097" max="14097" width="15.85546875" style="281" customWidth="1"/>
    <col min="14098" max="14098" width="16.140625" style="281" customWidth="1"/>
    <col min="14099" max="14099" width="13.28515625" style="281" customWidth="1"/>
    <col min="14100" max="14100" width="10.42578125" style="281" customWidth="1"/>
    <col min="14101" max="14101" width="25" style="281" customWidth="1"/>
    <col min="14102" max="14102" width="20.7109375" style="281" customWidth="1"/>
    <col min="14103" max="14103" width="32.5703125" style="281" customWidth="1"/>
    <col min="14104" max="14104" width="37.7109375" style="281" customWidth="1"/>
    <col min="14105" max="14336" width="11.42578125" style="281"/>
    <col min="14337" max="14337" width="43.42578125" style="281" customWidth="1"/>
    <col min="14338" max="14350" width="0" style="281" hidden="1" customWidth="1"/>
    <col min="14351" max="14351" width="16" style="281" customWidth="1"/>
    <col min="14352" max="14352" width="16.28515625" style="281" customWidth="1"/>
    <col min="14353" max="14353" width="15.85546875" style="281" customWidth="1"/>
    <col min="14354" max="14354" width="16.140625" style="281" customWidth="1"/>
    <col min="14355" max="14355" width="13.28515625" style="281" customWidth="1"/>
    <col min="14356" max="14356" width="10.42578125" style="281" customWidth="1"/>
    <col min="14357" max="14357" width="25" style="281" customWidth="1"/>
    <col min="14358" max="14358" width="20.7109375" style="281" customWidth="1"/>
    <col min="14359" max="14359" width="32.5703125" style="281" customWidth="1"/>
    <col min="14360" max="14360" width="37.7109375" style="281" customWidth="1"/>
    <col min="14361" max="14592" width="11.42578125" style="281"/>
    <col min="14593" max="14593" width="43.42578125" style="281" customWidth="1"/>
    <col min="14594" max="14606" width="0" style="281" hidden="1" customWidth="1"/>
    <col min="14607" max="14607" width="16" style="281" customWidth="1"/>
    <col min="14608" max="14608" width="16.28515625" style="281" customWidth="1"/>
    <col min="14609" max="14609" width="15.85546875" style="281" customWidth="1"/>
    <col min="14610" max="14610" width="16.140625" style="281" customWidth="1"/>
    <col min="14611" max="14611" width="13.28515625" style="281" customWidth="1"/>
    <col min="14612" max="14612" width="10.42578125" style="281" customWidth="1"/>
    <col min="14613" max="14613" width="25" style="281" customWidth="1"/>
    <col min="14614" max="14614" width="20.7109375" style="281" customWidth="1"/>
    <col min="14615" max="14615" width="32.5703125" style="281" customWidth="1"/>
    <col min="14616" max="14616" width="37.7109375" style="281" customWidth="1"/>
    <col min="14617" max="14848" width="11.42578125" style="281"/>
    <col min="14849" max="14849" width="43.42578125" style="281" customWidth="1"/>
    <col min="14850" max="14862" width="0" style="281" hidden="1" customWidth="1"/>
    <col min="14863" max="14863" width="16" style="281" customWidth="1"/>
    <col min="14864" max="14864" width="16.28515625" style="281" customWidth="1"/>
    <col min="14865" max="14865" width="15.85546875" style="281" customWidth="1"/>
    <col min="14866" max="14866" width="16.140625" style="281" customWidth="1"/>
    <col min="14867" max="14867" width="13.28515625" style="281" customWidth="1"/>
    <col min="14868" max="14868" width="10.42578125" style="281" customWidth="1"/>
    <col min="14869" max="14869" width="25" style="281" customWidth="1"/>
    <col min="14870" max="14870" width="20.7109375" style="281" customWidth="1"/>
    <col min="14871" max="14871" width="32.5703125" style="281" customWidth="1"/>
    <col min="14872" max="14872" width="37.7109375" style="281" customWidth="1"/>
    <col min="14873" max="15104" width="11.42578125" style="281"/>
    <col min="15105" max="15105" width="43.42578125" style="281" customWidth="1"/>
    <col min="15106" max="15118" width="0" style="281" hidden="1" customWidth="1"/>
    <col min="15119" max="15119" width="16" style="281" customWidth="1"/>
    <col min="15120" max="15120" width="16.28515625" style="281" customWidth="1"/>
    <col min="15121" max="15121" width="15.85546875" style="281" customWidth="1"/>
    <col min="15122" max="15122" width="16.140625" style="281" customWidth="1"/>
    <col min="15123" max="15123" width="13.28515625" style="281" customWidth="1"/>
    <col min="15124" max="15124" width="10.42578125" style="281" customWidth="1"/>
    <col min="15125" max="15125" width="25" style="281" customWidth="1"/>
    <col min="15126" max="15126" width="20.7109375" style="281" customWidth="1"/>
    <col min="15127" max="15127" width="32.5703125" style="281" customWidth="1"/>
    <col min="15128" max="15128" width="37.7109375" style="281" customWidth="1"/>
    <col min="15129" max="15360" width="11.42578125" style="281"/>
    <col min="15361" max="15361" width="43.42578125" style="281" customWidth="1"/>
    <col min="15362" max="15374" width="0" style="281" hidden="1" customWidth="1"/>
    <col min="15375" max="15375" width="16" style="281" customWidth="1"/>
    <col min="15376" max="15376" width="16.28515625" style="281" customWidth="1"/>
    <col min="15377" max="15377" width="15.85546875" style="281" customWidth="1"/>
    <col min="15378" max="15378" width="16.140625" style="281" customWidth="1"/>
    <col min="15379" max="15379" width="13.28515625" style="281" customWidth="1"/>
    <col min="15380" max="15380" width="10.42578125" style="281" customWidth="1"/>
    <col min="15381" max="15381" width="25" style="281" customWidth="1"/>
    <col min="15382" max="15382" width="20.7109375" style="281" customWidth="1"/>
    <col min="15383" max="15383" width="32.5703125" style="281" customWidth="1"/>
    <col min="15384" max="15384" width="37.7109375" style="281" customWidth="1"/>
    <col min="15385" max="15616" width="11.42578125" style="281"/>
    <col min="15617" max="15617" width="43.42578125" style="281" customWidth="1"/>
    <col min="15618" max="15630" width="0" style="281" hidden="1" customWidth="1"/>
    <col min="15631" max="15631" width="16" style="281" customWidth="1"/>
    <col min="15632" max="15632" width="16.28515625" style="281" customWidth="1"/>
    <col min="15633" max="15633" width="15.85546875" style="281" customWidth="1"/>
    <col min="15634" max="15634" width="16.140625" style="281" customWidth="1"/>
    <col min="15635" max="15635" width="13.28515625" style="281" customWidth="1"/>
    <col min="15636" max="15636" width="10.42578125" style="281" customWidth="1"/>
    <col min="15637" max="15637" width="25" style="281" customWidth="1"/>
    <col min="15638" max="15638" width="20.7109375" style="281" customWidth="1"/>
    <col min="15639" max="15639" width="32.5703125" style="281" customWidth="1"/>
    <col min="15640" max="15640" width="37.7109375" style="281" customWidth="1"/>
    <col min="15641" max="15872" width="11.42578125" style="281"/>
    <col min="15873" max="15873" width="43.42578125" style="281" customWidth="1"/>
    <col min="15874" max="15886" width="0" style="281" hidden="1" customWidth="1"/>
    <col min="15887" max="15887" width="16" style="281" customWidth="1"/>
    <col min="15888" max="15888" width="16.28515625" style="281" customWidth="1"/>
    <col min="15889" max="15889" width="15.85546875" style="281" customWidth="1"/>
    <col min="15890" max="15890" width="16.140625" style="281" customWidth="1"/>
    <col min="15891" max="15891" width="13.28515625" style="281" customWidth="1"/>
    <col min="15892" max="15892" width="10.42578125" style="281" customWidth="1"/>
    <col min="15893" max="15893" width="25" style="281" customWidth="1"/>
    <col min="15894" max="15894" width="20.7109375" style="281" customWidth="1"/>
    <col min="15895" max="15895" width="32.5703125" style="281" customWidth="1"/>
    <col min="15896" max="15896" width="37.7109375" style="281" customWidth="1"/>
    <col min="15897" max="16128" width="11.42578125" style="281"/>
    <col min="16129" max="16129" width="43.42578125" style="281" customWidth="1"/>
    <col min="16130" max="16142" width="0" style="281" hidden="1" customWidth="1"/>
    <col min="16143" max="16143" width="16" style="281" customWidth="1"/>
    <col min="16144" max="16144" width="16.28515625" style="281" customWidth="1"/>
    <col min="16145" max="16145" width="15.85546875" style="281" customWidth="1"/>
    <col min="16146" max="16146" width="16.140625" style="281" customWidth="1"/>
    <col min="16147" max="16147" width="13.28515625" style="281" customWidth="1"/>
    <col min="16148" max="16148" width="10.42578125" style="281" customWidth="1"/>
    <col min="16149" max="16149" width="25" style="281" customWidth="1"/>
    <col min="16150" max="16150" width="20.7109375" style="281" customWidth="1"/>
    <col min="16151" max="16151" width="32.5703125" style="281" customWidth="1"/>
    <col min="16152" max="16152" width="37.7109375" style="281" customWidth="1"/>
    <col min="16153" max="16384" width="11.42578125" style="281"/>
  </cols>
  <sheetData>
    <row r="1" spans="1:25" ht="130.5" customHeight="1" x14ac:dyDescent="0.25">
      <c r="A1" s="345"/>
      <c r="B1" s="345"/>
      <c r="C1" s="345"/>
      <c r="D1" s="345"/>
      <c r="E1" s="345"/>
      <c r="F1" s="345"/>
      <c r="G1" s="345"/>
      <c r="H1" s="345"/>
      <c r="I1" s="345"/>
      <c r="J1" s="345"/>
      <c r="K1" s="345"/>
      <c r="L1" s="345"/>
      <c r="M1" s="345"/>
      <c r="N1" s="345"/>
      <c r="O1" s="345"/>
      <c r="P1" s="345"/>
      <c r="Q1" s="345"/>
      <c r="R1" s="345"/>
      <c r="S1" s="345"/>
      <c r="T1" s="345"/>
      <c r="U1" s="345"/>
      <c r="V1" s="345"/>
      <c r="W1" s="345"/>
      <c r="X1" s="345"/>
    </row>
    <row r="2" spans="1:25" s="285" customFormat="1" ht="27.75" customHeight="1" x14ac:dyDescent="0.25">
      <c r="A2" s="346" t="s">
        <v>152</v>
      </c>
      <c r="B2" s="346"/>
      <c r="C2" s="346"/>
      <c r="D2" s="346"/>
      <c r="E2" s="346"/>
      <c r="F2" s="346"/>
      <c r="G2" s="346"/>
      <c r="H2" s="346"/>
      <c r="I2" s="346"/>
      <c r="J2" s="346"/>
      <c r="K2" s="346"/>
      <c r="L2" s="346"/>
      <c r="M2" s="346"/>
      <c r="N2" s="346"/>
      <c r="O2" s="346"/>
      <c r="P2" s="346"/>
      <c r="Q2" s="346"/>
      <c r="R2" s="346"/>
      <c r="S2" s="346"/>
      <c r="T2" s="346"/>
      <c r="U2" s="346"/>
      <c r="V2" s="346"/>
      <c r="W2" s="346"/>
      <c r="X2" s="346"/>
    </row>
    <row r="3" spans="1:25" s="285" customFormat="1" ht="33.75" customHeight="1" x14ac:dyDescent="0.25">
      <c r="A3" s="346" t="s">
        <v>166</v>
      </c>
      <c r="B3" s="346"/>
      <c r="C3" s="346"/>
      <c r="D3" s="346"/>
      <c r="E3" s="346"/>
      <c r="F3" s="346"/>
      <c r="G3" s="346"/>
      <c r="H3" s="346"/>
      <c r="I3" s="346"/>
      <c r="J3" s="346"/>
      <c r="K3" s="346"/>
      <c r="L3" s="346"/>
      <c r="M3" s="346"/>
      <c r="N3" s="346"/>
      <c r="O3" s="346"/>
      <c r="P3" s="346"/>
      <c r="Q3" s="346"/>
      <c r="R3" s="346"/>
      <c r="S3" s="346"/>
      <c r="T3" s="346"/>
      <c r="U3" s="346"/>
      <c r="V3" s="346"/>
      <c r="W3" s="346"/>
      <c r="X3" s="346"/>
    </row>
    <row r="4" spans="1:25" s="285" customFormat="1" x14ac:dyDescent="0.25">
      <c r="A4" s="310" t="s">
        <v>115</v>
      </c>
      <c r="B4" s="350">
        <v>44377</v>
      </c>
      <c r="C4" s="351"/>
      <c r="D4" s="351"/>
      <c r="E4" s="351"/>
      <c r="F4" s="351"/>
      <c r="G4" s="351"/>
      <c r="H4" s="351"/>
      <c r="I4" s="351"/>
      <c r="J4" s="351"/>
      <c r="K4" s="351"/>
      <c r="L4" s="351"/>
      <c r="M4" s="351"/>
      <c r="N4" s="351"/>
      <c r="O4" s="351"/>
      <c r="P4" s="351"/>
      <c r="Q4" s="351"/>
      <c r="R4" s="351"/>
      <c r="S4" s="351"/>
      <c r="T4" s="351"/>
      <c r="U4" s="351"/>
      <c r="V4" s="351"/>
      <c r="W4" s="351"/>
      <c r="X4" s="352"/>
    </row>
    <row r="5" spans="1:25" ht="53.25" customHeight="1" x14ac:dyDescent="0.25">
      <c r="A5" s="347" t="s">
        <v>116</v>
      </c>
      <c r="B5" s="347" t="s">
        <v>117</v>
      </c>
      <c r="C5" s="347"/>
      <c r="D5" s="347"/>
      <c r="E5" s="347"/>
      <c r="F5" s="347"/>
      <c r="G5" s="347"/>
      <c r="H5" s="347"/>
      <c r="I5" s="347"/>
      <c r="J5" s="347"/>
      <c r="K5" s="347"/>
      <c r="L5" s="348" t="s">
        <v>118</v>
      </c>
      <c r="M5" s="348"/>
      <c r="N5" s="348"/>
      <c r="O5" s="348"/>
      <c r="P5" s="348"/>
      <c r="Q5" s="348"/>
      <c r="R5" s="348"/>
      <c r="S5" s="348"/>
      <c r="T5" s="348"/>
      <c r="U5" s="347" t="s">
        <v>119</v>
      </c>
      <c r="V5" s="349" t="s">
        <v>120</v>
      </c>
      <c r="W5" s="349" t="s">
        <v>121</v>
      </c>
      <c r="X5" s="349" t="s">
        <v>122</v>
      </c>
    </row>
    <row r="6" spans="1:25" ht="126.75" customHeight="1" x14ac:dyDescent="0.25">
      <c r="A6" s="347"/>
      <c r="B6" s="311" t="s">
        <v>123</v>
      </c>
      <c r="C6" s="311" t="s">
        <v>124</v>
      </c>
      <c r="D6" s="311" t="s">
        <v>125</v>
      </c>
      <c r="E6" s="311" t="s">
        <v>126</v>
      </c>
      <c r="F6" s="311" t="s">
        <v>127</v>
      </c>
      <c r="G6" s="312" t="s">
        <v>128</v>
      </c>
      <c r="H6" s="313" t="s">
        <v>129</v>
      </c>
      <c r="I6" s="314" t="s">
        <v>130</v>
      </c>
      <c r="J6" s="314" t="s">
        <v>131</v>
      </c>
      <c r="K6" s="314" t="s">
        <v>132</v>
      </c>
      <c r="L6" s="315" t="s">
        <v>133</v>
      </c>
      <c r="M6" s="315" t="s">
        <v>134</v>
      </c>
      <c r="N6" s="315" t="s">
        <v>135</v>
      </c>
      <c r="O6" s="315" t="s">
        <v>136</v>
      </c>
      <c r="P6" s="316" t="s">
        <v>137</v>
      </c>
      <c r="Q6" s="315" t="s">
        <v>138</v>
      </c>
      <c r="R6" s="317" t="s">
        <v>139</v>
      </c>
      <c r="S6" s="317" t="s">
        <v>140</v>
      </c>
      <c r="T6" s="318" t="s">
        <v>141</v>
      </c>
      <c r="U6" s="347"/>
      <c r="V6" s="349"/>
      <c r="W6" s="349"/>
      <c r="X6" s="349"/>
    </row>
    <row r="7" spans="1:25" s="299" customFormat="1" ht="56.25" customHeight="1" x14ac:dyDescent="0.25">
      <c r="A7" s="319" t="str">
        <f>+'[1]MATRIZ CONSOLIDADA '!A5</f>
        <v>PROGRAMA  3201 - FORTALECIMIENTO DEL DESEMPEÑO AMBIENTAL DE LOS SECTORES PRODUCTIVOS</v>
      </c>
      <c r="B7" s="320"/>
      <c r="C7" s="320"/>
      <c r="D7" s="320"/>
      <c r="E7" s="321">
        <f>AVERAGE(E8,E11,E14)</f>
        <v>50.916666666666664</v>
      </c>
      <c r="F7" s="322"/>
      <c r="G7" s="323">
        <f>+E7/100</f>
        <v>0.50916666666666666</v>
      </c>
      <c r="H7" s="324"/>
      <c r="I7" s="324"/>
      <c r="J7" s="323">
        <f>AVERAGE(J8,J11,J14)</f>
        <v>0.3602744708994709</v>
      </c>
      <c r="K7" s="325">
        <f>+L7/L95</f>
        <v>0.12797511886466736</v>
      </c>
      <c r="L7" s="326">
        <f>SUM(L8+L11+L14)</f>
        <v>4570905280.1536694</v>
      </c>
      <c r="M7" s="326">
        <f>SUM(M8+M11+M14)</f>
        <v>2371639158</v>
      </c>
      <c r="N7" s="327">
        <f t="shared" ref="N7:N26" si="0">((M7/L7))</f>
        <v>0.51885545917947085</v>
      </c>
      <c r="O7" s="328">
        <f>SUM(O8+O11+O14)</f>
        <v>1080837805</v>
      </c>
      <c r="P7" s="325">
        <f>+O7/M7</f>
        <v>0.45573450807393018</v>
      </c>
      <c r="Q7" s="328">
        <f>+M7-O7</f>
        <v>1290801353</v>
      </c>
      <c r="R7" s="326">
        <f>SUM(R8+R11+R14)</f>
        <v>8619115067</v>
      </c>
      <c r="S7" s="326">
        <f>SUM(S8+S11+S14)</f>
        <v>3446338332.1973333</v>
      </c>
      <c r="T7" s="325">
        <f>+(S7/R7)</f>
        <v>0.39984827971404241</v>
      </c>
      <c r="U7" s="326"/>
      <c r="V7" s="326"/>
      <c r="W7" s="326"/>
      <c r="X7" s="326"/>
      <c r="Y7" s="309"/>
    </row>
    <row r="8" spans="1:25" s="299" customFormat="1" x14ac:dyDescent="0.25">
      <c r="A8" s="289" t="str">
        <f>+'[1]MATRIZ CONSOLIDADA '!A6</f>
        <v>Proyecto 320101 - Desarrollo sectorial sostenible</v>
      </c>
      <c r="B8" s="255"/>
      <c r="C8" s="255"/>
      <c r="D8" s="255"/>
      <c r="E8" s="255">
        <f>AVERAGE(E9:E10)</f>
        <v>50</v>
      </c>
      <c r="F8" s="255"/>
      <c r="G8" s="256">
        <v>0.5</v>
      </c>
      <c r="H8" s="257"/>
      <c r="I8" s="257"/>
      <c r="J8" s="256">
        <f>AVERAGE(J9:J10)</f>
        <v>0.375</v>
      </c>
      <c r="K8" s="256">
        <f>SUM(K9:K10)</f>
        <v>8.4289820841789084E-3</v>
      </c>
      <c r="L8" s="269">
        <f>SUM(L9:L10)</f>
        <v>301059136</v>
      </c>
      <c r="M8" s="269">
        <f>SUM(M9:M10)</f>
        <v>67146313</v>
      </c>
      <c r="N8" s="303">
        <f t="shared" si="0"/>
        <v>0.22303363349850311</v>
      </c>
      <c r="O8" s="277">
        <f>SUM(O9:O10)</f>
        <v>37827173</v>
      </c>
      <c r="P8" s="276">
        <f>+O8/M8</f>
        <v>0.56335443168711286</v>
      </c>
      <c r="Q8" s="277">
        <f t="shared" ref="Q8:Q26" si="1">+M8-O8</f>
        <v>29319140</v>
      </c>
      <c r="R8" s="269">
        <f>SUM(R9:R10)</f>
        <v>1348667772</v>
      </c>
      <c r="S8" s="269">
        <f>SUM(S9:S10)</f>
        <v>155335819</v>
      </c>
      <c r="T8" s="276">
        <f>+((S8/R8))</f>
        <v>0.11517723061599192</v>
      </c>
      <c r="U8" s="269"/>
      <c r="V8" s="269"/>
      <c r="W8" s="269"/>
      <c r="X8" s="269"/>
    </row>
    <row r="9" spans="1:25" ht="33.75" x14ac:dyDescent="0.25">
      <c r="A9" s="287" t="str">
        <f>+'[1]MATRIZ CONSOLIDADA '!A7</f>
        <v>Porcentaje de sectores con acompañamiento para la reconversión hacia sistemas sostenibles de producción (IM 18)</v>
      </c>
      <c r="B9" s="258" t="s">
        <v>21</v>
      </c>
      <c r="C9" s="258">
        <f>+'[1]MATRIZ CONSOLIDADA '!L7</f>
        <v>100</v>
      </c>
      <c r="D9" s="258">
        <f>+'[1]MATRIZ CONSOLIDADA '!N7</f>
        <v>50</v>
      </c>
      <c r="E9" s="258">
        <f>+(D9/C9)*100</f>
        <v>50</v>
      </c>
      <c r="F9" s="258"/>
      <c r="G9" s="259">
        <f>+E9/100</f>
        <v>0.5</v>
      </c>
      <c r="H9" s="293">
        <f>+'[1]MATRIZ CONSOLIDADA '!D7</f>
        <v>100</v>
      </c>
      <c r="I9" s="293">
        <f>+'[1]MATRIZ CONSOLIDADA '!F7</f>
        <v>37.5</v>
      </c>
      <c r="J9" s="295">
        <f>((I9/H9))</f>
        <v>0.375</v>
      </c>
      <c r="K9" s="259">
        <f>+L9/L95</f>
        <v>5.7811383568462894E-3</v>
      </c>
      <c r="L9" s="258">
        <f>+'[1]MATRIZ CONSOLIDADA '!M7</f>
        <v>206485730</v>
      </c>
      <c r="M9" s="258">
        <f>+'[1]MATRIZ CONSOLIDADA '!O7</f>
        <v>40160000</v>
      </c>
      <c r="N9" s="301">
        <f t="shared" si="0"/>
        <v>0.19449285914334127</v>
      </c>
      <c r="O9" s="306">
        <v>24340302</v>
      </c>
      <c r="P9" s="259">
        <f>+O9/M9</f>
        <v>0.60608321713147406</v>
      </c>
      <c r="Q9" s="306">
        <f>+M9-O9</f>
        <v>15819698</v>
      </c>
      <c r="R9" s="293">
        <v>1250457176</v>
      </c>
      <c r="S9" s="293">
        <f>+'[3]Anexo 1 Matriz SINA Inf Gestión'!$S$30+M9</f>
        <v>108951410</v>
      </c>
      <c r="T9" s="259">
        <f>+(S9/R9)</f>
        <v>8.7129261274278141E-2</v>
      </c>
      <c r="U9" s="286"/>
      <c r="V9" s="300" t="s">
        <v>155</v>
      </c>
      <c r="W9" s="300" t="s">
        <v>19</v>
      </c>
      <c r="X9" s="300" t="s">
        <v>142</v>
      </c>
    </row>
    <row r="10" spans="1:25" ht="22.5" x14ac:dyDescent="0.25">
      <c r="A10" s="288" t="str">
        <f>+'[1]MATRIZ CONSOLIDADA '!A8</f>
        <v>Apoyo a la  Gestión, Operación, Administración y Promoción del Proyecto</v>
      </c>
      <c r="B10" s="258" t="s">
        <v>23</v>
      </c>
      <c r="C10" s="258">
        <f>+'[1]MATRIZ CONSOLIDADA '!L8</f>
        <v>1</v>
      </c>
      <c r="D10" s="260">
        <f>+'[1]MATRIZ CONSOLIDADA '!N8</f>
        <v>0.5</v>
      </c>
      <c r="E10" s="258">
        <f>+(D10/C10)*100</f>
        <v>50</v>
      </c>
      <c r="F10" s="258"/>
      <c r="G10" s="259">
        <f>+E10/100</f>
        <v>0.5</v>
      </c>
      <c r="H10" s="293">
        <v>4</v>
      </c>
      <c r="I10" s="294">
        <v>1.5</v>
      </c>
      <c r="J10" s="295">
        <f>((I10/H10))</f>
        <v>0.375</v>
      </c>
      <c r="K10" s="259">
        <f>+L10/L95</f>
        <v>2.6478437273326199E-3</v>
      </c>
      <c r="L10" s="258">
        <f>+'[1]MATRIZ CONSOLIDADA '!M8</f>
        <v>94573406</v>
      </c>
      <c r="M10" s="258">
        <v>26986313</v>
      </c>
      <c r="N10" s="301">
        <f t="shared" si="0"/>
        <v>0.28534779639849284</v>
      </c>
      <c r="O10" s="306">
        <f>15802920-2316049</f>
        <v>13486871</v>
      </c>
      <c r="P10" s="259">
        <f>+O10/M10</f>
        <v>0.49976708563337274</v>
      </c>
      <c r="Q10" s="306">
        <f t="shared" si="1"/>
        <v>13499442</v>
      </c>
      <c r="R10" s="293">
        <v>98210596</v>
      </c>
      <c r="S10" s="293">
        <f>+'[3]Anexo 1 Matriz SINA Inf Gestión'!$S$32+M10</f>
        <v>46384409</v>
      </c>
      <c r="T10" s="259">
        <f t="shared" ref="T10:T17" si="2">+S10/R10</f>
        <v>0.47229536210125433</v>
      </c>
      <c r="U10" s="286"/>
      <c r="V10" s="286"/>
      <c r="W10" s="286"/>
      <c r="X10" s="286"/>
    </row>
    <row r="11" spans="1:25" s="299" customFormat="1" x14ac:dyDescent="0.25">
      <c r="A11" s="289" t="str">
        <f>+'[1]MATRIZ CONSOLIDADA '!A9</f>
        <v xml:space="preserve">Proyecto 320102 -Negocios verdes </v>
      </c>
      <c r="B11" s="255"/>
      <c r="C11" s="255"/>
      <c r="D11" s="255"/>
      <c r="E11" s="255">
        <f>AVERAGE(E12:E13)</f>
        <v>50</v>
      </c>
      <c r="F11" s="255"/>
      <c r="G11" s="256">
        <v>0.5</v>
      </c>
      <c r="H11" s="262"/>
      <c r="I11" s="263"/>
      <c r="J11" s="256">
        <f>AVERAGE(J12:J13)</f>
        <v>0.3775</v>
      </c>
      <c r="K11" s="256">
        <f>SUM(K12:K13)</f>
        <v>1.0695145143033772E-2</v>
      </c>
      <c r="L11" s="269">
        <f>SUM(L12:L13)</f>
        <v>382000000</v>
      </c>
      <c r="M11" s="269">
        <f>SUM(M12:M13)</f>
        <v>149894983</v>
      </c>
      <c r="N11" s="303">
        <f t="shared" si="0"/>
        <v>0.39239524345549737</v>
      </c>
      <c r="O11" s="277">
        <f>SUM(O12:O13)</f>
        <v>67261745</v>
      </c>
      <c r="P11" s="276">
        <f t="shared" ref="P11:P26" si="3">+O11/M11</f>
        <v>0.44872579224349357</v>
      </c>
      <c r="Q11" s="277">
        <f t="shared" si="1"/>
        <v>82633238</v>
      </c>
      <c r="R11" s="269">
        <f>SUM(R12:R13)</f>
        <v>1780632265</v>
      </c>
      <c r="S11" s="269">
        <f>SUM(S12:S13)</f>
        <v>279851528</v>
      </c>
      <c r="T11" s="276">
        <f t="shared" si="2"/>
        <v>0.15716413405549517</v>
      </c>
      <c r="U11" s="269"/>
      <c r="V11" s="269"/>
      <c r="W11" s="269"/>
      <c r="X11" s="269"/>
    </row>
    <row r="12" spans="1:25" ht="33.75" x14ac:dyDescent="0.25">
      <c r="A12" s="287" t="str">
        <f>+'[1]MATRIZ CONSOLIDADA '!A10</f>
        <v>Implementación del Programa Regional de Negocios Verdes por la autoridad ambiental (IM 20)</v>
      </c>
      <c r="B12" s="258" t="str">
        <f>+'[1]MATRIZ CONSOLIDADA '!C10</f>
        <v>%</v>
      </c>
      <c r="C12" s="258">
        <f>+'[1]MATRIZ CONSOLIDADA '!L10</f>
        <v>100</v>
      </c>
      <c r="D12" s="258">
        <f>+'[1]MATRIZ CONSOLIDADA '!N10</f>
        <v>50</v>
      </c>
      <c r="E12" s="258">
        <f>+(D12/C12)*100</f>
        <v>50</v>
      </c>
      <c r="F12" s="258"/>
      <c r="G12" s="259">
        <f>+E12/100</f>
        <v>0.5</v>
      </c>
      <c r="H12" s="293">
        <f>+'[1]MATRIZ CONSOLIDADA '!D10</f>
        <v>100</v>
      </c>
      <c r="I12" s="293">
        <v>38</v>
      </c>
      <c r="J12" s="259">
        <f t="shared" ref="J12:J26" si="4">((I12/H12))</f>
        <v>0.38</v>
      </c>
      <c r="K12" s="259">
        <f>+L12/L95</f>
        <v>7.9249345644150978E-3</v>
      </c>
      <c r="L12" s="258">
        <f>+'[1]MATRIZ CONSOLIDADA '!M10</f>
        <v>283056000</v>
      </c>
      <c r="M12" s="258">
        <f>+'[1]MATRIZ CONSOLIDADA '!O10</f>
        <v>112055998</v>
      </c>
      <c r="N12" s="301">
        <f t="shared" si="0"/>
        <v>0.39587925357526427</v>
      </c>
      <c r="O12" s="306">
        <v>52317432</v>
      </c>
      <c r="P12" s="259">
        <f>+O12/M12</f>
        <v>0.46688649366185647</v>
      </c>
      <c r="Q12" s="306">
        <f>+M12-O12</f>
        <v>59738566</v>
      </c>
      <c r="R12" s="258">
        <v>1682421669</v>
      </c>
      <c r="S12" s="293">
        <f>+'[3]Anexo 1 Matriz SINA Inf Gestión'!$S$34+M12</f>
        <v>222614447</v>
      </c>
      <c r="T12" s="259">
        <f t="shared" si="2"/>
        <v>0.1323178672159625</v>
      </c>
      <c r="U12" s="286"/>
      <c r="V12" s="300" t="s">
        <v>156</v>
      </c>
      <c r="W12" s="300" t="s">
        <v>25</v>
      </c>
      <c r="X12" s="300" t="s">
        <v>143</v>
      </c>
    </row>
    <row r="13" spans="1:25" ht="22.5" x14ac:dyDescent="0.25">
      <c r="A13" s="288" t="str">
        <f>+'[1]MATRIZ CONSOLIDADA '!A11</f>
        <v>Apoyo a la  Gestión, Operación, Administración y Promoción del Proyecto</v>
      </c>
      <c r="B13" s="258" t="s">
        <v>23</v>
      </c>
      <c r="C13" s="258">
        <f>+'[1]MATRIZ CONSOLIDADA '!L11</f>
        <v>1</v>
      </c>
      <c r="D13" s="260">
        <f>+'[1]MATRIZ CONSOLIDADA '!N11</f>
        <v>0.5</v>
      </c>
      <c r="E13" s="258">
        <f>+(D13/C13)*100</f>
        <v>50</v>
      </c>
      <c r="F13" s="258"/>
      <c r="G13" s="259">
        <f>+E13/100</f>
        <v>0.5</v>
      </c>
      <c r="H13" s="293">
        <v>4</v>
      </c>
      <c r="I13" s="296">
        <v>1.5</v>
      </c>
      <c r="J13" s="259">
        <f t="shared" si="4"/>
        <v>0.375</v>
      </c>
      <c r="K13" s="259">
        <f>+L13/L95</f>
        <v>2.7702105786186738E-3</v>
      </c>
      <c r="L13" s="258">
        <f>+'[1]MATRIZ CONSOLIDADA '!M11</f>
        <v>98944000</v>
      </c>
      <c r="M13" s="258">
        <v>37838985</v>
      </c>
      <c r="N13" s="301">
        <f t="shared" si="0"/>
        <v>0.38242829277166884</v>
      </c>
      <c r="O13" s="306">
        <v>14944313</v>
      </c>
      <c r="P13" s="259">
        <f t="shared" si="3"/>
        <v>0.39494486968929005</v>
      </c>
      <c r="Q13" s="306">
        <f>+M13-O13</f>
        <v>22894672</v>
      </c>
      <c r="R13" s="258">
        <v>98210596</v>
      </c>
      <c r="S13" s="293">
        <f>+'[3]Anexo 1 Matriz SINA Inf Gestión'!$S$35+M13</f>
        <v>57237081</v>
      </c>
      <c r="T13" s="259">
        <f t="shared" si="2"/>
        <v>0.58279944660961025</v>
      </c>
      <c r="U13" s="286"/>
      <c r="V13" s="286"/>
      <c r="W13" s="286"/>
      <c r="X13" s="286"/>
    </row>
    <row r="14" spans="1:25" s="299" customFormat="1" ht="22.5" x14ac:dyDescent="0.25">
      <c r="A14" s="289" t="str">
        <f>+'[1]MATRIZ CONSOLIDADA '!A12</f>
        <v>PROYECTO 320103: CONTROL Y VIGLANCIA AL DESARROLLO SECTORIAL SOSTENIBLE</v>
      </c>
      <c r="B14" s="255"/>
      <c r="C14" s="255"/>
      <c r="D14" s="255"/>
      <c r="E14" s="255">
        <f>AVERAGE(E15:E26)</f>
        <v>52.75</v>
      </c>
      <c r="F14" s="255"/>
      <c r="G14" s="256">
        <v>0.53</v>
      </c>
      <c r="H14" s="262"/>
      <c r="I14" s="262"/>
      <c r="J14" s="256">
        <f>AVERAGE(J15:J26)</f>
        <v>0.32832341269841264</v>
      </c>
      <c r="K14" s="256">
        <f>SUM(K15:K26)</f>
        <v>0.10885099163745471</v>
      </c>
      <c r="L14" s="269">
        <f>SUM(L15:L26)</f>
        <v>3887846144.1536694</v>
      </c>
      <c r="M14" s="269">
        <f>SUM(M15:M26)</f>
        <v>2154597862</v>
      </c>
      <c r="N14" s="303">
        <f t="shared" si="0"/>
        <v>0.55418804708616531</v>
      </c>
      <c r="O14" s="277">
        <v>975748887</v>
      </c>
      <c r="P14" s="276">
        <f t="shared" si="3"/>
        <v>0.45286821462556526</v>
      </c>
      <c r="Q14" s="277">
        <f t="shared" si="1"/>
        <v>1178848975</v>
      </c>
      <c r="R14" s="269">
        <f>SUM(R15:R26)</f>
        <v>5489815030</v>
      </c>
      <c r="S14" s="269">
        <f>SUM(S15:S26)</f>
        <v>3011150985.1973333</v>
      </c>
      <c r="T14" s="276">
        <f t="shared" si="2"/>
        <v>0.54849771235322176</v>
      </c>
      <c r="U14" s="269"/>
      <c r="V14" s="269"/>
      <c r="W14" s="269"/>
      <c r="X14" s="269"/>
    </row>
    <row r="15" spans="1:25" ht="33.75" x14ac:dyDescent="0.25">
      <c r="A15" s="287" t="str">
        <f>+'[1]MATRIZ CONSOLIDADA '!A13</f>
        <v>Porcentaje de Planes de Gestión Integral de Residuos Sólidos (PGIRS) con seguimiento a metas de aprovechamiento (IM 17)</v>
      </c>
      <c r="B15" s="258" t="str">
        <f>+'[1]MATRIZ CONSOLIDADA '!C13</f>
        <v>%</v>
      </c>
      <c r="C15" s="258">
        <f>+'[1]MATRIZ CONSOLIDADA '!D13</f>
        <v>100</v>
      </c>
      <c r="D15" s="258">
        <f>+'[1]MATRIZ CONSOLIDADA '!N13</f>
        <v>100</v>
      </c>
      <c r="E15" s="258">
        <f>+(D15/C15)*100</f>
        <v>100</v>
      </c>
      <c r="F15" s="258"/>
      <c r="G15" s="259">
        <f>+E15/100</f>
        <v>1</v>
      </c>
      <c r="H15" s="293">
        <f>+'[1]MATRIZ CONSOLIDADA '!D13</f>
        <v>100</v>
      </c>
      <c r="I15" s="293">
        <v>38</v>
      </c>
      <c r="J15" s="297">
        <f t="shared" si="4"/>
        <v>0.38</v>
      </c>
      <c r="K15" s="259">
        <f>+L15/L95</f>
        <v>9.9303811439522519E-4</v>
      </c>
      <c r="L15" s="258">
        <f>+'[1]MATRIZ CONSOLIDADA '!M13</f>
        <v>35468481.692000002</v>
      </c>
      <c r="M15" s="258">
        <f>+'[1]MATRIZ CONSOLIDADA '!O13</f>
        <v>28842081</v>
      </c>
      <c r="N15" s="301">
        <f t="shared" si="0"/>
        <v>0.81317495489256875</v>
      </c>
      <c r="O15" s="306">
        <v>28612824</v>
      </c>
      <c r="P15" s="259">
        <f t="shared" si="3"/>
        <v>0.99205130170739064</v>
      </c>
      <c r="Q15" s="306">
        <f t="shared" si="1"/>
        <v>229257</v>
      </c>
      <c r="R15" s="293">
        <v>124955371</v>
      </c>
      <c r="S15" s="293">
        <f>+M15+'[3]Anexo 1 Matriz SINA Inf Gestión'!$S$50</f>
        <v>55242081</v>
      </c>
      <c r="T15" s="259">
        <f t="shared" si="2"/>
        <v>0.44209448987991079</v>
      </c>
      <c r="U15" s="286"/>
      <c r="V15" s="300" t="s">
        <v>156</v>
      </c>
      <c r="W15" s="300" t="s">
        <v>27</v>
      </c>
      <c r="X15" s="300"/>
    </row>
    <row r="16" spans="1:25" ht="33.75" x14ac:dyDescent="0.25">
      <c r="A16" s="288" t="str">
        <f>+'[1]MATRIZ CONSOLIDADA '!A14</f>
        <v xml:space="preserve">Porcentaje de asistencia técnica, seguimiento y control a generadores de residuos o desechos peligrosos – RESPEL y especiales </v>
      </c>
      <c r="B16" s="258" t="str">
        <f>+'[1]MATRIZ CONSOLIDADA '!C14</f>
        <v>%</v>
      </c>
      <c r="C16" s="258">
        <f>+'[1]MATRIZ CONSOLIDADA '!D14</f>
        <v>100</v>
      </c>
      <c r="D16" s="258">
        <f>+'[1]MATRIZ CONSOLIDADA '!N14</f>
        <v>29</v>
      </c>
      <c r="E16" s="258">
        <f t="shared" ref="E16:E26" si="5">+(D16/C16)*100</f>
        <v>28.999999999999996</v>
      </c>
      <c r="F16" s="258"/>
      <c r="G16" s="259">
        <f t="shared" ref="G16:G26" si="6">+E16/100</f>
        <v>0.28999999999999998</v>
      </c>
      <c r="H16" s="293">
        <f>+'[1]MATRIZ CONSOLIDADA '!D14</f>
        <v>100</v>
      </c>
      <c r="I16" s="293">
        <v>34</v>
      </c>
      <c r="J16" s="297">
        <f t="shared" si="4"/>
        <v>0.34</v>
      </c>
      <c r="K16" s="259">
        <f>+L16/$L95</f>
        <v>1.81757664211612E-3</v>
      </c>
      <c r="L16" s="258">
        <f>+'[1]MATRIZ CONSOLIDADA '!M14</f>
        <v>64918640</v>
      </c>
      <c r="M16" s="258">
        <f>+'[1]MATRIZ CONSOLIDADA '!O14</f>
        <v>63352400</v>
      </c>
      <c r="N16" s="301">
        <f t="shared" si="0"/>
        <v>0.97587380142282709</v>
      </c>
      <c r="O16" s="306">
        <v>19879200</v>
      </c>
      <c r="P16" s="259">
        <f t="shared" si="3"/>
        <v>0.31378763866877973</v>
      </c>
      <c r="Q16" s="306">
        <f t="shared" si="1"/>
        <v>43473200</v>
      </c>
      <c r="R16" s="293">
        <v>340868801</v>
      </c>
      <c r="S16" s="293">
        <f>+M16+'[3]Anexo 1 Matriz SINA Inf Gestión'!$S$52</f>
        <v>131604176.40000001</v>
      </c>
      <c r="T16" s="259">
        <f t="shared" si="2"/>
        <v>0.38608454635307032</v>
      </c>
      <c r="U16" s="286"/>
      <c r="V16" s="300" t="s">
        <v>156</v>
      </c>
      <c r="W16" s="300"/>
      <c r="X16" s="300"/>
    </row>
    <row r="17" spans="1:24" ht="33.75" x14ac:dyDescent="0.25">
      <c r="A17" s="287" t="str">
        <f>+'[1]MATRIZ CONSOLIDADA '!A15</f>
        <v>Porcentaje de autorizaciones ambientales con seguimiento (IM 22)</v>
      </c>
      <c r="B17" s="258" t="str">
        <f>+'[1]MATRIZ CONSOLIDADA '!C15</f>
        <v>%</v>
      </c>
      <c r="C17" s="258">
        <f>+'[1]MATRIZ CONSOLIDADA '!D15</f>
        <v>80</v>
      </c>
      <c r="D17" s="258">
        <f>+'[1]MATRIZ CONSOLIDADA '!N15</f>
        <v>20</v>
      </c>
      <c r="E17" s="258">
        <f t="shared" si="5"/>
        <v>25</v>
      </c>
      <c r="F17" s="258"/>
      <c r="G17" s="259">
        <f t="shared" si="6"/>
        <v>0.25</v>
      </c>
      <c r="H17" s="293">
        <f>+'[1]MATRIZ CONSOLIDADA '!D15</f>
        <v>80</v>
      </c>
      <c r="I17" s="293">
        <v>28</v>
      </c>
      <c r="J17" s="297">
        <f t="shared" si="4"/>
        <v>0.35</v>
      </c>
      <c r="K17" s="259">
        <f>+L17/L95</f>
        <v>1.9512555274056265E-2</v>
      </c>
      <c r="L17" s="258">
        <f>+'[1]MATRIZ CONSOLIDADA '!M15</f>
        <v>696932675.06000006</v>
      </c>
      <c r="M17" s="258">
        <f>+'[1]MATRIZ CONSOLIDADA '!O15</f>
        <v>477397588</v>
      </c>
      <c r="N17" s="301">
        <f t="shared" si="0"/>
        <v>0.68499814269563419</v>
      </c>
      <c r="O17" s="306">
        <f>204889966</f>
        <v>204889966</v>
      </c>
      <c r="P17" s="259">
        <f t="shared" si="3"/>
        <v>0.4291809827912243</v>
      </c>
      <c r="Q17" s="306">
        <f t="shared" si="1"/>
        <v>272507622</v>
      </c>
      <c r="R17" s="293">
        <v>2749170678</v>
      </c>
      <c r="S17" s="293">
        <f>+M17+'[3]Anexo 1 Matriz SINA Inf Gestión'!$S$53</f>
        <v>824082275.348333</v>
      </c>
      <c r="T17" s="259">
        <f t="shared" si="2"/>
        <v>0.29975668005736422</v>
      </c>
      <c r="U17" s="286"/>
      <c r="V17" s="300" t="s">
        <v>156</v>
      </c>
      <c r="W17" s="307" t="s">
        <v>29</v>
      </c>
      <c r="X17" s="300"/>
    </row>
    <row r="18" spans="1:24" ht="33.75" x14ac:dyDescent="0.25">
      <c r="A18" s="287" t="str">
        <f>+'[1]MATRIZ CONSOLIDADA '!A16</f>
        <v>Tiempo promedio de trámite para la resolución de autorizaciones ambientales otorgadas por la Corporación. (IM 21)</v>
      </c>
      <c r="B18" s="258" t="str">
        <f>+'[1]MATRIZ CONSOLIDADA '!C16</f>
        <v>Días</v>
      </c>
      <c r="C18" s="258">
        <f>+'[1]MATRIZ CONSOLIDADA '!D16</f>
        <v>60</v>
      </c>
      <c r="D18" s="258">
        <f>+'[1]MATRIZ CONSOLIDADA '!N16</f>
        <v>60</v>
      </c>
      <c r="E18" s="258">
        <f t="shared" si="5"/>
        <v>100</v>
      </c>
      <c r="F18" s="258"/>
      <c r="G18" s="259">
        <f t="shared" si="6"/>
        <v>1</v>
      </c>
      <c r="H18" s="293">
        <f>+'[1]MATRIZ CONSOLIDADA '!D16</f>
        <v>60</v>
      </c>
      <c r="I18" s="293">
        <f>+'[1]MATRIZ CONSOLIDADA '!F16</f>
        <v>60</v>
      </c>
      <c r="J18" s="297">
        <v>0.375</v>
      </c>
      <c r="K18" s="259">
        <f>+L18/L95</f>
        <v>0</v>
      </c>
      <c r="L18" s="258">
        <f>+'[1]MATRIZ CONSOLIDADA '!M16</f>
        <v>0</v>
      </c>
      <c r="M18" s="258">
        <f>+'[1]MATRIZ CONSOLIDADA '!O16</f>
        <v>0</v>
      </c>
      <c r="N18" s="301" t="s">
        <v>38</v>
      </c>
      <c r="O18" s="306">
        <v>0</v>
      </c>
      <c r="P18" s="259" t="s">
        <v>38</v>
      </c>
      <c r="Q18" s="306">
        <f t="shared" si="1"/>
        <v>0</v>
      </c>
      <c r="R18" s="293">
        <f>+'[1]MATRIZ CONSOLIDADA '!E16</f>
        <v>0</v>
      </c>
      <c r="S18" s="293">
        <f>+'[1]MATRIZ CONSOLIDADA '!G16</f>
        <v>0</v>
      </c>
      <c r="T18" s="259">
        <v>0</v>
      </c>
      <c r="U18" s="286"/>
      <c r="V18" s="300" t="s">
        <v>156</v>
      </c>
      <c r="W18" s="300" t="s">
        <v>30</v>
      </c>
      <c r="X18" s="300"/>
    </row>
    <row r="19" spans="1:24" ht="33.75" x14ac:dyDescent="0.25">
      <c r="A19" s="288" t="str">
        <f>+'[1]MATRIZ CONSOLIDADA '!A17</f>
        <v>Porcentaje de solicitudes de licencias y permisos ambientales resueltos</v>
      </c>
      <c r="B19" s="258" t="str">
        <f>+'[1]MATRIZ CONSOLIDADA '!C17</f>
        <v>%</v>
      </c>
      <c r="C19" s="258">
        <f>+'[1]MATRIZ CONSOLIDADA '!D17</f>
        <v>80</v>
      </c>
      <c r="D19" s="258">
        <f>+'[1]MATRIZ CONSOLIDADA '!N17</f>
        <v>60</v>
      </c>
      <c r="E19" s="258">
        <f t="shared" si="5"/>
        <v>75</v>
      </c>
      <c r="F19" s="258"/>
      <c r="G19" s="259">
        <f t="shared" si="6"/>
        <v>0.75</v>
      </c>
      <c r="H19" s="293">
        <f>+'[1]MATRIZ CONSOLIDADA '!D17</f>
        <v>80</v>
      </c>
      <c r="I19" s="293">
        <v>41</v>
      </c>
      <c r="J19" s="297">
        <f>((I19/H19))</f>
        <v>0.51249999999999996</v>
      </c>
      <c r="K19" s="259">
        <f>+L19/L95</f>
        <v>8.7308768447396396E-3</v>
      </c>
      <c r="L19" s="258">
        <f>+'[1]MATRIZ CONSOLIDADA '!M17</f>
        <v>311841953.52999997</v>
      </c>
      <c r="M19" s="258">
        <f>+'[1]MATRIZ CONSOLIDADA '!O17</f>
        <v>300176478</v>
      </c>
      <c r="N19" s="301">
        <f t="shared" si="0"/>
        <v>0.96259170583704756</v>
      </c>
      <c r="O19" s="306">
        <v>239375975</v>
      </c>
      <c r="P19" s="259">
        <f t="shared" si="3"/>
        <v>0.797450808254203</v>
      </c>
      <c r="Q19" s="306">
        <f t="shared" si="1"/>
        <v>60800503</v>
      </c>
      <c r="R19" s="293">
        <v>321692369</v>
      </c>
      <c r="S19" s="293">
        <f>+'[3]Anexo 1 Matriz SINA Inf Gestión'!$S$55+M19</f>
        <v>365598276.49199998</v>
      </c>
      <c r="T19" s="259">
        <f t="shared" ref="T19:T60" si="7">+S19/R19</f>
        <v>1.1364841436198321</v>
      </c>
      <c r="U19" s="286"/>
      <c r="V19" s="300" t="s">
        <v>156</v>
      </c>
      <c r="W19" s="300"/>
      <c r="X19" s="300"/>
    </row>
    <row r="20" spans="1:24" ht="33.75" x14ac:dyDescent="0.25">
      <c r="A20" s="287" t="str">
        <f>+'[1]MATRIZ CONSOLIDADA '!A18</f>
        <v>Porcentaje de procesos sancionatorios resueltos (IM 23)</v>
      </c>
      <c r="B20" s="258" t="str">
        <f>+'[1]MATRIZ CONSOLIDADA '!C18</f>
        <v>%</v>
      </c>
      <c r="C20" s="258">
        <f>+'[1]MATRIZ CONSOLIDADA '!D18</f>
        <v>25</v>
      </c>
      <c r="D20" s="258">
        <f>+'[1]MATRIZ CONSOLIDADA '!N18</f>
        <v>12</v>
      </c>
      <c r="E20" s="258">
        <f t="shared" si="5"/>
        <v>48</v>
      </c>
      <c r="F20" s="258"/>
      <c r="G20" s="259">
        <f t="shared" si="6"/>
        <v>0.48</v>
      </c>
      <c r="H20" s="293">
        <f>+'[1]MATRIZ CONSOLIDADA '!D18</f>
        <v>25</v>
      </c>
      <c r="I20" s="293">
        <v>37.5</v>
      </c>
      <c r="J20" s="297">
        <f>+H20/I20</f>
        <v>0.66666666666666663</v>
      </c>
      <c r="K20" s="259">
        <f>+L20/L95</f>
        <v>1.9170552122160806E-2</v>
      </c>
      <c r="L20" s="258">
        <f>+'[1]MATRIZ CONSOLIDADA '!M18</f>
        <v>684717300.48799992</v>
      </c>
      <c r="M20" s="258">
        <f>+'[1]MATRIZ CONSOLIDADA '!O18</f>
        <v>468480578</v>
      </c>
      <c r="N20" s="301">
        <f t="shared" si="0"/>
        <v>0.68419562009914547</v>
      </c>
      <c r="O20" s="306">
        <v>317549607</v>
      </c>
      <c r="P20" s="259">
        <f>+O20/M20</f>
        <v>0.67782875515492558</v>
      </c>
      <c r="Q20" s="306">
        <f t="shared" si="1"/>
        <v>150930971</v>
      </c>
      <c r="R20" s="293">
        <v>1067433934</v>
      </c>
      <c r="S20" s="293">
        <f>+M20+'[3]Anexo 1 Matriz SINA Inf Gestión'!$S$56</f>
        <v>684173957.25199997</v>
      </c>
      <c r="T20" s="259">
        <f t="shared" si="7"/>
        <v>0.64095203970909176</v>
      </c>
      <c r="U20" s="286"/>
      <c r="V20" s="300" t="s">
        <v>156</v>
      </c>
      <c r="W20" s="300" t="s">
        <v>33</v>
      </c>
      <c r="X20" s="300"/>
    </row>
    <row r="21" spans="1:24" ht="33.75" x14ac:dyDescent="0.25">
      <c r="A21" s="288" t="str">
        <f>+'[1]MATRIZ CONSOLIDADA '!A19</f>
        <v>Fuentes móviles de emisiones atmosféricas (vía pública y empresas transportadoras - Laboratorio de fuentes móviles) con seguimiento, monitoreo y control</v>
      </c>
      <c r="B21" s="258" t="str">
        <f>+'[1]MATRIZ CONSOLIDADA '!C19</f>
        <v>Und</v>
      </c>
      <c r="C21" s="258">
        <f>+'[1]MATRIZ CONSOLIDADA '!D19</f>
        <v>120</v>
      </c>
      <c r="D21" s="258">
        <f>+'[1]MATRIZ CONSOLIDADA '!N19</f>
        <v>130</v>
      </c>
      <c r="E21" s="258">
        <v>100</v>
      </c>
      <c r="F21" s="258"/>
      <c r="G21" s="259">
        <f t="shared" si="6"/>
        <v>1</v>
      </c>
      <c r="H21" s="293">
        <f>+'[1]MATRIZ CONSOLIDADA '!D19</f>
        <v>120</v>
      </c>
      <c r="I21" s="293">
        <v>420</v>
      </c>
      <c r="J21" s="297">
        <f>+H21/I21</f>
        <v>0.2857142857142857</v>
      </c>
      <c r="K21" s="259">
        <f>+L21/L95</f>
        <v>9.3183831868464859E-4</v>
      </c>
      <c r="L21" s="258">
        <f>+'[1]MATRIZ CONSOLIDADA '!M19</f>
        <v>33282600</v>
      </c>
      <c r="M21" s="258">
        <f>+'[1]MATRIZ CONSOLIDADA '!O19</f>
        <v>0</v>
      </c>
      <c r="N21" s="301">
        <f t="shared" si="0"/>
        <v>0</v>
      </c>
      <c r="O21" s="306">
        <v>0</v>
      </c>
      <c r="P21" s="259">
        <v>0</v>
      </c>
      <c r="Q21" s="306">
        <f t="shared" si="1"/>
        <v>0</v>
      </c>
      <c r="R21" s="293">
        <v>97212851</v>
      </c>
      <c r="S21" s="293">
        <f>+M21+'[3]Anexo 1 Matriz SINA Inf Gestión'!$S$60</f>
        <v>20538686.436000001</v>
      </c>
      <c r="T21" s="259">
        <f t="shared" si="7"/>
        <v>0.21127542526244808</v>
      </c>
      <c r="U21" s="286"/>
      <c r="V21" s="300" t="s">
        <v>156</v>
      </c>
      <c r="W21" s="300" t="s">
        <v>153</v>
      </c>
      <c r="X21" s="300"/>
    </row>
    <row r="22" spans="1:24" ht="33.75" x14ac:dyDescent="0.25">
      <c r="A22" s="288" t="str">
        <f>+'[1]MATRIZ CONSOLIDADA '!A20</f>
        <v>Red de vigilancia y monitoreo de la calidad del aire implementada</v>
      </c>
      <c r="B22" s="258" t="str">
        <f>+'[1]MATRIZ CONSOLIDADA '!C20</f>
        <v>Und</v>
      </c>
      <c r="C22" s="258">
        <f>+'[1]MATRIZ CONSOLIDADA '!D20</f>
        <v>1</v>
      </c>
      <c r="D22" s="260">
        <f>+'[1]MATRIZ CONSOLIDADA '!N20</f>
        <v>0.5</v>
      </c>
      <c r="E22" s="258">
        <f t="shared" si="5"/>
        <v>50</v>
      </c>
      <c r="F22" s="258"/>
      <c r="G22" s="259">
        <f t="shared" si="6"/>
        <v>0.5</v>
      </c>
      <c r="H22" s="296">
        <v>37.5</v>
      </c>
      <c r="I22" s="260">
        <v>0.375</v>
      </c>
      <c r="J22" s="259">
        <f t="shared" si="4"/>
        <v>0.01</v>
      </c>
      <c r="K22" s="259" t="s">
        <v>38</v>
      </c>
      <c r="L22" s="258">
        <f>+'[1]MATRIZ CONSOLIDADA '!M20</f>
        <v>0</v>
      </c>
      <c r="M22" s="258">
        <f>+'[1]MATRIZ CONSOLIDADA '!O20</f>
        <v>0</v>
      </c>
      <c r="N22" s="301" t="s">
        <v>38</v>
      </c>
      <c r="O22" s="306" t="s">
        <v>38</v>
      </c>
      <c r="P22" s="259" t="s">
        <v>38</v>
      </c>
      <c r="Q22" s="306" t="s">
        <v>38</v>
      </c>
      <c r="R22" s="293">
        <v>78204490</v>
      </c>
      <c r="S22" s="293">
        <f>+M22+'[3]Anexo 1 Matriz SINA Inf Gestión'!$S$61</f>
        <v>16522686.436000001</v>
      </c>
      <c r="T22" s="259">
        <f t="shared" si="7"/>
        <v>0.2112754195571124</v>
      </c>
      <c r="U22" s="286"/>
      <c r="V22" s="300" t="s">
        <v>156</v>
      </c>
      <c r="W22" s="300"/>
      <c r="X22" s="300"/>
    </row>
    <row r="23" spans="1:24" ht="33.75" x14ac:dyDescent="0.25">
      <c r="A23" s="288" t="str">
        <f>+'[1]MATRIZ CONSOLIDADA '!A21</f>
        <v>Mapas de ruido y planes de descontaminación actualizados</v>
      </c>
      <c r="B23" s="258" t="str">
        <f>+'[1]MATRIZ CONSOLIDADA '!C21</f>
        <v>Und</v>
      </c>
      <c r="C23" s="258">
        <f>+'[1]MATRIZ CONSOLIDADA '!D21</f>
        <v>1</v>
      </c>
      <c r="D23" s="258">
        <f>+'[1]MATRIZ CONSOLIDADA '!N21</f>
        <v>0</v>
      </c>
      <c r="E23" s="258">
        <f t="shared" si="5"/>
        <v>0</v>
      </c>
      <c r="F23" s="258"/>
      <c r="G23" s="259">
        <f t="shared" si="6"/>
        <v>0</v>
      </c>
      <c r="H23" s="296">
        <f>+'[1]MATRIZ CONSOLIDADA '!D21</f>
        <v>1</v>
      </c>
      <c r="I23" s="258">
        <f>+'[1]MATRIZ CONSOLIDADA '!F21</f>
        <v>0</v>
      </c>
      <c r="J23" s="259">
        <f t="shared" si="4"/>
        <v>0</v>
      </c>
      <c r="K23" s="259">
        <f>+L23/L95</f>
        <v>2.5860972946904278E-3</v>
      </c>
      <c r="L23" s="258">
        <f>+'[1]MATRIZ CONSOLIDADA '!M21</f>
        <v>92368000</v>
      </c>
      <c r="M23" s="258">
        <f>+'[1]MATRIZ CONSOLIDADA '!O21</f>
        <v>0</v>
      </c>
      <c r="N23" s="301">
        <f t="shared" si="0"/>
        <v>0</v>
      </c>
      <c r="O23" s="329">
        <v>0.26</v>
      </c>
      <c r="P23" s="259" t="s">
        <v>38</v>
      </c>
      <c r="Q23" s="306">
        <f t="shared" si="1"/>
        <v>-0.26</v>
      </c>
      <c r="R23" s="293">
        <v>174400000</v>
      </c>
      <c r="S23" s="293">
        <f>+'[1]MATRIZ CONSOLIDADA '!G21</f>
        <v>0</v>
      </c>
      <c r="T23" s="259">
        <f t="shared" si="7"/>
        <v>0</v>
      </c>
      <c r="U23" s="286"/>
      <c r="V23" s="300" t="s">
        <v>156</v>
      </c>
      <c r="W23" s="300"/>
      <c r="X23" s="300"/>
    </row>
    <row r="24" spans="1:24" ht="33.75" x14ac:dyDescent="0.25">
      <c r="A24" s="288" t="str">
        <f>+'[1]MATRIZ CONSOLIDADA '!A22</f>
        <v>Generadores y gestores de Residuos de Construcción y Demolición - RCD con seguimiento</v>
      </c>
      <c r="B24" s="258" t="str">
        <f>+'[1]MATRIZ CONSOLIDADA '!C22</f>
        <v>%</v>
      </c>
      <c r="C24" s="258">
        <f>+'[1]MATRIZ CONSOLIDADA '!D22</f>
        <v>100</v>
      </c>
      <c r="D24" s="258">
        <f>+'[1]MATRIZ CONSOLIDADA '!N22</f>
        <v>14</v>
      </c>
      <c r="E24" s="258">
        <f t="shared" si="5"/>
        <v>14.000000000000002</v>
      </c>
      <c r="F24" s="258"/>
      <c r="G24" s="259">
        <f t="shared" si="6"/>
        <v>0.14000000000000001</v>
      </c>
      <c r="H24" s="293">
        <f>+'[1]MATRIZ CONSOLIDADA '!D22</f>
        <v>100</v>
      </c>
      <c r="I24" s="258">
        <v>27</v>
      </c>
      <c r="J24" s="259">
        <f t="shared" si="4"/>
        <v>0.27</v>
      </c>
      <c r="K24" s="259">
        <f>+L24/L95</f>
        <v>1.345051690771054E-3</v>
      </c>
      <c r="L24" s="258">
        <f>+'[1]MATRIZ CONSOLIDADA '!M22</f>
        <v>48041400</v>
      </c>
      <c r="M24" s="258">
        <f>+'[1]MATRIZ CONSOLIDADA '!O22</f>
        <v>24849000</v>
      </c>
      <c r="N24" s="301">
        <f t="shared" si="0"/>
        <v>0.51724137931034486</v>
      </c>
      <c r="O24" s="306">
        <v>16566000</v>
      </c>
      <c r="P24" s="259">
        <f t="shared" si="3"/>
        <v>0.66666666666666663</v>
      </c>
      <c r="Q24" s="306">
        <f t="shared" si="1"/>
        <v>8283000</v>
      </c>
      <c r="R24" s="293">
        <v>331321060</v>
      </c>
      <c r="S24" s="293">
        <f>+M24+'[3]Anexo 1 Matriz SINA Inf Gestión'!$S$63</f>
        <v>90631562.833000004</v>
      </c>
      <c r="T24" s="259">
        <f t="shared" si="7"/>
        <v>0.27354603668417576</v>
      </c>
      <c r="U24" s="286"/>
      <c r="V24" s="300" t="s">
        <v>156</v>
      </c>
      <c r="W24" s="300"/>
      <c r="X24" s="300"/>
    </row>
    <row r="25" spans="1:24" ht="33.75" x14ac:dyDescent="0.25">
      <c r="A25" s="288" t="str">
        <f>+'[1]MATRIZ CONSOLIDADA '!A23</f>
        <v>Empresas obligadas a conformar el Departamento de Gestión Ambiental con seguimiento</v>
      </c>
      <c r="B25" s="258" t="str">
        <f>+'[1]MATRIZ CONSOLIDADA '!C23</f>
        <v>%</v>
      </c>
      <c r="C25" s="258">
        <f>+'[1]MATRIZ CONSOLIDADA '!D23</f>
        <v>100</v>
      </c>
      <c r="D25" s="258">
        <f>+'[1]MATRIZ CONSOLIDADA '!N23</f>
        <v>42</v>
      </c>
      <c r="E25" s="258">
        <f t="shared" si="5"/>
        <v>42</v>
      </c>
      <c r="F25" s="258"/>
      <c r="G25" s="259">
        <f t="shared" si="6"/>
        <v>0.42</v>
      </c>
      <c r="H25" s="293">
        <f>+'[1]MATRIZ CONSOLIDADA '!D23</f>
        <v>100</v>
      </c>
      <c r="I25" s="258">
        <v>37.5</v>
      </c>
      <c r="J25" s="259">
        <f>((I25/H25))</f>
        <v>0.375</v>
      </c>
      <c r="K25" s="259">
        <f>+L25/L95</f>
        <v>7.4440690797241934E-4</v>
      </c>
      <c r="L25" s="258">
        <f>+'[1]MATRIZ CONSOLIDADA '!M23</f>
        <v>26588086</v>
      </c>
      <c r="M25" s="258">
        <f>+'[1]MATRIZ CONSOLIDADA '!O23</f>
        <v>26588086</v>
      </c>
      <c r="N25" s="301">
        <f t="shared" si="0"/>
        <v>1</v>
      </c>
      <c r="O25" s="306">
        <v>17746824</v>
      </c>
      <c r="P25" s="259">
        <f t="shared" si="3"/>
        <v>0.66747279213704969</v>
      </c>
      <c r="Q25" s="306">
        <f t="shared" si="1"/>
        <v>8841262</v>
      </c>
      <c r="R25" s="293">
        <v>56797896</v>
      </c>
      <c r="S25" s="293">
        <f>+M25+'[3]Anexo 1 Matriz SINA Inf Gestión'!$S$64</f>
        <v>36628086</v>
      </c>
      <c r="T25" s="259">
        <f t="shared" si="7"/>
        <v>0.6448845569913364</v>
      </c>
      <c r="U25" s="286"/>
      <c r="V25" s="300" t="s">
        <v>156</v>
      </c>
      <c r="W25" s="300"/>
      <c r="X25" s="300"/>
    </row>
    <row r="26" spans="1:24" ht="33.75" x14ac:dyDescent="0.25">
      <c r="A26" s="288" t="str">
        <f>+'[1]MATRIZ CONSOLIDADA '!A24</f>
        <v>Gestión, Operación, Administración y Promoción del Proyecto apoyados</v>
      </c>
      <c r="B26" s="258" t="str">
        <f>+'[1]MATRIZ CONSOLIDADA '!C24</f>
        <v>Global</v>
      </c>
      <c r="C26" s="258">
        <f>+'[1]MATRIZ CONSOLIDADA '!D24</f>
        <v>1</v>
      </c>
      <c r="D26" s="260">
        <f>+'[1]MATRIZ CONSOLIDADA '!N24</f>
        <v>0.5</v>
      </c>
      <c r="E26" s="258">
        <f t="shared" si="5"/>
        <v>50</v>
      </c>
      <c r="F26" s="258"/>
      <c r="G26" s="259">
        <f t="shared" si="6"/>
        <v>0.5</v>
      </c>
      <c r="H26" s="293">
        <v>4</v>
      </c>
      <c r="I26" s="258">
        <v>1.5</v>
      </c>
      <c r="J26" s="259">
        <f t="shared" si="4"/>
        <v>0.375</v>
      </c>
      <c r="K26" s="259">
        <f>+L26/L95</f>
        <v>5.3018998427868093E-2</v>
      </c>
      <c r="L26" s="258">
        <f>+'[1]MATRIZ CONSOLIDADA '!M24</f>
        <v>1893687007.3836696</v>
      </c>
      <c r="M26" s="258">
        <f>+'[1]MATRIZ CONSOLIDADA '!O24</f>
        <v>764911651</v>
      </c>
      <c r="N26" s="301">
        <f t="shared" si="0"/>
        <v>0.40392717910485482</v>
      </c>
      <c r="O26" s="306">
        <v>131128491</v>
      </c>
      <c r="P26" s="259">
        <f t="shared" si="3"/>
        <v>0.17142959036977723</v>
      </c>
      <c r="Q26" s="306">
        <f t="shared" si="1"/>
        <v>633783160</v>
      </c>
      <c r="R26" s="293">
        <v>147757580</v>
      </c>
      <c r="S26" s="293">
        <f>+M26+'[3]Anexo 1 Matriz SINA Inf Gestión'!$S$71</f>
        <v>786129197</v>
      </c>
      <c r="T26" s="259">
        <f t="shared" si="7"/>
        <v>5.3203984323511522</v>
      </c>
      <c r="U26" s="286"/>
      <c r="V26" s="300" t="s">
        <v>156</v>
      </c>
      <c r="W26" s="300"/>
      <c r="X26" s="300"/>
    </row>
    <row r="27" spans="1:24" ht="22.5" x14ac:dyDescent="0.25">
      <c r="A27" s="290" t="str">
        <f>+'[1]MATRIZ CONSOLIDADA '!A25</f>
        <v>PROGRAMA 3202 - CONSERVACIÓN DE LA BIODIVERSIDAD Y LOS SERVICIOS ECOSISTÉMICOS</v>
      </c>
      <c r="B27" s="264"/>
      <c r="C27" s="264"/>
      <c r="D27" s="264"/>
      <c r="E27" s="264">
        <f>AVERAGE(E28,E39,E43)</f>
        <v>27.544444444444441</v>
      </c>
      <c r="F27" s="264"/>
      <c r="G27" s="265">
        <f>+E27/100</f>
        <v>0.27544444444444438</v>
      </c>
      <c r="H27" s="298"/>
      <c r="I27" s="298"/>
      <c r="J27" s="265">
        <f>AVERAGE(J28,J39,J43)</f>
        <v>0.36375166666666664</v>
      </c>
      <c r="K27" s="278">
        <f>+L27/L95</f>
        <v>0.21230216501113033</v>
      </c>
      <c r="L27" s="280">
        <f>SUM(L28+L39+L43)</f>
        <v>7582826221.5847998</v>
      </c>
      <c r="M27" s="280">
        <f>SUM(M28+M39+M43)</f>
        <v>2551926672</v>
      </c>
      <c r="N27" s="304">
        <f>((M27/L27))</f>
        <v>0.33654030798382861</v>
      </c>
      <c r="O27" s="274">
        <f>SUM(O28+O39+O43)</f>
        <v>358972955</v>
      </c>
      <c r="P27" s="278">
        <f>+O27/M27</f>
        <v>0.1406674254941131</v>
      </c>
      <c r="Q27" s="274">
        <f>+M27-O27</f>
        <v>2192953717</v>
      </c>
      <c r="R27" s="280">
        <f>SUM(R28+R39+R43)</f>
        <v>28866379390</v>
      </c>
      <c r="S27" s="280">
        <f>+S28+S39+S43</f>
        <v>8446432304.7839994</v>
      </c>
      <c r="T27" s="278">
        <f t="shared" si="7"/>
        <v>0.29260449295244989</v>
      </c>
      <c r="U27" s="280"/>
      <c r="V27" s="280"/>
      <c r="W27" s="280"/>
      <c r="X27" s="280"/>
    </row>
    <row r="28" spans="1:24" ht="22.5" x14ac:dyDescent="0.25">
      <c r="A28" s="289" t="str">
        <f>+'[1]MATRIZ CONSOLIDADA '!A26</f>
        <v>Proyecto 320201 - Gestión de la biodiversidad y sus servicios ecosistémicos</v>
      </c>
      <c r="B28" s="255"/>
      <c r="C28" s="255"/>
      <c r="D28" s="255"/>
      <c r="E28" s="255">
        <f>AVERAGE(E29:E38)</f>
        <v>29.3</v>
      </c>
      <c r="F28" s="255"/>
      <c r="G28" s="256">
        <f>+E28/100</f>
        <v>0.29299999999999998</v>
      </c>
      <c r="H28" s="257"/>
      <c r="I28" s="257"/>
      <c r="J28" s="256">
        <f>AVERAGE(J29:J38)</f>
        <v>0.37458833333333336</v>
      </c>
      <c r="K28" s="256">
        <f>SUM(K29:K38)</f>
        <v>0.12119743907373991</v>
      </c>
      <c r="L28" s="269">
        <f>SUM(L29:L38)</f>
        <v>4328825939.9007998</v>
      </c>
      <c r="M28" s="269">
        <f>SUM(M29:M38)</f>
        <v>856426935</v>
      </c>
      <c r="N28" s="303">
        <f>((M28/L28))</f>
        <v>0.19784277466689409</v>
      </c>
      <c r="O28" s="277">
        <f>+O37+O38</f>
        <v>87810844</v>
      </c>
      <c r="P28" s="276">
        <f>+O28/M28</f>
        <v>0.10253162343615455</v>
      </c>
      <c r="Q28" s="277">
        <f>+M28-O28</f>
        <v>768616091</v>
      </c>
      <c r="R28" s="269">
        <f>SUM(R29:R38)</f>
        <v>16214287631</v>
      </c>
      <c r="S28" s="269">
        <f>SUM(S29:S38)</f>
        <v>4736364493.8919992</v>
      </c>
      <c r="T28" s="276">
        <f t="shared" si="7"/>
        <v>0.29211055099556593</v>
      </c>
      <c r="U28" s="269"/>
      <c r="V28" s="269"/>
      <c r="W28" s="269"/>
      <c r="X28" s="269"/>
    </row>
    <row r="29" spans="1:24" ht="56.25" x14ac:dyDescent="0.25">
      <c r="A29" s="288" t="str">
        <f>+'[1]MATRIZ CONSOLIDADA '!A27</f>
        <v>No. predios apoyados para su caracterización y/o gestión como reserva natural de la sociedad civil</v>
      </c>
      <c r="B29" s="258" t="str">
        <f>+'[1]MATRIZ CONSOLIDADA '!C27</f>
        <v>Predios</v>
      </c>
      <c r="C29" s="258">
        <f>+'[1]MATRIZ CONSOLIDADA '!L27</f>
        <v>30</v>
      </c>
      <c r="D29" s="258">
        <f>+'[1]MATRIZ CONSOLIDADA '!N27</f>
        <v>4</v>
      </c>
      <c r="E29" s="258">
        <f t="shared" ref="E29:E37" si="8">+(D29/C29)*100</f>
        <v>13.333333333333334</v>
      </c>
      <c r="F29" s="258"/>
      <c r="G29" s="259">
        <f>+E29/100</f>
        <v>0.13333333333333333</v>
      </c>
      <c r="H29" s="293">
        <v>120</v>
      </c>
      <c r="I29" s="258">
        <v>34</v>
      </c>
      <c r="J29" s="259">
        <f>((I29/H29))</f>
        <v>0.28333333333333333</v>
      </c>
      <c r="K29" s="259">
        <f>+L29/L95</f>
        <v>1.8097084346015437E-3</v>
      </c>
      <c r="L29" s="258">
        <f>+'[1]MATRIZ CONSOLIDADA '!M27</f>
        <v>64637610.127999999</v>
      </c>
      <c r="M29" s="258">
        <f>+'[1]MATRIZ CONSOLIDADA '!O27</f>
        <v>29637610</v>
      </c>
      <c r="N29" s="301">
        <f>((M29/L29))</f>
        <v>0.45851958235011309</v>
      </c>
      <c r="O29" s="306">
        <v>0</v>
      </c>
      <c r="P29" s="259">
        <f>+O29/M29</f>
        <v>0</v>
      </c>
      <c r="Q29" s="306">
        <f>+M29-O29</f>
        <v>29637610</v>
      </c>
      <c r="R29" s="293">
        <v>453707942</v>
      </c>
      <c r="S29" s="293">
        <f>+M29+'[3]Anexo 1 Matriz SINA Inf Gestión'!$S$8</f>
        <v>156531511.28258124</v>
      </c>
      <c r="T29" s="259">
        <f t="shared" si="7"/>
        <v>0.34500500606749623</v>
      </c>
      <c r="U29" s="258"/>
      <c r="V29" s="300" t="s">
        <v>144</v>
      </c>
      <c r="W29" s="300"/>
      <c r="X29" s="300" t="s">
        <v>145</v>
      </c>
    </row>
    <row r="30" spans="1:24" ht="56.25" x14ac:dyDescent="0.25">
      <c r="A30" s="288" t="str">
        <f>+'[1]MATRIZ CONSOLIDADA '!A28</f>
        <v>No. ecosistemas compartidos planificados y/o gestionados por la Corporación</v>
      </c>
      <c r="B30" s="258" t="str">
        <f>+'[1]MATRIZ CONSOLIDADA '!C28</f>
        <v>Und</v>
      </c>
      <c r="C30" s="258">
        <f>+'[1]MATRIZ CONSOLIDADA '!L28</f>
        <v>3</v>
      </c>
      <c r="D30" s="258">
        <f>+'[1]MATRIZ CONSOLIDADA '!N28</f>
        <v>2</v>
      </c>
      <c r="E30" s="258">
        <f t="shared" si="8"/>
        <v>66.666666666666657</v>
      </c>
      <c r="F30" s="258"/>
      <c r="G30" s="259">
        <f t="shared" ref="G30:G76" si="9">+E30/100</f>
        <v>0.66666666666666652</v>
      </c>
      <c r="H30" s="293">
        <f>+'[1]MATRIZ CONSOLIDADA '!D28</f>
        <v>3</v>
      </c>
      <c r="I30" s="258">
        <f>+'[1]MATRIZ CONSOLIDADA '!F28</f>
        <v>2.5</v>
      </c>
      <c r="J30" s="295">
        <v>0.41754999999999998</v>
      </c>
      <c r="K30" s="259">
        <f>+L30/L95</f>
        <v>3.0808737474854351E-3</v>
      </c>
      <c r="L30" s="258">
        <f>+'[1]MATRIZ CONSOLIDADA '!M28</f>
        <v>110040000</v>
      </c>
      <c r="M30" s="258">
        <f>+'[1]MATRIZ CONSOLIDADA '!O28</f>
        <v>0</v>
      </c>
      <c r="N30" s="301">
        <f t="shared" ref="N30:N39" si="10">((M30/L30))</f>
        <v>0</v>
      </c>
      <c r="O30" s="306">
        <v>0</v>
      </c>
      <c r="P30" s="259">
        <v>0</v>
      </c>
      <c r="Q30" s="306">
        <f t="shared" ref="Q30:Q44" si="11">+M30-O30</f>
        <v>0</v>
      </c>
      <c r="R30" s="293">
        <v>415160000</v>
      </c>
      <c r="S30" s="293">
        <f>+'[3]Anexo 1 Matriz SINA Inf Gestión'!$S$9</f>
        <v>104999999.692</v>
      </c>
      <c r="T30" s="259">
        <f t="shared" si="7"/>
        <v>0.25291453823104348</v>
      </c>
      <c r="U30" s="258"/>
      <c r="V30" s="300" t="s">
        <v>144</v>
      </c>
      <c r="W30" s="300"/>
      <c r="X30" s="300" t="s">
        <v>145</v>
      </c>
    </row>
    <row r="31" spans="1:24" ht="56.25" x14ac:dyDescent="0.25">
      <c r="A31" s="288" t="str">
        <f>+'[1]MATRIZ CONSOLIDADA '!A29</f>
        <v>No.de áreas estratégicas con desarrollo de actividades de investigacion-monitoreo y estudios de caracterización de la biodiversidad con participación comunitaria</v>
      </c>
      <c r="B31" s="258" t="str">
        <f>+'[1]MATRIZ CONSOLIDADA '!C29</f>
        <v>Und</v>
      </c>
      <c r="C31" s="258">
        <f>+'[1]MATRIZ CONSOLIDADA '!L29</f>
        <v>2</v>
      </c>
      <c r="D31" s="258">
        <f>+'[1]MATRIZ CONSOLIDADA '!N29</f>
        <v>0</v>
      </c>
      <c r="E31" s="258">
        <f t="shared" si="8"/>
        <v>0</v>
      </c>
      <c r="F31" s="258"/>
      <c r="G31" s="259">
        <f t="shared" si="9"/>
        <v>0</v>
      </c>
      <c r="H31" s="293">
        <v>5</v>
      </c>
      <c r="I31" s="258">
        <v>2</v>
      </c>
      <c r="J31" s="259">
        <f t="shared" ref="J31:J93" si="12">((I31/H31))</f>
        <v>0.4</v>
      </c>
      <c r="K31" s="259">
        <f>+L31/L95</f>
        <v>2.5639378218846884E-3</v>
      </c>
      <c r="L31" s="258">
        <f>+'[1]MATRIZ CONSOLIDADA '!M29</f>
        <v>91576527</v>
      </c>
      <c r="M31" s="258">
        <f>+'[1]MATRIZ CONSOLIDADA '!O29</f>
        <v>0</v>
      </c>
      <c r="N31" s="301">
        <f t="shared" si="10"/>
        <v>0</v>
      </c>
      <c r="O31" s="306">
        <v>0</v>
      </c>
      <c r="P31" s="259">
        <v>0</v>
      </c>
      <c r="Q31" s="306">
        <f t="shared" si="11"/>
        <v>0</v>
      </c>
      <c r="R31" s="293">
        <v>719012718</v>
      </c>
      <c r="S31" s="293">
        <f>+'[3]Anexo 1 Matriz SINA Inf Gestión'!$S$10</f>
        <v>317931145</v>
      </c>
      <c r="T31" s="259">
        <f t="shared" si="7"/>
        <v>0.44217735937182684</v>
      </c>
      <c r="U31" s="258"/>
      <c r="V31" s="300" t="s">
        <v>144</v>
      </c>
      <c r="W31" s="300"/>
      <c r="X31" s="300" t="s">
        <v>145</v>
      </c>
    </row>
    <row r="32" spans="1:24" ht="56.25" x14ac:dyDescent="0.25">
      <c r="A32" s="288" t="str">
        <f>+'[1]MATRIZ CONSOLIDADA '!A30</f>
        <v xml:space="preserve">No. De estudios formulados  y/o actualizados de planes de manejo ambiental (PMA) de áreas protegidas </v>
      </c>
      <c r="B32" s="258" t="str">
        <f>+'[1]MATRIZ CONSOLIDADA '!C30</f>
        <v>Und</v>
      </c>
      <c r="C32" s="258">
        <f>+'[1]MATRIZ CONSOLIDADA '!L30</f>
        <v>3</v>
      </c>
      <c r="D32" s="258">
        <f>+'[1]MATRIZ CONSOLIDADA '!N30</f>
        <v>0</v>
      </c>
      <c r="E32" s="258">
        <f t="shared" si="8"/>
        <v>0</v>
      </c>
      <c r="F32" s="258"/>
      <c r="G32" s="259">
        <f t="shared" si="9"/>
        <v>0</v>
      </c>
      <c r="H32" s="293">
        <v>5</v>
      </c>
      <c r="I32" s="258">
        <v>3</v>
      </c>
      <c r="J32" s="259">
        <f t="shared" si="12"/>
        <v>0.6</v>
      </c>
      <c r="K32" s="259">
        <f>+L32/L95</f>
        <v>1.5708536425474082E-2</v>
      </c>
      <c r="L32" s="258">
        <f>+'[1]MATRIZ CONSOLIDADA '!M30</f>
        <v>561064000</v>
      </c>
      <c r="M32" s="258">
        <f>+'[1]MATRIZ CONSOLIDADA '!O30</f>
        <v>0</v>
      </c>
      <c r="N32" s="301">
        <f t="shared" si="10"/>
        <v>0</v>
      </c>
      <c r="O32" s="306">
        <v>0</v>
      </c>
      <c r="P32" s="259">
        <v>0</v>
      </c>
      <c r="Q32" s="306">
        <f t="shared" si="11"/>
        <v>0</v>
      </c>
      <c r="R32" s="293">
        <v>880000000</v>
      </c>
      <c r="S32" s="293">
        <f>+'[3]Anexo 1 Matriz SINA Inf Gestión'!$S$11</f>
        <v>472972539.42073202</v>
      </c>
      <c r="T32" s="259">
        <f t="shared" si="7"/>
        <v>0.5374687947962864</v>
      </c>
      <c r="U32" s="258"/>
      <c r="V32" s="300" t="s">
        <v>144</v>
      </c>
      <c r="W32" s="300"/>
      <c r="X32" s="300" t="s">
        <v>145</v>
      </c>
    </row>
    <row r="33" spans="1:24" ht="56.25" x14ac:dyDescent="0.25">
      <c r="A33" s="288" t="str">
        <f>+'[1]MATRIZ CONSOLIDADA '!A31</f>
        <v>% de estudios elaborados  en ejecución de la Política Ambiental</v>
      </c>
      <c r="B33" s="258" t="str">
        <f>+'[1]MATRIZ CONSOLIDADA '!C31</f>
        <v>%</v>
      </c>
      <c r="C33" s="258">
        <f>+'[1]MATRIZ CONSOLIDADA '!L31</f>
        <v>100</v>
      </c>
      <c r="D33" s="258">
        <f>+'[1]MATRIZ CONSOLIDADA '!N31</f>
        <v>0</v>
      </c>
      <c r="E33" s="258">
        <f t="shared" si="8"/>
        <v>0</v>
      </c>
      <c r="F33" s="258"/>
      <c r="G33" s="259">
        <f t="shared" si="9"/>
        <v>0</v>
      </c>
      <c r="H33" s="293">
        <v>100</v>
      </c>
      <c r="I33" s="258">
        <f>+'[1]MATRIZ CONSOLIDADA '!F31</f>
        <v>25</v>
      </c>
      <c r="J33" s="259">
        <f t="shared" si="12"/>
        <v>0.25</v>
      </c>
      <c r="K33" s="259">
        <f>+L33/L95</f>
        <v>1.5410325527864248E-3</v>
      </c>
      <c r="L33" s="258">
        <f>+'[1]MATRIZ CONSOLIDADA '!M31</f>
        <v>55041275.952</v>
      </c>
      <c r="M33" s="258">
        <f>+'[1]MATRIZ CONSOLIDADA '!O31</f>
        <v>0</v>
      </c>
      <c r="N33" s="301">
        <f t="shared" si="10"/>
        <v>0</v>
      </c>
      <c r="O33" s="306">
        <v>0</v>
      </c>
      <c r="P33" s="259">
        <v>0</v>
      </c>
      <c r="Q33" s="306">
        <f t="shared" si="11"/>
        <v>0</v>
      </c>
      <c r="R33" s="293">
        <v>463000000</v>
      </c>
      <c r="S33" s="293">
        <f>+'[3]Anexo 1 Matriz SINA Inf Gestión'!$S$12</f>
        <v>111339697</v>
      </c>
      <c r="T33" s="259">
        <f t="shared" si="7"/>
        <v>0.24047450755939526</v>
      </c>
      <c r="U33" s="258"/>
      <c r="V33" s="300" t="s">
        <v>146</v>
      </c>
      <c r="W33" s="300"/>
      <c r="X33" s="300" t="s">
        <v>145</v>
      </c>
    </row>
    <row r="34" spans="1:24" ht="56.25" x14ac:dyDescent="0.25">
      <c r="A34" s="287" t="str">
        <f>+'[1]MATRIZ CONSOLIDADA '!A32</f>
        <v>Porcentaje de especies  invasoras con medidas de prevención, control y manejo en ejecución (IM 14)</v>
      </c>
      <c r="B34" s="258" t="str">
        <f>+'[1]MATRIZ CONSOLIDADA '!C32</f>
        <v>%</v>
      </c>
      <c r="C34" s="258">
        <f>+'[1]MATRIZ CONSOLIDADA '!L32</f>
        <v>100</v>
      </c>
      <c r="D34" s="258">
        <f>+'[1]MATRIZ CONSOLIDADA '!N32</f>
        <v>25</v>
      </c>
      <c r="E34" s="258">
        <f t="shared" si="8"/>
        <v>25</v>
      </c>
      <c r="F34" s="258"/>
      <c r="G34" s="259">
        <f t="shared" si="9"/>
        <v>0.25</v>
      </c>
      <c r="H34" s="293">
        <f>+'[1]MATRIZ CONSOLIDADA '!D32</f>
        <v>100</v>
      </c>
      <c r="I34" s="258">
        <v>31</v>
      </c>
      <c r="J34" s="259">
        <f>((I34/H34))</f>
        <v>0.31</v>
      </c>
      <c r="K34" s="259">
        <f>+L34/L95</f>
        <v>3.9209443975084864E-4</v>
      </c>
      <c r="L34" s="258">
        <f>+'[1]MATRIZ CONSOLIDADA '!M32</f>
        <v>14004492.130000001</v>
      </c>
      <c r="M34" s="258">
        <f>+'[1]MATRIZ CONSOLIDADA '!O32</f>
        <v>0</v>
      </c>
      <c r="N34" s="301">
        <f t="shared" si="10"/>
        <v>0</v>
      </c>
      <c r="O34" s="306">
        <v>0</v>
      </c>
      <c r="P34" s="259">
        <v>0</v>
      </c>
      <c r="Q34" s="306">
        <f t="shared" si="11"/>
        <v>0</v>
      </c>
      <c r="R34" s="293">
        <v>19999900</v>
      </c>
      <c r="S34" s="293">
        <f>+'[3]Anexo 1 Matriz SINA Inf Gestión'!$S$13</f>
        <v>4898516</v>
      </c>
      <c r="T34" s="259">
        <f t="shared" si="7"/>
        <v>0.24492702463512317</v>
      </c>
      <c r="U34" s="258"/>
      <c r="V34" s="300" t="s">
        <v>144</v>
      </c>
      <c r="W34" s="300" t="s">
        <v>154</v>
      </c>
      <c r="X34" s="300" t="s">
        <v>145</v>
      </c>
    </row>
    <row r="35" spans="1:24" ht="56.25" x14ac:dyDescent="0.25">
      <c r="A35" s="287" t="str">
        <f>+'[1]MATRIZ CONSOLIDADA '!A33</f>
        <v>Porcentaje de áreas protegidas con planes de manejo en ejecución (IM 12)</v>
      </c>
      <c r="B35" s="258" t="str">
        <f>+'[1]MATRIZ CONSOLIDADA '!C33</f>
        <v>%</v>
      </c>
      <c r="C35" s="258">
        <f>+'[1]MATRIZ CONSOLIDADA '!L33</f>
        <v>100</v>
      </c>
      <c r="D35" s="258">
        <f>+'[1]MATRIZ CONSOLIDADA '!N33</f>
        <v>50</v>
      </c>
      <c r="E35" s="258">
        <f t="shared" si="8"/>
        <v>50</v>
      </c>
      <c r="F35" s="258"/>
      <c r="G35" s="259">
        <f t="shared" si="9"/>
        <v>0.5</v>
      </c>
      <c r="H35" s="293">
        <f>+'[1]MATRIZ CONSOLIDADA '!D33</f>
        <v>100</v>
      </c>
      <c r="I35" s="258">
        <v>37.5</v>
      </c>
      <c r="J35" s="259">
        <f t="shared" si="12"/>
        <v>0.375</v>
      </c>
      <c r="K35" s="259">
        <f>+L35/L95</f>
        <v>6.9739384199789797E-2</v>
      </c>
      <c r="L35" s="258">
        <f>+'[1]MATRIZ CONSOLIDADA '!M33</f>
        <v>2490891372.4907999</v>
      </c>
      <c r="M35" s="258">
        <f>+'[1]MATRIZ CONSOLIDADA '!O33</f>
        <v>670456440</v>
      </c>
      <c r="N35" s="301">
        <f t="shared" si="10"/>
        <v>0.26916325914669181</v>
      </c>
      <c r="O35" s="330">
        <v>0</v>
      </c>
      <c r="P35" s="259">
        <f t="shared" ref="P35:P38" si="13">+O35/M35</f>
        <v>0</v>
      </c>
      <c r="Q35" s="306">
        <f t="shared" si="11"/>
        <v>670456440</v>
      </c>
      <c r="R35" s="293">
        <v>9770431564</v>
      </c>
      <c r="S35" s="293">
        <f>+M35+'[3]Anexo 1 Matriz SINA Inf Gestión'!$S$14</f>
        <v>2739089526.129014</v>
      </c>
      <c r="T35" s="259">
        <f t="shared" si="7"/>
        <v>0.28034478397263701</v>
      </c>
      <c r="U35" s="258"/>
      <c r="V35" s="300" t="s">
        <v>144</v>
      </c>
      <c r="W35" s="307" t="s">
        <v>52</v>
      </c>
      <c r="X35" s="307" t="s">
        <v>145</v>
      </c>
    </row>
    <row r="36" spans="1:24" ht="56.25" x14ac:dyDescent="0.25">
      <c r="A36" s="287" t="str">
        <f>+'[1]MATRIZ CONSOLIDADA '!A34</f>
        <v>Porcentaje de áreas de ecosistemas en restauración, rehabilitación y reforestación (IM 15)</v>
      </c>
      <c r="B36" s="258" t="str">
        <f>+'[1]MATRIZ CONSOLIDADA '!C34</f>
        <v>%</v>
      </c>
      <c r="C36" s="258">
        <f>+'[1]MATRIZ CONSOLIDADA '!L34</f>
        <v>25</v>
      </c>
      <c r="D36" s="258">
        <f>+'[1]MATRIZ CONSOLIDADA '!N34</f>
        <v>12</v>
      </c>
      <c r="E36" s="258">
        <f t="shared" si="8"/>
        <v>48</v>
      </c>
      <c r="F36" s="258"/>
      <c r="G36" s="259">
        <f t="shared" si="9"/>
        <v>0.48</v>
      </c>
      <c r="H36" s="293">
        <v>100</v>
      </c>
      <c r="I36" s="258">
        <v>37.5</v>
      </c>
      <c r="J36" s="259">
        <f t="shared" si="12"/>
        <v>0.375</v>
      </c>
      <c r="K36" s="259">
        <f>+L36/L95</f>
        <v>1.3206066400486785E-2</v>
      </c>
      <c r="L36" s="258">
        <f>+'[1]MATRIZ CONSOLIDADA '!M34</f>
        <v>471682926.92799997</v>
      </c>
      <c r="M36" s="258">
        <f>+'[1]MATRIZ CONSOLIDADA '!O34</f>
        <v>54682153</v>
      </c>
      <c r="N36" s="301">
        <f t="shared" si="10"/>
        <v>0.11592989671289704</v>
      </c>
      <c r="O36" s="330">
        <v>0</v>
      </c>
      <c r="P36" s="259">
        <f t="shared" si="13"/>
        <v>0</v>
      </c>
      <c r="Q36" s="306">
        <f t="shared" si="11"/>
        <v>54682153</v>
      </c>
      <c r="R36" s="293">
        <v>2611729368</v>
      </c>
      <c r="S36" s="293">
        <f>+M36+'[3]Anexo 1 Matriz SINA Inf Gestión'!$S$15</f>
        <v>541973006.73793006</v>
      </c>
      <c r="T36" s="259">
        <f t="shared" si="7"/>
        <v>0.20751499499849024</v>
      </c>
      <c r="U36" s="258"/>
      <c r="V36" s="300" t="s">
        <v>144</v>
      </c>
      <c r="W36" s="300" t="s">
        <v>53</v>
      </c>
      <c r="X36" s="300" t="s">
        <v>145</v>
      </c>
    </row>
    <row r="37" spans="1:24" ht="56.25" x14ac:dyDescent="0.25">
      <c r="A37" s="287" t="str">
        <f>+'[1]MATRIZ CONSOLIDADA '!A35</f>
        <v>Porcentaje de especies amenazadas con medidas de conservación y manejo en ejecución (IM 13)</v>
      </c>
      <c r="B37" s="258" t="str">
        <f>+'[1]MATRIZ CONSOLIDADA '!C35</f>
        <v>%</v>
      </c>
      <c r="C37" s="258">
        <f>+'[1]MATRIZ CONSOLIDADA '!L35</f>
        <v>100</v>
      </c>
      <c r="D37" s="258">
        <f>+'[1]MATRIZ CONSOLIDADA '!N35</f>
        <v>40</v>
      </c>
      <c r="E37" s="258">
        <f t="shared" si="8"/>
        <v>40</v>
      </c>
      <c r="F37" s="258"/>
      <c r="G37" s="259">
        <f t="shared" si="9"/>
        <v>0.4</v>
      </c>
      <c r="H37" s="293">
        <f>+'[1]MATRIZ CONSOLIDADA '!D35</f>
        <v>100</v>
      </c>
      <c r="I37" s="258">
        <v>36</v>
      </c>
      <c r="J37" s="259">
        <f t="shared" si="12"/>
        <v>0.36</v>
      </c>
      <c r="K37" s="259">
        <f>+L37/L95</f>
        <v>9.4243583079303625E-3</v>
      </c>
      <c r="L37" s="258">
        <f>+'[1]MATRIZ CONSOLIDADA '!M35</f>
        <v>336611128.27200001</v>
      </c>
      <c r="M37" s="258">
        <f>+'[1]MATRIZ CONSOLIDADA '!O35</f>
        <v>65410133</v>
      </c>
      <c r="N37" s="301">
        <f t="shared" si="10"/>
        <v>0.1943195797945963</v>
      </c>
      <c r="O37" s="330">
        <v>75763090</v>
      </c>
      <c r="P37" s="259">
        <f t="shared" si="13"/>
        <v>1.1582775714582327</v>
      </c>
      <c r="Q37" s="306">
        <f t="shared" si="11"/>
        <v>-10352957</v>
      </c>
      <c r="R37" s="293">
        <v>657783512</v>
      </c>
      <c r="S37" s="293">
        <f>+M37+'[3]Anexo 1 Matriz SINA Inf Gestión'!$S$16</f>
        <v>202860650.629742</v>
      </c>
      <c r="T37" s="259">
        <f t="shared" si="7"/>
        <v>0.30840032765938652</v>
      </c>
      <c r="U37" s="258"/>
      <c r="V37" s="300" t="s">
        <v>144</v>
      </c>
      <c r="W37" s="300" t="s">
        <v>54</v>
      </c>
      <c r="X37" s="300" t="s">
        <v>145</v>
      </c>
    </row>
    <row r="38" spans="1:24" ht="22.5" x14ac:dyDescent="0.25">
      <c r="A38" s="288" t="str">
        <f>+'[1]MATRIZ CONSOLIDADA '!A36</f>
        <v>Gestión, Operación, Administración y Promoción del Proyecto apoyados</v>
      </c>
      <c r="B38" s="258" t="str">
        <f>+'[1]MATRIZ CONSOLIDADA '!C36</f>
        <v>Global</v>
      </c>
      <c r="C38" s="258">
        <v>1</v>
      </c>
      <c r="D38" s="260">
        <f>+'[1]MATRIZ CONSOLIDADA '!N36</f>
        <v>0.5</v>
      </c>
      <c r="E38" s="258">
        <f>+(D38/C38)*100</f>
        <v>50</v>
      </c>
      <c r="F38" s="258"/>
      <c r="G38" s="259">
        <f t="shared" si="9"/>
        <v>0.5</v>
      </c>
      <c r="H38" s="293">
        <v>4</v>
      </c>
      <c r="I38" s="258">
        <v>1.5</v>
      </c>
      <c r="J38" s="259">
        <f t="shared" si="12"/>
        <v>0.375</v>
      </c>
      <c r="K38" s="259">
        <f>+L38/L95</f>
        <v>3.7314467435499233E-3</v>
      </c>
      <c r="L38" s="258">
        <f>+'[1]MATRIZ CONSOLIDADA '!M36</f>
        <v>133276607</v>
      </c>
      <c r="M38" s="258">
        <v>36240599</v>
      </c>
      <c r="N38" s="301">
        <f t="shared" si="10"/>
        <v>0.27192018026089154</v>
      </c>
      <c r="O38" s="330">
        <v>12047754</v>
      </c>
      <c r="P38" s="259">
        <f t="shared" si="13"/>
        <v>0.33243804827839629</v>
      </c>
      <c r="Q38" s="306">
        <f t="shared" si="11"/>
        <v>24192845</v>
      </c>
      <c r="R38" s="293">
        <v>223462627</v>
      </c>
      <c r="S38" s="293">
        <f>+M38+'[3]Anexo 1 Matriz SINA Inf Gestión'!$S$17</f>
        <v>83767902</v>
      </c>
      <c r="T38" s="259">
        <f t="shared" si="7"/>
        <v>0.37486313986633657</v>
      </c>
      <c r="U38" s="258"/>
      <c r="V38" s="300"/>
      <c r="W38" s="300"/>
      <c r="X38" s="300"/>
    </row>
    <row r="39" spans="1:24" ht="42" customHeight="1" x14ac:dyDescent="0.25">
      <c r="A39" s="289" t="str">
        <f>+'[1]MATRIZ CONSOLIDADA '!A37</f>
        <v>Proyecto 320202 - Control, seguimiento y monitoreo al uso y manejo de los recursos de la oferta natural</v>
      </c>
      <c r="B39" s="255"/>
      <c r="C39" s="255"/>
      <c r="D39" s="266"/>
      <c r="E39" s="255">
        <f>AVERAGE(E40:E42)</f>
        <v>50</v>
      </c>
      <c r="F39" s="255"/>
      <c r="G39" s="256">
        <f t="shared" si="9"/>
        <v>0.5</v>
      </c>
      <c r="H39" s="262"/>
      <c r="I39" s="262"/>
      <c r="J39" s="256">
        <f>AVERAGE(J40:J42)</f>
        <v>0.375</v>
      </c>
      <c r="K39" s="256">
        <f>SUM(K40:K42)</f>
        <v>2.7681462551340949E-2</v>
      </c>
      <c r="L39" s="269">
        <f>SUM(L40:L42)</f>
        <v>988702682.68400002</v>
      </c>
      <c r="M39" s="269">
        <f>SUM(M40:M42)</f>
        <v>751182206</v>
      </c>
      <c r="N39" s="303">
        <f t="shared" si="10"/>
        <v>0.75976551814423054</v>
      </c>
      <c r="O39" s="277">
        <f>SUM(O40:O42)</f>
        <v>271162111</v>
      </c>
      <c r="P39" s="276">
        <f>+O39/M39</f>
        <v>0.36098047695235208</v>
      </c>
      <c r="Q39" s="277">
        <f t="shared" si="11"/>
        <v>480020095</v>
      </c>
      <c r="R39" s="269">
        <f>SUM(R40:R42)</f>
        <v>5358943473</v>
      </c>
      <c r="S39" s="269">
        <f>SUM(S40:S42)</f>
        <v>1898495212.056</v>
      </c>
      <c r="T39" s="276">
        <f t="shared" si="7"/>
        <v>0.35426669857989751</v>
      </c>
      <c r="U39" s="269"/>
      <c r="V39" s="269"/>
      <c r="W39" s="269"/>
      <c r="X39" s="269"/>
    </row>
    <row r="40" spans="1:24" ht="33.75" x14ac:dyDescent="0.25">
      <c r="A40" s="288" t="str">
        <f>+'[1]MATRIZ CONSOLIDADA '!A38</f>
        <v>No. estrategias de control implementadas para extracción  ilegal de los recursos naturales. RED DE CONTROL AMBIENTAL RECAM</v>
      </c>
      <c r="B40" s="258" t="str">
        <f>+'[1]MATRIZ CONSOLIDADA '!C38</f>
        <v>Und</v>
      </c>
      <c r="C40" s="258">
        <f>+'[1]MATRIZ CONSOLIDADA '!L38</f>
        <v>1</v>
      </c>
      <c r="D40" s="260">
        <f>+'[1]MATRIZ CONSOLIDADA '!N38</f>
        <v>0.5</v>
      </c>
      <c r="E40" s="258">
        <f t="shared" ref="E40:E54" si="14">+(D40/C40)*100</f>
        <v>50</v>
      </c>
      <c r="F40" s="267"/>
      <c r="G40" s="259">
        <f t="shared" si="9"/>
        <v>0.5</v>
      </c>
      <c r="H40" s="293">
        <v>4</v>
      </c>
      <c r="I40" s="258">
        <v>1.5</v>
      </c>
      <c r="J40" s="259">
        <f t="shared" si="12"/>
        <v>0.375</v>
      </c>
      <c r="K40" s="259">
        <f>+L40/L95</f>
        <v>1.7773704184922749E-2</v>
      </c>
      <c r="L40" s="258">
        <f>+'[1]MATRIZ CONSOLIDADA '!M38</f>
        <v>634825886.68400002</v>
      </c>
      <c r="M40" s="258">
        <f>+'[1]MATRIZ CONSOLIDADA '!O38</f>
        <v>514576558</v>
      </c>
      <c r="N40" s="301">
        <f t="shared" ref="N40:N62" si="15">+M40/L40</f>
        <v>0.81057904032218986</v>
      </c>
      <c r="O40" s="306">
        <v>220197332</v>
      </c>
      <c r="P40" s="259">
        <f>+O40/M40</f>
        <v>0.42791947782432793</v>
      </c>
      <c r="Q40" s="306">
        <f t="shared" si="11"/>
        <v>294379226</v>
      </c>
      <c r="R40" s="258">
        <v>3927676690</v>
      </c>
      <c r="S40" s="293">
        <f>+'[3]Anexo 1 Matriz SINA Inf Gestión'!$S$57+M40</f>
        <v>1363330408.056</v>
      </c>
      <c r="T40" s="259">
        <f t="shared" si="7"/>
        <v>0.34710861296885409</v>
      </c>
      <c r="U40" s="258"/>
      <c r="V40" s="300" t="s">
        <v>144</v>
      </c>
      <c r="W40" s="300"/>
      <c r="X40" s="300"/>
    </row>
    <row r="41" spans="1:24" ht="33.75" x14ac:dyDescent="0.25">
      <c r="A41" s="288" t="str">
        <f>+'[1]MATRIZ CONSOLIDADA '!A39</f>
        <v>Estrategias de control a la deforestacion y conservacion y uso sostenible de los bosques en el departamento del Huila implementada</v>
      </c>
      <c r="B41" s="258" t="str">
        <f>+'[1]MATRIZ CONSOLIDADA '!C39</f>
        <v>Und</v>
      </c>
      <c r="C41" s="258">
        <f>+'[1]MATRIZ CONSOLIDADA '!L39</f>
        <v>1</v>
      </c>
      <c r="D41" s="260">
        <f>+'[1]MATRIZ CONSOLIDADA '!N39</f>
        <v>0.5</v>
      </c>
      <c r="E41" s="258">
        <f t="shared" si="14"/>
        <v>50</v>
      </c>
      <c r="F41" s="267"/>
      <c r="G41" s="259">
        <f t="shared" si="9"/>
        <v>0.5</v>
      </c>
      <c r="H41" s="293">
        <v>4</v>
      </c>
      <c r="I41" s="258">
        <v>1.5</v>
      </c>
      <c r="J41" s="259">
        <f t="shared" si="12"/>
        <v>0.375</v>
      </c>
      <c r="K41" s="259">
        <f>+L41/L95</f>
        <v>1.5769571546970977E-3</v>
      </c>
      <c r="L41" s="258">
        <f>+'[1]MATRIZ CONSOLIDADA '!M39</f>
        <v>56324400</v>
      </c>
      <c r="M41" s="258">
        <f>+'[1]MATRIZ CONSOLIDADA '!O39</f>
        <v>33132000</v>
      </c>
      <c r="N41" s="301">
        <f t="shared" si="15"/>
        <v>0.58823529411764708</v>
      </c>
      <c r="O41" s="306">
        <v>9939600</v>
      </c>
      <c r="P41" s="259">
        <f>+O41/M41</f>
        <v>0.3</v>
      </c>
      <c r="Q41" s="306">
        <f t="shared" si="11"/>
        <v>23192400</v>
      </c>
      <c r="R41" s="258">
        <v>128306447</v>
      </c>
      <c r="S41" s="293">
        <f>+M41+'[3]Anexo 1 Matriz SINA Inf Gestión'!$S$58</f>
        <v>58131600</v>
      </c>
      <c r="T41" s="259">
        <f t="shared" si="7"/>
        <v>0.45306842609397485</v>
      </c>
      <c r="U41" s="258"/>
      <c r="V41" s="300" t="s">
        <v>144</v>
      </c>
      <c r="W41" s="300"/>
      <c r="X41" s="300"/>
    </row>
    <row r="42" spans="1:24" ht="37.5" customHeight="1" x14ac:dyDescent="0.25">
      <c r="A42" s="288" t="str">
        <f>+'[1]MATRIZ CONSOLIDADA '!A40</f>
        <v>Estrategia para la preservación, conservación, rehabilitación y/o reintroducción, control y seguimiento a la fauna silvestre formulada e implementada</v>
      </c>
      <c r="B42" s="258" t="str">
        <f>+'[1]MATRIZ CONSOLIDADA '!C40</f>
        <v>Und</v>
      </c>
      <c r="C42" s="258">
        <f>+'[1]MATRIZ CONSOLIDADA '!L40</f>
        <v>1</v>
      </c>
      <c r="D42" s="260">
        <f>+'[1]MATRIZ CONSOLIDADA '!N40</f>
        <v>0.5</v>
      </c>
      <c r="E42" s="258">
        <f t="shared" si="14"/>
        <v>50</v>
      </c>
      <c r="F42" s="267"/>
      <c r="G42" s="259">
        <f t="shared" si="9"/>
        <v>0.5</v>
      </c>
      <c r="H42" s="293">
        <v>4</v>
      </c>
      <c r="I42" s="258">
        <v>1.5</v>
      </c>
      <c r="J42" s="259">
        <f t="shared" si="12"/>
        <v>0.375</v>
      </c>
      <c r="K42" s="259">
        <f>+L42/L95</f>
        <v>8.330801211721103E-3</v>
      </c>
      <c r="L42" s="258">
        <f>+'[1]MATRIZ CONSOLIDADA '!M40</f>
        <v>297552396</v>
      </c>
      <c r="M42" s="258">
        <f>+'[1]MATRIZ CONSOLIDADA '!O40</f>
        <v>203473648</v>
      </c>
      <c r="N42" s="301">
        <f t="shared" si="15"/>
        <v>0.68382459941609741</v>
      </c>
      <c r="O42" s="306">
        <v>41025179</v>
      </c>
      <c r="P42" s="259">
        <f>+O42/M42</f>
        <v>0.2016240402786704</v>
      </c>
      <c r="Q42" s="306">
        <f t="shared" si="11"/>
        <v>162448469</v>
      </c>
      <c r="R42" s="258">
        <v>1302960336</v>
      </c>
      <c r="S42" s="293">
        <f>+M42+'[3]Anexo 1 Matriz SINA Inf Gestión'!$S$59</f>
        <v>477033204</v>
      </c>
      <c r="T42" s="259">
        <f t="shared" si="7"/>
        <v>0.36611490835128535</v>
      </c>
      <c r="U42" s="258"/>
      <c r="V42" s="300" t="s">
        <v>144</v>
      </c>
      <c r="W42" s="300"/>
      <c r="X42" s="300"/>
    </row>
    <row r="43" spans="1:24" ht="36" customHeight="1" x14ac:dyDescent="0.25">
      <c r="A43" s="289" t="str">
        <f>+'[1]MATRIZ CONSOLIDADA '!A41</f>
        <v>Proyecto 320203 -  Restauración, reforestación y protección de ecosistemas estratégicos en cuencas hidrográficas</v>
      </c>
      <c r="B43" s="268"/>
      <c r="C43" s="268"/>
      <c r="D43" s="255"/>
      <c r="E43" s="255">
        <f>AVERAGE(E44:E49)</f>
        <v>3.3333333333333335</v>
      </c>
      <c r="F43" s="268"/>
      <c r="G43" s="256">
        <f t="shared" si="9"/>
        <v>3.3333333333333333E-2</v>
      </c>
      <c r="H43" s="262"/>
      <c r="I43" s="262"/>
      <c r="J43" s="256">
        <f>AVERAGE(J44:J49)</f>
        <v>0.34166666666666662</v>
      </c>
      <c r="K43" s="256">
        <f>SUM(K44:K49)</f>
        <v>6.3423263386049505E-2</v>
      </c>
      <c r="L43" s="269">
        <f>SUM(L44:L49)</f>
        <v>2265297599</v>
      </c>
      <c r="M43" s="269">
        <f>SUM(M44:M49)</f>
        <v>944317531</v>
      </c>
      <c r="N43" s="302">
        <f>+M43/L43</f>
        <v>0.41686246055125936</v>
      </c>
      <c r="O43" s="277">
        <f>SUM(O44:O49)</f>
        <v>0</v>
      </c>
      <c r="P43" s="276">
        <v>0</v>
      </c>
      <c r="Q43" s="277">
        <f t="shared" si="11"/>
        <v>944317531</v>
      </c>
      <c r="R43" s="269">
        <f>SUM(R44:R49)</f>
        <v>7293148286</v>
      </c>
      <c r="S43" s="269">
        <f>SUM(S44:S49)</f>
        <v>1811572598.8360002</v>
      </c>
      <c r="T43" s="276">
        <f t="shared" si="7"/>
        <v>0.24839377012442115</v>
      </c>
      <c r="U43" s="269"/>
      <c r="V43" s="269"/>
      <c r="W43" s="269"/>
      <c r="X43" s="269"/>
    </row>
    <row r="44" spans="1:24" ht="22.5" x14ac:dyDescent="0.25">
      <c r="A44" s="287" t="str">
        <f>+'[1]MATRIZ CONSOLIDADA '!A42</f>
        <v>Porcentaje de suelos degradados en recuperación o rehabilitacón (IM 8)</v>
      </c>
      <c r="B44" s="258" t="str">
        <f>+'[1]MATRIZ CONSOLIDADA '!C42</f>
        <v>%</v>
      </c>
      <c r="C44" s="258">
        <f>+'[1]MATRIZ CONSOLIDADA '!L42</f>
        <v>100</v>
      </c>
      <c r="D44" s="258">
        <f>+'[1]MATRIZ CONSOLIDADA '!N42</f>
        <v>0</v>
      </c>
      <c r="E44" s="258">
        <f t="shared" si="14"/>
        <v>0</v>
      </c>
      <c r="F44" s="267"/>
      <c r="G44" s="259">
        <f t="shared" si="9"/>
        <v>0</v>
      </c>
      <c r="H44" s="293">
        <f>+'[1]MATRIZ CONSOLIDADA '!D42</f>
        <v>100</v>
      </c>
      <c r="I44" s="258">
        <v>25</v>
      </c>
      <c r="J44" s="259">
        <f t="shared" si="12"/>
        <v>0.25</v>
      </c>
      <c r="K44" s="259">
        <f>+L44/L95</f>
        <v>1.7965968382201051E-2</v>
      </c>
      <c r="L44" s="258">
        <f>+'[1]MATRIZ CONSOLIDADA '!M42</f>
        <v>641693014</v>
      </c>
      <c r="M44" s="258">
        <f>+'[1]MATRIZ CONSOLIDADA '!N42</f>
        <v>0</v>
      </c>
      <c r="N44" s="301">
        <f t="shared" si="15"/>
        <v>0</v>
      </c>
      <c r="O44" s="306">
        <v>0</v>
      </c>
      <c r="P44" s="259">
        <v>0</v>
      </c>
      <c r="Q44" s="306">
        <f t="shared" si="11"/>
        <v>0</v>
      </c>
      <c r="R44" s="293">
        <v>122000000</v>
      </c>
      <c r="S44" s="293">
        <f>+'[3]Anexo 1 Matriz SINA Inf Gestión'!$S$21</f>
        <v>121973987</v>
      </c>
      <c r="T44" s="259">
        <f t="shared" si="7"/>
        <v>0.99978677868852461</v>
      </c>
      <c r="U44" s="258"/>
      <c r="V44" s="300" t="s">
        <v>157</v>
      </c>
      <c r="W44" s="300" t="s">
        <v>60</v>
      </c>
      <c r="X44" s="300" t="s">
        <v>147</v>
      </c>
    </row>
    <row r="45" spans="1:24" ht="45" x14ac:dyDescent="0.25">
      <c r="A45" s="288" t="str">
        <f>+'[1]MATRIZ CONSOLIDADA '!A43</f>
        <v xml:space="preserve">Ha. recuperadas  y/o rehabilitadas, de suelos degradados por erosión y/o afectación de incendios forestales. Incluye asistencia técnica, capacitación, interventoria, apoyo losgístico </v>
      </c>
      <c r="B45" s="258" t="str">
        <f>+'[1]MATRIZ CONSOLIDADA '!C43</f>
        <v xml:space="preserve">Hectáreas </v>
      </c>
      <c r="C45" s="258">
        <f>+'[1]MATRIZ CONSOLIDADA '!L43</f>
        <v>25</v>
      </c>
      <c r="D45" s="258">
        <f>+'[1]MATRIZ CONSOLIDADA '!N43</f>
        <v>0</v>
      </c>
      <c r="E45" s="258">
        <f t="shared" si="14"/>
        <v>0</v>
      </c>
      <c r="F45" s="267"/>
      <c r="G45" s="259">
        <f t="shared" si="9"/>
        <v>0</v>
      </c>
      <c r="H45" s="293">
        <v>175</v>
      </c>
      <c r="I45" s="258">
        <v>25</v>
      </c>
      <c r="J45" s="259">
        <f t="shared" si="12"/>
        <v>0.14285714285714285</v>
      </c>
      <c r="K45" s="259" t="s">
        <v>38</v>
      </c>
      <c r="L45" s="258" t="s">
        <v>38</v>
      </c>
      <c r="M45" s="258">
        <v>0</v>
      </c>
      <c r="N45" s="301">
        <v>0</v>
      </c>
      <c r="O45" s="306">
        <v>0</v>
      </c>
      <c r="P45" s="259" t="s">
        <v>38</v>
      </c>
      <c r="Q45" s="306" t="s">
        <v>38</v>
      </c>
      <c r="R45" s="293">
        <v>378037761</v>
      </c>
      <c r="S45" s="293">
        <f>+'[3]Anexo 1 Matriz SINA Inf Gestión'!$S$22</f>
        <v>39246082.82</v>
      </c>
      <c r="T45" s="259">
        <f t="shared" si="7"/>
        <v>0.10381524511251139</v>
      </c>
      <c r="U45" s="258"/>
      <c r="V45" s="300" t="s">
        <v>157</v>
      </c>
      <c r="W45" s="300"/>
      <c r="X45" s="300"/>
    </row>
    <row r="46" spans="1:24" ht="33.75" x14ac:dyDescent="0.25">
      <c r="A46" s="288" t="str">
        <f>+'[1]MATRIZ CONSOLIDADA '!A44</f>
        <v>Porcentaje de áreas reforestadas gestionadas y con mantenimiento para la protección de cuencas abastecedoras</v>
      </c>
      <c r="B46" s="258" t="str">
        <f>+'[1]MATRIZ CONSOLIDADA '!C44</f>
        <v>%</v>
      </c>
      <c r="C46" s="258">
        <f>+'[1]MATRIZ CONSOLIDADA '!L44</f>
        <v>100</v>
      </c>
      <c r="D46" s="258">
        <f>+'[1]MATRIZ CONSOLIDADA '!N44</f>
        <v>10</v>
      </c>
      <c r="E46" s="258">
        <f t="shared" si="14"/>
        <v>10</v>
      </c>
      <c r="F46" s="288" t="s">
        <v>165</v>
      </c>
      <c r="G46" s="259">
        <f t="shared" si="9"/>
        <v>0.1</v>
      </c>
      <c r="H46" s="293">
        <f>+'[1]MATRIZ CONSOLIDADA '!D44</f>
        <v>100</v>
      </c>
      <c r="I46" s="258">
        <v>25</v>
      </c>
      <c r="J46" s="259">
        <f t="shared" si="12"/>
        <v>0.25</v>
      </c>
      <c r="K46" s="259">
        <f>+L46/L95</f>
        <v>9.0699795376111628E-3</v>
      </c>
      <c r="L46" s="258">
        <f>+'[1]MATRIZ CONSOLIDADA '!M44</f>
        <v>323953732</v>
      </c>
      <c r="M46" s="258">
        <f>+'[1]MATRIZ CONSOLIDADA '!O44</f>
        <v>0</v>
      </c>
      <c r="N46" s="301">
        <f t="shared" si="15"/>
        <v>0</v>
      </c>
      <c r="O46" s="306">
        <v>0</v>
      </c>
      <c r="P46" s="259">
        <v>0</v>
      </c>
      <c r="Q46" s="306">
        <f t="shared" ref="Q46:Q73" si="16">+M46-O46</f>
        <v>0</v>
      </c>
      <c r="R46" s="293">
        <v>1301609346</v>
      </c>
      <c r="S46" s="293">
        <f>+'[3]Anexo 1 Matriz SINA Inf Gestión'!$S$23</f>
        <v>304251579.764</v>
      </c>
      <c r="T46" s="259">
        <f t="shared" si="7"/>
        <v>0.23375030357534018</v>
      </c>
      <c r="U46" s="258"/>
      <c r="V46" s="300" t="s">
        <v>157</v>
      </c>
      <c r="W46" s="300"/>
      <c r="X46" s="300" t="s">
        <v>147</v>
      </c>
    </row>
    <row r="47" spans="1:24" ht="22.5" x14ac:dyDescent="0.25">
      <c r="A47" s="288" t="str">
        <f>+'[1]MATRIZ CONSOLIDADA '!A45</f>
        <v xml:space="preserve">Ha. revegetalizadas naturalmente para la protección de cuencas abastecedoras </v>
      </c>
      <c r="B47" s="258" t="str">
        <f>+'[1]MATRIZ CONSOLIDADA '!C45</f>
        <v xml:space="preserve">Hectáreas </v>
      </c>
      <c r="C47" s="258">
        <f>+'[1]MATRIZ CONSOLIDADA '!L45</f>
        <v>500</v>
      </c>
      <c r="D47" s="258">
        <f>+'[1]MATRIZ CONSOLIDADA '!N45</f>
        <v>0</v>
      </c>
      <c r="E47" s="258">
        <f t="shared" si="14"/>
        <v>0</v>
      </c>
      <c r="F47" s="288" t="s">
        <v>165</v>
      </c>
      <c r="G47" s="259">
        <f t="shared" si="9"/>
        <v>0</v>
      </c>
      <c r="H47" s="293">
        <f>+'[1]MATRIZ CONSOLIDADA '!D45</f>
        <v>500</v>
      </c>
      <c r="I47" s="258">
        <f>+'[1]MATRIZ CONSOLIDADA '!F45</f>
        <v>250</v>
      </c>
      <c r="J47" s="259">
        <f t="shared" si="12"/>
        <v>0.5</v>
      </c>
      <c r="K47" s="259">
        <f>+L47/L95</f>
        <v>2.6438777631299194E-2</v>
      </c>
      <c r="L47" s="258">
        <f>+'[1]MATRIZ CONSOLIDADA '!M45</f>
        <v>944317531</v>
      </c>
      <c r="M47" s="258">
        <v>944317531</v>
      </c>
      <c r="N47" s="301">
        <f t="shared" si="15"/>
        <v>1</v>
      </c>
      <c r="O47" s="306">
        <v>0</v>
      </c>
      <c r="P47" s="259">
        <v>0</v>
      </c>
      <c r="Q47" s="306">
        <f t="shared" si="16"/>
        <v>944317531</v>
      </c>
      <c r="R47" s="293">
        <v>1750037937</v>
      </c>
      <c r="S47" s="293">
        <f>+'[3]Anexo 1 Matriz SINA Inf Gestión'!$S$24</f>
        <v>673631836.14400005</v>
      </c>
      <c r="T47" s="259">
        <f t="shared" si="7"/>
        <v>0.38492413330123143</v>
      </c>
      <c r="U47" s="258"/>
      <c r="V47" s="300" t="s">
        <v>157</v>
      </c>
      <c r="W47" s="300"/>
      <c r="X47" s="300" t="s">
        <v>147</v>
      </c>
    </row>
    <row r="48" spans="1:24" ht="33.75" x14ac:dyDescent="0.25">
      <c r="A48" s="288" t="str">
        <f>+'[1]MATRIZ CONSOLIDADA '!A46</f>
        <v>Porcentaje de áreas revegetalizadas naturalmente para la protección de cuencas abastecedoras con mantenimiento</v>
      </c>
      <c r="B48" s="258" t="str">
        <f>+'[1]MATRIZ CONSOLIDADA '!C46</f>
        <v>%</v>
      </c>
      <c r="C48" s="258">
        <f>+'[1]MATRIZ CONSOLIDADA '!L46</f>
        <v>100</v>
      </c>
      <c r="D48" s="258">
        <f>+'[1]MATRIZ CONSOLIDADA '!N46</f>
        <v>10</v>
      </c>
      <c r="E48" s="258">
        <f t="shared" si="14"/>
        <v>10</v>
      </c>
      <c r="F48" s="288" t="s">
        <v>164</v>
      </c>
      <c r="G48" s="259">
        <f t="shared" si="9"/>
        <v>0.1</v>
      </c>
      <c r="H48" s="293">
        <f>+'[1]MATRIZ CONSOLIDADA '!D46</f>
        <v>100</v>
      </c>
      <c r="I48" s="258">
        <f>+'[1]MATRIZ CONSOLIDADA '!F46</f>
        <v>55</v>
      </c>
      <c r="J48" s="259">
        <f t="shared" si="12"/>
        <v>0.55000000000000004</v>
      </c>
      <c r="K48" s="259">
        <f>+L48/L95</f>
        <v>7.6993845924981331E-3</v>
      </c>
      <c r="L48" s="258">
        <f>+'[1]MATRIZ CONSOLIDADA '!M46</f>
        <v>275000000</v>
      </c>
      <c r="M48" s="258">
        <f>+'[1]MATRIZ CONSOLIDADA '!O46</f>
        <v>0</v>
      </c>
      <c r="N48" s="301">
        <f t="shared" si="15"/>
        <v>0</v>
      </c>
      <c r="O48" s="306">
        <v>0</v>
      </c>
      <c r="P48" s="259">
        <v>0</v>
      </c>
      <c r="Q48" s="306">
        <f t="shared" si="16"/>
        <v>0</v>
      </c>
      <c r="R48" s="293">
        <v>2290599580</v>
      </c>
      <c r="S48" s="293">
        <f>+'[3]Anexo 1 Matriz SINA Inf Gestión'!$S$25</f>
        <v>334870711.10799998</v>
      </c>
      <c r="T48" s="259">
        <f t="shared" si="7"/>
        <v>0.14619347442122554</v>
      </c>
      <c r="U48" s="258"/>
      <c r="V48" s="300" t="s">
        <v>157</v>
      </c>
      <c r="W48" s="300"/>
      <c r="X48" s="300" t="s">
        <v>147</v>
      </c>
    </row>
    <row r="49" spans="1:24" ht="45" x14ac:dyDescent="0.25">
      <c r="A49" s="288" t="str">
        <f>+'[1]MATRIZ CONSOLIDADA '!A47</f>
        <v>Ha. adquiridas y administradas para la restauración  y conservación de áreas estratégicas en cuencas hidrográficas abastecedoras de acueductos municipales y/o veredales</v>
      </c>
      <c r="B49" s="258" t="str">
        <f>+'[1]MATRIZ CONSOLIDADA '!C47</f>
        <v xml:space="preserve">Hectáreas </v>
      </c>
      <c r="C49" s="258">
        <f>+'[1]MATRIZ CONSOLIDADA '!L47</f>
        <v>350</v>
      </c>
      <c r="D49" s="258">
        <f>+'[1]MATRIZ CONSOLIDADA '!N47</f>
        <v>0</v>
      </c>
      <c r="E49" s="258">
        <f t="shared" si="14"/>
        <v>0</v>
      </c>
      <c r="F49" s="267"/>
      <c r="G49" s="259">
        <f t="shared" si="9"/>
        <v>0</v>
      </c>
      <c r="H49" s="293">
        <v>1400</v>
      </c>
      <c r="I49" s="258">
        <v>500</v>
      </c>
      <c r="J49" s="259">
        <f t="shared" si="12"/>
        <v>0.35714285714285715</v>
      </c>
      <c r="K49" s="259">
        <f>+L49/L95</f>
        <v>2.2491532424399685E-3</v>
      </c>
      <c r="L49" s="258">
        <f>+'[1]MATRIZ CONSOLIDADA '!M47</f>
        <v>80333322</v>
      </c>
      <c r="M49" s="258">
        <f>+'[1]MATRIZ CONSOLIDADA '!O47</f>
        <v>0</v>
      </c>
      <c r="N49" s="301">
        <f t="shared" si="15"/>
        <v>0</v>
      </c>
      <c r="O49" s="306">
        <v>0</v>
      </c>
      <c r="P49" s="259">
        <v>0</v>
      </c>
      <c r="Q49" s="306">
        <f t="shared" si="16"/>
        <v>0</v>
      </c>
      <c r="R49" s="293">
        <v>1450863662</v>
      </c>
      <c r="S49" s="293">
        <f>+'[3]Anexo 1 Matriz SINA Inf Gestión'!$S$26</f>
        <v>337598402</v>
      </c>
      <c r="T49" s="259">
        <f t="shared" si="7"/>
        <v>0.23268788849162039</v>
      </c>
      <c r="U49" s="258"/>
      <c r="V49" s="300" t="s">
        <v>157</v>
      </c>
      <c r="W49" s="300"/>
      <c r="X49" s="300" t="s">
        <v>147</v>
      </c>
    </row>
    <row r="50" spans="1:24" ht="22.5" x14ac:dyDescent="0.25">
      <c r="A50" s="290" t="str">
        <f>+'[1]MATRIZ CONSOLIDADA '!A48</f>
        <v>PROGRAMA 3203 - GESTIÓN INTEGRAL DEL RECURSO HIDRICO</v>
      </c>
      <c r="B50" s="270"/>
      <c r="C50" s="264"/>
      <c r="D50" s="264"/>
      <c r="E50" s="264">
        <f>AVERAGE(E51,E55)</f>
        <v>53.333333333333336</v>
      </c>
      <c r="F50" s="270"/>
      <c r="G50" s="265">
        <f t="shared" si="9"/>
        <v>0.53333333333333333</v>
      </c>
      <c r="H50" s="271"/>
      <c r="I50" s="271"/>
      <c r="J50" s="265">
        <f>AVERAGE(J51,J55)</f>
        <v>0.36892857142857144</v>
      </c>
      <c r="K50" s="278">
        <f>+L50/L95</f>
        <v>0.35897102276851994</v>
      </c>
      <c r="L50" s="280">
        <f>SUM(L51+L55)</f>
        <v>12821418397.195999</v>
      </c>
      <c r="M50" s="280">
        <f>SUM(M51+M55)</f>
        <v>8790461851</v>
      </c>
      <c r="N50" s="304">
        <f t="shared" si="15"/>
        <v>0.68560759649825043</v>
      </c>
      <c r="O50" s="274">
        <f>SUM(O51+O55)</f>
        <v>4364029870</v>
      </c>
      <c r="P50" s="278">
        <f t="shared" ref="P50:P55" si="17">+O50/M50</f>
        <v>0.49645057836222217</v>
      </c>
      <c r="Q50" s="274">
        <f t="shared" si="16"/>
        <v>4426431981</v>
      </c>
      <c r="R50" s="280">
        <f>+R51+R55</f>
        <v>45507997812</v>
      </c>
      <c r="S50" s="280">
        <f>+S51+S55</f>
        <v>20348415478.807999</v>
      </c>
      <c r="T50" s="278">
        <f t="shared" si="7"/>
        <v>0.44713932620965202</v>
      </c>
      <c r="U50" s="280"/>
      <c r="V50" s="280"/>
      <c r="W50" s="280"/>
      <c r="X50" s="280"/>
    </row>
    <row r="51" spans="1:24" ht="22.5" x14ac:dyDescent="0.25">
      <c r="A51" s="289" t="str">
        <f>+'[1]MATRIZ CONSOLIDADA '!A49</f>
        <v xml:space="preserve">Proyecto 320301 - Conservación y uso eficiente del recurso hídrico </v>
      </c>
      <c r="B51" s="268"/>
      <c r="C51" s="268"/>
      <c r="D51" s="272"/>
      <c r="E51" s="272">
        <f>AVERAGE(E52:E54)</f>
        <v>48.333333333333336</v>
      </c>
      <c r="F51" s="268"/>
      <c r="G51" s="256">
        <f t="shared" si="9"/>
        <v>0.48333333333333334</v>
      </c>
      <c r="H51" s="262"/>
      <c r="I51" s="262"/>
      <c r="J51" s="256">
        <f>AVERAGE(J52:J54)</f>
        <v>0.42</v>
      </c>
      <c r="K51" s="256">
        <f>+L51/L95</f>
        <v>0.27107297737427616</v>
      </c>
      <c r="L51" s="269">
        <f>SUM(L52:L54)</f>
        <v>9681951574.487999</v>
      </c>
      <c r="M51" s="269">
        <f>SUM(M52:M54)</f>
        <v>7579214831</v>
      </c>
      <c r="N51" s="302">
        <f>+M51/L51</f>
        <v>0.78281891545205384</v>
      </c>
      <c r="O51" s="277">
        <f>SUM(O52:O54)</f>
        <v>4134895543</v>
      </c>
      <c r="P51" s="276">
        <f t="shared" si="17"/>
        <v>0.54555724243198989</v>
      </c>
      <c r="Q51" s="277">
        <f t="shared" si="16"/>
        <v>3444319288</v>
      </c>
      <c r="R51" s="269">
        <f>SUM(R52:R54)</f>
        <v>35741606564</v>
      </c>
      <c r="S51" s="269">
        <f>SUM(S52:S54)</f>
        <v>16443500088</v>
      </c>
      <c r="T51" s="276">
        <f t="shared" si="7"/>
        <v>0.46006605938532091</v>
      </c>
      <c r="U51" s="269"/>
      <c r="V51" s="269"/>
      <c r="W51" s="269"/>
      <c r="X51" s="269"/>
    </row>
    <row r="52" spans="1:24" ht="56.25" x14ac:dyDescent="0.25">
      <c r="A52" s="287" t="str">
        <f>+'[1]MATRIZ CONSOLIDADA '!A50</f>
        <v xml:space="preserve">Porcentaje de avance en la formulación y/o ajustes de los  Planes de Ordenación y Manejo de Cuencas (POMCAS), Planes de Manejo de Acuíferos (PMA) y Planes de Manejo de Microcuencas (PMM)  (IM 1) </v>
      </c>
      <c r="B52" s="258" t="str">
        <f>+'[1]MATRIZ CONSOLIDADA '!C50</f>
        <v>%</v>
      </c>
      <c r="C52" s="258">
        <f>+'[1]MATRIZ CONSOLIDADA '!L50</f>
        <v>50</v>
      </c>
      <c r="D52" s="258">
        <f>+'[1]MATRIZ CONSOLIDADA '!N50</f>
        <v>15</v>
      </c>
      <c r="E52" s="258">
        <f>+(D52/C52)*100</f>
        <v>30</v>
      </c>
      <c r="F52" s="267"/>
      <c r="G52" s="259">
        <f t="shared" si="9"/>
        <v>0.3</v>
      </c>
      <c r="H52" s="293">
        <v>100</v>
      </c>
      <c r="I52" s="258">
        <v>45</v>
      </c>
      <c r="J52" s="259">
        <f t="shared" si="12"/>
        <v>0.45</v>
      </c>
      <c r="K52" s="259">
        <f>+L52/L95</f>
        <v>4.1498015098875629E-2</v>
      </c>
      <c r="L52" s="258">
        <f>+'[1]MATRIZ CONSOLIDADA '!M50</f>
        <v>1482190429</v>
      </c>
      <c r="M52" s="258">
        <f>+'[1]MATRIZ CONSOLIDADA '!O50</f>
        <v>1252080105</v>
      </c>
      <c r="N52" s="301">
        <f t="shared" si="15"/>
        <v>0.84474982465292925</v>
      </c>
      <c r="O52" s="306">
        <v>0</v>
      </c>
      <c r="P52" s="259">
        <f t="shared" si="17"/>
        <v>0</v>
      </c>
      <c r="Q52" s="306">
        <f t="shared" si="16"/>
        <v>1252080105</v>
      </c>
      <c r="R52" s="293">
        <v>3385558889</v>
      </c>
      <c r="S52" s="293">
        <f>+'[3]Anexo 1 Matriz SINA Inf Gestión'!$S$19+M52</f>
        <v>1919224650</v>
      </c>
      <c r="T52" s="259">
        <f t="shared" si="7"/>
        <v>0.56688562004806409</v>
      </c>
      <c r="U52" s="286"/>
      <c r="V52" s="300" t="s">
        <v>157</v>
      </c>
      <c r="W52" s="300" t="s">
        <v>148</v>
      </c>
      <c r="X52" s="300" t="s">
        <v>147</v>
      </c>
    </row>
    <row r="53" spans="1:24" ht="56.25" x14ac:dyDescent="0.25">
      <c r="A53" s="287" t="str">
        <f>+'[1]MATRIZ CONSOLIDADA '!A51</f>
        <v>Porcentaje de Planes de Ordenación y Manejo de Cuencas (POMCAS), Planes de Manejo de Acuíferos (PMA) y Planes de Manejo de Microcuencas (PMM) en ejecución (IM 6)</v>
      </c>
      <c r="B53" s="258" t="str">
        <f>+'[1]MATRIZ CONSOLIDADA '!C51</f>
        <v>%</v>
      </c>
      <c r="C53" s="258">
        <f>+'[1]MATRIZ CONSOLIDADA '!L51</f>
        <v>100</v>
      </c>
      <c r="D53" s="258">
        <f>+'[1]MATRIZ CONSOLIDADA '!N51</f>
        <v>15</v>
      </c>
      <c r="E53" s="258">
        <f t="shared" si="14"/>
        <v>15</v>
      </c>
      <c r="F53" s="267"/>
      <c r="G53" s="259">
        <f t="shared" si="9"/>
        <v>0.15</v>
      </c>
      <c r="H53" s="293">
        <f>+'[1]MATRIZ CONSOLIDADA '!D51</f>
        <v>100</v>
      </c>
      <c r="I53" s="258">
        <v>31</v>
      </c>
      <c r="J53" s="259">
        <f t="shared" si="12"/>
        <v>0.31</v>
      </c>
      <c r="K53" s="259">
        <f>+L53/L95</f>
        <v>0.17182151875982166</v>
      </c>
      <c r="L53" s="258">
        <v>6136973298.4879999</v>
      </c>
      <c r="M53" s="258">
        <v>4264346879</v>
      </c>
      <c r="N53" s="301">
        <f t="shared" si="15"/>
        <v>0.69486156637680507</v>
      </c>
      <c r="O53" s="306">
        <f>2065245000+6862696</f>
        <v>2072107696</v>
      </c>
      <c r="P53" s="259">
        <f t="shared" si="17"/>
        <v>0.48591443304113063</v>
      </c>
      <c r="Q53" s="306">
        <f t="shared" si="16"/>
        <v>2192239183</v>
      </c>
      <c r="R53" s="293">
        <v>22733076314</v>
      </c>
      <c r="S53" s="293">
        <f>+M53+'[3]Anexo 1 Matriz SINA Inf Gestión'!$S$20</f>
        <v>8884524319</v>
      </c>
      <c r="T53" s="259">
        <f t="shared" si="7"/>
        <v>0.39081927128043514</v>
      </c>
      <c r="U53" s="286"/>
      <c r="V53" s="300" t="s">
        <v>157</v>
      </c>
      <c r="W53" s="300" t="s">
        <v>70</v>
      </c>
      <c r="X53" s="300" t="s">
        <v>147</v>
      </c>
    </row>
    <row r="54" spans="1:24" ht="56.25" x14ac:dyDescent="0.25">
      <c r="A54" s="288" t="str">
        <f>+'[1]MATRIZ CONSOLIDADA '!A52</f>
        <v>No.  convenios  para cofinanciar la construcción  y seguimiento a proyectos de saneamiento ambiental hídrico como: interceptores, emisarios finales,  sistemas de tratamiento de aguas residuales domésticas y/o estudios y diseños asociados a estas obras</v>
      </c>
      <c r="B54" s="258" t="str">
        <f>+'[1]MATRIZ CONSOLIDADA '!C52</f>
        <v>Und</v>
      </c>
      <c r="C54" s="258">
        <f>+'[1]MATRIZ CONSOLIDADA '!L52</f>
        <v>1</v>
      </c>
      <c r="D54" s="258">
        <f>+'[1]MATRIZ CONSOLIDADA '!N52</f>
        <v>1</v>
      </c>
      <c r="E54" s="258">
        <f t="shared" si="14"/>
        <v>100</v>
      </c>
      <c r="F54" s="267"/>
      <c r="G54" s="259">
        <f t="shared" si="9"/>
        <v>1</v>
      </c>
      <c r="H54" s="293">
        <v>4</v>
      </c>
      <c r="I54" s="258">
        <f>+'[1]MATRIZ CONSOLIDADA '!F52</f>
        <v>2</v>
      </c>
      <c r="J54" s="259">
        <f t="shared" si="12"/>
        <v>0.5</v>
      </c>
      <c r="K54" s="259">
        <f>+L53/L95</f>
        <v>0.17182151875982166</v>
      </c>
      <c r="L54" s="258">
        <f>+'[1]MATRIZ CONSOLIDADA '!M52</f>
        <v>2062787847</v>
      </c>
      <c r="M54" s="258">
        <f>+'[1]MATRIZ CONSOLIDADA '!O52</f>
        <v>2062787847</v>
      </c>
      <c r="N54" s="301">
        <f t="shared" si="15"/>
        <v>1</v>
      </c>
      <c r="O54" s="306">
        <v>2062787847</v>
      </c>
      <c r="P54" s="259">
        <f t="shared" si="17"/>
        <v>1</v>
      </c>
      <c r="Q54" s="306">
        <f t="shared" si="16"/>
        <v>0</v>
      </c>
      <c r="R54" s="293">
        <v>9622971361</v>
      </c>
      <c r="S54" s="293">
        <f>+'[3]Anexo 1 Matriz SINA Inf Gestión'!$S$27+M54</f>
        <v>5639751119</v>
      </c>
      <c r="T54" s="259">
        <f t="shared" si="7"/>
        <v>0.58607169318374941</v>
      </c>
      <c r="U54" s="286"/>
      <c r="V54" s="300" t="s">
        <v>157</v>
      </c>
      <c r="W54" s="300"/>
      <c r="X54" s="300" t="s">
        <v>147</v>
      </c>
    </row>
    <row r="55" spans="1:24" ht="30.75" customHeight="1" x14ac:dyDescent="0.25">
      <c r="A55" s="289" t="str">
        <f>+'[1]MATRIZ CONSOLIDADA '!A53</f>
        <v>Proyecto 320302 - Administración del recurso hídrico</v>
      </c>
      <c r="B55" s="268"/>
      <c r="C55" s="268"/>
      <c r="D55" s="255"/>
      <c r="E55" s="255">
        <f>AVERAGE(E56:E62)</f>
        <v>58.333333333333336</v>
      </c>
      <c r="F55" s="268"/>
      <c r="G55" s="256">
        <f t="shared" si="9"/>
        <v>0.58333333333333337</v>
      </c>
      <c r="H55" s="262"/>
      <c r="I55" s="262"/>
      <c r="J55" s="256">
        <f>+AVERAGE(J56,J57,J58,J59,J60,J62,)</f>
        <v>0.31785714285714289</v>
      </c>
      <c r="K55" s="256">
        <f>+L55/L95</f>
        <v>8.7898045394243798E-2</v>
      </c>
      <c r="L55" s="269">
        <f>SUM(L56:L62)</f>
        <v>3139466822.7080002</v>
      </c>
      <c r="M55" s="269">
        <f>SUM(M56:M62)</f>
        <v>1211247020</v>
      </c>
      <c r="N55" s="302">
        <f>+M55/L55</f>
        <v>0.38581297029131156</v>
      </c>
      <c r="O55" s="277">
        <f>SUM(O56:O62)</f>
        <v>229134327</v>
      </c>
      <c r="P55" s="276">
        <f t="shared" si="17"/>
        <v>0.18917225241140326</v>
      </c>
      <c r="Q55" s="277">
        <f t="shared" si="16"/>
        <v>982112693</v>
      </c>
      <c r="R55" s="269">
        <f>SUM(R56:R62)</f>
        <v>9766391248</v>
      </c>
      <c r="S55" s="269">
        <f>SUM(S56:S62)</f>
        <v>3904915390.8080001</v>
      </c>
      <c r="T55" s="276">
        <f t="shared" si="7"/>
        <v>0.39983196368542617</v>
      </c>
      <c r="U55" s="269"/>
      <c r="V55" s="269"/>
      <c r="W55" s="269"/>
      <c r="X55" s="269"/>
    </row>
    <row r="56" spans="1:24" ht="33.75" x14ac:dyDescent="0.25">
      <c r="A56" s="287" t="str">
        <f>+'[1]MATRIZ CONSOLIDADA '!A54</f>
        <v>Porcentaje de Programas de Uso Eficiente y Ahorro del Agua (PUEAA) con seguimiento (IM 5)</v>
      </c>
      <c r="B56" s="258" t="str">
        <f>+'[1]MATRIZ CONSOLIDADA '!C54</f>
        <v>%</v>
      </c>
      <c r="C56" s="258">
        <f>+'[1]MATRIZ CONSOLIDADA '!L54</f>
        <v>100</v>
      </c>
      <c r="D56" s="258">
        <f>+'[1]MATRIZ CONSOLIDADA '!N54</f>
        <v>100</v>
      </c>
      <c r="E56" s="258">
        <f>+(D56/C56)*100</f>
        <v>100</v>
      </c>
      <c r="F56" s="267"/>
      <c r="G56" s="259">
        <f t="shared" si="9"/>
        <v>1</v>
      </c>
      <c r="H56" s="293">
        <f>+'[1]MATRIZ CONSOLIDADA '!D54</f>
        <v>100</v>
      </c>
      <c r="I56" s="258">
        <v>50</v>
      </c>
      <c r="J56" s="259">
        <f t="shared" si="12"/>
        <v>0.5</v>
      </c>
      <c r="K56" s="259">
        <f>+L56/L95</f>
        <v>1.8552437114083503E-4</v>
      </c>
      <c r="L56" s="258">
        <f>+'[1]MATRIZ CONSOLIDADA '!M54</f>
        <v>6626400</v>
      </c>
      <c r="M56" s="258">
        <f>+'[1]MATRIZ CONSOLIDADA '!O54</f>
        <v>6626400</v>
      </c>
      <c r="N56" s="301">
        <f t="shared" si="15"/>
        <v>1</v>
      </c>
      <c r="O56" s="306">
        <v>6626400</v>
      </c>
      <c r="P56" s="259">
        <f>+((O56/M56))</f>
        <v>1</v>
      </c>
      <c r="Q56" s="306">
        <f t="shared" si="16"/>
        <v>0</v>
      </c>
      <c r="R56" s="293">
        <v>124955371</v>
      </c>
      <c r="S56" s="293">
        <f>+M56+'[3]Anexo 1 Matriz SINA Inf Gestión'!$S$49</f>
        <v>33026400</v>
      </c>
      <c r="T56" s="259">
        <f t="shared" si="7"/>
        <v>0.26430556554467755</v>
      </c>
      <c r="U56" s="286"/>
      <c r="V56" s="300" t="s">
        <v>157</v>
      </c>
      <c r="W56" s="300" t="s">
        <v>74</v>
      </c>
      <c r="X56" s="300" t="s">
        <v>149</v>
      </c>
    </row>
    <row r="57" spans="1:24" ht="33.75" x14ac:dyDescent="0.25">
      <c r="A57" s="287" t="str">
        <f>+'[1]MATRIZ CONSOLIDADA '!A55</f>
        <v>Porcentaje de Planes de Saneamiento y Manejo de Vertimientos –PSMV- con seguimiento (IM 3)</v>
      </c>
      <c r="B57" s="258" t="str">
        <f>+'[1]MATRIZ CONSOLIDADA '!C55</f>
        <v>%</v>
      </c>
      <c r="C57" s="258">
        <f>+'[1]MATRIZ CONSOLIDADA '!L55</f>
        <v>100</v>
      </c>
      <c r="D57" s="258">
        <f>+'[1]MATRIZ CONSOLIDADA '!N55</f>
        <v>100</v>
      </c>
      <c r="E57" s="258">
        <f>+(D57/C57)*100</f>
        <v>100</v>
      </c>
      <c r="F57" s="267"/>
      <c r="G57" s="259">
        <f t="shared" si="9"/>
        <v>1</v>
      </c>
      <c r="H57" s="293">
        <f>+'[1]MATRIZ CONSOLIDADA '!D55</f>
        <v>100</v>
      </c>
      <c r="I57" s="258">
        <v>50</v>
      </c>
      <c r="J57" s="259">
        <f t="shared" si="12"/>
        <v>0.5</v>
      </c>
      <c r="K57" s="259">
        <f>+L57/L95</f>
        <v>1.8552437114083503E-4</v>
      </c>
      <c r="L57" s="258">
        <f>+'[1]MATRIZ CONSOLIDADA '!M55</f>
        <v>6626400</v>
      </c>
      <c r="M57" s="258">
        <f>+'[1]MATRIZ CONSOLIDADA '!O55</f>
        <v>6626400</v>
      </c>
      <c r="N57" s="301">
        <f t="shared" si="15"/>
        <v>1</v>
      </c>
      <c r="O57" s="306">
        <v>6626400</v>
      </c>
      <c r="P57" s="259">
        <f>+O57/M57</f>
        <v>1</v>
      </c>
      <c r="Q57" s="306">
        <f t="shared" si="16"/>
        <v>0</v>
      </c>
      <c r="R57" s="293">
        <v>124955371</v>
      </c>
      <c r="S57" s="293">
        <f>+'[1]MATRIZ CONSOLIDADA '!G55</f>
        <v>33026400</v>
      </c>
      <c r="T57" s="259">
        <f t="shared" si="7"/>
        <v>0.26430556554467755</v>
      </c>
      <c r="U57" s="286"/>
      <c r="V57" s="300" t="s">
        <v>157</v>
      </c>
      <c r="W57" s="300" t="s">
        <v>75</v>
      </c>
      <c r="X57" s="300" t="s">
        <v>149</v>
      </c>
    </row>
    <row r="58" spans="1:24" ht="22.5" x14ac:dyDescent="0.25">
      <c r="A58" s="287" t="str">
        <f>+'[1]MATRIZ CONSOLIDADA '!A56</f>
        <v>Porcentaje de cuerpos de agua con reglamentación por uso de las aguas (IM 4)</v>
      </c>
      <c r="B58" s="258" t="str">
        <f>+'[1]MATRIZ CONSOLIDADA '!C56</f>
        <v>%</v>
      </c>
      <c r="C58" s="258">
        <f>+'[1]MATRIZ CONSOLIDADA '!L56</f>
        <v>60</v>
      </c>
      <c r="D58" s="258">
        <f>+'[1]MATRIZ CONSOLIDADA '!N56</f>
        <v>30</v>
      </c>
      <c r="E58" s="258">
        <f>+(D58/C58)*100</f>
        <v>50</v>
      </c>
      <c r="F58" s="267"/>
      <c r="G58" s="259">
        <f t="shared" si="9"/>
        <v>0.5</v>
      </c>
      <c r="H58" s="293">
        <v>100</v>
      </c>
      <c r="I58" s="258">
        <v>30</v>
      </c>
      <c r="J58" s="259">
        <f t="shared" si="12"/>
        <v>0.3</v>
      </c>
      <c r="K58" s="259">
        <f>+L58/L95</f>
        <v>8.8713513591223217E-3</v>
      </c>
      <c r="L58" s="258">
        <f>+'[1]MATRIZ CONSOLIDADA '!M56</f>
        <v>316859301.47400022</v>
      </c>
      <c r="M58" s="258">
        <f>+'[1]MATRIZ CONSOLIDADA '!O56</f>
        <v>0</v>
      </c>
      <c r="N58" s="301">
        <f t="shared" si="15"/>
        <v>0</v>
      </c>
      <c r="O58" s="306">
        <v>0</v>
      </c>
      <c r="P58" s="259">
        <v>0</v>
      </c>
      <c r="Q58" s="306">
        <f t="shared" si="16"/>
        <v>0</v>
      </c>
      <c r="R58" s="293">
        <v>699288633</v>
      </c>
      <c r="S58" s="293">
        <f>+'[3]Anexo 1 Matriz SINA Inf Gestión'!$S$67</f>
        <v>199288633</v>
      </c>
      <c r="T58" s="259">
        <f t="shared" si="7"/>
        <v>0.28498766259797048</v>
      </c>
      <c r="U58" s="286"/>
      <c r="V58" s="300" t="s">
        <v>157</v>
      </c>
      <c r="W58" s="300" t="s">
        <v>76</v>
      </c>
      <c r="X58" s="300" t="s">
        <v>149</v>
      </c>
    </row>
    <row r="59" spans="1:24" ht="33.75" x14ac:dyDescent="0.25">
      <c r="A59" s="287" t="str">
        <f>+'[1]MATRIZ CONSOLIDADA '!A57</f>
        <v>Porcentaje de cuerpos de agua con plan de ordenamiento del recurso hídrico (PORH) adoptados (IM 2)</v>
      </c>
      <c r="B59" s="258" t="str">
        <f>+'[1]MATRIZ CONSOLIDADA '!C57</f>
        <v>%</v>
      </c>
      <c r="C59" s="258">
        <f>+'[1]MATRIZ CONSOLIDADA '!L57</f>
        <v>60</v>
      </c>
      <c r="D59" s="258">
        <f>+'[1]MATRIZ CONSOLIDADA '!N57</f>
        <v>30</v>
      </c>
      <c r="E59" s="258">
        <f>+(D59/C59)*100</f>
        <v>50</v>
      </c>
      <c r="F59" s="267"/>
      <c r="G59" s="259">
        <f t="shared" si="9"/>
        <v>0.5</v>
      </c>
      <c r="H59" s="293">
        <v>100</v>
      </c>
      <c r="I59" s="258">
        <v>30</v>
      </c>
      <c r="J59" s="259">
        <f t="shared" si="12"/>
        <v>0.3</v>
      </c>
      <c r="K59" s="259">
        <f>+L59/L95</f>
        <v>9.2145457650654999E-3</v>
      </c>
      <c r="L59" s="258">
        <f>+'[1]MATRIZ CONSOLIDADA '!M57</f>
        <v>329117224.23399997</v>
      </c>
      <c r="M59" s="258">
        <f>+'[1]MATRIZ CONSOLIDADA '!O57</f>
        <v>0</v>
      </c>
      <c r="N59" s="301">
        <f t="shared" si="15"/>
        <v>0</v>
      </c>
      <c r="O59" s="306">
        <v>0</v>
      </c>
      <c r="P59" s="259">
        <v>0</v>
      </c>
      <c r="Q59" s="306">
        <f t="shared" si="16"/>
        <v>0</v>
      </c>
      <c r="R59" s="293">
        <v>924995200</v>
      </c>
      <c r="S59" s="293">
        <f>+'[3]Anexo 1 Matriz SINA Inf Gestión'!$S$68</f>
        <v>321379451</v>
      </c>
      <c r="T59" s="259">
        <f t="shared" si="7"/>
        <v>0.34743904725127223</v>
      </c>
      <c r="U59" s="286"/>
      <c r="V59" s="300" t="s">
        <v>157</v>
      </c>
      <c r="W59" s="300" t="s">
        <v>77</v>
      </c>
      <c r="X59" s="300" t="s">
        <v>149</v>
      </c>
    </row>
    <row r="60" spans="1:24" ht="33.75" x14ac:dyDescent="0.25">
      <c r="A60" s="288" t="str">
        <f>+'[1]MATRIZ CONSOLIDADA '!A58</f>
        <v>Implementación del Programa Institucional Regional de monitoreo del agua - PIRMA en aguas superficial y subterráneas</v>
      </c>
      <c r="B60" s="258" t="str">
        <f>+'[1]MATRIZ CONSOLIDADA '!C58</f>
        <v>Und</v>
      </c>
      <c r="C60" s="258">
        <f>+'[1]MATRIZ CONSOLIDADA '!L58</f>
        <v>1</v>
      </c>
      <c r="D60" s="260">
        <f>+'[1]MATRIZ CONSOLIDADA '!N58</f>
        <v>0.5</v>
      </c>
      <c r="E60" s="258">
        <f>+(D60/C60)*100</f>
        <v>50</v>
      </c>
      <c r="F60" s="267"/>
      <c r="G60" s="259">
        <f t="shared" si="9"/>
        <v>0.5</v>
      </c>
      <c r="H60" s="293">
        <v>4</v>
      </c>
      <c r="I60" s="258">
        <v>1.5</v>
      </c>
      <c r="J60" s="259">
        <f t="shared" si="12"/>
        <v>0.375</v>
      </c>
      <c r="K60" s="259">
        <f>+L60/L95</f>
        <v>6.0220693205787851E-2</v>
      </c>
      <c r="L60" s="258">
        <f>+'[1]MATRIZ CONSOLIDADA '!M58</f>
        <v>2150910950.4320002</v>
      </c>
      <c r="M60" s="258">
        <f>+'[1]MATRIZ CONSOLIDADA '!O58</f>
        <v>1168314229</v>
      </c>
      <c r="N60" s="301">
        <f t="shared" si="15"/>
        <v>0.54317182622802196</v>
      </c>
      <c r="O60" s="306">
        <v>215881527</v>
      </c>
      <c r="P60" s="259">
        <f>+O60/M60</f>
        <v>0.18478036271524345</v>
      </c>
      <c r="Q60" s="306">
        <f t="shared" si="16"/>
        <v>952432702</v>
      </c>
      <c r="R60" s="293">
        <v>5971054096</v>
      </c>
      <c r="S60" s="293">
        <f>+'[3]Anexo 1 Matriz SINA Inf Gestión'!$S$69+M60</f>
        <v>2692949740.8080001</v>
      </c>
      <c r="T60" s="259">
        <f t="shared" si="7"/>
        <v>0.45100072742801023</v>
      </c>
      <c r="U60" s="286"/>
      <c r="V60" s="300" t="s">
        <v>157</v>
      </c>
      <c r="W60" s="300"/>
      <c r="X60" s="300" t="s">
        <v>149</v>
      </c>
    </row>
    <row r="61" spans="1:24" ht="22.5" x14ac:dyDescent="0.25">
      <c r="A61" s="288" t="str">
        <f>+'[1]MATRIZ CONSOLIDADA '!A59</f>
        <v>Estudios Ambientales del recurso hídrico Evaluación Regional del Agua - ERA) elaborados</v>
      </c>
      <c r="B61" s="258" t="str">
        <f>+'[1]MATRIZ CONSOLIDADA '!C59</f>
        <v>Und</v>
      </c>
      <c r="C61" s="258" t="s">
        <v>38</v>
      </c>
      <c r="D61" s="261" t="s">
        <v>38</v>
      </c>
      <c r="E61" s="258" t="s">
        <v>38</v>
      </c>
      <c r="F61" s="267"/>
      <c r="G61" s="259" t="s">
        <v>38</v>
      </c>
      <c r="H61" s="293" t="s">
        <v>38</v>
      </c>
      <c r="I61" s="258" t="s">
        <v>38</v>
      </c>
      <c r="J61" s="259" t="s">
        <v>38</v>
      </c>
      <c r="K61" s="259">
        <v>0</v>
      </c>
      <c r="L61" s="258">
        <f>+'[1]MATRIZ CONSOLIDADA '!M59</f>
        <v>0</v>
      </c>
      <c r="M61" s="258">
        <f>+'[1]MATRIZ CONSOLIDADA '!O59</f>
        <v>0</v>
      </c>
      <c r="N61" s="301" t="s">
        <v>38</v>
      </c>
      <c r="O61" s="306">
        <v>0</v>
      </c>
      <c r="P61" s="259">
        <v>0</v>
      </c>
      <c r="Q61" s="306">
        <f t="shared" si="16"/>
        <v>0</v>
      </c>
      <c r="R61" s="293">
        <f>+'[1]MATRIZ CONSOLIDADA '!E59</f>
        <v>0</v>
      </c>
      <c r="S61" s="293">
        <f>+'[1]MATRIZ CONSOLIDADA '!G59</f>
        <v>0</v>
      </c>
      <c r="T61" s="259">
        <v>0</v>
      </c>
      <c r="U61" s="286"/>
      <c r="V61" s="300" t="s">
        <v>157</v>
      </c>
      <c r="W61" s="300"/>
      <c r="X61" s="300" t="s">
        <v>149</v>
      </c>
    </row>
    <row r="62" spans="1:24" ht="22.5" x14ac:dyDescent="0.25">
      <c r="A62" s="287" t="str">
        <f>+'[1]MATRIZ CONSOLIDADA '!A60</f>
        <v>Porcentaje de ejecución de acciones en gestión ambiental urbana (IM 19)</v>
      </c>
      <c r="B62" s="258" t="str">
        <f>+'[1]MATRIZ CONSOLIDADA '!C60</f>
        <v>%</v>
      </c>
      <c r="C62" s="258">
        <f>+'[1]MATRIZ CONSOLIDADA '!L60</f>
        <v>100</v>
      </c>
      <c r="D62" s="258">
        <f>+'[1]MATRIZ CONSOLIDADA '!N60</f>
        <v>0</v>
      </c>
      <c r="E62" s="258">
        <f>+(D62/C62)*100</f>
        <v>0</v>
      </c>
      <c r="F62" s="267"/>
      <c r="G62" s="259">
        <f t="shared" si="9"/>
        <v>0</v>
      </c>
      <c r="H62" s="293">
        <v>100</v>
      </c>
      <c r="I62" s="258">
        <v>25</v>
      </c>
      <c r="J62" s="259">
        <f t="shared" si="12"/>
        <v>0.25</v>
      </c>
      <c r="K62" s="259">
        <f>+L62/L95</f>
        <v>9.2204063219864657E-3</v>
      </c>
      <c r="L62" s="258">
        <f>+'[1]MATRIZ CONSOLIDADA '!M60</f>
        <v>329326546.56799996</v>
      </c>
      <c r="M62" s="258">
        <f>+'[1]MATRIZ CONSOLIDADA '!O60</f>
        <v>29679991</v>
      </c>
      <c r="N62" s="301">
        <f t="shared" si="15"/>
        <v>9.0123287385432863E-2</v>
      </c>
      <c r="O62" s="306">
        <v>0</v>
      </c>
      <c r="P62" s="259">
        <f t="shared" ref="P62:P72" si="18">+O62/M62</f>
        <v>0</v>
      </c>
      <c r="Q62" s="306">
        <f t="shared" si="16"/>
        <v>29679991</v>
      </c>
      <c r="R62" s="293">
        <v>1921142577</v>
      </c>
      <c r="S62" s="293">
        <f>+'[3]Anexo 1 Matriz SINA Inf Gestión'!$S$40+M62</f>
        <v>625244766</v>
      </c>
      <c r="T62" s="259">
        <f t="shared" ref="T62:T95" si="19">+S62/R62</f>
        <v>0.32545464011128417</v>
      </c>
      <c r="U62" s="286"/>
      <c r="V62" s="300" t="s">
        <v>157</v>
      </c>
      <c r="W62" s="300" t="s">
        <v>80</v>
      </c>
      <c r="X62" s="300"/>
    </row>
    <row r="63" spans="1:24" ht="22.5" x14ac:dyDescent="0.25">
      <c r="A63" s="290" t="str">
        <f>+'[1]MATRIZ CONSOLIDADA '!A61</f>
        <v>PROGRAMA 3204 GESTIÓN DE LA INFORMACIÓN Y EL CONOCIMIENTO AMBIENTAL</v>
      </c>
      <c r="B63" s="270"/>
      <c r="C63" s="270"/>
      <c r="D63" s="273"/>
      <c r="E63" s="264">
        <f>AVERAGE(E64)</f>
        <v>55.555555555555557</v>
      </c>
      <c r="F63" s="270"/>
      <c r="G63" s="265">
        <f t="shared" si="9"/>
        <v>0.55555555555555558</v>
      </c>
      <c r="H63" s="271"/>
      <c r="I63" s="271"/>
      <c r="J63" s="265">
        <f>AVERAGE(J64)</f>
        <v>0.4375</v>
      </c>
      <c r="K63" s="278">
        <f>+L63/L95</f>
        <v>7.5437309811641831E-3</v>
      </c>
      <c r="L63" s="264">
        <f>SUM(L64)</f>
        <v>269440498.12</v>
      </c>
      <c r="M63" s="264">
        <f>SUM(M64)</f>
        <v>168425016</v>
      </c>
      <c r="N63" s="304">
        <f t="shared" ref="N63:N77" si="20">((M63/L63))</f>
        <v>0.62509168879649635</v>
      </c>
      <c r="O63" s="274">
        <f>+O64</f>
        <v>46015072</v>
      </c>
      <c r="P63" s="278">
        <f t="shared" si="18"/>
        <v>0.27320806073131082</v>
      </c>
      <c r="Q63" s="274">
        <f t="shared" si="16"/>
        <v>122409944</v>
      </c>
      <c r="R63" s="280">
        <f>+R64</f>
        <v>1296187457</v>
      </c>
      <c r="S63" s="280">
        <f>+S64</f>
        <v>395773965</v>
      </c>
      <c r="T63" s="278">
        <f t="shared" si="19"/>
        <v>0.30533698105365942</v>
      </c>
      <c r="U63" s="280"/>
      <c r="V63" s="280"/>
      <c r="W63" s="280"/>
      <c r="X63" s="280"/>
    </row>
    <row r="64" spans="1:24" ht="22.5" x14ac:dyDescent="0.25">
      <c r="A64" s="289" t="str">
        <f>+'[1]MATRIZ CONSOLIDADA '!A62</f>
        <v>Proyecto 320401 - Información y conocimiento ambiental</v>
      </c>
      <c r="B64" s="255"/>
      <c r="C64" s="255"/>
      <c r="D64" s="275"/>
      <c r="E64" s="255">
        <f>AVERAGE(E65:E66)</f>
        <v>55.555555555555557</v>
      </c>
      <c r="F64" s="268"/>
      <c r="G64" s="256">
        <f t="shared" si="9"/>
        <v>0.55555555555555558</v>
      </c>
      <c r="H64" s="262"/>
      <c r="I64" s="262"/>
      <c r="J64" s="256">
        <f>+(J65+J66)/2</f>
        <v>0.4375</v>
      </c>
      <c r="K64" s="256">
        <f>SUM(K65:K66)</f>
        <v>7.5437309811641831E-3</v>
      </c>
      <c r="L64" s="255">
        <f>SUM(L65:L66)</f>
        <v>269440498.12</v>
      </c>
      <c r="M64" s="255">
        <f>SUM(M65:M66)</f>
        <v>168425016</v>
      </c>
      <c r="N64" s="303">
        <f t="shared" si="20"/>
        <v>0.62509168879649635</v>
      </c>
      <c r="O64" s="277">
        <f>SUM(O65:O66)</f>
        <v>46015072</v>
      </c>
      <c r="P64" s="276">
        <f t="shared" si="18"/>
        <v>0.27320806073131082</v>
      </c>
      <c r="Q64" s="277">
        <f t="shared" si="16"/>
        <v>122409944</v>
      </c>
      <c r="R64" s="269">
        <f>SUM(R65:R66)</f>
        <v>1296187457</v>
      </c>
      <c r="S64" s="269">
        <f>SUM(S65:S66)</f>
        <v>395773965</v>
      </c>
      <c r="T64" s="276">
        <f t="shared" si="19"/>
        <v>0.30533698105365942</v>
      </c>
      <c r="U64" s="269"/>
      <c r="V64" s="269"/>
      <c r="W64" s="269"/>
      <c r="X64" s="269"/>
    </row>
    <row r="65" spans="1:24" ht="33.75" x14ac:dyDescent="0.25">
      <c r="A65" s="288" t="str">
        <f>+'[1]MATRIZ CONSOLIDADA '!A63</f>
        <v>Porcentaje de Optimización y seguimiento de los aplicativos en línea de trámites ambientales (CITA, RUIA, SUNL, LOFL, SILAMC - VITAL)</v>
      </c>
      <c r="B65" s="258" t="str">
        <f>+'[1]MATRIZ CONSOLIDADA '!C63</f>
        <v>%</v>
      </c>
      <c r="C65" s="258">
        <f>+'[1]MATRIZ CONSOLIDADA '!L63</f>
        <v>100</v>
      </c>
      <c r="D65" s="258">
        <f>+'[1]MATRIZ CONSOLIDADA '!N63</f>
        <v>50</v>
      </c>
      <c r="E65" s="258">
        <f>+(D65/C65)*100</f>
        <v>50</v>
      </c>
      <c r="F65" s="267"/>
      <c r="G65" s="259">
        <f t="shared" si="9"/>
        <v>0.5</v>
      </c>
      <c r="H65" s="293">
        <v>100</v>
      </c>
      <c r="I65" s="258">
        <f>+'[1]MATRIZ CONSOLIDADA '!F63</f>
        <v>37.5</v>
      </c>
      <c r="J65" s="259">
        <f t="shared" si="12"/>
        <v>0.375</v>
      </c>
      <c r="K65" s="259">
        <f>+L65/L95</f>
        <v>5.6168073990877825E-3</v>
      </c>
      <c r="L65" s="258">
        <f>+'[1]MATRIZ CONSOLIDADA '!M63</f>
        <v>200616298.12</v>
      </c>
      <c r="M65" s="258">
        <f>+'[1]MATRIZ CONSOLIDADA '!O63</f>
        <v>119480016</v>
      </c>
      <c r="N65" s="301">
        <f t="shared" si="20"/>
        <v>0.59556485250531443</v>
      </c>
      <c r="O65" s="306">
        <v>38183872</v>
      </c>
      <c r="P65" s="259">
        <f t="shared" si="18"/>
        <v>0.31958375365466973</v>
      </c>
      <c r="Q65" s="306">
        <f t="shared" si="16"/>
        <v>81296144</v>
      </c>
      <c r="R65" s="258">
        <v>1046080107</v>
      </c>
      <c r="S65" s="293">
        <f>+M65+'[3]Anexo 1 Matriz SINA Inf Gestión'!$S$65</f>
        <v>310351135</v>
      </c>
      <c r="T65" s="259">
        <f t="shared" si="19"/>
        <v>0.29668008494114306</v>
      </c>
      <c r="U65" s="286"/>
      <c r="V65" s="300" t="s">
        <v>158</v>
      </c>
      <c r="W65" s="300"/>
      <c r="X65" s="300"/>
    </row>
    <row r="66" spans="1:24" ht="33.75" x14ac:dyDescent="0.25">
      <c r="A66" s="288" t="str">
        <f>+'[1]MATRIZ CONSOLIDADA '!A64</f>
        <v>Porcentaje de actualización y reporte de la información en el SIAC (IM 26)</v>
      </c>
      <c r="B66" s="258" t="str">
        <f>+'[1]MATRIZ CONSOLIDADA '!C64</f>
        <v>%</v>
      </c>
      <c r="C66" s="258">
        <f>+'[1]MATRIZ CONSOLIDADA '!L64</f>
        <v>90</v>
      </c>
      <c r="D66" s="258">
        <f>+'[1]MATRIZ CONSOLIDADA '!N64</f>
        <v>55</v>
      </c>
      <c r="E66" s="258">
        <f>+(D66/C66)*100</f>
        <v>61.111111111111114</v>
      </c>
      <c r="F66" s="267"/>
      <c r="G66" s="259">
        <f t="shared" si="9"/>
        <v>0.61111111111111116</v>
      </c>
      <c r="H66" s="293">
        <v>90</v>
      </c>
      <c r="I66" s="258">
        <v>45</v>
      </c>
      <c r="J66" s="259">
        <f t="shared" si="12"/>
        <v>0.5</v>
      </c>
      <c r="K66" s="259">
        <f>+L66/L95</f>
        <v>1.9269235820764002E-3</v>
      </c>
      <c r="L66" s="258">
        <f>+'[1]MATRIZ CONSOLIDADA '!M64</f>
        <v>68824200</v>
      </c>
      <c r="M66" s="258">
        <f>+'[1]MATRIZ CONSOLIDADA '!O64</f>
        <v>48945000</v>
      </c>
      <c r="N66" s="301">
        <f t="shared" si="20"/>
        <v>0.71115973741794314</v>
      </c>
      <c r="O66" s="306">
        <v>7831200</v>
      </c>
      <c r="P66" s="259">
        <f t="shared" si="18"/>
        <v>0.16</v>
      </c>
      <c r="Q66" s="306">
        <f t="shared" si="16"/>
        <v>41113800</v>
      </c>
      <c r="R66" s="258">
        <v>250107350</v>
      </c>
      <c r="S66" s="293">
        <f>+M66+'[3]Anexo 1 Matriz SINA Inf Gestión'!$S$66</f>
        <v>85422830</v>
      </c>
      <c r="T66" s="259">
        <f t="shared" si="19"/>
        <v>0.34154466072268569</v>
      </c>
      <c r="U66" s="286"/>
      <c r="V66" s="300" t="s">
        <v>158</v>
      </c>
      <c r="W66" s="300" t="s">
        <v>84</v>
      </c>
      <c r="X66" s="300"/>
    </row>
    <row r="67" spans="1:24" ht="22.5" x14ac:dyDescent="0.25">
      <c r="A67" s="290" t="str">
        <f>+'[1]MATRIZ CONSOLIDADA '!A65</f>
        <v>PROGRAMA 3205 - ORDENAMIENTO AMBIENTAL TERRITORIAL</v>
      </c>
      <c r="B67" s="270"/>
      <c r="C67" s="270"/>
      <c r="D67" s="273"/>
      <c r="E67" s="264">
        <f>AVERAGE(E68,E71,E74,E77)</f>
        <v>28</v>
      </c>
      <c r="F67" s="270"/>
      <c r="G67" s="265">
        <f t="shared" si="9"/>
        <v>0.28000000000000003</v>
      </c>
      <c r="H67" s="264"/>
      <c r="I67" s="264"/>
      <c r="J67" s="265">
        <f>AVERAGE(J68,J71,J74,J77)</f>
        <v>0.2525</v>
      </c>
      <c r="K67" s="278">
        <f>+L67/L95</f>
        <v>0.1764024133981387</v>
      </c>
      <c r="L67" s="264">
        <f>SUM(L68+L71+L74+L77)</f>
        <v>6300589755.1545</v>
      </c>
      <c r="M67" s="264">
        <f>SUM(M68+M71+M74+M77)</f>
        <v>4212616979</v>
      </c>
      <c r="N67" s="304">
        <f t="shared" si="20"/>
        <v>0.66860677217615483</v>
      </c>
      <c r="O67" s="274">
        <f>SUM(O68+O71+O74+O77)</f>
        <v>73237746</v>
      </c>
      <c r="P67" s="278">
        <f t="shared" si="18"/>
        <v>1.7385332292276269E-2</v>
      </c>
      <c r="Q67" s="274">
        <f t="shared" si="16"/>
        <v>4139379233</v>
      </c>
      <c r="R67" s="280">
        <f>+R68+R71+R74+R77</f>
        <v>12414229121</v>
      </c>
      <c r="S67" s="280">
        <f>+S68+S71+S74+S77</f>
        <v>2201654777</v>
      </c>
      <c r="T67" s="278">
        <f t="shared" si="19"/>
        <v>0.17734929455069143</v>
      </c>
      <c r="U67" s="280"/>
      <c r="V67" s="280"/>
      <c r="W67" s="280"/>
      <c r="X67" s="280"/>
    </row>
    <row r="68" spans="1:24" ht="22.5" x14ac:dyDescent="0.25">
      <c r="A68" s="291" t="s">
        <v>86</v>
      </c>
      <c r="B68" s="268"/>
      <c r="C68" s="268"/>
      <c r="D68" s="279"/>
      <c r="E68" s="255">
        <f>AVERAGE(E69:E70)</f>
        <v>56</v>
      </c>
      <c r="F68" s="268"/>
      <c r="G68" s="256">
        <f t="shared" si="9"/>
        <v>0.56000000000000005</v>
      </c>
      <c r="H68" s="268"/>
      <c r="I68" s="268"/>
      <c r="J68" s="256">
        <f>AVERAGE(J69:J70)</f>
        <v>0.38750000000000001</v>
      </c>
      <c r="K68" s="256">
        <f>SUM(K69:K70)</f>
        <v>6.4423342358296901E-3</v>
      </c>
      <c r="L68" s="255">
        <f>SUM(L69:L70)</f>
        <v>230101756</v>
      </c>
      <c r="M68" s="255">
        <f>SUM(M69:M70)</f>
        <v>168626542</v>
      </c>
      <c r="N68" s="303">
        <f t="shared" si="20"/>
        <v>0.73283465946257276</v>
      </c>
      <c r="O68" s="277">
        <f>SUM(O69:O70)</f>
        <v>55562549</v>
      </c>
      <c r="P68" s="276">
        <f t="shared" si="18"/>
        <v>0.3295006132545848</v>
      </c>
      <c r="Q68" s="277">
        <f t="shared" si="16"/>
        <v>113063993</v>
      </c>
      <c r="R68" s="269">
        <f>SUM(R69:R70)</f>
        <v>917267116</v>
      </c>
      <c r="S68" s="269">
        <f>SUM(S69:S70)</f>
        <v>304874841</v>
      </c>
      <c r="T68" s="276">
        <f t="shared" si="19"/>
        <v>0.3323730194640489</v>
      </c>
      <c r="U68" s="269"/>
      <c r="V68" s="269"/>
      <c r="W68" s="269"/>
      <c r="X68" s="269"/>
    </row>
    <row r="69" spans="1:24" ht="78.75" x14ac:dyDescent="0.25">
      <c r="A69" s="287" t="str">
        <f>+'[1]MATRIZ CONSOLIDADA '!A67</f>
        <v>Porcentaje de municipios asesorados o asistidos en la inclusión del componente ambiental en los procesos de planificación y ordenamiento territorial, con énfasis en la incorporación de las determinantes ambientales para la revisión y ajuste de los POT (IM 24)</v>
      </c>
      <c r="B69" s="258" t="str">
        <f>+'[1]MATRIZ CONSOLIDADA '!C67</f>
        <v>%</v>
      </c>
      <c r="C69" s="258">
        <f>+'[1]MATRIZ CONSOLIDADA '!L67</f>
        <v>100</v>
      </c>
      <c r="D69" s="258">
        <f>+'[1]MATRIZ CONSOLIDADA '!N67</f>
        <v>62</v>
      </c>
      <c r="E69" s="258">
        <f>+(D69/C69)*100</f>
        <v>62</v>
      </c>
      <c r="F69" s="267"/>
      <c r="G69" s="259">
        <f t="shared" si="9"/>
        <v>0.62</v>
      </c>
      <c r="H69" s="293">
        <f>+'[1]MATRIZ CONSOLIDADA '!D67</f>
        <v>100</v>
      </c>
      <c r="I69" s="267">
        <v>40</v>
      </c>
      <c r="J69" s="259">
        <f t="shared" si="12"/>
        <v>0.4</v>
      </c>
      <c r="K69" s="259">
        <f>+L69/L95</f>
        <v>3.6348136713773055E-3</v>
      </c>
      <c r="L69" s="258">
        <f>+'[1]MATRIZ CONSOLIDADA '!M67</f>
        <v>129825150</v>
      </c>
      <c r="M69" s="258">
        <f>+'[1]MATRIZ CONSOLIDADA '!O67</f>
        <v>117460470</v>
      </c>
      <c r="N69" s="301">
        <f t="shared" si="20"/>
        <v>0.90475897774814817</v>
      </c>
      <c r="O69" s="306">
        <v>49363098</v>
      </c>
      <c r="P69" s="259">
        <f t="shared" si="18"/>
        <v>0.4202528561310882</v>
      </c>
      <c r="Q69" s="306">
        <f t="shared" si="16"/>
        <v>68097372</v>
      </c>
      <c r="R69" s="258">
        <v>784438704</v>
      </c>
      <c r="S69" s="293">
        <f>+'[3]Anexo 1 Matriz SINA Inf Gestión'!$S$38+M69</f>
        <v>236734732</v>
      </c>
      <c r="T69" s="259">
        <f t="shared" si="19"/>
        <v>0.30178869399590463</v>
      </c>
      <c r="U69" s="286"/>
      <c r="V69" s="300" t="s">
        <v>159</v>
      </c>
      <c r="W69" s="300" t="s">
        <v>87</v>
      </c>
      <c r="X69" s="300"/>
    </row>
    <row r="70" spans="1:24" ht="22.5" x14ac:dyDescent="0.25">
      <c r="A70" s="288" t="str">
        <f>+'[1]MATRIZ CONSOLIDADA '!A68</f>
        <v>Apoyo a la Gestión, Operación, Administración y Promoción del Proyecto</v>
      </c>
      <c r="B70" s="258" t="str">
        <f>+'[1]MATRIZ CONSOLIDADA '!C68</f>
        <v>Global</v>
      </c>
      <c r="C70" s="258">
        <f>+'[1]MATRIZ CONSOLIDADA '!L68</f>
        <v>1</v>
      </c>
      <c r="D70" s="260">
        <f>+'[1]MATRIZ CONSOLIDADA '!N68</f>
        <v>0.5</v>
      </c>
      <c r="E70" s="258">
        <f>+(D70/C70)*100</f>
        <v>50</v>
      </c>
      <c r="F70" s="267"/>
      <c r="G70" s="259">
        <f t="shared" si="9"/>
        <v>0.5</v>
      </c>
      <c r="H70" s="293">
        <v>4</v>
      </c>
      <c r="I70" s="267">
        <v>1.5</v>
      </c>
      <c r="J70" s="259">
        <f t="shared" si="12"/>
        <v>0.375</v>
      </c>
      <c r="K70" s="259">
        <f>+L70/L95</f>
        <v>2.807520564452385E-3</v>
      </c>
      <c r="L70" s="258">
        <f>+'[1]MATRIZ CONSOLIDADA '!M68</f>
        <v>100276606</v>
      </c>
      <c r="M70" s="258">
        <f>+'[1]MATRIZ CONSOLIDADA '!O68</f>
        <v>51166072</v>
      </c>
      <c r="N70" s="301">
        <f t="shared" si="20"/>
        <v>0.51024933971139785</v>
      </c>
      <c r="O70" s="306">
        <v>6199451</v>
      </c>
      <c r="P70" s="259">
        <f t="shared" si="18"/>
        <v>0.1211633169730129</v>
      </c>
      <c r="Q70" s="306">
        <f t="shared" si="16"/>
        <v>44966621</v>
      </c>
      <c r="R70" s="258">
        <v>132828412</v>
      </c>
      <c r="S70" s="293">
        <f>+M70+'[3]Anexo 1 Matriz SINA Inf Gestión'!$S$41</f>
        <v>68140109</v>
      </c>
      <c r="T70" s="259">
        <f t="shared" si="19"/>
        <v>0.51299347763037328</v>
      </c>
      <c r="U70" s="286"/>
      <c r="V70" s="300"/>
      <c r="W70" s="300"/>
      <c r="X70" s="300"/>
    </row>
    <row r="71" spans="1:24" ht="22.5" x14ac:dyDescent="0.25">
      <c r="A71" s="291" t="str">
        <f>+'[1]MATRIZ CONSOLIDADA '!A69</f>
        <v>Proyecto 320502 - Gestión en conocimiento y reducción del riesgo de desastres</v>
      </c>
      <c r="B71" s="268"/>
      <c r="C71" s="268"/>
      <c r="D71" s="279"/>
      <c r="E71" s="255">
        <f>AVERAGE(E72:E73)</f>
        <v>21</v>
      </c>
      <c r="F71" s="268"/>
      <c r="G71" s="256">
        <f t="shared" si="9"/>
        <v>0.21</v>
      </c>
      <c r="H71" s="255">
        <f>AVERAGE(H72:H73)</f>
        <v>100</v>
      </c>
      <c r="I71" s="268">
        <f>AVERAGE(I72:I73)</f>
        <v>30</v>
      </c>
      <c r="J71" s="256">
        <f t="shared" si="12"/>
        <v>0.3</v>
      </c>
      <c r="K71" s="256">
        <f>SUM(K72:K73)</f>
        <v>5.0782954123221313E-2</v>
      </c>
      <c r="L71" s="255">
        <f>SUM(L72:L73)</f>
        <v>1813821899.1545</v>
      </c>
      <c r="M71" s="255">
        <v>108984000</v>
      </c>
      <c r="N71" s="303">
        <f t="shared" si="20"/>
        <v>6.0085281829931649E-2</v>
      </c>
      <c r="O71" s="277">
        <f>SUM(O72:O73)</f>
        <v>10542000</v>
      </c>
      <c r="P71" s="276">
        <f t="shared" si="18"/>
        <v>9.672979519929531E-2</v>
      </c>
      <c r="Q71" s="277">
        <f t="shared" si="16"/>
        <v>98442000</v>
      </c>
      <c r="R71" s="269">
        <f>SUM(R72:R73)</f>
        <v>6520295905</v>
      </c>
      <c r="S71" s="269">
        <f>SUM(S72:S73)</f>
        <v>1695872399</v>
      </c>
      <c r="T71" s="276">
        <f t="shared" si="19"/>
        <v>0.26009132464364743</v>
      </c>
      <c r="U71" s="269"/>
      <c r="V71" s="269"/>
      <c r="W71" s="269"/>
      <c r="X71" s="269"/>
    </row>
    <row r="72" spans="1:24" ht="45" x14ac:dyDescent="0.25">
      <c r="A72" s="288" t="str">
        <f>+'[1]MATRIZ CONSOLIDADA '!A70</f>
        <v>CONOCIMIENTO DEL RIESGO DE DESASTRES GESTIONADO</v>
      </c>
      <c r="B72" s="258" t="str">
        <f>+'[1]MATRIZ CONSOLIDADA '!C70</f>
        <v>%</v>
      </c>
      <c r="C72" s="258">
        <f>+'[1]MATRIZ CONSOLIDADA '!L70</f>
        <v>100</v>
      </c>
      <c r="D72" s="258">
        <f>+'[1]MATRIZ CONSOLIDADA '!N70</f>
        <v>42</v>
      </c>
      <c r="E72" s="258">
        <f>+(D72/C72)*100</f>
        <v>42</v>
      </c>
      <c r="F72" s="267"/>
      <c r="G72" s="259">
        <f t="shared" si="9"/>
        <v>0.42</v>
      </c>
      <c r="H72" s="293">
        <f>+'[1]MATRIZ CONSOLIDADA '!D70</f>
        <v>100</v>
      </c>
      <c r="I72" s="258">
        <v>35</v>
      </c>
      <c r="J72" s="259">
        <f t="shared" si="12"/>
        <v>0.35</v>
      </c>
      <c r="K72" s="259">
        <f>+L72/L95</f>
        <v>4.1069133301483693E-2</v>
      </c>
      <c r="L72" s="258">
        <f>+'[1]MATRIZ CONSOLIDADA '!M70</f>
        <v>1466871997.6545</v>
      </c>
      <c r="M72" s="293">
        <v>108984000</v>
      </c>
      <c r="N72" s="301">
        <f t="shared" si="20"/>
        <v>7.4296871284108848E-2</v>
      </c>
      <c r="O72" s="306">
        <v>10542000</v>
      </c>
      <c r="P72" s="259">
        <f t="shared" si="18"/>
        <v>9.672979519929531E-2</v>
      </c>
      <c r="Q72" s="306">
        <f t="shared" si="16"/>
        <v>98442000</v>
      </c>
      <c r="R72" s="258">
        <v>5308310904</v>
      </c>
      <c r="S72" s="293">
        <f>+'[3]Anexo 1 Matriz SINA Inf Gestión'!$S$43+M72</f>
        <v>1590047506</v>
      </c>
      <c r="T72" s="259">
        <f t="shared" si="19"/>
        <v>0.29953925735620401</v>
      </c>
      <c r="U72" s="286"/>
      <c r="V72" s="300" t="s">
        <v>159</v>
      </c>
      <c r="W72" s="286"/>
      <c r="X72" s="286"/>
    </row>
    <row r="73" spans="1:24" ht="45" x14ac:dyDescent="0.25">
      <c r="A73" s="288" t="str">
        <f>+'[1]MATRIZ CONSOLIDADA '!A71</f>
        <v>REDUCCIÓN DEL RIESGO DE DESASTRES GESTIONADO</v>
      </c>
      <c r="B73" s="258" t="str">
        <f>+'[1]MATRIZ CONSOLIDADA '!C71</f>
        <v>%</v>
      </c>
      <c r="C73" s="258">
        <f>+'[1]MATRIZ CONSOLIDADA '!L71</f>
        <v>100</v>
      </c>
      <c r="D73" s="258">
        <f>+'[1]MATRIZ CONSOLIDADA '!N71</f>
        <v>0</v>
      </c>
      <c r="E73" s="258">
        <f>+(D73/C73)*100</f>
        <v>0</v>
      </c>
      <c r="F73" s="267"/>
      <c r="G73" s="259">
        <f t="shared" si="9"/>
        <v>0</v>
      </c>
      <c r="H73" s="293">
        <f>+'[1]MATRIZ CONSOLIDADA '!D71</f>
        <v>100</v>
      </c>
      <c r="I73" s="258">
        <v>25</v>
      </c>
      <c r="J73" s="259">
        <f t="shared" si="12"/>
        <v>0.25</v>
      </c>
      <c r="K73" s="259">
        <f>+L73/L95</f>
        <v>9.7138208217376187E-3</v>
      </c>
      <c r="L73" s="258">
        <f>+'[1]MATRIZ CONSOLIDADA '!M71</f>
        <v>346949901.5</v>
      </c>
      <c r="M73" s="293">
        <v>0</v>
      </c>
      <c r="N73" s="301">
        <f t="shared" si="20"/>
        <v>0</v>
      </c>
      <c r="O73" s="306">
        <v>0</v>
      </c>
      <c r="P73" s="259">
        <v>0</v>
      </c>
      <c r="Q73" s="306">
        <f t="shared" si="16"/>
        <v>0</v>
      </c>
      <c r="R73" s="258">
        <v>1211985001</v>
      </c>
      <c r="S73" s="293">
        <f>+'[3]Anexo 1 Matriz SINA Inf Gestión'!$S$44</f>
        <v>105824893</v>
      </c>
      <c r="T73" s="259">
        <f t="shared" si="19"/>
        <v>8.7315348715276714E-2</v>
      </c>
      <c r="U73" s="286"/>
      <c r="V73" s="300" t="s">
        <v>159</v>
      </c>
      <c r="W73" s="286"/>
      <c r="X73" s="286"/>
    </row>
    <row r="74" spans="1:24" ht="22.5" x14ac:dyDescent="0.25">
      <c r="A74" s="291" t="str">
        <f>+'[1]MATRIZ CONSOLIDADA '!A72</f>
        <v>Proyecto 320503 - Gestión ambiental con comunidades ètnicas</v>
      </c>
      <c r="B74" s="268"/>
      <c r="C74" s="268"/>
      <c r="D74" s="279"/>
      <c r="E74" s="255">
        <f>AVERAGE(E75:E76)</f>
        <v>35</v>
      </c>
      <c r="F74" s="268"/>
      <c r="G74" s="256">
        <f t="shared" si="9"/>
        <v>0.35</v>
      </c>
      <c r="H74" s="255"/>
      <c r="I74" s="255"/>
      <c r="J74" s="256">
        <f>AVERAGE(J75:J76)</f>
        <v>0.32250000000000001</v>
      </c>
      <c r="K74" s="256">
        <f>SUM(K75:K76)</f>
        <v>9.2392615109977601E-3</v>
      </c>
      <c r="L74" s="255">
        <f>SUM(L75:L76)</f>
        <v>330000000</v>
      </c>
      <c r="M74" s="255">
        <f>SUM(M75:M76)</f>
        <v>8340337</v>
      </c>
      <c r="N74" s="303">
        <f t="shared" si="20"/>
        <v>2.5273748484848486E-2</v>
      </c>
      <c r="O74" s="277">
        <f>SUM(O75:O76)</f>
        <v>7133197</v>
      </c>
      <c r="P74" s="276">
        <f>+O74/M74</f>
        <v>0.85526484121684776</v>
      </c>
      <c r="Q74" s="277"/>
      <c r="R74" s="269">
        <f>SUM(R75:R76)</f>
        <v>1050000000</v>
      </c>
      <c r="S74" s="269">
        <f>SUM(S75:S76)</f>
        <v>200907537</v>
      </c>
      <c r="T74" s="276">
        <f t="shared" si="19"/>
        <v>0.19134051142857142</v>
      </c>
      <c r="U74" s="269"/>
      <c r="V74" s="269"/>
      <c r="W74" s="269"/>
      <c r="X74" s="269"/>
    </row>
    <row r="75" spans="1:24" ht="45" x14ac:dyDescent="0.25">
      <c r="A75" s="288" t="str">
        <f>+'[1]MATRIZ CONSOLIDADA '!A73</f>
        <v>Comunidades Indígenas apoyadas en temas de competencia de la Corporación</v>
      </c>
      <c r="B75" s="258" t="str">
        <f>+'[1]MATRIZ CONSOLIDADA '!C73</f>
        <v xml:space="preserve">Und </v>
      </c>
      <c r="C75" s="258">
        <f>+'[1]MATRIZ CONSOLIDADA '!L73</f>
        <v>5</v>
      </c>
      <c r="D75" s="258">
        <f>+'[1]MATRIZ CONSOLIDADA '!N73</f>
        <v>1</v>
      </c>
      <c r="E75" s="258">
        <f>+(D75/C75)*100</f>
        <v>20</v>
      </c>
      <c r="F75" s="267"/>
      <c r="G75" s="259">
        <f t="shared" si="9"/>
        <v>0.2</v>
      </c>
      <c r="H75" s="293">
        <f>+'[1]MATRIZ CONSOLIDADA '!D73</f>
        <v>5</v>
      </c>
      <c r="I75" s="258">
        <v>5</v>
      </c>
      <c r="J75" s="259">
        <v>0.27</v>
      </c>
      <c r="K75" s="259">
        <f>+L75/L95</f>
        <v>7.7044241896859506E-3</v>
      </c>
      <c r="L75" s="258">
        <f>+'[1]MATRIZ CONSOLIDADA '!M73</f>
        <v>275180000</v>
      </c>
      <c r="M75" s="258">
        <f>+'[1]MATRIZ CONSOLIDADA '!O73</f>
        <v>0</v>
      </c>
      <c r="N75" s="301">
        <f t="shared" si="20"/>
        <v>0</v>
      </c>
      <c r="O75" s="306">
        <v>0</v>
      </c>
      <c r="P75" s="259">
        <v>0</v>
      </c>
      <c r="Q75" s="306">
        <f>+M75-O75</f>
        <v>0</v>
      </c>
      <c r="R75" s="258">
        <v>995000000</v>
      </c>
      <c r="S75" s="293">
        <f>+'[3]Anexo 1 Matriz SINA Inf Gestión'!$S$46+M75</f>
        <v>192567200</v>
      </c>
      <c r="T75" s="259">
        <f t="shared" si="19"/>
        <v>0.19353487437185929</v>
      </c>
      <c r="U75" s="286"/>
      <c r="V75" s="300" t="s">
        <v>159</v>
      </c>
      <c r="W75" s="286"/>
      <c r="X75" s="286"/>
    </row>
    <row r="76" spans="1:24" ht="22.5" x14ac:dyDescent="0.25">
      <c r="A76" s="288" t="str">
        <f>+'[1]MATRIZ CONSOLIDADA '!A74</f>
        <v>Apoyo a la Gestión, Operación, Administración y Promoción del Proyecto</v>
      </c>
      <c r="B76" s="258" t="str">
        <f>+'[1]MATRIZ CONSOLIDADA '!B74</f>
        <v>Global</v>
      </c>
      <c r="C76" s="258">
        <f>+'[1]MATRIZ CONSOLIDADA '!L74</f>
        <v>1</v>
      </c>
      <c r="D76" s="258">
        <f>+'[1]MATRIZ CONSOLIDADA '!N74</f>
        <v>0.5</v>
      </c>
      <c r="E76" s="258">
        <f>+(D76/C76)*100</f>
        <v>50</v>
      </c>
      <c r="F76" s="267"/>
      <c r="G76" s="259">
        <f t="shared" si="9"/>
        <v>0.5</v>
      </c>
      <c r="H76" s="293">
        <v>4</v>
      </c>
      <c r="I76" s="258">
        <v>1.5</v>
      </c>
      <c r="J76" s="259">
        <f t="shared" si="12"/>
        <v>0.375</v>
      </c>
      <c r="K76" s="259">
        <f>+L76/L95</f>
        <v>1.5348373213118097E-3</v>
      </c>
      <c r="L76" s="258">
        <f>+'[1]MATRIZ CONSOLIDADA '!M74</f>
        <v>54820000</v>
      </c>
      <c r="M76" s="258">
        <f>+'[1]MATRIZ CONSOLIDADA '!O74</f>
        <v>8340337</v>
      </c>
      <c r="N76" s="301">
        <f t="shared" si="20"/>
        <v>0.15214040496169282</v>
      </c>
      <c r="O76" s="306">
        <v>7133197</v>
      </c>
      <c r="P76" s="259">
        <f>+O76/M76</f>
        <v>0.85526484121684776</v>
      </c>
      <c r="Q76" s="306">
        <f>+M76-O76</f>
        <v>1207140</v>
      </c>
      <c r="R76" s="258">
        <v>55000000</v>
      </c>
      <c r="S76" s="293">
        <f>+M76</f>
        <v>8340337</v>
      </c>
      <c r="T76" s="259">
        <f t="shared" si="19"/>
        <v>0.1516424909090909</v>
      </c>
      <c r="U76" s="286"/>
      <c r="V76" s="286"/>
      <c r="W76" s="286"/>
      <c r="X76" s="286"/>
    </row>
    <row r="77" spans="1:24" ht="42" customHeight="1" x14ac:dyDescent="0.25">
      <c r="A77" s="291" t="str">
        <f>+'[1]MATRIZ CONSOLIDADA '!A75</f>
        <v>Proyecto 320504- Gestión del conocimiento y reducción del riesgo de desastres-pasivo exigible vigencias expiradas</v>
      </c>
      <c r="B77" s="255"/>
      <c r="C77" s="255"/>
      <c r="D77" s="275"/>
      <c r="E77" s="255">
        <f>AVERAGE(E78)</f>
        <v>0</v>
      </c>
      <c r="F77" s="268"/>
      <c r="G77" s="256">
        <v>0</v>
      </c>
      <c r="H77" s="255">
        <f>AVERAGE(H78)</f>
        <v>0.5</v>
      </c>
      <c r="I77" s="255">
        <f>AVERAGE(I78)</f>
        <v>0</v>
      </c>
      <c r="J77" s="268">
        <f t="shared" si="12"/>
        <v>0</v>
      </c>
      <c r="K77" s="256">
        <f>SUM(K78)</f>
        <v>0.10993786352808994</v>
      </c>
      <c r="L77" s="255">
        <f>SUM(L78)</f>
        <v>3926666100</v>
      </c>
      <c r="M77" s="255">
        <f>SUM(M78)</f>
        <v>3926666100</v>
      </c>
      <c r="N77" s="303">
        <f t="shared" si="20"/>
        <v>1</v>
      </c>
      <c r="O77" s="277">
        <f>SUM(O78)</f>
        <v>0</v>
      </c>
      <c r="P77" s="276">
        <v>0</v>
      </c>
      <c r="Q77" s="277"/>
      <c r="R77" s="269">
        <f>SUM(R78)</f>
        <v>3926666100</v>
      </c>
      <c r="S77" s="269">
        <f>+S78</f>
        <v>0</v>
      </c>
      <c r="T77" s="276">
        <f t="shared" si="19"/>
        <v>0</v>
      </c>
      <c r="U77" s="269"/>
      <c r="V77" s="269"/>
      <c r="W77" s="269"/>
      <c r="X77" s="269"/>
    </row>
    <row r="78" spans="1:24" ht="45" x14ac:dyDescent="0.25">
      <c r="A78" s="288" t="str">
        <f>+'[1]MATRIZ CONSOLIDADA '!A76</f>
        <v>REDUCCIÓN DEL RIESGO DE DESASTRES - Pasivos exigibles vigencias expiradas</v>
      </c>
      <c r="B78" s="258" t="str">
        <f>+'[1]MATRIZ CONSOLIDADA '!B76</f>
        <v>Proyecto</v>
      </c>
      <c r="C78" s="258">
        <f>+'[1]MATRIZ CONSOLIDADA '!L76</f>
        <v>1</v>
      </c>
      <c r="D78" s="261">
        <f>+'[1]MATRIZ CONSOLIDADA '!N76</f>
        <v>0</v>
      </c>
      <c r="E78" s="258">
        <f>+'[1]MATRIZ CONSOLIDADA '!O76</f>
        <v>0</v>
      </c>
      <c r="F78" s="267"/>
      <c r="G78" s="259">
        <v>0</v>
      </c>
      <c r="H78" s="293">
        <f>+'[1]MATRIZ CONSOLIDADA '!D76</f>
        <v>0.5</v>
      </c>
      <c r="I78" s="258">
        <f>+'[1]MATRIZ CONSOLIDADA '!F76</f>
        <v>0</v>
      </c>
      <c r="J78" s="267">
        <f t="shared" si="12"/>
        <v>0</v>
      </c>
      <c r="K78" s="259">
        <f>+L78/L95</f>
        <v>0.10993786352808994</v>
      </c>
      <c r="L78" s="258">
        <f>+'[1]MATRIZ CONSOLIDADA '!M76</f>
        <v>3926666100</v>
      </c>
      <c r="M78" s="258">
        <v>3926666100</v>
      </c>
      <c r="N78" s="301">
        <f>+M78/L78</f>
        <v>1</v>
      </c>
      <c r="O78" s="306">
        <v>0</v>
      </c>
      <c r="P78" s="259">
        <v>0</v>
      </c>
      <c r="Q78" s="306">
        <f t="shared" ref="Q78:Q94" si="21">+M78-O78</f>
        <v>3926666100</v>
      </c>
      <c r="R78" s="258">
        <f>+'[1]MATRIZ CONSOLIDADA '!E76</f>
        <v>3926666100</v>
      </c>
      <c r="S78" s="258">
        <v>0</v>
      </c>
      <c r="T78" s="259">
        <f t="shared" si="19"/>
        <v>0</v>
      </c>
      <c r="U78" s="258"/>
      <c r="V78" s="300" t="s">
        <v>159</v>
      </c>
      <c r="W78" s="286"/>
      <c r="X78" s="286"/>
    </row>
    <row r="79" spans="1:24" ht="33.75" x14ac:dyDescent="0.25">
      <c r="A79" s="292" t="str">
        <f>+'[1]MATRIZ CONSOLIDADA '!A77</f>
        <v>PROGRAMA 3206 -GESTIÓN DEL CAMBIO CLIMÁTICO PARA UN DESARROLLO BAJO EN CARBONO Y RESILIENTE AL CLIMA</v>
      </c>
      <c r="B79" s="270"/>
      <c r="C79" s="270"/>
      <c r="D79" s="270"/>
      <c r="E79" s="264">
        <f>AVERAGE(E80)</f>
        <v>31</v>
      </c>
      <c r="F79" s="270"/>
      <c r="G79" s="265">
        <f t="shared" ref="G79:G94" si="22">+E79/100</f>
        <v>0.31</v>
      </c>
      <c r="H79" s="264">
        <f>AVERAGE(H80)</f>
        <v>100</v>
      </c>
      <c r="I79" s="264">
        <f>AVERAGE(I80)</f>
        <v>31.5</v>
      </c>
      <c r="J79" s="265">
        <f t="shared" si="12"/>
        <v>0.315</v>
      </c>
      <c r="K79" s="278">
        <f>SUM(K80)</f>
        <v>1.1992860597363713E-2</v>
      </c>
      <c r="L79" s="264">
        <f>SUM(L80)</f>
        <v>428350685</v>
      </c>
      <c r="M79" s="264">
        <f>SUM(M80)</f>
        <v>47690000</v>
      </c>
      <c r="N79" s="305"/>
      <c r="O79" s="274">
        <f>SUM(O80)</f>
        <v>15060000</v>
      </c>
      <c r="P79" s="278">
        <f>+O79/M79</f>
        <v>0.31578947368421051</v>
      </c>
      <c r="Q79" s="274">
        <f t="shared" si="21"/>
        <v>32630000</v>
      </c>
      <c r="R79" s="280">
        <f>+R80</f>
        <v>833056620</v>
      </c>
      <c r="S79" s="280">
        <f>+S80</f>
        <v>190955764</v>
      </c>
      <c r="T79" s="278">
        <f t="shared" si="19"/>
        <v>0.22922303168300853</v>
      </c>
      <c r="U79" s="280"/>
      <c r="V79" s="280"/>
      <c r="W79" s="280"/>
      <c r="X79" s="280"/>
    </row>
    <row r="80" spans="1:24" x14ac:dyDescent="0.25">
      <c r="A80" s="291" t="str">
        <f>+'[1]MATRIZ CONSOLIDADA '!A78</f>
        <v xml:space="preserve">Proyecto 320601 - Gestión del cambio climático </v>
      </c>
      <c r="B80" s="268"/>
      <c r="C80" s="255"/>
      <c r="D80" s="275"/>
      <c r="E80" s="255">
        <f>AVERAGE(E81:E82)</f>
        <v>31</v>
      </c>
      <c r="F80" s="268"/>
      <c r="G80" s="256">
        <f t="shared" si="22"/>
        <v>0.31</v>
      </c>
      <c r="H80" s="255">
        <f>AVERAGE(H81:H82)</f>
        <v>100</v>
      </c>
      <c r="I80" s="255">
        <f>AVERAGE(I81:I82)</f>
        <v>31.5</v>
      </c>
      <c r="J80" s="256">
        <f>((I80/H80))</f>
        <v>0.315</v>
      </c>
      <c r="K80" s="256">
        <f>SUM(K81:K82)</f>
        <v>1.1992860597363713E-2</v>
      </c>
      <c r="L80" s="255">
        <f>SUM(L81:L82)</f>
        <v>428350685</v>
      </c>
      <c r="M80" s="255">
        <f>SUM(M81:M82)</f>
        <v>47690000</v>
      </c>
      <c r="N80" s="303">
        <f>((M80/L80))</f>
        <v>0.11133401129030528</v>
      </c>
      <c r="O80" s="277">
        <f>SUM(O81:O82)</f>
        <v>15060000</v>
      </c>
      <c r="P80" s="276">
        <f>+O80/M80</f>
        <v>0.31578947368421051</v>
      </c>
      <c r="Q80" s="277">
        <f t="shared" si="21"/>
        <v>32630000</v>
      </c>
      <c r="R80" s="269">
        <f>SUM(R81:R82)</f>
        <v>833056620</v>
      </c>
      <c r="S80" s="269">
        <f>SUM(S81:S82)</f>
        <v>190955764</v>
      </c>
      <c r="T80" s="276">
        <f t="shared" si="19"/>
        <v>0.22922303168300853</v>
      </c>
      <c r="U80" s="269"/>
      <c r="V80" s="269"/>
      <c r="W80" s="269"/>
      <c r="X80" s="269"/>
    </row>
    <row r="81" spans="1:24" ht="56.25" x14ac:dyDescent="0.25">
      <c r="A81" s="287" t="str">
        <f>+'[1]MATRIZ CONSOLIDADA '!A79</f>
        <v>Porcentaje de entes territoriales asesorados en la incorporación, planificación y ejecución de acciones relacionadas con cambio climático en el marco de los instrumentos de planificación territorial (IM 7)</v>
      </c>
      <c r="B81" s="258" t="str">
        <f>+'[1]MATRIZ CONSOLIDADA '!C79</f>
        <v>%</v>
      </c>
      <c r="C81" s="258">
        <f>+'[1]MATRIZ CONSOLIDADA '!L79</f>
        <v>100</v>
      </c>
      <c r="D81" s="258">
        <f>+'[1]MATRIZ CONSOLIDADA '!N79</f>
        <v>62</v>
      </c>
      <c r="E81" s="258">
        <f>+(D81/C81)*100</f>
        <v>62</v>
      </c>
      <c r="F81" s="267"/>
      <c r="G81" s="259">
        <f t="shared" si="22"/>
        <v>0.62</v>
      </c>
      <c r="H81" s="293">
        <f>+'[1]MATRIZ CONSOLIDADA '!D79</f>
        <v>100</v>
      </c>
      <c r="I81" s="258">
        <v>40</v>
      </c>
      <c r="J81" s="259">
        <f t="shared" si="12"/>
        <v>0.4</v>
      </c>
      <c r="K81" s="259">
        <f>+L81/L95</f>
        <v>1.4757620431657332E-3</v>
      </c>
      <c r="L81" s="258">
        <f>+'[1]MATRIZ CONSOLIDADA '!M79</f>
        <v>52710000</v>
      </c>
      <c r="M81" s="258">
        <f>+'[1]MATRIZ CONSOLIDADA '!O79</f>
        <v>47690000</v>
      </c>
      <c r="N81" s="301">
        <f>((M81/L81))</f>
        <v>0.90476190476190477</v>
      </c>
      <c r="O81" s="306">
        <v>15060000</v>
      </c>
      <c r="P81" s="259">
        <f>+O81/M81</f>
        <v>0.31578947368421051</v>
      </c>
      <c r="Q81" s="306">
        <f t="shared" si="21"/>
        <v>32630000</v>
      </c>
      <c r="R81" s="258">
        <v>214791513</v>
      </c>
      <c r="S81" s="293">
        <f>+'[3]Anexo 1 Matriz SINA Inf Gestión'!$S$39+M81</f>
        <v>93786986</v>
      </c>
      <c r="T81" s="259">
        <f t="shared" si="19"/>
        <v>0.43664195428429242</v>
      </c>
      <c r="U81" s="286"/>
      <c r="V81" s="300" t="s">
        <v>160</v>
      </c>
      <c r="W81" s="300" t="s">
        <v>100</v>
      </c>
      <c r="X81" s="300" t="s">
        <v>150</v>
      </c>
    </row>
    <row r="82" spans="1:24" ht="45" x14ac:dyDescent="0.25">
      <c r="A82" s="288" t="str">
        <f>+'[1]MATRIZ CONSOLIDADA '!A80</f>
        <v>Identificación, promoción y aplicación de energías alternativas y/o utilización de sistemas ecoeficientes de combustión en sectores productivos y/o para uso doméstico</v>
      </c>
      <c r="B82" s="258" t="str">
        <f>+'[1]MATRIZ CONSOLIDADA '!C80</f>
        <v>%</v>
      </c>
      <c r="C82" s="258">
        <f>+'[1]MATRIZ CONSOLIDADA '!L80</f>
        <v>50</v>
      </c>
      <c r="D82" s="258">
        <f>+'[1]MATRIZ CONSOLIDADA '!N80</f>
        <v>0</v>
      </c>
      <c r="E82" s="258">
        <f>+(D82/C82)*100</f>
        <v>0</v>
      </c>
      <c r="F82" s="267"/>
      <c r="G82" s="259">
        <f t="shared" si="22"/>
        <v>0</v>
      </c>
      <c r="H82" s="293">
        <v>100</v>
      </c>
      <c r="I82" s="258">
        <v>23</v>
      </c>
      <c r="J82" s="259">
        <f t="shared" si="12"/>
        <v>0.23</v>
      </c>
      <c r="K82" s="259">
        <f>+L82/L95</f>
        <v>1.051709855419798E-2</v>
      </c>
      <c r="L82" s="258">
        <f>+'[1]MATRIZ CONSOLIDADA '!M80</f>
        <v>375640685</v>
      </c>
      <c r="M82" s="258">
        <f>+'[1]MATRIZ CONSOLIDADA '!O80</f>
        <v>0</v>
      </c>
      <c r="N82" s="301">
        <f>((M82/L82))</f>
        <v>0</v>
      </c>
      <c r="O82" s="306">
        <v>0</v>
      </c>
      <c r="P82" s="259">
        <v>0</v>
      </c>
      <c r="Q82" s="306">
        <f t="shared" si="21"/>
        <v>0</v>
      </c>
      <c r="R82" s="258">
        <v>618265107</v>
      </c>
      <c r="S82" s="293">
        <f>+'[3]Anexo 1 Matriz SINA Inf Gestión'!$S$31</f>
        <v>97168778</v>
      </c>
      <c r="T82" s="259">
        <f t="shared" si="19"/>
        <v>0.15716361298713888</v>
      </c>
      <c r="U82" s="286"/>
      <c r="V82" s="300" t="s">
        <v>160</v>
      </c>
      <c r="W82" s="300"/>
      <c r="X82" s="300" t="s">
        <v>150</v>
      </c>
    </row>
    <row r="83" spans="1:24" x14ac:dyDescent="0.25">
      <c r="A83" s="292" t="str">
        <f>+'[1]MATRIZ CONSOLIDADA '!A81</f>
        <v>PROGRAMA  3208 - EDUCACIÓN AMBIENTAL</v>
      </c>
      <c r="B83" s="270"/>
      <c r="C83" s="264"/>
      <c r="D83" s="264"/>
      <c r="E83" s="264">
        <f>AVERAGE(E84)</f>
        <v>50</v>
      </c>
      <c r="F83" s="270"/>
      <c r="G83" s="265">
        <f t="shared" si="22"/>
        <v>0.5</v>
      </c>
      <c r="H83" s="270"/>
      <c r="I83" s="270"/>
      <c r="J83" s="265">
        <f>AVERAGE(J84)</f>
        <v>0.375</v>
      </c>
      <c r="K83" s="278">
        <f>SUM(K84)</f>
        <v>3.0633423976828139E-2</v>
      </c>
      <c r="L83" s="264">
        <f>SUM(L84)</f>
        <v>1094138303.188</v>
      </c>
      <c r="M83" s="264">
        <f>SUM(M84)</f>
        <v>357062760</v>
      </c>
      <c r="N83" s="305"/>
      <c r="O83" s="274">
        <f>SUM(O84)</f>
        <v>138257951</v>
      </c>
      <c r="P83" s="278">
        <f t="shared" ref="P83:P92" si="23">+O83/M83</f>
        <v>0.38720910295993904</v>
      </c>
      <c r="Q83" s="274">
        <f t="shared" si="21"/>
        <v>218804809</v>
      </c>
      <c r="R83" s="280">
        <f>+R84</f>
        <v>3950761855</v>
      </c>
      <c r="S83" s="280">
        <f>+S84</f>
        <v>1080032741</v>
      </c>
      <c r="T83" s="278">
        <f t="shared" si="19"/>
        <v>0.27337328359418411</v>
      </c>
      <c r="U83" s="280"/>
      <c r="V83" s="280"/>
      <c r="W83" s="280"/>
      <c r="X83" s="280"/>
    </row>
    <row r="84" spans="1:24" x14ac:dyDescent="0.25">
      <c r="A84" s="289" t="s">
        <v>103</v>
      </c>
      <c r="B84" s="268"/>
      <c r="C84" s="255"/>
      <c r="D84" s="255"/>
      <c r="E84" s="255">
        <f>AVERAGE(E85:E86)</f>
        <v>50</v>
      </c>
      <c r="F84" s="268"/>
      <c r="G84" s="256">
        <f t="shared" si="22"/>
        <v>0.5</v>
      </c>
      <c r="H84" s="255"/>
      <c r="I84" s="255"/>
      <c r="J84" s="256">
        <f>AVERAGE(J85:J86)</f>
        <v>0.375</v>
      </c>
      <c r="K84" s="256">
        <f>SUM(K85:K86)</f>
        <v>3.0633423976828139E-2</v>
      </c>
      <c r="L84" s="269">
        <f>SUM(L85:L86)</f>
        <v>1094138303.188</v>
      </c>
      <c r="M84" s="269">
        <f>SUM(M85:M86)</f>
        <v>357062760</v>
      </c>
      <c r="N84" s="303">
        <f t="shared" ref="N84:N94" si="24">((M84/L84))</f>
        <v>0.32634152278521211</v>
      </c>
      <c r="O84" s="277">
        <v>138257951</v>
      </c>
      <c r="P84" s="276">
        <f t="shared" si="23"/>
        <v>0.38720910295993904</v>
      </c>
      <c r="Q84" s="277">
        <f t="shared" si="21"/>
        <v>218804809</v>
      </c>
      <c r="R84" s="269">
        <f>SUM(R85:R86)</f>
        <v>3950761855</v>
      </c>
      <c r="S84" s="269">
        <f>SUM(S85:S86)</f>
        <v>1080032741</v>
      </c>
      <c r="T84" s="276">
        <f t="shared" si="19"/>
        <v>0.27337328359418411</v>
      </c>
      <c r="U84" s="269"/>
      <c r="V84" s="269"/>
      <c r="W84" s="269"/>
      <c r="X84" s="269"/>
    </row>
    <row r="85" spans="1:24" ht="26.25" customHeight="1" x14ac:dyDescent="0.25">
      <c r="A85" s="287" t="str">
        <f>+'[1]MATRIZ CONSOLIDADA '!A83</f>
        <v>Ejecución de acciones en Educación Ambiental (IM 27)</v>
      </c>
      <c r="B85" s="258" t="str">
        <f>+'[1]MATRIZ CONSOLIDADA '!C83</f>
        <v>%</v>
      </c>
      <c r="C85" s="258">
        <f>+'[1]MATRIZ CONSOLIDADA '!L83</f>
        <v>100</v>
      </c>
      <c r="D85" s="258">
        <f>+'[1]MATRIZ CONSOLIDADA '!N83</f>
        <v>50</v>
      </c>
      <c r="E85" s="258">
        <f>+(D85/C85)*100</f>
        <v>50</v>
      </c>
      <c r="F85" s="267"/>
      <c r="G85" s="259">
        <f t="shared" si="22"/>
        <v>0.5</v>
      </c>
      <c r="H85" s="293">
        <f>+'[1]MATRIZ CONSOLIDADA '!D83</f>
        <v>100</v>
      </c>
      <c r="I85" s="258">
        <v>37.5</v>
      </c>
      <c r="J85" s="259">
        <f t="shared" si="12"/>
        <v>0.375</v>
      </c>
      <c r="K85" s="259">
        <f>+L85/L95</f>
        <v>2.6738976418178149E-2</v>
      </c>
      <c r="L85" s="258">
        <f>+'[1]MATRIZ CONSOLIDADA '!M83</f>
        <v>955039773.19999993</v>
      </c>
      <c r="M85" s="258">
        <f>+'[1]MATRIZ CONSOLIDADA '!O83</f>
        <v>288972133</v>
      </c>
      <c r="N85" s="301">
        <f t="shared" si="24"/>
        <v>0.30257601945912344</v>
      </c>
      <c r="O85" s="306">
        <v>88505800</v>
      </c>
      <c r="P85" s="259">
        <f t="shared" si="23"/>
        <v>0.30627797594586742</v>
      </c>
      <c r="Q85" s="306">
        <f t="shared" si="21"/>
        <v>200466333</v>
      </c>
      <c r="R85" s="258">
        <v>3793198955</v>
      </c>
      <c r="S85" s="293">
        <f>+'[3]Anexo 1 Matriz SINA Inf Gestión'!$S$80+M85</f>
        <v>986379214</v>
      </c>
      <c r="T85" s="259">
        <f t="shared" si="19"/>
        <v>0.2600388816146344</v>
      </c>
      <c r="U85" s="286"/>
      <c r="V85" s="300" t="s">
        <v>161</v>
      </c>
      <c r="W85" s="300" t="s">
        <v>104</v>
      </c>
      <c r="X85" s="300"/>
    </row>
    <row r="86" spans="1:24" ht="22.5" x14ac:dyDescent="0.25">
      <c r="A86" s="288" t="str">
        <f>+'[1]MATRIZ CONSOLIDADA '!A84</f>
        <v>Apoyo a la Gestión, Operación, Administración y Promoción del Proyecto</v>
      </c>
      <c r="B86" s="258" t="str">
        <f>+'[1]MATRIZ CONSOLIDADA '!C84</f>
        <v>Global</v>
      </c>
      <c r="C86" s="258">
        <f>+'[1]MATRIZ CONSOLIDADA '!L84</f>
        <v>1</v>
      </c>
      <c r="D86" s="260">
        <f>+'[1]MATRIZ CONSOLIDADA '!N84</f>
        <v>0.5</v>
      </c>
      <c r="E86" s="258">
        <f>+(D86/C86)*100</f>
        <v>50</v>
      </c>
      <c r="F86" s="267"/>
      <c r="G86" s="259">
        <f t="shared" si="22"/>
        <v>0.5</v>
      </c>
      <c r="H86" s="293">
        <v>4</v>
      </c>
      <c r="I86" s="258">
        <v>1.5</v>
      </c>
      <c r="J86" s="259">
        <f t="shared" si="12"/>
        <v>0.375</v>
      </c>
      <c r="K86" s="259">
        <f>+L86/L95</f>
        <v>3.8944475586499883E-3</v>
      </c>
      <c r="L86" s="258">
        <f>+'[1]MATRIZ CONSOLIDADA '!M84</f>
        <v>139098529.98800001</v>
      </c>
      <c r="M86" s="258">
        <f>+'[1]MATRIZ CONSOLIDADA '!O84</f>
        <v>68090627</v>
      </c>
      <c r="N86" s="301">
        <f t="shared" si="24"/>
        <v>0.48951363472981463</v>
      </c>
      <c r="O86" s="306">
        <f>+O84-O85</f>
        <v>49752151</v>
      </c>
      <c r="P86" s="259">
        <f t="shared" si="23"/>
        <v>0.73067547167688729</v>
      </c>
      <c r="Q86" s="306">
        <f t="shared" si="21"/>
        <v>18338476</v>
      </c>
      <c r="R86" s="258">
        <v>157562900</v>
      </c>
      <c r="S86" s="293">
        <f>+M86+'[3]Anexo 1 Matriz SINA Inf Gestión'!$S$81</f>
        <v>93653527</v>
      </c>
      <c r="T86" s="259">
        <f t="shared" si="19"/>
        <v>0.59438819036714863</v>
      </c>
      <c r="U86" s="286"/>
      <c r="V86" s="300"/>
      <c r="W86" s="300"/>
      <c r="X86" s="300"/>
    </row>
    <row r="87" spans="1:24" ht="49.5" customHeight="1" x14ac:dyDescent="0.25">
      <c r="A87" s="292" t="str">
        <f>+'[1]MATRIZ CONSOLIDADA '!A85</f>
        <v>PROGRAMA  3299 -FORTALECIMIENTO DE LA GESTIÓN Y DIRECCIÓN DEL SECTOR AMBIENTE Y DESARROLLO SOSTENIBLE</v>
      </c>
      <c r="B87" s="270"/>
      <c r="C87" s="264"/>
      <c r="D87" s="264"/>
      <c r="E87" s="264">
        <f>AVERAGE(E88)</f>
        <v>44.194444444444436</v>
      </c>
      <c r="F87" s="270"/>
      <c r="G87" s="265">
        <f t="shared" si="22"/>
        <v>0.44194444444444436</v>
      </c>
      <c r="H87" s="264"/>
      <c r="I87" s="264"/>
      <c r="J87" s="265">
        <f>AVERAGE(J88)</f>
        <v>0.37833333333333335</v>
      </c>
      <c r="K87" s="278">
        <f>SUM(K88)</f>
        <v>7.4179264402187389E-2</v>
      </c>
      <c r="L87" s="264">
        <f>SUM(L88)</f>
        <v>2649471196.7600002</v>
      </c>
      <c r="M87" s="264">
        <f>SUM(M88)</f>
        <v>699283689</v>
      </c>
      <c r="N87" s="304">
        <f t="shared" si="24"/>
        <v>0.26393330482518318</v>
      </c>
      <c r="O87" s="274">
        <f>SUM(O88)</f>
        <v>170060782</v>
      </c>
      <c r="P87" s="278">
        <f t="shared" si="23"/>
        <v>0.24319283386002158</v>
      </c>
      <c r="Q87" s="274">
        <f t="shared" si="21"/>
        <v>529222907</v>
      </c>
      <c r="R87" s="280">
        <f>+R88</f>
        <v>3791085655</v>
      </c>
      <c r="S87" s="280">
        <f>+S88</f>
        <v>1513290968.668</v>
      </c>
      <c r="T87" s="278">
        <f t="shared" si="19"/>
        <v>0.39917087251039701</v>
      </c>
      <c r="U87" s="280"/>
      <c r="V87" s="280"/>
      <c r="W87" s="280"/>
      <c r="X87" s="280"/>
    </row>
    <row r="88" spans="1:24" ht="22.5" x14ac:dyDescent="0.25">
      <c r="A88" s="291" t="str">
        <f>+'[1]MATRIZ CONSOLIDADA '!A86</f>
        <v>Proyecto 329901 -Fortalecimiento institucional para la gestiòn ambiental</v>
      </c>
      <c r="B88" s="268"/>
      <c r="C88" s="255"/>
      <c r="D88" s="275"/>
      <c r="E88" s="255">
        <f>AVERAGE(E89:E94)</f>
        <v>44.194444444444436</v>
      </c>
      <c r="F88" s="268"/>
      <c r="G88" s="256">
        <f t="shared" si="22"/>
        <v>0.44194444444444436</v>
      </c>
      <c r="H88" s="255"/>
      <c r="I88" s="255"/>
      <c r="J88" s="256">
        <f>AVERAGE(J89:J94)</f>
        <v>0.37833333333333335</v>
      </c>
      <c r="K88" s="256">
        <f>SUM(K89:K94)</f>
        <v>7.4179264402187389E-2</v>
      </c>
      <c r="L88" s="255">
        <f>SUM(L89:L94)</f>
        <v>2649471196.7600002</v>
      </c>
      <c r="M88" s="255">
        <f>SUM(M89:M94)</f>
        <v>699283689</v>
      </c>
      <c r="N88" s="303">
        <f t="shared" si="24"/>
        <v>0.26393330482518318</v>
      </c>
      <c r="O88" s="277">
        <f>SUM(O89:O94)</f>
        <v>170060782</v>
      </c>
      <c r="P88" s="276">
        <f t="shared" si="23"/>
        <v>0.24319283386002158</v>
      </c>
      <c r="Q88" s="277">
        <f t="shared" si="21"/>
        <v>529222907</v>
      </c>
      <c r="R88" s="269">
        <f>SUM(R89:R94)</f>
        <v>3791085655</v>
      </c>
      <c r="S88" s="269">
        <f>SUM(S89:S94)</f>
        <v>1513290968.668</v>
      </c>
      <c r="T88" s="276">
        <f t="shared" si="19"/>
        <v>0.39917087251039701</v>
      </c>
      <c r="U88" s="269"/>
      <c r="V88" s="269"/>
      <c r="W88" s="269"/>
      <c r="X88" s="269"/>
    </row>
    <row r="89" spans="1:24" ht="33.75" x14ac:dyDescent="0.25">
      <c r="A89" s="288" t="str">
        <f>+'[1]MATRIZ CONSOLIDADA '!A87</f>
        <v>Porcentaje de Consolidación y fortalecimiento del Modelo Integrado de Planeación y Gestión - MIPG</v>
      </c>
      <c r="B89" s="267" t="str">
        <f>+'[1]MATRIZ CONSOLIDADA '!C87</f>
        <v>%</v>
      </c>
      <c r="C89" s="258">
        <f>+'[1]MATRIZ CONSOLIDADA '!L87</f>
        <v>50</v>
      </c>
      <c r="D89" s="258">
        <f>+'[1]MATRIZ CONSOLIDADA '!N87</f>
        <v>25</v>
      </c>
      <c r="E89" s="258">
        <f t="shared" ref="E89:E94" si="25">+(D89/C89)*100</f>
        <v>50</v>
      </c>
      <c r="F89" s="267"/>
      <c r="G89" s="259">
        <f t="shared" si="22"/>
        <v>0.5</v>
      </c>
      <c r="H89" s="293">
        <v>100</v>
      </c>
      <c r="I89" s="258">
        <f>+'[1]MATRIZ CONSOLIDADA '!F87</f>
        <v>25</v>
      </c>
      <c r="J89" s="259">
        <v>0.375</v>
      </c>
      <c r="K89" s="259">
        <f>+L89/L95</f>
        <v>6.7743718034527205E-3</v>
      </c>
      <c r="L89" s="258">
        <f>+'[1]MATRIZ CONSOLIDADA '!M87</f>
        <v>241961188.40000001</v>
      </c>
      <c r="M89" s="258">
        <f>+'[1]MATRIZ CONSOLIDADA '!O87</f>
        <v>225531792.63999999</v>
      </c>
      <c r="N89" s="301">
        <f t="shared" si="24"/>
        <v>0.93209904502188323</v>
      </c>
      <c r="O89" s="306">
        <v>66537433</v>
      </c>
      <c r="P89" s="259">
        <f t="shared" si="23"/>
        <v>0.29502462699885895</v>
      </c>
      <c r="Q89" s="306">
        <f t="shared" si="21"/>
        <v>158994359.63999999</v>
      </c>
      <c r="R89" s="293">
        <v>1013601843</v>
      </c>
      <c r="S89" s="293">
        <f>+'[3]Anexo 1 Matriz SINA Inf Gestión'!$S$73+M89</f>
        <v>485517269.30799997</v>
      </c>
      <c r="T89" s="259">
        <f t="shared" si="19"/>
        <v>0.47900195985338195</v>
      </c>
      <c r="U89" s="286"/>
      <c r="V89" s="300" t="s">
        <v>162</v>
      </c>
      <c r="W89" s="308"/>
      <c r="X89" s="308"/>
    </row>
    <row r="90" spans="1:24" ht="33.75" x14ac:dyDescent="0.25">
      <c r="A90" s="288" t="str">
        <f>+'[1]MATRIZ CONSOLIDADA '!A88</f>
        <v>Porcentaje de la Política de servicio al ciudadano implementada</v>
      </c>
      <c r="B90" s="267" t="str">
        <f>+'[1]MATRIZ CONSOLIDADA '!C88</f>
        <v>%</v>
      </c>
      <c r="C90" s="258">
        <f>+'[1]MATRIZ CONSOLIDADA '!L88</f>
        <v>40</v>
      </c>
      <c r="D90" s="258">
        <f>+'[1]MATRIZ CONSOLIDADA '!N88</f>
        <v>15</v>
      </c>
      <c r="E90" s="258">
        <f t="shared" si="25"/>
        <v>37.5</v>
      </c>
      <c r="F90" s="267"/>
      <c r="G90" s="259">
        <f t="shared" si="22"/>
        <v>0.375</v>
      </c>
      <c r="H90" s="293">
        <v>100</v>
      </c>
      <c r="I90" s="258">
        <v>20</v>
      </c>
      <c r="J90" s="259">
        <f t="shared" si="12"/>
        <v>0.2</v>
      </c>
      <c r="K90" s="259">
        <f>+L90/L95</f>
        <v>4.5957591243449991E-4</v>
      </c>
      <c r="L90" s="258">
        <f>+'[1]MATRIZ CONSOLIDADA '!M88</f>
        <v>16414737.359999998</v>
      </c>
      <c r="M90" s="258">
        <f>+'[1]MATRIZ CONSOLIDADA '!O88</f>
        <v>16414737.359999999</v>
      </c>
      <c r="N90" s="301">
        <f t="shared" si="24"/>
        <v>1.0000000000000002</v>
      </c>
      <c r="O90" s="306">
        <v>0</v>
      </c>
      <c r="P90" s="259">
        <f t="shared" si="23"/>
        <v>0</v>
      </c>
      <c r="Q90" s="306">
        <f t="shared" si="21"/>
        <v>16414737.359999999</v>
      </c>
      <c r="R90" s="293">
        <v>96570290</v>
      </c>
      <c r="S90" s="293">
        <f>+'[3]Anexo 1 Matriz SINA Inf Gestión'!$S$74+M90</f>
        <v>21104662.359999999</v>
      </c>
      <c r="T90" s="259">
        <f t="shared" si="19"/>
        <v>0.21854197973310424</v>
      </c>
      <c r="U90" s="286"/>
      <c r="V90" s="300" t="s">
        <v>163</v>
      </c>
      <c r="W90" s="308"/>
      <c r="X90" s="308"/>
    </row>
    <row r="91" spans="1:24" ht="33.75" x14ac:dyDescent="0.25">
      <c r="A91" s="288" t="str">
        <f>+'[1]MATRIZ CONSOLIDADA '!A89</f>
        <v>Porcentaje de actualización e implementación del Plan Estratégico Tecnológico de la CAM para el período 2020-2023</v>
      </c>
      <c r="B91" s="267" t="str">
        <f>+'[1]MATRIZ CONSOLIDADA '!C89</f>
        <v>%</v>
      </c>
      <c r="C91" s="258">
        <f>+'[1]MATRIZ CONSOLIDADA '!L89</f>
        <v>50</v>
      </c>
      <c r="D91" s="258">
        <f>+'[1]MATRIZ CONSOLIDADA '!N89</f>
        <v>48</v>
      </c>
      <c r="E91" s="258">
        <f t="shared" si="25"/>
        <v>96</v>
      </c>
      <c r="F91" s="267"/>
      <c r="G91" s="259">
        <f t="shared" si="22"/>
        <v>0.96</v>
      </c>
      <c r="H91" s="293">
        <v>100</v>
      </c>
      <c r="I91" s="258">
        <v>75</v>
      </c>
      <c r="J91" s="259">
        <f t="shared" si="12"/>
        <v>0.75</v>
      </c>
      <c r="K91" s="259">
        <f>+L91/L95</f>
        <v>1.7521197640477541E-2</v>
      </c>
      <c r="L91" s="258">
        <f>+'[1]MATRIZ CONSOLIDADA '!M89</f>
        <v>625807075</v>
      </c>
      <c r="M91" s="258">
        <f>+'[1]MATRIZ CONSOLIDADA '!O89</f>
        <v>391641585</v>
      </c>
      <c r="N91" s="301">
        <f t="shared" si="24"/>
        <v>0.62581840417831647</v>
      </c>
      <c r="O91" s="306">
        <v>71368404</v>
      </c>
      <c r="P91" s="259">
        <f t="shared" si="23"/>
        <v>0.18222887132887075</v>
      </c>
      <c r="Q91" s="306">
        <f t="shared" si="21"/>
        <v>320273181</v>
      </c>
      <c r="R91" s="293">
        <v>1967756991</v>
      </c>
      <c r="S91" s="293">
        <f>+'[3]Anexo 1 Matriz SINA Inf Gestión'!$S$75+M91</f>
        <v>896035511</v>
      </c>
      <c r="T91" s="259">
        <f t="shared" si="19"/>
        <v>0.45535882484383461</v>
      </c>
      <c r="U91" s="286"/>
      <c r="V91" s="300" t="s">
        <v>163</v>
      </c>
      <c r="W91" s="308"/>
      <c r="X91" s="308"/>
    </row>
    <row r="92" spans="1:24" ht="33.75" x14ac:dyDescent="0.25">
      <c r="A92" s="288" t="str">
        <f>+'[1]MATRIZ CONSOLIDADA '!A90</f>
        <v xml:space="preserve">Porcentaje de actualización e Implementacion del programa de gestión documental  </v>
      </c>
      <c r="B92" s="267" t="str">
        <f>+'[1]MATRIZ CONSOLIDADA '!C90</f>
        <v>%</v>
      </c>
      <c r="C92" s="258">
        <f>+'[1]MATRIZ CONSOLIDADA '!L90</f>
        <v>60</v>
      </c>
      <c r="D92" s="258">
        <f>+'[1]MATRIZ CONSOLIDADA '!N90</f>
        <v>10</v>
      </c>
      <c r="E92" s="258">
        <f t="shared" si="25"/>
        <v>16.666666666666664</v>
      </c>
      <c r="F92" s="267"/>
      <c r="G92" s="259">
        <f t="shared" si="22"/>
        <v>0.16666666666666663</v>
      </c>
      <c r="H92" s="293">
        <v>100</v>
      </c>
      <c r="I92" s="258">
        <v>30</v>
      </c>
      <c r="J92" s="259">
        <f t="shared" si="12"/>
        <v>0.3</v>
      </c>
      <c r="K92" s="259">
        <f>+L92/L95</f>
        <v>2.5712767072916848E-3</v>
      </c>
      <c r="L92" s="258">
        <f>+'[1]MATRIZ CONSOLIDADA '!M90</f>
        <v>91838651</v>
      </c>
      <c r="M92" s="258">
        <f>+'[1]MATRIZ CONSOLIDADA '!O90</f>
        <v>22700440</v>
      </c>
      <c r="N92" s="301">
        <f t="shared" si="24"/>
        <v>0.24717741117517067</v>
      </c>
      <c r="O92" s="306">
        <v>0</v>
      </c>
      <c r="P92" s="259">
        <f t="shared" si="23"/>
        <v>0</v>
      </c>
      <c r="Q92" s="306">
        <f t="shared" si="21"/>
        <v>22700440</v>
      </c>
      <c r="R92" s="293">
        <v>239500000</v>
      </c>
      <c r="S92" s="293">
        <f>+M92+'[3]Anexo 1 Matriz SINA Inf Gestión'!$S$76</f>
        <v>53521061</v>
      </c>
      <c r="T92" s="259">
        <f t="shared" si="19"/>
        <v>0.22346998329853862</v>
      </c>
      <c r="U92" s="286"/>
      <c r="V92" s="300" t="s">
        <v>163</v>
      </c>
      <c r="W92" s="308"/>
      <c r="X92" s="308"/>
    </row>
    <row r="93" spans="1:24" ht="33.75" x14ac:dyDescent="0.25">
      <c r="A93" s="288" t="str">
        <f>+'[1]MATRIZ CONSOLIDADA '!A91</f>
        <v>Porcentaje de sedes diseñadas y/o construidas y/o adecuadas, como ejemplo de sostenibilidad ambiental y armonía con el ambiente</v>
      </c>
      <c r="B93" s="267" t="str">
        <f>+'[1]MATRIZ CONSOLIDADA '!C91</f>
        <v>Global</v>
      </c>
      <c r="C93" s="258">
        <f>+'[1]MATRIZ CONSOLIDADA '!L91</f>
        <v>1</v>
      </c>
      <c r="D93" s="261">
        <f>+'[1]MATRIZ CONSOLIDADA '!N91</f>
        <v>0.15</v>
      </c>
      <c r="E93" s="258">
        <f t="shared" si="25"/>
        <v>15</v>
      </c>
      <c r="F93" s="267"/>
      <c r="G93" s="259">
        <f t="shared" si="22"/>
        <v>0.15</v>
      </c>
      <c r="H93" s="293">
        <f>+'[1]MATRIZ CONSOLIDADA '!D91</f>
        <v>1</v>
      </c>
      <c r="I93" s="260">
        <v>0.27</v>
      </c>
      <c r="J93" s="259">
        <f t="shared" si="12"/>
        <v>0.27</v>
      </c>
      <c r="K93" s="259">
        <f>+L93/L95</f>
        <v>3.9791622105912652E-2</v>
      </c>
      <c r="L93" s="258">
        <f>+'[1]MATRIZ CONSOLIDADA '!M91</f>
        <v>1421242951</v>
      </c>
      <c r="M93" s="258">
        <f>+'[1]MATRIZ CONSOLIDADA '!O91</f>
        <v>0</v>
      </c>
      <c r="N93" s="301">
        <f t="shared" si="24"/>
        <v>0</v>
      </c>
      <c r="O93" s="306">
        <v>0</v>
      </c>
      <c r="P93" s="259">
        <v>0</v>
      </c>
      <c r="Q93" s="306">
        <f t="shared" si="21"/>
        <v>0</v>
      </c>
      <c r="R93" s="293">
        <v>414016000</v>
      </c>
      <c r="S93" s="293">
        <f>+'[3]Anexo 1 Matriz SINA Inf Gestión'!$S$77</f>
        <v>11561041</v>
      </c>
      <c r="T93" s="259">
        <f t="shared" si="19"/>
        <v>2.7924140612923171E-2</v>
      </c>
      <c r="U93" s="286"/>
      <c r="V93" s="300" t="s">
        <v>163</v>
      </c>
      <c r="W93" s="308"/>
      <c r="X93" s="308"/>
    </row>
    <row r="94" spans="1:24" ht="22.5" x14ac:dyDescent="0.25">
      <c r="A94" s="288" t="str">
        <f>+'[1]MATRIZ CONSOLIDADA '!A92</f>
        <v>Apoyo a la Gestión, Operación, Administración y Promoción del Proyecto</v>
      </c>
      <c r="B94" s="267" t="str">
        <f>+'[1]MATRIZ CONSOLIDADA '!C92</f>
        <v>Global</v>
      </c>
      <c r="C94" s="258">
        <f>+'[1]MATRIZ CONSOLIDADA '!L92</f>
        <v>1</v>
      </c>
      <c r="D94" s="261">
        <f>+'[1]MATRIZ CONSOLIDADA '!N92</f>
        <v>0.5</v>
      </c>
      <c r="E94" s="258">
        <f t="shared" si="25"/>
        <v>50</v>
      </c>
      <c r="F94" s="267"/>
      <c r="G94" s="259">
        <f t="shared" si="22"/>
        <v>0.5</v>
      </c>
      <c r="H94" s="293">
        <v>4</v>
      </c>
      <c r="I94" s="260">
        <v>1.5</v>
      </c>
      <c r="J94" s="259">
        <f t="shared" ref="J94" si="26">((I94/H94))</f>
        <v>0.375</v>
      </c>
      <c r="K94" s="259">
        <f>+L94/L95</f>
        <v>7.0612202326182988E-3</v>
      </c>
      <c r="L94" s="258">
        <f>+'[1]MATRIZ CONSOLIDADA '!M92</f>
        <v>252206594</v>
      </c>
      <c r="M94" s="258">
        <f>+'[1]MATRIZ CONSOLIDADA '!O92</f>
        <v>42995134</v>
      </c>
      <c r="N94" s="301">
        <f t="shared" si="24"/>
        <v>0.17047585203105356</v>
      </c>
      <c r="O94" s="306">
        <v>32154945</v>
      </c>
      <c r="P94" s="259">
        <f>+O94/M94</f>
        <v>0.74787405011925301</v>
      </c>
      <c r="Q94" s="306">
        <f t="shared" si="21"/>
        <v>10840189</v>
      </c>
      <c r="R94" s="293">
        <v>59640531</v>
      </c>
      <c r="S94" s="293">
        <f>+M94+'[3]Anexo 1 Matriz SINA Inf Gestión'!$S$78</f>
        <v>45551424</v>
      </c>
      <c r="T94" s="259">
        <f t="shared" si="19"/>
        <v>0.76376623809737709</v>
      </c>
      <c r="U94" s="286"/>
      <c r="V94" s="300"/>
      <c r="W94" s="308"/>
      <c r="X94" s="308"/>
    </row>
    <row r="95" spans="1:24" ht="26.25" customHeight="1" x14ac:dyDescent="0.25">
      <c r="A95" s="344" t="s">
        <v>151</v>
      </c>
      <c r="B95" s="344"/>
      <c r="C95" s="331"/>
      <c r="D95" s="331"/>
      <c r="E95" s="332">
        <f>+(E8+E11+E14+E28+E39+E43+E51+E55+E64+E68+E71+E74+E77+E80+E84+E88)/16</f>
        <v>39.675000000000004</v>
      </c>
      <c r="F95" s="333"/>
      <c r="G95" s="334">
        <f>+(G8+G11+G14+G28+G39+G43+G51+G55+G64+G68+G71+G74+G77+G80+G84+G88)/16</f>
        <v>0.39690624999999996</v>
      </c>
      <c r="H95" s="331"/>
      <c r="I95" s="331"/>
      <c r="J95" s="334">
        <f>AVERAGE(J8,J11,J14,J28,J39,J43,J51,J55,J64,J68,J71,J74,J77,J80,J84,J88,)</f>
        <v>0.31916287581699349</v>
      </c>
      <c r="K95" s="334">
        <f>SUM(K87,K83,K79,K67,K63,K50,K27,K7)</f>
        <v>0.99999999999999978</v>
      </c>
      <c r="L95" s="335">
        <f>SUM(L87,L83,L79,L67,L63,L50,L27,L7)</f>
        <v>35717140337.156975</v>
      </c>
      <c r="M95" s="335">
        <f>SUM(M87,M83,M79,M67,M63,M50,M27,M7)</f>
        <v>19199106125</v>
      </c>
      <c r="N95" s="336">
        <f>+M95/L95</f>
        <v>0.53753200686749647</v>
      </c>
      <c r="O95" s="337">
        <f>SUM(O87,O83,O79,O67,O63,O50,O27,O7)</f>
        <v>6246472181</v>
      </c>
      <c r="P95" s="338">
        <f>+O95/M95</f>
        <v>0.32535223985590633</v>
      </c>
      <c r="Q95" s="337">
        <f>+M95-O95</f>
        <v>12952633944</v>
      </c>
      <c r="R95" s="335">
        <f>SUM(R87,R83,R79,R67,R63,R50,R27,R7)</f>
        <v>105278812977</v>
      </c>
      <c r="S95" s="335">
        <f>SUM(S87,S83,S79,S67,S63,S50,S27,S7)</f>
        <v>37622894331.457329</v>
      </c>
      <c r="T95" s="338">
        <f t="shared" si="19"/>
        <v>0.35736434775035608</v>
      </c>
      <c r="U95" s="335"/>
      <c r="V95" s="335"/>
      <c r="W95" s="335"/>
      <c r="X95" s="335"/>
    </row>
    <row r="100" spans="5:5" x14ac:dyDescent="0.25">
      <c r="E100" s="339"/>
    </row>
    <row r="101" spans="5:5" x14ac:dyDescent="0.25">
      <c r="E101" s="339"/>
    </row>
  </sheetData>
  <mergeCells count="12">
    <mergeCell ref="A95:B95"/>
    <mergeCell ref="A1:X1"/>
    <mergeCell ref="A2:X2"/>
    <mergeCell ref="A3:X3"/>
    <mergeCell ref="A5:A6"/>
    <mergeCell ref="B5:K5"/>
    <mergeCell ref="L5:T5"/>
    <mergeCell ref="U5:U6"/>
    <mergeCell ref="V5:V6"/>
    <mergeCell ref="W5:W6"/>
    <mergeCell ref="X5:X6"/>
    <mergeCell ref="B4:X4"/>
  </mergeCells>
  <pageMargins left="0.7" right="0.7" top="0.75" bottom="0.75" header="0.3" footer="0.3"/>
  <pageSetup orientation="portrait" r:id="rId1"/>
  <ignoredErrors>
    <ignoredError sqref="E43 K17 K78:L78 N7:N8 N11 N14 N27:N28 N39 N43 N50:N51 N55 N64 N67:N68 N71 N74 N77 N80 N84 N87:N88 E11 E14 T8 T29 E78 E74 E71 E55 E39 J63 J55 J43 J39 J11 J14 N95 H78:I78" formula="1"/>
    <ignoredError sqref="K8" evalError="1"/>
    <ignoredError sqref="O68"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CONSOLIDADA </vt:lpstr>
      <vt:lpstr>ANEXO 1 INF DE GESTIÓN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 Estith Dussan Quiacha</dc:creator>
  <cp:lastModifiedBy>Usuario de Windows</cp:lastModifiedBy>
  <dcterms:created xsi:type="dcterms:W3CDTF">2021-07-26T16:01:03Z</dcterms:created>
  <dcterms:modified xsi:type="dcterms:W3CDTF">2021-07-30T20:13:50Z</dcterms:modified>
</cp:coreProperties>
</file>