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ETAS_CAM_2019-2023\Documentos Consulta Publica web\"/>
    </mc:Choice>
  </mc:AlternateContent>
  <bookViews>
    <workbookView xWindow="0" yWindow="0" windowWidth="20490" windowHeight="7755" tabRatio="640" firstSheet="9" activeTab="10"/>
  </bookViews>
  <sheets>
    <sheet name="TRAMO1 R_SOMBRERILLOS 2019-2023" sheetId="15" r:id="rId1"/>
    <sheet name="TRAMO 2 RIO_GUARAPAS 2019--2023" sheetId="24" r:id="rId2"/>
    <sheet name="TRAMO3 Q_LA_CHORRERA 2019-2023" sheetId="20" r:id="rId3"/>
    <sheet name="TRAMO 4 R_MAGDALENA-2019-2023" sheetId="3" r:id="rId4"/>
    <sheet name="TRAMO_5 R_TIMANA-2019-2023" sheetId="1" r:id="rId5"/>
    <sheet name="TRAMO 6_EL-HIGADO-2019-2023" sheetId="21" r:id="rId6"/>
    <sheet name="TRAMO 7-R_SUAZA-2019-2023." sheetId="2" r:id="rId7"/>
    <sheet name="TRAMO 8-Q.GARZÓN-2019-2023" sheetId="8" r:id="rId8"/>
    <sheet name="TRAMO 9 LA YAGUILGA-2019-2023 " sheetId="9" r:id="rId9"/>
    <sheet name="TRAMO10 LA-GUANDINOSA-2019-2023" sheetId="10" r:id="rId10"/>
    <sheet name="TRAMO 11-R_PAEZ-2019-2023" sheetId="22" r:id="rId11"/>
    <sheet name="TRAMO12-EMBAL BETANIA2019-2023" sheetId="17" r:id="rId12"/>
    <sheet name="TRAMO13-R_NEIVA-2019-2023" sheetId="18" r:id="rId13"/>
    <sheet name="TRAMO14R_FRIO_CAMPOAL-2019-2023" sheetId="16" r:id="rId14"/>
    <sheet name="TRAMO 15-RIO FRIO-2019-2023" sheetId="13" r:id="rId15"/>
    <sheet name="TRAMO 16-R MAGDALENA-2019-2023" sheetId="14" r:id="rId16"/>
    <sheet name="TRAMO 17-RIO BACHE-2019-2023" sheetId="12" r:id="rId17"/>
    <sheet name="TRAMO18-R_VILLAVIEJA-2019-2023" sheetId="23" r:id="rId18"/>
    <sheet name="TRAMO 19-AMBICÁ-2019-2023" sheetId="11" r:id="rId19"/>
  </sheets>
  <definedNames>
    <definedName name="_xlnm.Print_Area" localSheetId="10">'TRAMO 11-R_PAEZ-2019-2023'!$A$1:$AO$24</definedName>
    <definedName name="_xlnm.Print_Area" localSheetId="14">'TRAMO 15-RIO FRIO-2019-2023'!$A$1:$AO$16</definedName>
    <definedName name="_xlnm.Print_Area" localSheetId="15">'TRAMO 16-R MAGDALENA-2019-2023'!$A$1:$AO$21</definedName>
    <definedName name="_xlnm.Print_Area" localSheetId="16">'TRAMO 17-RIO BACHE-2019-2023'!$A$1:$AO$21</definedName>
    <definedName name="_xlnm.Print_Area" localSheetId="5">'TRAMO 6_EL-HIGADO-2019-2023'!$A$1:$AO$11</definedName>
    <definedName name="_xlnm.Print_Area" localSheetId="11">'TRAMO12-EMBAL BETANIA2019-2023'!$A$1:$AO$20</definedName>
    <definedName name="_xlnm.Print_Area" localSheetId="12">'TRAMO13-R_NEIVA-2019-2023'!$A$1:$AO$10</definedName>
    <definedName name="_xlnm.Print_Area" localSheetId="13">'TRAMO14R_FRIO_CAMPOAL-2019-2023'!$A$1:$AO$10</definedName>
    <definedName name="_xlnm.Print_Area" localSheetId="17">'TRAMO18-R_VILLAVIEJA-2019-2023'!$A$1:$AO$14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14" i="23" l="1"/>
  <c r="AN14" i="23"/>
  <c r="AM14" i="23"/>
  <c r="AL14" i="23"/>
  <c r="AK14" i="23"/>
  <c r="AJ14" i="23"/>
  <c r="E14" i="23"/>
  <c r="AO24" i="22" l="1"/>
  <c r="AN24" i="22"/>
  <c r="AM24" i="22"/>
  <c r="AL24" i="22"/>
  <c r="AK24" i="22"/>
  <c r="AJ24" i="22"/>
  <c r="AO11" i="21" l="1"/>
  <c r="AN11" i="21"/>
  <c r="AM11" i="21"/>
  <c r="AL11" i="21"/>
  <c r="AK11" i="21"/>
  <c r="AJ11" i="21"/>
  <c r="E11" i="21"/>
  <c r="BB7" i="21"/>
  <c r="BC7" i="21" s="1"/>
  <c r="BC4" i="21"/>
  <c r="BC3" i="21"/>
  <c r="AQ11" i="21" l="1"/>
  <c r="AQ8" i="21"/>
  <c r="AQ7" i="21"/>
  <c r="AQ9" i="21"/>
  <c r="BB9" i="21"/>
  <c r="BC9" i="21" s="1"/>
  <c r="AR11" i="21" l="1"/>
  <c r="AR8" i="21"/>
  <c r="AR7" i="21"/>
  <c r="AR6" i="21"/>
  <c r="AR9" i="21"/>
  <c r="AQ6" i="21"/>
  <c r="AT8" i="21" l="1"/>
  <c r="AT11" i="21"/>
  <c r="AT7" i="21"/>
  <c r="AT9" i="21"/>
  <c r="AS9" i="21"/>
  <c r="AS6" i="21" l="1"/>
  <c r="AS11" i="21"/>
  <c r="AT6" i="21"/>
  <c r="AS8" i="21"/>
  <c r="AS7" i="21" l="1"/>
  <c r="AX11" i="21"/>
  <c r="AX7" i="21"/>
  <c r="AX8" i="21"/>
  <c r="AX9" i="21"/>
  <c r="AX6" i="21"/>
  <c r="AV9" i="21"/>
  <c r="AV11" i="21"/>
  <c r="AV7" i="21"/>
  <c r="AV8" i="21"/>
  <c r="AZ8" i="21" l="1"/>
  <c r="AZ7" i="21"/>
  <c r="AZ11" i="21"/>
  <c r="AV6" i="21"/>
  <c r="AZ9" i="21"/>
  <c r="AW7" i="21" l="1"/>
  <c r="AZ6" i="21"/>
  <c r="AU8" i="21" l="1"/>
  <c r="AU6" i="21"/>
  <c r="AU9" i="21"/>
  <c r="AU11" i="21"/>
  <c r="AW11" i="21"/>
  <c r="AW8" i="21"/>
  <c r="AW9" i="21"/>
  <c r="AU7" i="21"/>
  <c r="AY11" i="21" l="1"/>
  <c r="AY8" i="21"/>
  <c r="AY9" i="21"/>
  <c r="AY7" i="21"/>
  <c r="AW6" i="21"/>
  <c r="AY6" i="21" l="1"/>
  <c r="AE12" i="20" l="1"/>
  <c r="AD12" i="20"/>
  <c r="AC12" i="20"/>
  <c r="AB12" i="20"/>
  <c r="AA12" i="20"/>
  <c r="Z12" i="20"/>
  <c r="AO10" i="18" l="1"/>
  <c r="AN10" i="18"/>
  <c r="AM10" i="18"/>
  <c r="AL10" i="18"/>
  <c r="AK10" i="18"/>
  <c r="AJ10" i="18"/>
  <c r="L10" i="18"/>
  <c r="H10" i="18"/>
  <c r="K6" i="18" s="1"/>
  <c r="F10" i="18"/>
  <c r="J6" i="18" s="1"/>
  <c r="E10" i="18"/>
  <c r="N9" i="18"/>
  <c r="T9" i="18" s="1"/>
  <c r="L9" i="18"/>
  <c r="T8" i="18"/>
  <c r="N8" i="18"/>
  <c r="L8" i="18"/>
  <c r="AF7" i="18"/>
  <c r="AD7" i="18"/>
  <c r="Z7" i="18"/>
  <c r="T7" i="18"/>
  <c r="N7" i="18"/>
  <c r="L7" i="18"/>
  <c r="N6" i="18"/>
  <c r="L6" i="18"/>
  <c r="K7" i="18" l="1"/>
  <c r="I7" i="18" s="1"/>
  <c r="K8" i="18"/>
  <c r="I8" i="18" s="1"/>
  <c r="P7" i="18"/>
  <c r="P8" i="18"/>
  <c r="K9" i="18"/>
  <c r="I9" i="18" s="1"/>
  <c r="N10" i="18"/>
  <c r="O10" i="18" s="1"/>
  <c r="P9" i="18"/>
  <c r="Q7" i="18"/>
  <c r="G6" i="18"/>
  <c r="P6" i="18"/>
  <c r="T6" i="18"/>
  <c r="J7" i="18"/>
  <c r="G7" i="18" s="1"/>
  <c r="R7" i="18"/>
  <c r="J8" i="18"/>
  <c r="G8" i="18" s="1"/>
  <c r="R8" i="18"/>
  <c r="Z8" i="18"/>
  <c r="J9" i="18"/>
  <c r="G9" i="18" s="1"/>
  <c r="R9" i="18"/>
  <c r="Z9" i="18"/>
  <c r="M10" i="18"/>
  <c r="M7" i="18" s="1"/>
  <c r="I6" i="18"/>
  <c r="R6" i="18"/>
  <c r="Q8" i="18" l="1"/>
  <c r="O8" i="18" s="1"/>
  <c r="Q6" i="18"/>
  <c r="Q9" i="18"/>
  <c r="O9" i="18" s="1"/>
  <c r="K10" i="18"/>
  <c r="R10" i="18"/>
  <c r="X6" i="18"/>
  <c r="AF8" i="18"/>
  <c r="AF9" i="18"/>
  <c r="X8" i="18"/>
  <c r="V8" i="18"/>
  <c r="X7" i="18"/>
  <c r="M6" i="18"/>
  <c r="P10" i="18"/>
  <c r="X9" i="18"/>
  <c r="V9" i="18"/>
  <c r="J10" i="18"/>
  <c r="S10" i="18"/>
  <c r="M8" i="18"/>
  <c r="Q10" i="18"/>
  <c r="O6" i="18"/>
  <c r="Z6" i="18"/>
  <c r="T10" i="18"/>
  <c r="U10" i="18" s="1"/>
  <c r="W6" i="18"/>
  <c r="M9" i="18"/>
  <c r="O7" i="18"/>
  <c r="AD9" i="18" l="1"/>
  <c r="U6" i="18"/>
  <c r="Z10" i="18"/>
  <c r="AC6" i="18"/>
  <c r="AF6" i="18"/>
  <c r="AD6" i="18"/>
  <c r="X10" i="18"/>
  <c r="AB8" i="18" s="1"/>
  <c r="AB6" i="18"/>
  <c r="S8" i="18"/>
  <c r="W8" i="18"/>
  <c r="U8" i="18" s="1"/>
  <c r="W9" i="18"/>
  <c r="U9" i="18" s="1"/>
  <c r="W7" i="18"/>
  <c r="U7" i="18" s="1"/>
  <c r="S9" i="18"/>
  <c r="V7" i="18"/>
  <c r="S7" i="18" s="1"/>
  <c r="AD8" i="18"/>
  <c r="V6" i="18"/>
  <c r="AB7" i="18" l="1"/>
  <c r="Y10" i="18"/>
  <c r="Y8" i="18" s="1"/>
  <c r="AC7" i="18"/>
  <c r="AC8" i="18"/>
  <c r="AC9" i="18"/>
  <c r="W10" i="18"/>
  <c r="AD10" i="18"/>
  <c r="AH6" i="18" s="1"/>
  <c r="V10" i="18"/>
  <c r="S6" i="18"/>
  <c r="AF10" i="18"/>
  <c r="AA10" i="18"/>
  <c r="AG10" i="18" s="1"/>
  <c r="AB9" i="18"/>
  <c r="Y9" i="18" s="1"/>
  <c r="AH9" i="18" l="1"/>
  <c r="Y7" i="18"/>
  <c r="Y6" i="18"/>
  <c r="AA8" i="18"/>
  <c r="AI7" i="18"/>
  <c r="AG7" i="18" s="1"/>
  <c r="AI8" i="18"/>
  <c r="AG8" i="18" s="1"/>
  <c r="AI9" i="18"/>
  <c r="AG9" i="18" s="1"/>
  <c r="AB10" i="18"/>
  <c r="AC10" i="18"/>
  <c r="AA7" i="18"/>
  <c r="AH7" i="18"/>
  <c r="AI6" i="18"/>
  <c r="AE10" i="18"/>
  <c r="AE6" i="18" s="1"/>
  <c r="AA6" i="18"/>
  <c r="AA9" i="18"/>
  <c r="AH8" i="18"/>
  <c r="AE9" i="18" l="1"/>
  <c r="AE8" i="18"/>
  <c r="AI10" i="18"/>
  <c r="AG6" i="18"/>
  <c r="AE7" i="18"/>
  <c r="AH10" i="18"/>
  <c r="K9" i="17" l="1"/>
  <c r="K10" i="17"/>
  <c r="K13" i="17"/>
  <c r="I13" i="17" s="1"/>
  <c r="K14" i="17"/>
  <c r="I14" i="17" s="1"/>
  <c r="K17" i="17"/>
  <c r="I17" i="17" s="1"/>
  <c r="K18" i="17"/>
  <c r="I18" i="17" s="1"/>
  <c r="AO20" i="17"/>
  <c r="AN20" i="17"/>
  <c r="AM20" i="17"/>
  <c r="AL20" i="17"/>
  <c r="AK20" i="17"/>
  <c r="AJ20" i="17"/>
  <c r="H20" i="17"/>
  <c r="K7" i="17" s="1"/>
  <c r="I7" i="17" s="1"/>
  <c r="F20" i="17"/>
  <c r="E20" i="17"/>
  <c r="T19" i="17"/>
  <c r="N19" i="17"/>
  <c r="L19" i="17"/>
  <c r="N18" i="17"/>
  <c r="T18" i="17" s="1"/>
  <c r="L18" i="17"/>
  <c r="T17" i="17"/>
  <c r="N17" i="17"/>
  <c r="L17" i="17"/>
  <c r="T16" i="17"/>
  <c r="N16" i="17"/>
  <c r="L16" i="17"/>
  <c r="T15" i="17"/>
  <c r="N15" i="17"/>
  <c r="L15" i="17"/>
  <c r="T14" i="17"/>
  <c r="N14" i="17"/>
  <c r="L14" i="17"/>
  <c r="N13" i="17"/>
  <c r="L13" i="17"/>
  <c r="N12" i="17"/>
  <c r="L12" i="17"/>
  <c r="R11" i="17"/>
  <c r="N11" i="17"/>
  <c r="T11" i="17" s="1"/>
  <c r="L11" i="17"/>
  <c r="Z10" i="17"/>
  <c r="R10" i="17"/>
  <c r="N10" i="17"/>
  <c r="T10" i="17" s="1"/>
  <c r="L10" i="17"/>
  <c r="I10" i="17"/>
  <c r="Z9" i="17"/>
  <c r="N9" i="17"/>
  <c r="T9" i="17" s="1"/>
  <c r="L9" i="17"/>
  <c r="I9" i="17"/>
  <c r="N8" i="17"/>
  <c r="T8" i="17" s="1"/>
  <c r="L8" i="17"/>
  <c r="N7" i="17"/>
  <c r="L7" i="17"/>
  <c r="R7" i="17" s="1"/>
  <c r="N6" i="17"/>
  <c r="L6" i="17"/>
  <c r="Q12" i="17" l="1"/>
  <c r="O12" i="17" s="1"/>
  <c r="P19" i="17"/>
  <c r="I19" i="17"/>
  <c r="AF10" i="17"/>
  <c r="Q13" i="17"/>
  <c r="J9" i="17"/>
  <c r="J13" i="17"/>
  <c r="G13" i="17" s="1"/>
  <c r="J17" i="17"/>
  <c r="G17" i="17" s="1"/>
  <c r="J10" i="17"/>
  <c r="G10" i="17" s="1"/>
  <c r="J14" i="17"/>
  <c r="J18" i="17"/>
  <c r="J19" i="17"/>
  <c r="G19" i="17" s="1"/>
  <c r="J11" i="17"/>
  <c r="G11" i="17" s="1"/>
  <c r="N20" i="17"/>
  <c r="T6" i="17"/>
  <c r="Q6" i="17"/>
  <c r="R9" i="17"/>
  <c r="T13" i="17"/>
  <c r="J16" i="17"/>
  <c r="G16" i="17" s="1"/>
  <c r="J8" i="17"/>
  <c r="G8" i="17" s="1"/>
  <c r="R8" i="17"/>
  <c r="T12" i="17"/>
  <c r="J15" i="17"/>
  <c r="G15" i="17" s="1"/>
  <c r="J7" i="17"/>
  <c r="AF9" i="17"/>
  <c r="X10" i="17"/>
  <c r="Q17" i="17"/>
  <c r="J12" i="17"/>
  <c r="K6" i="17"/>
  <c r="I6" i="17" s="1"/>
  <c r="K16" i="17"/>
  <c r="I16" i="17" s="1"/>
  <c r="K12" i="17"/>
  <c r="I12" i="17" s="1"/>
  <c r="K8" i="17"/>
  <c r="I8" i="17" s="1"/>
  <c r="Q18" i="17"/>
  <c r="K19" i="17"/>
  <c r="K15" i="17"/>
  <c r="I15" i="17" s="1"/>
  <c r="K11" i="17"/>
  <c r="I11" i="17" s="1"/>
  <c r="Q9" i="17"/>
  <c r="O9" i="17" s="1"/>
  <c r="Z8" i="17"/>
  <c r="G18" i="17"/>
  <c r="G14" i="17"/>
  <c r="G12" i="17"/>
  <c r="J6" i="17"/>
  <c r="O20" i="17"/>
  <c r="R6" i="17"/>
  <c r="Z6" i="17"/>
  <c r="T7" i="17"/>
  <c r="X7" i="17"/>
  <c r="G9" i="17"/>
  <c r="X11" i="17"/>
  <c r="AD10" i="17"/>
  <c r="Z11" i="17"/>
  <c r="L20" i="17"/>
  <c r="O18" i="17"/>
  <c r="G7" i="17"/>
  <c r="R12" i="17"/>
  <c r="Z12" i="17"/>
  <c r="R13" i="17"/>
  <c r="Z13" i="17"/>
  <c r="R14" i="17"/>
  <c r="Z14" i="17"/>
  <c r="R15" i="17"/>
  <c r="Z15" i="17"/>
  <c r="R16" i="17"/>
  <c r="Z16" i="17"/>
  <c r="R17" i="17"/>
  <c r="Z17" i="17"/>
  <c r="R18" i="17"/>
  <c r="Z18" i="17"/>
  <c r="R19" i="17"/>
  <c r="Z19" i="17"/>
  <c r="AC12" i="17" l="1"/>
  <c r="O7" i="17"/>
  <c r="X9" i="17"/>
  <c r="V9" i="17"/>
  <c r="V14" i="17"/>
  <c r="V12" i="17"/>
  <c r="P13" i="17"/>
  <c r="P15" i="17"/>
  <c r="P10" i="17"/>
  <c r="P11" i="17"/>
  <c r="P14" i="17"/>
  <c r="O6" i="17"/>
  <c r="O17" i="17"/>
  <c r="W7" i="17"/>
  <c r="P7" i="17"/>
  <c r="AC19" i="17"/>
  <c r="K20" i="17"/>
  <c r="P6" i="17"/>
  <c r="P17" i="17"/>
  <c r="X8" i="17"/>
  <c r="W13" i="17"/>
  <c r="V19" i="17"/>
  <c r="V13" i="17"/>
  <c r="P16" i="17"/>
  <c r="P8" i="17"/>
  <c r="P9" i="17"/>
  <c r="Q10" i="17"/>
  <c r="O10" i="17" s="1"/>
  <c r="O19" i="17" s="1"/>
  <c r="Q14" i="17"/>
  <c r="O14" i="17" s="1"/>
  <c r="Q7" i="17"/>
  <c r="Q15" i="17"/>
  <c r="O15" i="17" s="1"/>
  <c r="Q8" i="17"/>
  <c r="O8" i="17" s="1"/>
  <c r="Q16" i="17"/>
  <c r="O16" i="17" s="1"/>
  <c r="Q11" i="17"/>
  <c r="O11" i="17" s="1"/>
  <c r="Q19" i="17"/>
  <c r="P12" i="17"/>
  <c r="P18" i="17"/>
  <c r="X15" i="17"/>
  <c r="R20" i="17"/>
  <c r="X6" i="17"/>
  <c r="P20" i="17"/>
  <c r="AF12" i="17"/>
  <c r="X17" i="17"/>
  <c r="Z7" i="17"/>
  <c r="T20" i="17"/>
  <c r="AF18" i="17"/>
  <c r="AF14" i="17"/>
  <c r="X16" i="17"/>
  <c r="X12" i="17"/>
  <c r="AD11" i="17"/>
  <c r="U20" i="17"/>
  <c r="AF8" i="17"/>
  <c r="X19" i="17"/>
  <c r="X13" i="17"/>
  <c r="AF16" i="17"/>
  <c r="X18" i="17"/>
  <c r="X14" i="17"/>
  <c r="AF19" i="17"/>
  <c r="AF17" i="17"/>
  <c r="AF15" i="17"/>
  <c r="AF13" i="17"/>
  <c r="M20" i="17"/>
  <c r="S20" i="17" s="1"/>
  <c r="AF11" i="17"/>
  <c r="O13" i="17"/>
  <c r="AD7" i="17"/>
  <c r="Z20" i="17"/>
  <c r="AF6" i="17"/>
  <c r="J20" i="17"/>
  <c r="G6" i="17"/>
  <c r="AC9" i="17" l="1"/>
  <c r="AC10" i="17"/>
  <c r="Q20" i="17"/>
  <c r="AC13" i="17"/>
  <c r="AD9" i="17"/>
  <c r="AC14" i="17"/>
  <c r="AB14" i="17"/>
  <c r="AB19" i="17"/>
  <c r="U7" i="17"/>
  <c r="W9" i="17"/>
  <c r="U9" i="17" s="1"/>
  <c r="W10" i="17"/>
  <c r="W18" i="17"/>
  <c r="W17" i="17"/>
  <c r="W14" i="17"/>
  <c r="U14" i="17" s="1"/>
  <c r="W15" i="17"/>
  <c r="U15" i="17" s="1"/>
  <c r="W11" i="17"/>
  <c r="W19" i="17"/>
  <c r="W8" i="17"/>
  <c r="W16" i="17"/>
  <c r="U16" i="17" s="1"/>
  <c r="V7" i="17"/>
  <c r="V10" i="17"/>
  <c r="S10" i="17" s="1"/>
  <c r="S19" i="17" s="1"/>
  <c r="V11" i="17"/>
  <c r="V15" i="17"/>
  <c r="S15" i="17" s="1"/>
  <c r="V8" i="17"/>
  <c r="AC15" i="17"/>
  <c r="V16" i="17"/>
  <c r="S16" i="17" s="1"/>
  <c r="W12" i="17"/>
  <c r="U12" i="17" s="1"/>
  <c r="AC16" i="17"/>
  <c r="AB18" i="17"/>
  <c r="AC7" i="17"/>
  <c r="AB15" i="17"/>
  <c r="V17" i="17"/>
  <c r="AD8" i="17"/>
  <c r="AC17" i="17"/>
  <c r="AA17" i="17" s="1"/>
  <c r="AC8" i="17"/>
  <c r="V18" i="17"/>
  <c r="AC11" i="17"/>
  <c r="AC18" i="17"/>
  <c r="AA18" i="17" s="1"/>
  <c r="AD14" i="17"/>
  <c r="AD19" i="17"/>
  <c r="S7" i="17"/>
  <c r="S9" i="17"/>
  <c r="S8" i="17"/>
  <c r="S11" i="17"/>
  <c r="AA9" i="17"/>
  <c r="M8" i="17"/>
  <c r="M12" i="17"/>
  <c r="S18" i="17"/>
  <c r="S13" i="17"/>
  <c r="AA20" i="17"/>
  <c r="AD12" i="17"/>
  <c r="M16" i="17"/>
  <c r="M15" i="17"/>
  <c r="AA12" i="17"/>
  <c r="V6" i="17"/>
  <c r="AA15" i="17"/>
  <c r="S12" i="17"/>
  <c r="AC6" i="17"/>
  <c r="M18" i="17"/>
  <c r="M9" i="17"/>
  <c r="AA13" i="17"/>
  <c r="AD18" i="17"/>
  <c r="AD13" i="17"/>
  <c r="M14" i="17"/>
  <c r="U8" i="17"/>
  <c r="W6" i="17"/>
  <c r="U13" i="17"/>
  <c r="U18" i="17"/>
  <c r="U10" i="17"/>
  <c r="U19" i="17" s="1"/>
  <c r="U17" i="17"/>
  <c r="U11" i="17"/>
  <c r="S17" i="17"/>
  <c r="M7" i="17"/>
  <c r="X20" i="17"/>
  <c r="AD6" i="17"/>
  <c r="AD15" i="17"/>
  <c r="AA8" i="17"/>
  <c r="M13" i="17"/>
  <c r="M10" i="17"/>
  <c r="M19" i="17" s="1"/>
  <c r="AA11" i="17"/>
  <c r="S14" i="17"/>
  <c r="AA16" i="17"/>
  <c r="M17" i="17"/>
  <c r="AD16" i="17"/>
  <c r="AA7" i="17"/>
  <c r="AF7" i="17"/>
  <c r="AD17" i="17"/>
  <c r="M6" i="17"/>
  <c r="M11" i="17"/>
  <c r="AI7" i="17" l="1"/>
  <c r="AB11" i="17"/>
  <c r="AB7" i="17"/>
  <c r="AB10" i="17"/>
  <c r="AB8" i="17"/>
  <c r="AB9" i="17"/>
  <c r="AA14" i="17"/>
  <c r="AB16" i="17"/>
  <c r="AB12" i="17"/>
  <c r="AB13" i="17"/>
  <c r="Y13" i="17" s="1"/>
  <c r="AB17" i="17"/>
  <c r="AB6" i="17"/>
  <c r="W20" i="17"/>
  <c r="U6" i="17"/>
  <c r="AF20" i="17"/>
  <c r="AA10" i="17"/>
  <c r="AA19" i="17" s="1"/>
  <c r="AD20" i="17"/>
  <c r="AG20" i="17"/>
  <c r="Y9" i="17"/>
  <c r="Y8" i="17"/>
  <c r="AC20" i="17"/>
  <c r="AA6" i="17"/>
  <c r="V20" i="17"/>
  <c r="S6" i="17"/>
  <c r="Y20" i="17"/>
  <c r="Y7" i="17" s="1"/>
  <c r="AH10" i="17" l="1"/>
  <c r="AH7" i="17"/>
  <c r="AH11" i="17"/>
  <c r="AH19" i="17"/>
  <c r="AH16" i="17"/>
  <c r="AH12" i="17"/>
  <c r="AH9" i="17"/>
  <c r="AH13" i="17"/>
  <c r="AG7" i="17"/>
  <c r="AI9" i="17"/>
  <c r="AG9" i="17" s="1"/>
  <c r="AI10" i="17"/>
  <c r="AI11" i="17"/>
  <c r="AG11" i="17" s="1"/>
  <c r="AI17" i="17"/>
  <c r="AI13" i="17"/>
  <c r="AI15" i="17"/>
  <c r="AI16" i="17"/>
  <c r="AI18" i="17"/>
  <c r="AI12" i="17"/>
  <c r="AG12" i="17" s="1"/>
  <c r="AI14" i="17"/>
  <c r="AG14" i="17" s="1"/>
  <c r="AI19" i="17"/>
  <c r="AI8" i="17"/>
  <c r="Y15" i="17"/>
  <c r="AH8" i="17"/>
  <c r="AH15" i="17"/>
  <c r="AH14" i="17"/>
  <c r="AH18" i="17"/>
  <c r="AH17" i="17"/>
  <c r="Y16" i="17"/>
  <c r="Y10" i="17"/>
  <c r="Y19" i="17" s="1"/>
  <c r="AH6" i="17"/>
  <c r="Y12" i="17"/>
  <c r="Y18" i="17"/>
  <c r="AE20" i="17"/>
  <c r="Y11" i="17"/>
  <c r="Y17" i="17"/>
  <c r="AG10" i="17"/>
  <c r="AG19" i="17" s="1"/>
  <c r="AG18" i="17"/>
  <c r="AG13" i="17"/>
  <c r="AG15" i="17"/>
  <c r="AG16" i="17"/>
  <c r="AG17" i="17"/>
  <c r="AG8" i="17"/>
  <c r="AI6" i="17"/>
  <c r="Y6" i="17"/>
  <c r="AB20" i="17"/>
  <c r="Y14" i="17"/>
  <c r="AE18" i="17" l="1"/>
  <c r="AH20" i="17"/>
  <c r="AE6" i="17"/>
  <c r="AE8" i="17"/>
  <c r="AE16" i="17"/>
  <c r="AE11" i="17"/>
  <c r="AE10" i="17"/>
  <c r="AE19" i="17" s="1"/>
  <c r="AE12" i="17"/>
  <c r="AE13" i="17"/>
  <c r="AE7" i="17"/>
  <c r="AI20" i="17"/>
  <c r="AG6" i="17"/>
  <c r="AE14" i="17"/>
  <c r="AE15" i="17"/>
  <c r="AE17" i="17"/>
  <c r="AE9" i="17"/>
  <c r="AO10" i="16" l="1"/>
  <c r="AN10" i="16"/>
  <c r="AM10" i="16"/>
  <c r="AL10" i="16"/>
  <c r="AK10" i="16"/>
  <c r="AJ10" i="16"/>
  <c r="H10" i="16"/>
  <c r="K7" i="16" s="1"/>
  <c r="I7" i="16" s="1"/>
  <c r="F10" i="16"/>
  <c r="E10" i="16"/>
  <c r="T9" i="16"/>
  <c r="N9" i="16"/>
  <c r="L9" i="16"/>
  <c r="R9" i="16" s="1"/>
  <c r="T8" i="16"/>
  <c r="N8" i="16"/>
  <c r="L8" i="16"/>
  <c r="R8" i="16" s="1"/>
  <c r="AD7" i="16"/>
  <c r="N7" i="16"/>
  <c r="T7" i="16" s="1"/>
  <c r="L7" i="16"/>
  <c r="L10" i="16" s="1"/>
  <c r="R6" i="16"/>
  <c r="N6" i="16"/>
  <c r="N10" i="16" s="1"/>
  <c r="L6" i="16"/>
  <c r="J6" i="16"/>
  <c r="K8" i="16" l="1"/>
  <c r="I8" i="16" s="1"/>
  <c r="K9" i="16"/>
  <c r="I9" i="16" s="1"/>
  <c r="K6" i="16"/>
  <c r="P6" i="16"/>
  <c r="Q8" i="16"/>
  <c r="Q9" i="16"/>
  <c r="Q7" i="16"/>
  <c r="O10" i="16"/>
  <c r="M10" i="16"/>
  <c r="X8" i="16"/>
  <c r="R10" i="16"/>
  <c r="V9" i="16" s="1"/>
  <c r="X9" i="16"/>
  <c r="P8" i="16"/>
  <c r="P9" i="16"/>
  <c r="T6" i="16"/>
  <c r="X6" i="16"/>
  <c r="J7" i="16"/>
  <c r="G7" i="16" s="1"/>
  <c r="R7" i="16"/>
  <c r="Z7" i="16"/>
  <c r="J8" i="16"/>
  <c r="G8" i="16" s="1"/>
  <c r="Z8" i="16"/>
  <c r="J9" i="16"/>
  <c r="G9" i="16" s="1"/>
  <c r="Z9" i="16"/>
  <c r="P7" i="16"/>
  <c r="G6" i="16"/>
  <c r="Q6" i="16"/>
  <c r="I6" i="16" l="1"/>
  <c r="K10" i="16"/>
  <c r="O9" i="16"/>
  <c r="S10" i="16"/>
  <c r="S9" i="16" s="1"/>
  <c r="M7" i="16"/>
  <c r="X7" i="16"/>
  <c r="V7" i="16"/>
  <c r="S7" i="16" s="1"/>
  <c r="J10" i="16"/>
  <c r="P10" i="16"/>
  <c r="V6" i="16"/>
  <c r="M9" i="16"/>
  <c r="AD8" i="16"/>
  <c r="O8" i="16"/>
  <c r="M6" i="16"/>
  <c r="AF7" i="16"/>
  <c r="AD6" i="16"/>
  <c r="O6" i="16"/>
  <c r="Q10" i="16"/>
  <c r="AF8" i="16"/>
  <c r="T10" i="16"/>
  <c r="W6" i="16" s="1"/>
  <c r="Z6" i="16"/>
  <c r="AD9" i="16"/>
  <c r="AF9" i="16"/>
  <c r="M8" i="16"/>
  <c r="V8" i="16"/>
  <c r="S8" i="16" s="1"/>
  <c r="O7" i="16"/>
  <c r="U10" i="16" l="1"/>
  <c r="AH9" i="16"/>
  <c r="U6" i="16"/>
  <c r="V10" i="16"/>
  <c r="S6" i="16"/>
  <c r="Z10" i="16"/>
  <c r="AC6" i="16"/>
  <c r="AF6" i="16"/>
  <c r="X10" i="16"/>
  <c r="W7" i="16"/>
  <c r="U7" i="16" s="1"/>
  <c r="W9" i="16"/>
  <c r="U9" i="16" s="1"/>
  <c r="W8" i="16"/>
  <c r="U8" i="16" s="1"/>
  <c r="AD10" i="16"/>
  <c r="AH6" i="16"/>
  <c r="AF10" i="16" l="1"/>
  <c r="W10" i="16"/>
  <c r="AE9" i="16"/>
  <c r="AH7" i="16"/>
  <c r="AH8" i="16"/>
  <c r="Y10" i="16"/>
  <c r="AE10" i="16" s="1"/>
  <c r="AE6" i="16" s="1"/>
  <c r="AB6" i="16"/>
  <c r="AB9" i="16"/>
  <c r="Y9" i="16" s="1"/>
  <c r="AB8" i="16"/>
  <c r="AC7" i="16"/>
  <c r="AC8" i="16"/>
  <c r="AA8" i="16" s="1"/>
  <c r="AC9" i="16"/>
  <c r="AB7" i="16"/>
  <c r="AA10" i="16"/>
  <c r="AA6" i="16" s="1"/>
  <c r="Y7" i="16" l="1"/>
  <c r="AE8" i="16"/>
  <c r="AI8" i="16"/>
  <c r="AI9" i="16"/>
  <c r="AI7" i="16"/>
  <c r="AA7" i="16"/>
  <c r="AG10" i="16"/>
  <c r="Y6" i="16"/>
  <c r="AB10" i="16"/>
  <c r="AC10" i="16"/>
  <c r="AA9" i="16"/>
  <c r="Y8" i="16"/>
  <c r="AE7" i="16"/>
  <c r="AI6" i="16"/>
  <c r="AH10" i="16"/>
  <c r="AG7" i="16" l="1"/>
  <c r="AG6" i="16"/>
  <c r="AI10" i="16"/>
  <c r="AG8" i="16"/>
  <c r="AG9" i="16"/>
  <c r="AE10" i="15" l="1"/>
  <c r="AD10" i="15"/>
  <c r="AC10" i="15"/>
  <c r="AB10" i="15"/>
  <c r="AA10" i="15"/>
  <c r="Z10" i="15"/>
  <c r="E10" i="15"/>
  <c r="AO21" i="14" l="1"/>
  <c r="AN21" i="14"/>
  <c r="AM21" i="14"/>
  <c r="AL21" i="14"/>
  <c r="AK21" i="14"/>
  <c r="AJ21" i="14"/>
  <c r="H21" i="14"/>
  <c r="K9" i="14" s="1"/>
  <c r="I9" i="14" s="1"/>
  <c r="F21" i="14"/>
  <c r="E21" i="14"/>
  <c r="AD20" i="14"/>
  <c r="X20" i="14"/>
  <c r="R20" i="14"/>
  <c r="N20" i="14"/>
  <c r="T20" i="14" s="1"/>
  <c r="L20" i="14"/>
  <c r="J20" i="14"/>
  <c r="G20" i="14" s="1"/>
  <c r="N19" i="14"/>
  <c r="L19" i="14"/>
  <c r="R19" i="14" s="1"/>
  <c r="J19" i="14"/>
  <c r="G19" i="14" s="1"/>
  <c r="AD18" i="14"/>
  <c r="X18" i="14"/>
  <c r="R18" i="14"/>
  <c r="N18" i="14"/>
  <c r="T18" i="14" s="1"/>
  <c r="L18" i="14"/>
  <c r="J18" i="14"/>
  <c r="G18" i="14" s="1"/>
  <c r="AD17" i="14"/>
  <c r="X17" i="14"/>
  <c r="R17" i="14"/>
  <c r="N17" i="14"/>
  <c r="T17" i="14" s="1"/>
  <c r="L17" i="14"/>
  <c r="J17" i="14"/>
  <c r="G17" i="14"/>
  <c r="AD16" i="14"/>
  <c r="X16" i="14"/>
  <c r="R16" i="14"/>
  <c r="N16" i="14"/>
  <c r="T16" i="14" s="1"/>
  <c r="L16" i="14"/>
  <c r="J16" i="14"/>
  <c r="G16" i="14" s="1"/>
  <c r="AD15" i="14"/>
  <c r="X15" i="14"/>
  <c r="R15" i="14"/>
  <c r="N15" i="14"/>
  <c r="L15" i="14"/>
  <c r="J15" i="14"/>
  <c r="G15" i="14" s="1"/>
  <c r="AD14" i="14"/>
  <c r="X14" i="14"/>
  <c r="R14" i="14"/>
  <c r="N14" i="14"/>
  <c r="T14" i="14" s="1"/>
  <c r="L14" i="14"/>
  <c r="J14" i="14"/>
  <c r="G14" i="14" s="1"/>
  <c r="AD13" i="14"/>
  <c r="X13" i="14"/>
  <c r="R13" i="14"/>
  <c r="N13" i="14"/>
  <c r="T13" i="14" s="1"/>
  <c r="L13" i="14"/>
  <c r="J13" i="14"/>
  <c r="G13" i="14" s="1"/>
  <c r="AD12" i="14"/>
  <c r="X12" i="14"/>
  <c r="R12" i="14"/>
  <c r="N12" i="14"/>
  <c r="T12" i="14" s="1"/>
  <c r="L12" i="14"/>
  <c r="J12" i="14"/>
  <c r="G12" i="14"/>
  <c r="AD11" i="14"/>
  <c r="X11" i="14"/>
  <c r="R11" i="14"/>
  <c r="N11" i="14"/>
  <c r="L11" i="14"/>
  <c r="J11" i="14"/>
  <c r="G11" i="14" s="1"/>
  <c r="AD10" i="14"/>
  <c r="X10" i="14"/>
  <c r="R10" i="14"/>
  <c r="N10" i="14"/>
  <c r="T10" i="14" s="1"/>
  <c r="L10" i="14"/>
  <c r="J10" i="14"/>
  <c r="G10" i="14" s="1"/>
  <c r="AD9" i="14"/>
  <c r="X9" i="14"/>
  <c r="R9" i="14"/>
  <c r="N9" i="14"/>
  <c r="T9" i="14" s="1"/>
  <c r="Z9" i="14" s="1"/>
  <c r="L9" i="14"/>
  <c r="J9" i="14"/>
  <c r="G9" i="14"/>
  <c r="AD8" i="14"/>
  <c r="X8" i="14"/>
  <c r="R8" i="14"/>
  <c r="N8" i="14"/>
  <c r="T8" i="14" s="1"/>
  <c r="Z8" i="14" s="1"/>
  <c r="L8" i="14"/>
  <c r="J8" i="14"/>
  <c r="G8" i="14" s="1"/>
  <c r="AD7" i="14"/>
  <c r="X7" i="14"/>
  <c r="R7" i="14"/>
  <c r="N7" i="14"/>
  <c r="T7" i="14" s="1"/>
  <c r="Z7" i="14" s="1"/>
  <c r="L7" i="14"/>
  <c r="J7" i="14"/>
  <c r="G7" i="14" s="1"/>
  <c r="N6" i="14"/>
  <c r="L6" i="14"/>
  <c r="R6" i="14" s="1"/>
  <c r="J6" i="14"/>
  <c r="AO16" i="13"/>
  <c r="AN16" i="13"/>
  <c r="AM16" i="13"/>
  <c r="AL16" i="13"/>
  <c r="AK16" i="13"/>
  <c r="AJ16" i="13"/>
  <c r="H16" i="13"/>
  <c r="K12" i="13" s="1"/>
  <c r="I12" i="13" s="1"/>
  <c r="F16" i="13"/>
  <c r="E16" i="13"/>
  <c r="R15" i="13"/>
  <c r="X15" i="13" s="1"/>
  <c r="N15" i="13"/>
  <c r="L15" i="13"/>
  <c r="J15" i="13"/>
  <c r="G15" i="13" s="1"/>
  <c r="R14" i="13"/>
  <c r="N14" i="13"/>
  <c r="L14" i="13"/>
  <c r="J14" i="13"/>
  <c r="G14" i="13" s="1"/>
  <c r="N13" i="13"/>
  <c r="L13" i="13"/>
  <c r="R13" i="13" s="1"/>
  <c r="X13" i="13" s="1"/>
  <c r="K13" i="13"/>
  <c r="I13" i="13" s="1"/>
  <c r="J13" i="13"/>
  <c r="G13" i="13" s="1"/>
  <c r="N12" i="13"/>
  <c r="L12" i="13"/>
  <c r="R12" i="13" s="1"/>
  <c r="X12" i="13" s="1"/>
  <c r="J12" i="13"/>
  <c r="G12" i="13" s="1"/>
  <c r="R11" i="13"/>
  <c r="X11" i="13" s="1"/>
  <c r="N11" i="13"/>
  <c r="L11" i="13"/>
  <c r="J11" i="13"/>
  <c r="G11" i="13" s="1"/>
  <c r="R10" i="13"/>
  <c r="X10" i="13" s="1"/>
  <c r="N10" i="13"/>
  <c r="L10" i="13"/>
  <c r="J10" i="13"/>
  <c r="G10" i="13" s="1"/>
  <c r="N9" i="13"/>
  <c r="L9" i="13"/>
  <c r="R9" i="13" s="1"/>
  <c r="X9" i="13" s="1"/>
  <c r="K9" i="13"/>
  <c r="I9" i="13" s="1"/>
  <c r="J9" i="13"/>
  <c r="G9" i="13" s="1"/>
  <c r="N8" i="13"/>
  <c r="T8" i="13" s="1"/>
  <c r="L8" i="13"/>
  <c r="J8" i="13"/>
  <c r="G8" i="13"/>
  <c r="N7" i="13"/>
  <c r="T7" i="13" s="1"/>
  <c r="L7" i="13"/>
  <c r="K7" i="13"/>
  <c r="I7" i="13" s="1"/>
  <c r="J7" i="13"/>
  <c r="G7" i="13"/>
  <c r="R6" i="13"/>
  <c r="N6" i="13"/>
  <c r="L6" i="13"/>
  <c r="J6" i="13"/>
  <c r="J16" i="13" s="1"/>
  <c r="G24" i="12"/>
  <c r="AO21" i="12"/>
  <c r="AN21" i="12"/>
  <c r="AM21" i="12"/>
  <c r="AL21" i="12"/>
  <c r="AK21" i="12"/>
  <c r="AJ21" i="12"/>
  <c r="H21" i="12"/>
  <c r="H23" i="12" s="1"/>
  <c r="F21" i="12"/>
  <c r="J18" i="12" s="1"/>
  <c r="G18" i="12" s="1"/>
  <c r="E21" i="12"/>
  <c r="N20" i="12"/>
  <c r="T20" i="12" s="1"/>
  <c r="L20" i="12"/>
  <c r="R20" i="12" s="1"/>
  <c r="K20" i="12"/>
  <c r="I20" i="12" s="1"/>
  <c r="N19" i="12"/>
  <c r="T19" i="12" s="1"/>
  <c r="L19" i="12"/>
  <c r="K19" i="12"/>
  <c r="I19" i="12"/>
  <c r="N18" i="12"/>
  <c r="T18" i="12" s="1"/>
  <c r="L18" i="12"/>
  <c r="R18" i="12" s="1"/>
  <c r="K18" i="12"/>
  <c r="I18" i="12" s="1"/>
  <c r="T17" i="12"/>
  <c r="N17" i="12"/>
  <c r="L17" i="12"/>
  <c r="R17" i="12" s="1"/>
  <c r="K17" i="12"/>
  <c r="I17" i="12" s="1"/>
  <c r="J17" i="12"/>
  <c r="G17" i="12" s="1"/>
  <c r="N16" i="12"/>
  <c r="T16" i="12" s="1"/>
  <c r="L16" i="12"/>
  <c r="R16" i="12" s="1"/>
  <c r="K16" i="12"/>
  <c r="J16" i="12"/>
  <c r="G16" i="12" s="1"/>
  <c r="I16" i="12"/>
  <c r="N15" i="12"/>
  <c r="T15" i="12" s="1"/>
  <c r="L15" i="12"/>
  <c r="R15" i="12" s="1"/>
  <c r="K15" i="12"/>
  <c r="I15" i="12"/>
  <c r="N14" i="12"/>
  <c r="T14" i="12" s="1"/>
  <c r="L14" i="12"/>
  <c r="R14" i="12" s="1"/>
  <c r="K14" i="12"/>
  <c r="I14" i="12" s="1"/>
  <c r="T13" i="12"/>
  <c r="N13" i="12"/>
  <c r="L13" i="12"/>
  <c r="R13" i="12" s="1"/>
  <c r="K13" i="12"/>
  <c r="I13" i="12" s="1"/>
  <c r="J13" i="12"/>
  <c r="G13" i="12" s="1"/>
  <c r="N12" i="12"/>
  <c r="T12" i="12" s="1"/>
  <c r="L12" i="12"/>
  <c r="R12" i="12" s="1"/>
  <c r="K12" i="12"/>
  <c r="J12" i="12"/>
  <c r="G12" i="12" s="1"/>
  <c r="I12" i="12"/>
  <c r="N11" i="12"/>
  <c r="T11" i="12" s="1"/>
  <c r="L11" i="12"/>
  <c r="R11" i="12" s="1"/>
  <c r="K11" i="12"/>
  <c r="I11" i="12"/>
  <c r="N10" i="12"/>
  <c r="T10" i="12" s="1"/>
  <c r="L10" i="12"/>
  <c r="R10" i="12" s="1"/>
  <c r="K10" i="12"/>
  <c r="I10" i="12" s="1"/>
  <c r="T9" i="12"/>
  <c r="N9" i="12"/>
  <c r="L9" i="12"/>
  <c r="R9" i="12" s="1"/>
  <c r="K9" i="12"/>
  <c r="I9" i="12" s="1"/>
  <c r="J9" i="12"/>
  <c r="G9" i="12" s="1"/>
  <c r="R8" i="12"/>
  <c r="N8" i="12"/>
  <c r="L8" i="12"/>
  <c r="K8" i="12"/>
  <c r="I8" i="12" s="1"/>
  <c r="J8" i="12"/>
  <c r="G8" i="12" s="1"/>
  <c r="R7" i="12"/>
  <c r="N7" i="12"/>
  <c r="L7" i="12"/>
  <c r="K7" i="12"/>
  <c r="I7" i="12" s="1"/>
  <c r="J7" i="12"/>
  <c r="G7" i="12" s="1"/>
  <c r="N6" i="12"/>
  <c r="T6" i="12" s="1"/>
  <c r="L6" i="12"/>
  <c r="K6" i="12"/>
  <c r="K21" i="12" s="1"/>
  <c r="L21" i="12" l="1"/>
  <c r="I6" i="12"/>
  <c r="P7" i="12"/>
  <c r="J11" i="12"/>
  <c r="G11" i="12" s="1"/>
  <c r="J15" i="12"/>
  <c r="G15" i="12" s="1"/>
  <c r="J19" i="12"/>
  <c r="G19" i="12" s="1"/>
  <c r="J6" i="12"/>
  <c r="G6" i="12" s="1"/>
  <c r="P8" i="12"/>
  <c r="J10" i="12"/>
  <c r="G10" i="12" s="1"/>
  <c r="J14" i="12"/>
  <c r="G14" i="12" s="1"/>
  <c r="K6" i="13"/>
  <c r="K10" i="13"/>
  <c r="I10" i="13" s="1"/>
  <c r="K14" i="13"/>
  <c r="I14" i="13" s="1"/>
  <c r="L16" i="13"/>
  <c r="P7" i="13" s="1"/>
  <c r="K11" i="13"/>
  <c r="I11" i="13" s="1"/>
  <c r="K15" i="13"/>
  <c r="I15" i="13" s="1"/>
  <c r="N16" i="13"/>
  <c r="Q15" i="13" s="1"/>
  <c r="K8" i="13"/>
  <c r="I8" i="13" s="1"/>
  <c r="R21" i="14"/>
  <c r="V19" i="14"/>
  <c r="V8" i="14"/>
  <c r="V13" i="14"/>
  <c r="K8" i="14"/>
  <c r="I8" i="14" s="1"/>
  <c r="K10" i="14"/>
  <c r="I10" i="14" s="1"/>
  <c r="Q11" i="14"/>
  <c r="Q19" i="14"/>
  <c r="K7" i="14"/>
  <c r="I7" i="14" s="1"/>
  <c r="V9" i="14"/>
  <c r="V11" i="14"/>
  <c r="V17" i="14"/>
  <c r="V15" i="14"/>
  <c r="N21" i="14"/>
  <c r="Q18" i="14" s="1"/>
  <c r="V7" i="14"/>
  <c r="V12" i="14"/>
  <c r="K6" i="14"/>
  <c r="I6" i="14" s="1"/>
  <c r="Q15" i="14"/>
  <c r="V16" i="14"/>
  <c r="V20" i="14"/>
  <c r="X9" i="12"/>
  <c r="P9" i="12"/>
  <c r="X11" i="12"/>
  <c r="X12" i="12"/>
  <c r="X16" i="12"/>
  <c r="P6" i="12"/>
  <c r="Z10" i="12"/>
  <c r="X15" i="12"/>
  <c r="N21" i="12"/>
  <c r="R6" i="12"/>
  <c r="Z6" i="12"/>
  <c r="T7" i="12"/>
  <c r="X7" i="12"/>
  <c r="T8" i="12"/>
  <c r="X8" i="12"/>
  <c r="Z9" i="12"/>
  <c r="P11" i="12"/>
  <c r="X14" i="12"/>
  <c r="X18" i="12"/>
  <c r="M21" i="12"/>
  <c r="P10" i="12"/>
  <c r="M10" i="12" s="1"/>
  <c r="X10" i="12"/>
  <c r="Z11" i="12"/>
  <c r="X13" i="12"/>
  <c r="X17" i="12"/>
  <c r="X20" i="12"/>
  <c r="P12" i="12"/>
  <c r="M12" i="12" s="1"/>
  <c r="P13" i="12"/>
  <c r="M13" i="12" s="1"/>
  <c r="P14" i="12"/>
  <c r="M14" i="12" s="1"/>
  <c r="P15" i="12"/>
  <c r="M15" i="12" s="1"/>
  <c r="P16" i="12"/>
  <c r="M16" i="12" s="1"/>
  <c r="P17" i="12"/>
  <c r="M17" i="12" s="1"/>
  <c r="P18" i="12"/>
  <c r="M18" i="12" s="1"/>
  <c r="P19" i="12"/>
  <c r="M19" i="12" s="1"/>
  <c r="P20" i="12"/>
  <c r="M20" i="12" s="1"/>
  <c r="P9" i="13"/>
  <c r="AD11" i="13"/>
  <c r="P13" i="13"/>
  <c r="F23" i="12"/>
  <c r="R7" i="13"/>
  <c r="Z7" i="13"/>
  <c r="P10" i="13"/>
  <c r="AD12" i="13"/>
  <c r="Q13" i="13"/>
  <c r="P14" i="13"/>
  <c r="AD15" i="13"/>
  <c r="Z12" i="12"/>
  <c r="Z13" i="12"/>
  <c r="Z14" i="12"/>
  <c r="Z15" i="12"/>
  <c r="Z16" i="12"/>
  <c r="Z17" i="12"/>
  <c r="Z18" i="12"/>
  <c r="R19" i="12"/>
  <c r="Z19" i="12"/>
  <c r="J20" i="12"/>
  <c r="G20" i="12" s="1"/>
  <c r="Z20" i="12"/>
  <c r="G6" i="13"/>
  <c r="M16" i="13"/>
  <c r="P6" i="13"/>
  <c r="T6" i="13"/>
  <c r="X6" i="13"/>
  <c r="AD9" i="13"/>
  <c r="Q10" i="13"/>
  <c r="P11" i="13"/>
  <c r="AD13" i="13"/>
  <c r="I6" i="13"/>
  <c r="AD10" i="13"/>
  <c r="P12" i="13"/>
  <c r="M12" i="13" s="1"/>
  <c r="P15" i="13"/>
  <c r="P8" i="13"/>
  <c r="Z12" i="14"/>
  <c r="AF8" i="14"/>
  <c r="Z14" i="14"/>
  <c r="Z17" i="14"/>
  <c r="R8" i="13"/>
  <c r="Z8" i="13"/>
  <c r="T9" i="13"/>
  <c r="T10" i="13"/>
  <c r="T11" i="13"/>
  <c r="T12" i="13"/>
  <c r="T13" i="13"/>
  <c r="T14" i="13"/>
  <c r="X14" i="13"/>
  <c r="T15" i="13"/>
  <c r="J21" i="14"/>
  <c r="G6" i="14"/>
  <c r="AF7" i="14"/>
  <c r="Z16" i="14"/>
  <c r="Z20" i="14"/>
  <c r="AF9" i="14"/>
  <c r="Z10" i="14"/>
  <c r="Z13" i="14"/>
  <c r="Z18" i="14"/>
  <c r="Q6" i="14"/>
  <c r="Q12" i="14"/>
  <c r="Q16" i="14"/>
  <c r="X19" i="14"/>
  <c r="Q20" i="14"/>
  <c r="K20" i="14"/>
  <c r="I20" i="14" s="1"/>
  <c r="K19" i="14"/>
  <c r="I19" i="14" s="1"/>
  <c r="K18" i="14"/>
  <c r="I18" i="14" s="1"/>
  <c r="K17" i="14"/>
  <c r="I17" i="14" s="1"/>
  <c r="K16" i="14"/>
  <c r="I16" i="14" s="1"/>
  <c r="K15" i="14"/>
  <c r="I15" i="14" s="1"/>
  <c r="K14" i="14"/>
  <c r="I14" i="14" s="1"/>
  <c r="K13" i="14"/>
  <c r="I13" i="14" s="1"/>
  <c r="K12" i="14"/>
  <c r="I12" i="14" s="1"/>
  <c r="K11" i="14"/>
  <c r="I11" i="14" s="1"/>
  <c r="O21" i="14"/>
  <c r="O18" i="14" s="1"/>
  <c r="V6" i="14"/>
  <c r="T11" i="14"/>
  <c r="Q13" i="14"/>
  <c r="T15" i="14"/>
  <c r="Q17" i="14"/>
  <c r="O17" i="14" s="1"/>
  <c r="T19" i="14"/>
  <c r="Q7" i="14"/>
  <c r="O7" i="14" s="1"/>
  <c r="Q8" i="14"/>
  <c r="O8" i="14" s="1"/>
  <c r="Q9" i="14"/>
  <c r="O9" i="14" s="1"/>
  <c r="Q10" i="14"/>
  <c r="V10" i="14"/>
  <c r="Q14" i="14"/>
  <c r="O14" i="14" s="1"/>
  <c r="V14" i="14"/>
  <c r="V18" i="14"/>
  <c r="L21" i="14"/>
  <c r="T6" i="14"/>
  <c r="X6" i="14"/>
  <c r="M8" i="12" l="1"/>
  <c r="O13" i="13"/>
  <c r="Q7" i="13"/>
  <c r="O7" i="13" s="1"/>
  <c r="Q14" i="13"/>
  <c r="Q12" i="13"/>
  <c r="Q8" i="13"/>
  <c r="M8" i="13"/>
  <c r="O16" i="13"/>
  <c r="O15" i="13" s="1"/>
  <c r="Q11" i="13"/>
  <c r="M15" i="13"/>
  <c r="Q6" i="13"/>
  <c r="Q16" i="13" s="1"/>
  <c r="M11" i="13"/>
  <c r="Q9" i="13"/>
  <c r="K16" i="13"/>
  <c r="O10" i="14"/>
  <c r="O13" i="14"/>
  <c r="X21" i="14"/>
  <c r="AB19" i="14" s="1"/>
  <c r="AB6" i="14"/>
  <c r="AD6" i="14"/>
  <c r="M21" i="14"/>
  <c r="S21" i="14" s="1"/>
  <c r="S14" i="14" s="1"/>
  <c r="P19" i="14"/>
  <c r="M19" i="14" s="1"/>
  <c r="P15" i="14"/>
  <c r="M15" i="14" s="1"/>
  <c r="P11" i="14"/>
  <c r="S10" i="14"/>
  <c r="Z19" i="14"/>
  <c r="Z11" i="14"/>
  <c r="O12" i="14"/>
  <c r="Q21" i="14"/>
  <c r="O6" i="14"/>
  <c r="AF13" i="14"/>
  <c r="K21" i="14"/>
  <c r="P13" i="14"/>
  <c r="M13" i="14" s="1"/>
  <c r="P10" i="14"/>
  <c r="M10" i="14" s="1"/>
  <c r="Z14" i="13"/>
  <c r="Z10" i="13"/>
  <c r="AF14" i="14"/>
  <c r="O11" i="14"/>
  <c r="O6" i="13"/>
  <c r="P16" i="13"/>
  <c r="M6" i="13"/>
  <c r="AF20" i="12"/>
  <c r="AF18" i="12"/>
  <c r="AF14" i="12"/>
  <c r="M13" i="13"/>
  <c r="M9" i="13"/>
  <c r="AD20" i="12"/>
  <c r="AF11" i="12"/>
  <c r="AD14" i="12"/>
  <c r="AF9" i="12"/>
  <c r="Z7" i="12"/>
  <c r="Q20" i="12"/>
  <c r="Q19" i="12"/>
  <c r="Q18" i="12"/>
  <c r="Q17" i="12"/>
  <c r="Q16" i="12"/>
  <c r="Q15" i="12"/>
  <c r="Q14" i="12"/>
  <c r="Q13" i="12"/>
  <c r="Q12" i="12"/>
  <c r="O12" i="12" s="1"/>
  <c r="Q11" i="12"/>
  <c r="O21" i="12"/>
  <c r="Q9" i="12"/>
  <c r="O9" i="12" s="1"/>
  <c r="Q6" i="12"/>
  <c r="Q10" i="12"/>
  <c r="O10" i="12" s="1"/>
  <c r="AD11" i="12"/>
  <c r="Q7" i="12"/>
  <c r="O7" i="12" s="1"/>
  <c r="Z6" i="14"/>
  <c r="T21" i="14"/>
  <c r="U21" i="14" s="1"/>
  <c r="S18" i="14"/>
  <c r="O20" i="14"/>
  <c r="AF10" i="14"/>
  <c r="AF16" i="14"/>
  <c r="Z13" i="13"/>
  <c r="Z9" i="13"/>
  <c r="P20" i="14"/>
  <c r="M20" i="14" s="1"/>
  <c r="P17" i="14"/>
  <c r="M17" i="14" s="1"/>
  <c r="P14" i="14"/>
  <c r="M14" i="14" s="1"/>
  <c r="AF17" i="12"/>
  <c r="AF13" i="12"/>
  <c r="M14" i="13"/>
  <c r="M10" i="13"/>
  <c r="AF7" i="13"/>
  <c r="AD18" i="12"/>
  <c r="AD8" i="12"/>
  <c r="J21" i="12"/>
  <c r="AF10" i="12"/>
  <c r="P21" i="12"/>
  <c r="M6" i="12"/>
  <c r="Q8" i="12"/>
  <c r="O8" i="12" s="1"/>
  <c r="Z15" i="14"/>
  <c r="P7" i="14"/>
  <c r="M7" i="14" s="1"/>
  <c r="AD19" i="14"/>
  <c r="Z15" i="13"/>
  <c r="Z12" i="13"/>
  <c r="AF8" i="13"/>
  <c r="O19" i="14"/>
  <c r="P16" i="14"/>
  <c r="M16" i="14" s="1"/>
  <c r="AD6" i="13"/>
  <c r="AF19" i="12"/>
  <c r="AF16" i="12"/>
  <c r="AF12" i="12"/>
  <c r="O8" i="13"/>
  <c r="AD13" i="12"/>
  <c r="AD10" i="12"/>
  <c r="Z8" i="12"/>
  <c r="Z21" i="12"/>
  <c r="AF6" i="12"/>
  <c r="T21" i="12"/>
  <c r="AD15" i="12"/>
  <c r="AD12" i="12"/>
  <c r="AD9" i="12"/>
  <c r="V21" i="14"/>
  <c r="S6" i="14"/>
  <c r="O16" i="14"/>
  <c r="AF18" i="14"/>
  <c r="O15" i="14"/>
  <c r="P12" i="14"/>
  <c r="M12" i="14" s="1"/>
  <c r="AF20" i="14"/>
  <c r="P18" i="14"/>
  <c r="M18" i="14" s="1"/>
  <c r="P8" i="14"/>
  <c r="AD14" i="13"/>
  <c r="Z11" i="13"/>
  <c r="X8" i="13"/>
  <c r="AF17" i="14"/>
  <c r="AF12" i="14"/>
  <c r="P9" i="14"/>
  <c r="M9" i="14" s="1"/>
  <c r="P6" i="14"/>
  <c r="T16" i="13"/>
  <c r="W14" i="13" s="1"/>
  <c r="Z6" i="13"/>
  <c r="X19" i="12"/>
  <c r="AC15" i="12"/>
  <c r="AF15" i="12"/>
  <c r="X7" i="13"/>
  <c r="R16" i="13"/>
  <c r="V7" i="13" s="1"/>
  <c r="M7" i="13"/>
  <c r="AD17" i="12"/>
  <c r="M11" i="12"/>
  <c r="AD7" i="12"/>
  <c r="R21" i="12"/>
  <c r="V6" i="12" s="1"/>
  <c r="X6" i="12"/>
  <c r="AD16" i="12"/>
  <c r="M9" i="12"/>
  <c r="M7" i="12"/>
  <c r="O9" i="13" l="1"/>
  <c r="O11" i="13"/>
  <c r="O12" i="13"/>
  <c r="O10" i="13"/>
  <c r="O14" i="13"/>
  <c r="W15" i="14"/>
  <c r="M8" i="14"/>
  <c r="AD7" i="13"/>
  <c r="AD16" i="13" s="1"/>
  <c r="P21" i="14"/>
  <c r="M6" i="14"/>
  <c r="V8" i="13"/>
  <c r="W20" i="12"/>
  <c r="W16" i="12"/>
  <c r="W18" i="12"/>
  <c r="W10" i="12"/>
  <c r="W12" i="12"/>
  <c r="W19" i="12"/>
  <c r="W14" i="12"/>
  <c r="W17" i="12"/>
  <c r="W6" i="12"/>
  <c r="W11" i="12"/>
  <c r="W15" i="12"/>
  <c r="W9" i="12"/>
  <c r="W13" i="12"/>
  <c r="AC12" i="12"/>
  <c r="AC19" i="12"/>
  <c r="W15" i="13"/>
  <c r="S16" i="13"/>
  <c r="S7" i="13" s="1"/>
  <c r="AF9" i="13"/>
  <c r="Q21" i="12"/>
  <c r="O6" i="12"/>
  <c r="O16" i="12"/>
  <c r="O20" i="12"/>
  <c r="AC14" i="12"/>
  <c r="AC20" i="12"/>
  <c r="AF19" i="14"/>
  <c r="AD21" i="14"/>
  <c r="AH19" i="14" s="1"/>
  <c r="V9" i="12"/>
  <c r="V12" i="12"/>
  <c r="V15" i="12"/>
  <c r="V13" i="12"/>
  <c r="V10" i="12"/>
  <c r="V18" i="12"/>
  <c r="V7" i="12"/>
  <c r="V11" i="12"/>
  <c r="V14" i="12"/>
  <c r="V20" i="12"/>
  <c r="V8" i="12"/>
  <c r="V16" i="12"/>
  <c r="V17" i="12"/>
  <c r="V19" i="12"/>
  <c r="W8" i="13"/>
  <c r="W7" i="13"/>
  <c r="AF11" i="13"/>
  <c r="AC8" i="12"/>
  <c r="AF8" i="12"/>
  <c r="AF12" i="13"/>
  <c r="AF15" i="14"/>
  <c r="AC13" i="12"/>
  <c r="W9" i="13"/>
  <c r="W7" i="14"/>
  <c r="U7" i="14" s="1"/>
  <c r="W16" i="14"/>
  <c r="U16" i="14" s="1"/>
  <c r="W10" i="14"/>
  <c r="U10" i="14" s="1"/>
  <c r="W8" i="14"/>
  <c r="U8" i="14" s="1"/>
  <c r="W14" i="14"/>
  <c r="U14" i="14" s="1"/>
  <c r="W13" i="14"/>
  <c r="U13" i="14" s="1"/>
  <c r="W9" i="14"/>
  <c r="U9" i="14" s="1"/>
  <c r="W12" i="14"/>
  <c r="U12" i="14" s="1"/>
  <c r="W17" i="14"/>
  <c r="U17" i="14" s="1"/>
  <c r="W20" i="14"/>
  <c r="U20" i="14" s="1"/>
  <c r="W18" i="14"/>
  <c r="U18" i="14" s="1"/>
  <c r="O13" i="12"/>
  <c r="O17" i="12"/>
  <c r="AC9" i="12"/>
  <c r="AF10" i="13"/>
  <c r="W19" i="14"/>
  <c r="U19" i="14" s="1"/>
  <c r="X21" i="12"/>
  <c r="AB6" i="12"/>
  <c r="AD6" i="12"/>
  <c r="S21" i="12"/>
  <c r="Y21" i="12" s="1"/>
  <c r="U16" i="13"/>
  <c r="W6" i="13"/>
  <c r="AD8" i="13"/>
  <c r="W11" i="13"/>
  <c r="U11" i="13" s="1"/>
  <c r="AC6" i="12"/>
  <c r="W8" i="12"/>
  <c r="AC16" i="12"/>
  <c r="AA16" i="12" s="1"/>
  <c r="X16" i="13"/>
  <c r="AB8" i="13" s="1"/>
  <c r="W12" i="13"/>
  <c r="U12" i="13" s="1"/>
  <c r="U15" i="14"/>
  <c r="AF13" i="13"/>
  <c r="Z21" i="14"/>
  <c r="AC15" i="14" s="1"/>
  <c r="AF6" i="14"/>
  <c r="U21" i="12"/>
  <c r="AA21" i="12" s="1"/>
  <c r="O14" i="12"/>
  <c r="O18" i="12"/>
  <c r="AC7" i="12"/>
  <c r="AF7" i="12"/>
  <c r="AC11" i="12"/>
  <c r="AA11" i="12" s="1"/>
  <c r="AC18" i="12"/>
  <c r="AA18" i="12" s="1"/>
  <c r="W10" i="13"/>
  <c r="U10" i="13" s="1"/>
  <c r="AF11" i="14"/>
  <c r="Y21" i="14"/>
  <c r="S15" i="14"/>
  <c r="S12" i="14"/>
  <c r="S13" i="14"/>
  <c r="S11" i="14"/>
  <c r="S16" i="14"/>
  <c r="S20" i="14"/>
  <c r="S9" i="14"/>
  <c r="S19" i="14"/>
  <c r="S8" i="14"/>
  <c r="S7" i="14"/>
  <c r="S17" i="14"/>
  <c r="Y6" i="14"/>
  <c r="V12" i="13"/>
  <c r="S12" i="13" s="1"/>
  <c r="V6" i="13"/>
  <c r="V9" i="13"/>
  <c r="V13" i="13"/>
  <c r="V10" i="13"/>
  <c r="S10" i="13" s="1"/>
  <c r="V14" i="13"/>
  <c r="V11" i="13"/>
  <c r="V15" i="13"/>
  <c r="AD19" i="12"/>
  <c r="AB19" i="12"/>
  <c r="Z16" i="13"/>
  <c r="AC9" i="13" s="1"/>
  <c r="AC6" i="13"/>
  <c r="AF6" i="13"/>
  <c r="AF15" i="13"/>
  <c r="AC10" i="12"/>
  <c r="AA10" i="12" s="1"/>
  <c r="AC17" i="12"/>
  <c r="AA17" i="12" s="1"/>
  <c r="W13" i="13"/>
  <c r="U13" i="13" s="1"/>
  <c r="W6" i="14"/>
  <c r="O11" i="12"/>
  <c r="O15" i="12"/>
  <c r="O19" i="12"/>
  <c r="W7" i="12"/>
  <c r="U7" i="12" s="1"/>
  <c r="AC14" i="13"/>
  <c r="AF14" i="13"/>
  <c r="W11" i="14"/>
  <c r="U11" i="14" s="1"/>
  <c r="M11" i="14"/>
  <c r="AB18" i="14"/>
  <c r="Y18" i="14" s="1"/>
  <c r="AB14" i="14"/>
  <c r="AB10" i="14"/>
  <c r="AB15" i="14"/>
  <c r="Y15" i="14" s="1"/>
  <c r="AB9" i="14"/>
  <c r="Y9" i="14" s="1"/>
  <c r="AB16" i="14"/>
  <c r="AB13" i="14"/>
  <c r="AB8" i="14"/>
  <c r="Y8" i="14" s="1"/>
  <c r="AB12" i="14"/>
  <c r="Y12" i="14" s="1"/>
  <c r="AB17" i="14"/>
  <c r="AB7" i="14"/>
  <c r="AB20" i="14"/>
  <c r="Y20" i="14" s="1"/>
  <c r="AB11" i="14"/>
  <c r="Y11" i="14" s="1"/>
  <c r="AF21" i="12" l="1"/>
  <c r="Y19" i="12"/>
  <c r="AH6" i="13"/>
  <c r="AH14" i="13"/>
  <c r="S13" i="13"/>
  <c r="S11" i="13"/>
  <c r="S9" i="13"/>
  <c r="S15" i="13"/>
  <c r="AC15" i="13"/>
  <c r="S14" i="13"/>
  <c r="Y7" i="14"/>
  <c r="Y13" i="14"/>
  <c r="Y10" i="14"/>
  <c r="AC11" i="14"/>
  <c r="AA11" i="14" s="1"/>
  <c r="Y17" i="14"/>
  <c r="Y16" i="14"/>
  <c r="Y14" i="14"/>
  <c r="AA21" i="14"/>
  <c r="AA15" i="14" s="1"/>
  <c r="AC6" i="14"/>
  <c r="AE21" i="14"/>
  <c r="AE19" i="14" s="1"/>
  <c r="AI13" i="12"/>
  <c r="AI15" i="12"/>
  <c r="AI16" i="12"/>
  <c r="AI18" i="12"/>
  <c r="AI17" i="12"/>
  <c r="AI12" i="12"/>
  <c r="AI14" i="12"/>
  <c r="AI19" i="12"/>
  <c r="AI20" i="12"/>
  <c r="AI10" i="12"/>
  <c r="AI6" i="12"/>
  <c r="AI11" i="12"/>
  <c r="AI9" i="12"/>
  <c r="AF16" i="13"/>
  <c r="AI12" i="13" s="1"/>
  <c r="V16" i="13"/>
  <c r="S6" i="13"/>
  <c r="U9" i="13"/>
  <c r="U8" i="13"/>
  <c r="S17" i="12"/>
  <c r="S14" i="12"/>
  <c r="S10" i="12"/>
  <c r="S9" i="12"/>
  <c r="AH17" i="14"/>
  <c r="AH13" i="14"/>
  <c r="AH10" i="14"/>
  <c r="AH15" i="14"/>
  <c r="AE15" i="14" s="1"/>
  <c r="AH18" i="14"/>
  <c r="AH12" i="14"/>
  <c r="AH7" i="14"/>
  <c r="AH11" i="14"/>
  <c r="AE11" i="14" s="1"/>
  <c r="AH9" i="14"/>
  <c r="AH16" i="14"/>
  <c r="AH8" i="14"/>
  <c r="AH14" i="14"/>
  <c r="AE14" i="14" s="1"/>
  <c r="AH20" i="14"/>
  <c r="AA14" i="12"/>
  <c r="U15" i="12"/>
  <c r="U14" i="12"/>
  <c r="U18" i="12"/>
  <c r="S8" i="13"/>
  <c r="AB7" i="13"/>
  <c r="AB21" i="14"/>
  <c r="AC13" i="13"/>
  <c r="W16" i="13"/>
  <c r="U6" i="13"/>
  <c r="Y6" i="12"/>
  <c r="AA9" i="12"/>
  <c r="AA13" i="12"/>
  <c r="AI8" i="12"/>
  <c r="S16" i="12"/>
  <c r="S11" i="12"/>
  <c r="S13" i="12"/>
  <c r="AC19" i="14"/>
  <c r="AA19" i="14" s="1"/>
  <c r="U15" i="13"/>
  <c r="U11" i="12"/>
  <c r="U19" i="12"/>
  <c r="U16" i="12"/>
  <c r="AH7" i="13"/>
  <c r="S6" i="12"/>
  <c r="AC8" i="13"/>
  <c r="AC7" i="13"/>
  <c r="AI7" i="12"/>
  <c r="AG21" i="12"/>
  <c r="AI6" i="14"/>
  <c r="AF21" i="14"/>
  <c r="U8" i="12"/>
  <c r="AA15" i="12"/>
  <c r="AB20" i="12"/>
  <c r="Y20" i="12" s="1"/>
  <c r="AB14" i="12"/>
  <c r="Y14" i="12" s="1"/>
  <c r="AB13" i="12"/>
  <c r="Y13" i="12" s="1"/>
  <c r="AB9" i="12"/>
  <c r="Y9" i="12" s="1"/>
  <c r="AB17" i="12"/>
  <c r="Y17" i="12" s="1"/>
  <c r="AB15" i="12"/>
  <c r="Y15" i="12" s="1"/>
  <c r="AB11" i="12"/>
  <c r="Y11" i="12" s="1"/>
  <c r="AB18" i="12"/>
  <c r="Y18" i="12" s="1"/>
  <c r="AB10" i="12"/>
  <c r="Y10" i="12" s="1"/>
  <c r="AB8" i="12"/>
  <c r="Y8" i="12" s="1"/>
  <c r="AB12" i="12"/>
  <c r="Y12" i="12" s="1"/>
  <c r="AB7" i="12"/>
  <c r="Y7" i="12" s="1"/>
  <c r="AB16" i="12"/>
  <c r="Y16" i="12" s="1"/>
  <c r="AC10" i="13"/>
  <c r="AC12" i="13"/>
  <c r="AA8" i="12"/>
  <c r="AC11" i="13"/>
  <c r="S19" i="12"/>
  <c r="S8" i="12"/>
  <c r="S7" i="12"/>
  <c r="S15" i="12"/>
  <c r="AH6" i="14"/>
  <c r="AI19" i="14"/>
  <c r="Y16" i="13"/>
  <c r="AE16" i="13" s="1"/>
  <c r="AE14" i="13" s="1"/>
  <c r="AA19" i="12"/>
  <c r="U13" i="12"/>
  <c r="W21" i="12"/>
  <c r="U6" i="12"/>
  <c r="U12" i="12"/>
  <c r="U20" i="12"/>
  <c r="V21" i="12"/>
  <c r="W21" i="14"/>
  <c r="U6" i="14"/>
  <c r="AH13" i="13"/>
  <c r="AH12" i="13"/>
  <c r="AH11" i="13"/>
  <c r="AH9" i="13"/>
  <c r="AH10" i="13"/>
  <c r="AH15" i="13"/>
  <c r="AA7" i="12"/>
  <c r="AC8" i="14"/>
  <c r="AA8" i="14" s="1"/>
  <c r="AC7" i="14"/>
  <c r="AC9" i="14"/>
  <c r="AC13" i="14"/>
  <c r="AC16" i="14"/>
  <c r="AA16" i="14" s="1"/>
  <c r="AC18" i="14"/>
  <c r="AC12" i="14"/>
  <c r="AC10" i="14"/>
  <c r="AC17" i="14"/>
  <c r="AA17" i="14" s="1"/>
  <c r="AC14" i="14"/>
  <c r="AC20" i="14"/>
  <c r="Y19" i="14"/>
  <c r="AB11" i="13"/>
  <c r="AB10" i="13"/>
  <c r="AB12" i="13"/>
  <c r="Y12" i="13" s="1"/>
  <c r="AB15" i="13"/>
  <c r="AB9" i="13"/>
  <c r="AB13" i="13"/>
  <c r="AB6" i="13"/>
  <c r="AB14" i="13"/>
  <c r="AC21" i="12"/>
  <c r="AA6" i="12"/>
  <c r="AH8" i="13"/>
  <c r="AE8" i="13" s="1"/>
  <c r="AA16" i="13"/>
  <c r="AD21" i="12"/>
  <c r="AH6" i="12" s="1"/>
  <c r="AI15" i="14"/>
  <c r="U7" i="13"/>
  <c r="S20" i="12"/>
  <c r="S18" i="12"/>
  <c r="S12" i="12"/>
  <c r="AA20" i="12"/>
  <c r="AA12" i="12"/>
  <c r="U9" i="12"/>
  <c r="U17" i="12"/>
  <c r="U10" i="12"/>
  <c r="U14" i="13"/>
  <c r="AE10" i="13" l="1"/>
  <c r="AE9" i="13"/>
  <c r="AI10" i="13"/>
  <c r="AE15" i="13"/>
  <c r="AE12" i="13"/>
  <c r="Y13" i="13"/>
  <c r="Y10" i="13"/>
  <c r="AE13" i="13"/>
  <c r="AI14" i="13"/>
  <c r="AI11" i="13"/>
  <c r="AI9" i="13"/>
  <c r="AG9" i="13" s="1"/>
  <c r="Y9" i="13"/>
  <c r="Y11" i="13"/>
  <c r="AI15" i="13"/>
  <c r="AG16" i="13"/>
  <c r="AG14" i="13" s="1"/>
  <c r="Y14" i="13"/>
  <c r="Y15" i="13"/>
  <c r="AE11" i="13"/>
  <c r="AH16" i="13"/>
  <c r="AA13" i="14"/>
  <c r="AA20" i="14"/>
  <c r="AA12" i="14"/>
  <c r="AA9" i="14"/>
  <c r="AA10" i="14"/>
  <c r="AA6" i="14"/>
  <c r="AE8" i="14"/>
  <c r="AE7" i="14"/>
  <c r="AE10" i="14"/>
  <c r="AE16" i="14"/>
  <c r="AE12" i="14"/>
  <c r="AE13" i="14"/>
  <c r="AA14" i="14"/>
  <c r="AA18" i="14"/>
  <c r="AA7" i="14"/>
  <c r="AE20" i="14"/>
  <c r="AE9" i="14"/>
  <c r="AE18" i="14"/>
  <c r="AE17" i="14"/>
  <c r="AH21" i="14"/>
  <c r="AE6" i="14"/>
  <c r="AA10" i="13"/>
  <c r="AA8" i="13"/>
  <c r="AG12" i="13"/>
  <c r="AA13" i="13"/>
  <c r="AE6" i="13"/>
  <c r="AI8" i="13"/>
  <c r="AI7" i="13"/>
  <c r="AG7" i="13" s="1"/>
  <c r="AA9" i="13"/>
  <c r="AG10" i="12"/>
  <c r="AG12" i="12"/>
  <c r="AG15" i="12"/>
  <c r="Y6" i="13"/>
  <c r="AB16" i="13"/>
  <c r="AA11" i="13"/>
  <c r="AG7" i="12"/>
  <c r="AG11" i="13"/>
  <c r="AB21" i="12"/>
  <c r="AC21" i="14"/>
  <c r="AG9" i="12"/>
  <c r="AG20" i="12"/>
  <c r="AG17" i="12"/>
  <c r="AG13" i="12"/>
  <c r="AH17" i="12"/>
  <c r="AH18" i="12"/>
  <c r="AH11" i="12"/>
  <c r="AH16" i="12"/>
  <c r="AH15" i="12"/>
  <c r="AH14" i="12"/>
  <c r="AH12" i="12"/>
  <c r="AH20" i="12"/>
  <c r="AH7" i="12"/>
  <c r="AH10" i="12"/>
  <c r="AH13" i="12"/>
  <c r="AH9" i="12"/>
  <c r="AH8" i="12"/>
  <c r="AA14" i="13"/>
  <c r="AI8" i="14"/>
  <c r="AI9" i="14"/>
  <c r="AI7" i="14"/>
  <c r="AI10" i="14"/>
  <c r="AI18" i="14"/>
  <c r="AI12" i="14"/>
  <c r="AI17" i="14"/>
  <c r="AI20" i="14"/>
  <c r="AI13" i="14"/>
  <c r="AI16" i="14"/>
  <c r="AI14" i="14"/>
  <c r="AG21" i="14"/>
  <c r="AG15" i="14" s="1"/>
  <c r="AG8" i="12"/>
  <c r="AA6" i="13"/>
  <c r="Y7" i="13"/>
  <c r="AE21" i="12"/>
  <c r="AI11" i="14"/>
  <c r="AH19" i="12"/>
  <c r="AG11" i="12"/>
  <c r="AG19" i="12"/>
  <c r="AG18" i="12"/>
  <c r="AA12" i="13"/>
  <c r="AA7" i="13"/>
  <c r="AE7" i="13"/>
  <c r="AG10" i="13"/>
  <c r="AC16" i="13"/>
  <c r="AI13" i="13"/>
  <c r="AI6" i="13"/>
  <c r="AA15" i="13"/>
  <c r="AI21" i="12"/>
  <c r="AG6" i="12"/>
  <c r="AG14" i="12"/>
  <c r="AG16" i="12"/>
  <c r="Y8" i="13"/>
  <c r="AG15" i="13" l="1"/>
  <c r="AG8" i="13"/>
  <c r="AG13" i="13"/>
  <c r="AI21" i="14"/>
  <c r="AG19" i="14"/>
  <c r="AG6" i="14"/>
  <c r="AG20" i="14"/>
  <c r="AG10" i="14"/>
  <c r="AE13" i="12"/>
  <c r="AE12" i="12"/>
  <c r="AE11" i="12"/>
  <c r="AI16" i="13"/>
  <c r="AG6" i="13"/>
  <c r="AG14" i="14"/>
  <c r="AG17" i="14"/>
  <c r="AG7" i="14"/>
  <c r="AE10" i="12"/>
  <c r="AE14" i="12"/>
  <c r="AE18" i="12"/>
  <c r="AE19" i="12"/>
  <c r="AG16" i="14"/>
  <c r="AG12" i="14"/>
  <c r="AG9" i="14"/>
  <c r="AE8" i="12"/>
  <c r="AE7" i="12"/>
  <c r="AE15" i="12"/>
  <c r="AE17" i="12"/>
  <c r="AE6" i="12"/>
  <c r="AG11" i="14"/>
  <c r="AG13" i="14"/>
  <c r="AG18" i="14"/>
  <c r="AG8" i="14"/>
  <c r="AE9" i="12"/>
  <c r="AE20" i="12"/>
  <c r="AE16" i="12"/>
  <c r="AH21" i="12"/>
  <c r="E10" i="11" l="1"/>
  <c r="AO14" i="10"/>
  <c r="AN14" i="10"/>
  <c r="AM14" i="10"/>
  <c r="AL14" i="10"/>
  <c r="AK14" i="10"/>
  <c r="AO14" i="9"/>
  <c r="AN14" i="9"/>
  <c r="AM14" i="9"/>
  <c r="AL14" i="9"/>
  <c r="AK14" i="9"/>
  <c r="AJ14" i="9"/>
  <c r="E14" i="9"/>
  <c r="E18" i="8"/>
</calcChain>
</file>

<file path=xl/sharedStrings.xml><?xml version="1.0" encoding="utf-8"?>
<sst xmlns="http://schemas.openxmlformats.org/spreadsheetml/2006/main" count="1113" uniqueCount="195">
  <si>
    <t>PROYECCIÓN DE CARGAS VERTIDA Y AJUSTADAS A LA NORMA DE VERTIMIENTOS (LÍMITES MÁXIMOS PERMISIBLES - RESOLUCIÓN 0631 DE 2015, PARA LOS PARÁMETROS DE DBO5 Y SST) EN LA JURISDICCIÓN DE LA CAM, PARA LOS USUARIOS QUE SE ENCUENTRAN EN EL PROCESO DE DE TASA RETIBUTIVA</t>
  </si>
  <si>
    <t>N°</t>
  </si>
  <si>
    <t>USUARIO</t>
  </si>
  <si>
    <t>MUNICIPIO</t>
  </si>
  <si>
    <t>UNIDAD HIDROGRÁFICA O ÁREA DE DRENAJE</t>
  </si>
  <si>
    <t>USUARIOS CON PSMV</t>
  </si>
  <si>
    <t>PROYECCIÓN DE CARGA A VERTER EN EL AÑO 2019
CUMPLIENDO RESOLUCION 0631 DE 2015 PARA EL QUINQUENIO 2019 - 2023</t>
  </si>
  <si>
    <t>PROYECCIÓN DE CARGA A VERTER EN EL AÑO 2020
CUMPLIENDO RESOLUCION 0631 DE 2015 PARA EL QUINQUENIO 2019 - 2023</t>
  </si>
  <si>
    <t>PROYECCIÓN DE CARGA A VERTER EN EL AÑO 2021
CUMPLIENDO RESOLUCION 0631 DE 2015 PARA EL QUINQUENIO 2019 - 2023</t>
  </si>
  <si>
    <t>PROYECCIÓN DE CARGA A VERTER EN EL AÑO 2022
CUMPLIENDO RESOLUCION 0631 DE 2015 PARA EL QUINQUENIO 2019 - 2023</t>
  </si>
  <si>
    <t>PROYECCIÓN DE CARGA A VERTER EN EL AÑO 2023
CUMPLIENDO RESOLUCION 0631 DE 2015 PARA EL QUINQUENIO 2019 - 2023</t>
  </si>
  <si>
    <t xml:space="preserve">NUMERO DE VERTIMIENTOS </t>
  </si>
  <si>
    <t>REDUCCIÓN DE VERTIMIENTOS</t>
  </si>
  <si>
    <t>Cc
DBO5 (kg/año)</t>
  </si>
  <si>
    <t>Cm
DBO5 (kg/año)</t>
  </si>
  <si>
    <t>Cc
SST (kg/año)</t>
  </si>
  <si>
    <t>Cm
SST (kg/año)</t>
  </si>
  <si>
    <t>% PONDERADO DBO5</t>
  </si>
  <si>
    <t>% PONDERADO SST</t>
  </si>
  <si>
    <t>Empresa de Servicios Publicos  ESP</t>
  </si>
  <si>
    <t xml:space="preserve">TIMANA </t>
  </si>
  <si>
    <t xml:space="preserve">RIO TIMANA </t>
  </si>
  <si>
    <t>X</t>
  </si>
  <si>
    <t>Usuarios Domésticos Rurales</t>
  </si>
  <si>
    <t>Nuevo cafeteros</t>
  </si>
  <si>
    <t>Nuevo Acuícolas</t>
  </si>
  <si>
    <t>RÍO TIMANA</t>
  </si>
  <si>
    <t>SUBTOTAL USUARIOS</t>
  </si>
  <si>
    <t xml:space="preserve">ACEVEDO </t>
  </si>
  <si>
    <t>RÍO SUAZA</t>
  </si>
  <si>
    <t>Empresa de Servicios Publicos  .E.S.P.</t>
  </si>
  <si>
    <t xml:space="preserve">SUAZA </t>
  </si>
  <si>
    <t>Usuarios nuevos Domésticos Rurales</t>
  </si>
  <si>
    <t xml:space="preserve">Planta de Benefio Animal </t>
  </si>
  <si>
    <t xml:space="preserve">GUADALUPE </t>
  </si>
  <si>
    <t xml:space="preserve">Empresa de Servicios Publicos </t>
  </si>
  <si>
    <t xml:space="preserve">SALADOBLANCO </t>
  </si>
  <si>
    <t xml:space="preserve">RÍO MAGDALENA </t>
  </si>
  <si>
    <t>OPORAPA</t>
  </si>
  <si>
    <t>ELIAS</t>
  </si>
  <si>
    <t>ALTAMIRA</t>
  </si>
  <si>
    <t>Usuarios nuevos Acuícolas</t>
  </si>
  <si>
    <t xml:space="preserve">Usuarios nuevos Acuícolas </t>
  </si>
  <si>
    <t>Usuarios Nuevos Agroindustrial  (cafeteros)</t>
  </si>
  <si>
    <t>EMPRESA DE SERVICIOS PUBLICOS EMPUGAR ESP</t>
  </si>
  <si>
    <t>GARZÓN</t>
  </si>
  <si>
    <t>QUEBRADA GARZÓN</t>
  </si>
  <si>
    <t>BATALLON GARZON</t>
  </si>
  <si>
    <t>USUARIO NUEVO DOMESTICO RURAL</t>
  </si>
  <si>
    <t>PISCÍCOLA LA ESPERANZA - VEREDA LOS MEDIOS</t>
  </si>
  <si>
    <t>PISCÍCOLA NUEVA YORK</t>
  </si>
  <si>
    <t>SAN FELIPE</t>
  </si>
  <si>
    <t>LAS MARIAS</t>
  </si>
  <si>
    <t>EL TRIUNFO VEREDA LOS MEDIOS</t>
  </si>
  <si>
    <t>LA FORTUNA</t>
  </si>
  <si>
    <t>PLANTA DE BENEFICIO ANIMAL - GUSTAVO ROJAS CARDOZO</t>
  </si>
  <si>
    <t>USUARIOS NUEVOS ACUÍCOLAS</t>
  </si>
  <si>
    <t>USUARIOS NUEVOS CAFETEROS</t>
  </si>
  <si>
    <t>AGUAS Y ASEO DE EL PITAL S.A</t>
  </si>
  <si>
    <t>PITAL</t>
  </si>
  <si>
    <t>QUEBRADA LA YAGUILDA</t>
  </si>
  <si>
    <t>USUARIOS NUEVOS DOMESTICO RURAL</t>
  </si>
  <si>
    <t>PLANTA DE BENEFICIO ANIMAL</t>
  </si>
  <si>
    <t>AGRADO</t>
  </si>
  <si>
    <t>EMPRESA DE SERVICIOS PUBLICOS</t>
  </si>
  <si>
    <t>GIGANTE</t>
  </si>
  <si>
    <t>QUEBRADA LA GUANDINOSA</t>
  </si>
  <si>
    <t>STAR ACUÍCOLA RÍO GRANDE S.A.S</t>
  </si>
  <si>
    <t>ACUÍCOLA EL TRIUNFO</t>
  </si>
  <si>
    <t xml:space="preserve">O2 TILAPIAS S.A.S </t>
  </si>
  <si>
    <t>TILAPIAS  DEL HUILA - LAGOS</t>
  </si>
  <si>
    <t>AGUAS DEL HUILA S.A E.S.P</t>
  </si>
  <si>
    <t>COLOMBIA</t>
  </si>
  <si>
    <t>RIO AMBICÁ</t>
  </si>
  <si>
    <t>QUEBRADA LA YAGUILGA</t>
  </si>
  <si>
    <t>DBO5
Cc/Cm</t>
  </si>
  <si>
    <t>SST
Cc/Cm</t>
  </si>
  <si>
    <t>Aguas del Huila S.A E.S.P</t>
  </si>
  <si>
    <t>SANTA MARÍA</t>
  </si>
  <si>
    <t>RIO BACHE</t>
  </si>
  <si>
    <t>Doméstico Rural - Santa María</t>
  </si>
  <si>
    <t>Sector Acuícola - Santa María</t>
  </si>
  <si>
    <t>Empresa de Servicios Publicos de Palermo ESP</t>
  </si>
  <si>
    <t>PALERMO</t>
  </si>
  <si>
    <t>Doméstico Rural - Palermo</t>
  </si>
  <si>
    <t>Empresa de Servicios Publicos Palermo - Aguas Claras</t>
  </si>
  <si>
    <t>CAQUETEÑO</t>
  </si>
  <si>
    <t>Comfamiliar del Huila</t>
  </si>
  <si>
    <t>Condominio Industrial Terpel</t>
  </si>
  <si>
    <t>ITALCOL S.A</t>
  </si>
  <si>
    <t>Condominio campestre llanos de Vimianzo</t>
  </si>
  <si>
    <t>Condominio campestre campo berdez club house</t>
  </si>
  <si>
    <t>Inversiones Cootranshuila</t>
  </si>
  <si>
    <t>sector cafetero-Agroindustrial</t>
  </si>
  <si>
    <t>Sector Acuícola</t>
  </si>
  <si>
    <t>Empresa de Servicios Publicos de Rivera</t>
  </si>
  <si>
    <t>RIVERA</t>
  </si>
  <si>
    <t>RIO FRIO</t>
  </si>
  <si>
    <t>Doméstico Rural</t>
  </si>
  <si>
    <t>CEAGRODEX DEL HUILA S.A.</t>
  </si>
  <si>
    <t>Piscicola Bony S.A.S</t>
  </si>
  <si>
    <t>Piscicola New York</t>
  </si>
  <si>
    <t>Contegral  S. A</t>
  </si>
  <si>
    <t>Triturados Hermanos Carrillo Ltda</t>
  </si>
  <si>
    <t>Frigorífico del Sur - COMEPEZ</t>
  </si>
  <si>
    <t>Agroindustrial</t>
  </si>
  <si>
    <t>Empresa de Servicios Publicos de Neiva EPN ESP</t>
  </si>
  <si>
    <t>NEIVA</t>
  </si>
  <si>
    <t>TRAMO 16 - RIO MAGDALENA</t>
  </si>
  <si>
    <t>Doméstico Rural - Neiva</t>
  </si>
  <si>
    <t>BATALLON DE MOVILIDAD Y MANIOBRA DE AVIACIÓN No 5</t>
  </si>
  <si>
    <t>Sector Acuícola Neiva</t>
  </si>
  <si>
    <t>Empresa de Servicios Publicos Aguas del Desierto ESP</t>
  </si>
  <si>
    <t>VILLAVIEJA</t>
  </si>
  <si>
    <t>Doméstico Rural - Villavieja</t>
  </si>
  <si>
    <t>MUNICIPIO - CP LA VICTORIA</t>
  </si>
  <si>
    <t>Piscícola - LIBARDO QUESADA SANABRIA</t>
  </si>
  <si>
    <t>Piscícola BERLIN</t>
  </si>
  <si>
    <t>Sector Acuícola Villavieja</t>
  </si>
  <si>
    <t>AIPE</t>
  </si>
  <si>
    <t>Doméstico Rural - Aipe</t>
  </si>
  <si>
    <t>Planta procesadora -Compañía  Agroindustrial 3C</t>
  </si>
  <si>
    <t>Agroindustrial - Cafetero</t>
  </si>
  <si>
    <t>Sector Acuícola Aipe</t>
  </si>
  <si>
    <t xml:space="preserve">PROYECCIÓN DE CARGA A VERTER EN EL AÑO 2019
</t>
  </si>
  <si>
    <t xml:space="preserve">PROYECCIÓN DE CARGA A VERTER EN EL AÑO 2020
</t>
  </si>
  <si>
    <t xml:space="preserve">PROYECCIÓN DE CARGA A VERTER EN EL AÑO 2021
</t>
  </si>
  <si>
    <t xml:space="preserve">PROYECCIÓN DE CARGA A VERTER EN EL AÑO 2022
</t>
  </si>
  <si>
    <t xml:space="preserve">PROYECCIÓN DE CARGA A VERTER EN EL AÑO 2023
</t>
  </si>
  <si>
    <t>PROYECCIÓN DE CARGAS VERTIDA PARA LOS PARÁMETROS DE DBO5 Y SST EN LA JURISDICCIÓN DE LA CAM, PARA LOS USUARIOS QUE SE ENCUENTRAN EN EL PROCESO DE DE TASA RETIBUTIVA</t>
  </si>
  <si>
    <t>PROYECCIÓN DE CARGAS VERTIDA  PARA LOS PARÁMETROS DE DBO5 Y SST EN LA JURISDICCIÓN DE LA CAM, PARA LOS USUARIOS QUE SE ENCUENTRAN EN EL PROCESO DE DE TASA RETIBUTIVA</t>
  </si>
  <si>
    <t>PROYECCIÓN DE CARGAS VERTIDA PARA LOS PARÁMETROS DE DBO5 Y SST) EN LA JURISDICCIÓN DE LA CAM, PARA LOS USUARIOS QUE SE ENCUENTRAN EN EL PROCESO DE DE TASA RETIBUTIVA</t>
  </si>
  <si>
    <t>EMPRESA DE SERVICIOS PUBLICOS DE SAN AGUSTÍN ESP</t>
  </si>
  <si>
    <t>SAN AGUSTIN</t>
  </si>
  <si>
    <t>RIO SOMBRERILLOS</t>
  </si>
  <si>
    <t>PROYECCIÓN DE CARGAS VERTIDA EN LA JURISDICCIÓN DE LA CAM, PARA LOS USUARIOS QUE SE ENCUENTRAN EN EL PROCESO DE DE TASA RETRIBUTIVA</t>
  </si>
  <si>
    <t>PROYECCIÓN DE CARGA A VERTER EN EL AÑO 2019</t>
  </si>
  <si>
    <t>Empresa de Servicios Publicos EMAC ESP</t>
  </si>
  <si>
    <t>CAMPOALEGRE</t>
  </si>
  <si>
    <t>RÍO FRIO</t>
  </si>
  <si>
    <t>Usuarios Nuevos Acuícolas</t>
  </si>
  <si>
    <t>IQUIRA</t>
  </si>
  <si>
    <t>EMBALSE DE BETANIA</t>
  </si>
  <si>
    <t>TERUEL</t>
  </si>
  <si>
    <t>YAGUARA</t>
  </si>
  <si>
    <t>Empresa de Servicios Publicos  EMUSERP HOBO .E.S.P.</t>
  </si>
  <si>
    <t>HOBO</t>
  </si>
  <si>
    <t>Piscícola Botero S. A. (procesadora)</t>
  </si>
  <si>
    <t>RÍO VILLAVIEJA</t>
  </si>
  <si>
    <t>EMBALSE BETANIA</t>
  </si>
  <si>
    <t>PROYECCIÓN DE CARGAS VERTIDA Y PARA LOS PARÁMETROS DE DBO5 Y SST) EN LA JURISDICCIÓN DE LA CAM, PARA LOS USUARIOS QUE SE ENCUENTRAN EN EL PROCESO DE DE TASA RETIBUTIVA</t>
  </si>
  <si>
    <t>Empresa de Servicios Publicos EMSERAL ESP</t>
  </si>
  <si>
    <t>ALGECIRAS</t>
  </si>
  <si>
    <t>RÍO NEIVA</t>
  </si>
  <si>
    <t>PITALITO</t>
  </si>
  <si>
    <t>RIO GUARAPAS</t>
  </si>
  <si>
    <t>DOMESTICO RURAL</t>
  </si>
  <si>
    <t>PLANTA BENEFICIO ANIMAL - ASURCAR</t>
  </si>
  <si>
    <t>PISCIOLA SALEM</t>
  </si>
  <si>
    <t>PISCICOLA LA ACUARELA</t>
  </si>
  <si>
    <t>PISCICOLA PREDIO RELUMBROSA</t>
  </si>
  <si>
    <t>USUARIOS NUEVOS DOMESTICO URBANO</t>
  </si>
  <si>
    <t>ISNOS</t>
  </si>
  <si>
    <t>QUEBRADA LA CHORRERA</t>
  </si>
  <si>
    <t>AVICOLA VILLA NANCY</t>
  </si>
  <si>
    <t>PBA - FRIGORIFICO SURCOLOMBIANO</t>
  </si>
  <si>
    <t>EMPITALITO</t>
  </si>
  <si>
    <t>CENTRO POBLADO RICA BRISA</t>
  </si>
  <si>
    <t>TARQUÍ</t>
  </si>
  <si>
    <t>QUEBRADA EL HIGADO</t>
  </si>
  <si>
    <t>MUNICIPIO DE TARQUÍ - ESP - PSMV</t>
  </si>
  <si>
    <t>EMPUARG E.S.P</t>
  </si>
  <si>
    <t>LA ARGENTINA</t>
  </si>
  <si>
    <t>RÍO PAEZ</t>
  </si>
  <si>
    <t>Usuarios nuevos RURAL</t>
  </si>
  <si>
    <t>Empresa de Servicios Publicos EMSERPLA ESP</t>
  </si>
  <si>
    <t>LA PLATA</t>
  </si>
  <si>
    <t xml:space="preserve"> ASOGANPLAT</t>
  </si>
  <si>
    <t>Hospital San Antonió de Padua</t>
  </si>
  <si>
    <t>Empresa de Servicios Publicos Nátaga</t>
  </si>
  <si>
    <t>NÁTAGA</t>
  </si>
  <si>
    <t xml:space="preserve">Aguas del Huila S.A E.S.P - Paicol </t>
  </si>
  <si>
    <t>PAICOL</t>
  </si>
  <si>
    <t>Empresa de Servicios Publicos - Tesalia</t>
  </si>
  <si>
    <t>TESALIA</t>
  </si>
  <si>
    <t>Empresa de Servicios Publicos EMPUBARAYA ESP</t>
  </si>
  <si>
    <t>BARAYA</t>
  </si>
  <si>
    <t>ECOPETROL</t>
  </si>
  <si>
    <t>TELLO</t>
  </si>
  <si>
    <t>PALESTINA</t>
  </si>
  <si>
    <t>DOMESTICO URBANO - MUNICIPIO</t>
  </si>
  <si>
    <t>Usuarios nuevos - Agroindustrial  (cafeteros)</t>
  </si>
  <si>
    <t xml:space="preserve"> Usuarios Nuevs Acuicolas </t>
  </si>
  <si>
    <t xml:space="preserve">Usuarios Nuevos Acuicolas </t>
  </si>
  <si>
    <t>Usuarios Nuevos Domésticos Rurales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</si>
</sst>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-* #,##0_-;\-* #,##0_-;_-* &quot;-&quot;_-;_-@_-"/>
    <numFmt numFmtId="164" formatCode="0.0%"/>
    <numFmt numFmtId="165" formatCode="_ * #,##0.00_ ;_ * \-#,##0.00_ ;_ * &quot;-&quot;??_ ;_ @_ "/>
    <numFmt numFmtId="166" formatCode="_ * #,##0_ ;_ * \-#,##0_ ;_ * &quot;-&quot;??_ ;_ @_ "/>
    <numFmt numFmtId="167" formatCode="0.000"/>
    <numFmt numFmtId="168" formatCode="_-* #,##0.00_-;\-* #,##0.00_-;_-* &quot;-&quot;_-;_-@_-"/>
    <numFmt numFmtId="169" formatCode="_-* #,##0.0_-;\-* #,##0.0_-;_-* &quot;-&quot;_-;_-@_-"/>
    <numFmt numFmtId="170" formatCode="0.00\ &quot;L/s&quot;"/>
    <numFmt numFmtId="171" formatCode="0\ &quot;m3/d&quot;"/>
    <numFmt numFmtId="172" formatCode="0\ &quot;L/d&quot;"/>
    <numFmt numFmtId="173" formatCode="#,##0.0"/>
    <numFmt numFmtId="174" formatCode="0.00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  <family val="2"/>
    </font>
    <font>
      <b/>
      <sz val="14"/>
      <color theme="4" tint="-0.499984740745262"/>
      <name val="Arial"/>
      <family val="2"/>
    </font>
    <font>
      <sz val="28"/>
      <color theme="4" tint="-0.499984740745262"/>
      <name val="Arial"/>
      <family val="2"/>
    </font>
    <font>
      <b/>
      <sz val="28"/>
      <color theme="4" tint="-0.499984740745262"/>
      <name val="Arial"/>
      <family val="2"/>
    </font>
    <font>
      <b/>
      <sz val="11"/>
      <color theme="4" tint="-0.499984740745262"/>
      <name val="Calibri"/>
      <family val="2"/>
      <scheme val="minor"/>
    </font>
    <font>
      <sz val="12"/>
      <color theme="1"/>
      <name val="Arial"/>
      <family val="2"/>
    </font>
    <font>
      <b/>
      <sz val="14"/>
      <color theme="4" tint="-0.499984740745262"/>
      <name val="Arial "/>
    </font>
    <font>
      <b/>
      <sz val="28"/>
      <color rgb="FF000099"/>
      <name val="Arial"/>
      <family val="2"/>
    </font>
    <font>
      <b/>
      <sz val="14"/>
      <color rgb="FF000066"/>
      <name val="Arial"/>
      <family val="2"/>
    </font>
    <font>
      <b/>
      <sz val="16"/>
      <color rgb="FF000066"/>
      <name val="Arial"/>
      <family val="2"/>
    </font>
    <font>
      <b/>
      <sz val="12"/>
      <color rgb="FF000066"/>
      <name val="Arial"/>
      <family val="2"/>
    </font>
    <font>
      <b/>
      <sz val="12"/>
      <name val="Arial"/>
      <family val="2"/>
    </font>
    <font>
      <b/>
      <sz val="14"/>
      <color theme="1"/>
      <name val="Arial"/>
      <family val="2"/>
    </font>
    <font>
      <b/>
      <sz val="16"/>
      <color rgb="FF000099"/>
      <name val="Arial"/>
      <family val="2"/>
    </font>
    <font>
      <sz val="14"/>
      <color rgb="FF000099"/>
      <name val="Arial"/>
      <family val="2"/>
    </font>
    <font>
      <sz val="12"/>
      <color theme="1"/>
      <name val="Calibri "/>
    </font>
    <font>
      <b/>
      <sz val="11"/>
      <name val="Arial"/>
      <family val="2"/>
    </font>
    <font>
      <b/>
      <sz val="12"/>
      <color rgb="FF000099"/>
      <name val="Arial"/>
      <family val="2"/>
    </font>
    <font>
      <b/>
      <sz val="14"/>
      <color rgb="FF000099"/>
      <name val="Arial"/>
      <family val="2"/>
    </font>
    <font>
      <sz val="12"/>
      <color theme="1"/>
      <name val="Calibri"/>
      <family val="2"/>
      <scheme val="minor"/>
    </font>
    <font>
      <b/>
      <sz val="14"/>
      <color theme="4" tint="-0.249977111117893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1" fillId="0" borderId="0"/>
    <xf numFmtId="0" fontId="3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1" fontId="22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216">
    <xf numFmtId="0" fontId="0" fillId="0" borderId="0" xfId="0"/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Border="1"/>
    <xf numFmtId="0" fontId="4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Border="1"/>
    <xf numFmtId="0" fontId="7" fillId="2" borderId="1" xfId="0" applyFont="1" applyFill="1" applyBorder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Border="1"/>
    <xf numFmtId="0" fontId="8" fillId="0" borderId="1" xfId="0" applyFont="1" applyBorder="1"/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5" fillId="0" borderId="0" xfId="0" applyFont="1"/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41" fontId="7" fillId="2" borderId="1" xfId="5" applyFont="1" applyFill="1" applyBorder="1" applyAlignment="1">
      <alignment horizontal="center" vertical="center" wrapText="1"/>
    </xf>
    <xf numFmtId="9" fontId="7" fillId="2" borderId="1" xfId="6" applyFont="1" applyFill="1" applyBorder="1" applyAlignment="1">
      <alignment horizontal="center" vertical="center" wrapText="1"/>
    </xf>
    <xf numFmtId="41" fontId="8" fillId="0" borderId="1" xfId="5" applyFont="1" applyBorder="1" applyAlignment="1">
      <alignment horizontal="center" vertical="center"/>
    </xf>
    <xf numFmtId="41" fontId="7" fillId="2" borderId="1" xfId="5" applyFont="1" applyFill="1" applyBorder="1" applyAlignment="1">
      <alignment horizontal="center" vertical="center"/>
    </xf>
    <xf numFmtId="164" fontId="8" fillId="0" borderId="1" xfId="6" applyNumberFormat="1" applyFont="1" applyBorder="1" applyAlignment="1">
      <alignment horizontal="center" vertical="center"/>
    </xf>
    <xf numFmtId="9" fontId="7" fillId="2" borderId="1" xfId="6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1" fontId="8" fillId="0" borderId="1" xfId="5" applyFont="1" applyFill="1" applyBorder="1" applyAlignment="1">
      <alignment horizontal="center" vertical="center"/>
    </xf>
    <xf numFmtId="164" fontId="8" fillId="0" borderId="1" xfId="6" applyNumberFormat="1" applyFont="1" applyFill="1" applyBorder="1" applyAlignment="1">
      <alignment horizontal="center" vertical="center"/>
    </xf>
    <xf numFmtId="9" fontId="7" fillId="2" borderId="1" xfId="6" applyNumberFormat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/>
    </xf>
    <xf numFmtId="0" fontId="8" fillId="0" borderId="1" xfId="3" applyNumberFormat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 wrapText="1"/>
    </xf>
    <xf numFmtId="3" fontId="8" fillId="0" borderId="1" xfId="3" applyNumberFormat="1" applyFont="1" applyFill="1" applyBorder="1" applyAlignment="1">
      <alignment vertical="center"/>
    </xf>
    <xf numFmtId="10" fontId="8" fillId="0" borderId="1" xfId="4" applyNumberFormat="1" applyFont="1" applyFill="1" applyBorder="1" applyAlignment="1">
      <alignment vertical="center"/>
    </xf>
    <xf numFmtId="1" fontId="8" fillId="0" borderId="1" xfId="3" applyNumberFormat="1" applyFont="1" applyFill="1" applyBorder="1" applyAlignment="1">
      <alignment vertical="center"/>
    </xf>
    <xf numFmtId="41" fontId="8" fillId="0" borderId="1" xfId="5" applyFont="1" applyBorder="1" applyAlignment="1">
      <alignment vertical="center" wrapText="1"/>
    </xf>
    <xf numFmtId="9" fontId="8" fillId="0" borderId="1" xfId="6" applyFont="1" applyBorder="1" applyAlignment="1">
      <alignment vertical="center" wrapText="1"/>
    </xf>
    <xf numFmtId="10" fontId="8" fillId="0" borderId="1" xfId="6" applyNumberFormat="1" applyFont="1" applyBorder="1" applyAlignment="1">
      <alignment vertical="center" wrapText="1"/>
    </xf>
    <xf numFmtId="41" fontId="8" fillId="0" borderId="1" xfId="5" applyNumberFormat="1" applyFont="1" applyBorder="1" applyAlignment="1">
      <alignment vertical="center" wrapText="1"/>
    </xf>
    <xf numFmtId="0" fontId="8" fillId="0" borderId="0" xfId="1" applyNumberFormat="1" applyFont="1" applyFill="1" applyBorder="1" applyAlignment="1">
      <alignment horizontal="center" vertical="center"/>
    </xf>
    <xf numFmtId="0" fontId="8" fillId="0" borderId="0" xfId="1" applyNumberFormat="1" applyFont="1" applyFill="1" applyBorder="1" applyAlignment="1">
      <alignment vertical="center"/>
    </xf>
    <xf numFmtId="0" fontId="8" fillId="0" borderId="0" xfId="1" applyNumberFormat="1" applyFont="1" applyFill="1" applyBorder="1" applyAlignment="1">
      <alignment horizontal="right" vertical="center"/>
    </xf>
    <xf numFmtId="0" fontId="11" fillId="0" borderId="1" xfId="1" applyNumberFormat="1" applyFont="1" applyFill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13" fillId="0" borderId="1" xfId="1" applyNumberFormat="1" applyFont="1" applyFill="1" applyBorder="1" applyAlignment="1">
      <alignment horizontal="center" vertical="center" wrapText="1"/>
    </xf>
    <xf numFmtId="0" fontId="13" fillId="0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14" fillId="0" borderId="1" xfId="2" applyFont="1" applyFill="1" applyBorder="1" applyAlignment="1">
      <alignment horizontal="left" vertical="center" wrapText="1"/>
    </xf>
    <xf numFmtId="0" fontId="15" fillId="0" borderId="1" xfId="1" applyNumberFormat="1" applyFont="1" applyFill="1" applyBorder="1" applyAlignment="1">
      <alignment horizontal="center" vertical="center"/>
    </xf>
    <xf numFmtId="41" fontId="2" fillId="0" borderId="1" xfId="5" applyFont="1" applyFill="1" applyBorder="1" applyAlignment="1">
      <alignment horizontal="center" vertical="center"/>
    </xf>
    <xf numFmtId="10" fontId="2" fillId="0" borderId="1" xfId="4" applyNumberFormat="1" applyFont="1" applyFill="1" applyBorder="1" applyAlignment="1">
      <alignment horizontal="center" vertical="center"/>
    </xf>
    <xf numFmtId="0" fontId="2" fillId="0" borderId="1" xfId="3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left"/>
    </xf>
    <xf numFmtId="0" fontId="14" fillId="0" borderId="1" xfId="2" applyFont="1" applyFill="1" applyBorder="1" applyAlignment="1">
      <alignment horizontal="left" wrapText="1"/>
    </xf>
    <xf numFmtId="0" fontId="2" fillId="0" borderId="1" xfId="1" applyNumberFormat="1" applyFont="1" applyFill="1" applyBorder="1" applyAlignment="1">
      <alignment horizontal="left" vertical="center" wrapText="1"/>
    </xf>
    <xf numFmtId="0" fontId="16" fillId="4" borderId="1" xfId="1" applyNumberFormat="1" applyFont="1" applyFill="1" applyBorder="1" applyAlignment="1">
      <alignment horizontal="center" vertical="center"/>
    </xf>
    <xf numFmtId="41" fontId="16" fillId="4" borderId="1" xfId="5" applyFont="1" applyFill="1" applyBorder="1" applyAlignment="1">
      <alignment horizontal="center" vertical="center"/>
    </xf>
    <xf numFmtId="9" fontId="16" fillId="4" borderId="1" xfId="4" applyNumberFormat="1" applyFont="1" applyFill="1" applyBorder="1" applyAlignment="1">
      <alignment horizontal="center" vertical="center"/>
    </xf>
    <xf numFmtId="1" fontId="16" fillId="4" borderId="1" xfId="3" applyNumberFormat="1" applyFont="1" applyFill="1" applyBorder="1" applyAlignment="1">
      <alignment horizontal="center" vertical="center"/>
    </xf>
    <xf numFmtId="0" fontId="17" fillId="4" borderId="0" xfId="1" applyNumberFormat="1" applyFont="1" applyFill="1" applyBorder="1" applyAlignment="1">
      <alignment vertical="center"/>
    </xf>
    <xf numFmtId="3" fontId="8" fillId="0" borderId="0" xfId="1" applyNumberFormat="1" applyFont="1" applyFill="1" applyBorder="1" applyAlignment="1">
      <alignment horizontal="right" vertical="center"/>
    </xf>
    <xf numFmtId="41" fontId="8" fillId="0" borderId="0" xfId="5" applyFont="1" applyFill="1" applyBorder="1" applyAlignment="1">
      <alignment horizontal="right" vertical="center"/>
    </xf>
    <xf numFmtId="0" fontId="18" fillId="0" borderId="0" xfId="1" applyFont="1" applyAlignment="1">
      <alignment horizontal="center" vertical="center"/>
    </xf>
    <xf numFmtId="0" fontId="18" fillId="3" borderId="0" xfId="1" applyFont="1" applyFill="1" applyAlignment="1">
      <alignment horizontal="center" vertical="center"/>
    </xf>
    <xf numFmtId="0" fontId="18" fillId="0" borderId="0" xfId="1" applyFont="1" applyAlignment="1">
      <alignment horizontal="right" vertical="center"/>
    </xf>
    <xf numFmtId="0" fontId="18" fillId="3" borderId="0" xfId="1" applyFont="1" applyFill="1" applyAlignment="1">
      <alignment vertical="center"/>
    </xf>
    <xf numFmtId="0" fontId="18" fillId="0" borderId="0" xfId="1" applyFont="1" applyAlignment="1">
      <alignment vertical="center"/>
    </xf>
    <xf numFmtId="167" fontId="8" fillId="0" borderId="0" xfId="1" applyNumberFormat="1" applyFont="1" applyFill="1" applyBorder="1" applyAlignment="1">
      <alignment vertical="center"/>
    </xf>
    <xf numFmtId="3" fontId="14" fillId="0" borderId="1" xfId="2" applyNumberFormat="1" applyFont="1" applyFill="1" applyBorder="1" applyAlignment="1">
      <alignment horizontal="left"/>
    </xf>
    <xf numFmtId="0" fontId="19" fillId="0" borderId="1" xfId="2" applyFont="1" applyFill="1" applyBorder="1" applyAlignment="1">
      <alignment horizontal="left" vertical="center" wrapText="1"/>
    </xf>
    <xf numFmtId="3" fontId="19" fillId="0" borderId="1" xfId="2" applyNumberFormat="1" applyFont="1" applyFill="1" applyBorder="1" applyAlignment="1">
      <alignment horizontal="left"/>
    </xf>
    <xf numFmtId="0" fontId="2" fillId="0" borderId="2" xfId="1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1" fillId="0" borderId="1" xfId="1" applyNumberFormat="1" applyFont="1" applyFill="1" applyBorder="1" applyAlignment="1">
      <alignment horizontal="center" vertical="center" wrapText="1"/>
    </xf>
    <xf numFmtId="168" fontId="2" fillId="0" borderId="1" xfId="5" applyNumberFormat="1" applyFont="1" applyFill="1" applyBorder="1" applyAlignment="1">
      <alignment horizontal="center" vertical="center"/>
    </xf>
    <xf numFmtId="169" fontId="2" fillId="0" borderId="1" xfId="5" applyNumberFormat="1" applyFont="1" applyFill="1" applyBorder="1" applyAlignment="1">
      <alignment horizontal="center" vertical="center"/>
    </xf>
    <xf numFmtId="41" fontId="2" fillId="0" borderId="1" xfId="5" applyNumberFormat="1" applyFont="1" applyFill="1" applyBorder="1" applyAlignment="1">
      <alignment horizontal="center" vertical="center"/>
    </xf>
    <xf numFmtId="41" fontId="18" fillId="0" borderId="0" xfId="5" applyFont="1" applyAlignment="1">
      <alignment horizontal="center" vertical="center"/>
    </xf>
    <xf numFmtId="41" fontId="18" fillId="0" borderId="0" xfId="5" applyFont="1" applyAlignment="1">
      <alignment horizontal="right" vertical="center"/>
    </xf>
    <xf numFmtId="170" fontId="8" fillId="0" borderId="0" xfId="1" applyNumberFormat="1" applyFont="1" applyFill="1" applyBorder="1" applyAlignment="1">
      <alignment vertical="center"/>
    </xf>
    <xf numFmtId="171" fontId="8" fillId="0" borderId="0" xfId="1" applyNumberFormat="1" applyFont="1" applyFill="1" applyBorder="1" applyAlignment="1">
      <alignment vertical="center"/>
    </xf>
    <xf numFmtId="0" fontId="20" fillId="0" borderId="1" xfId="1" applyNumberFormat="1" applyFont="1" applyFill="1" applyBorder="1" applyAlignment="1">
      <alignment horizontal="center" vertical="center" wrapText="1"/>
    </xf>
    <xf numFmtId="172" fontId="8" fillId="0" borderId="0" xfId="1" applyNumberFormat="1" applyFont="1" applyFill="1" applyBorder="1" applyAlignment="1">
      <alignment vertical="center"/>
    </xf>
    <xf numFmtId="3" fontId="2" fillId="0" borderId="1" xfId="3" applyNumberFormat="1" applyFont="1" applyFill="1" applyBorder="1" applyAlignment="1">
      <alignment horizontal="center" vertical="center"/>
    </xf>
    <xf numFmtId="1" fontId="2" fillId="0" borderId="1" xfId="3" applyNumberFormat="1" applyFont="1" applyFill="1" applyBorder="1" applyAlignment="1">
      <alignment horizontal="center" vertical="center"/>
    </xf>
    <xf numFmtId="167" fontId="2" fillId="0" borderId="1" xfId="1" applyNumberFormat="1" applyFont="1" applyFill="1" applyBorder="1" applyAlignment="1">
      <alignment horizontal="center" vertical="center" wrapText="1"/>
    </xf>
    <xf numFmtId="3" fontId="16" fillId="4" borderId="1" xfId="3" applyNumberFormat="1" applyFont="1" applyFill="1" applyBorder="1" applyAlignment="1">
      <alignment horizontal="center" vertical="center"/>
    </xf>
    <xf numFmtId="3" fontId="16" fillId="4" borderId="1" xfId="1" applyNumberFormat="1" applyFont="1" applyFill="1" applyBorder="1" applyAlignment="1">
      <alignment horizontal="center" vertical="center"/>
    </xf>
    <xf numFmtId="9" fontId="16" fillId="4" borderId="1" xfId="3" applyNumberFormat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vertical="center"/>
    </xf>
    <xf numFmtId="0" fontId="14" fillId="0" borderId="1" xfId="2" applyFont="1" applyFill="1" applyBorder="1" applyAlignment="1">
      <alignment vertical="center" wrapText="1"/>
    </xf>
    <xf numFmtId="173" fontId="2" fillId="0" borderId="1" xfId="3" applyNumberFormat="1" applyFont="1" applyFill="1" applyBorder="1" applyAlignment="1">
      <alignment horizontal="center" vertical="center"/>
    </xf>
    <xf numFmtId="4" fontId="2" fillId="0" borderId="1" xfId="3" applyNumberFormat="1" applyFont="1" applyFill="1" applyBorder="1" applyAlignment="1">
      <alignment horizontal="center" vertical="center"/>
    </xf>
    <xf numFmtId="2" fontId="2" fillId="0" borderId="1" xfId="3" applyNumberFormat="1" applyFont="1" applyFill="1" applyBorder="1" applyAlignment="1">
      <alignment horizontal="center" vertical="center"/>
    </xf>
    <xf numFmtId="0" fontId="21" fillId="4" borderId="1" xfId="1" applyNumberFormat="1" applyFont="1" applyFill="1" applyBorder="1" applyAlignment="1">
      <alignment horizontal="center" vertical="center" wrapText="1"/>
    </xf>
    <xf numFmtId="1" fontId="16" fillId="4" borderId="1" xfId="1" applyNumberFormat="1" applyFont="1" applyFill="1" applyBorder="1" applyAlignment="1">
      <alignment horizontal="center" vertical="center"/>
    </xf>
    <xf numFmtId="0" fontId="8" fillId="0" borderId="9" xfId="1" applyNumberFormat="1" applyFont="1" applyFill="1" applyBorder="1" applyAlignment="1">
      <alignment vertical="center"/>
    </xf>
    <xf numFmtId="0" fontId="13" fillId="3" borderId="1" xfId="1" applyNumberFormat="1" applyFont="1" applyFill="1" applyBorder="1" applyAlignment="1">
      <alignment horizontal="center" vertical="center" wrapText="1"/>
    </xf>
    <xf numFmtId="0" fontId="8" fillId="3" borderId="0" xfId="1" applyNumberFormat="1" applyFont="1" applyFill="1" applyBorder="1" applyAlignment="1">
      <alignment vertical="center"/>
    </xf>
    <xf numFmtId="0" fontId="13" fillId="3" borderId="1" xfId="1" applyNumberFormat="1" applyFont="1" applyFill="1" applyBorder="1" applyAlignment="1">
      <alignment horizontal="center" vertical="center"/>
    </xf>
    <xf numFmtId="0" fontId="2" fillId="3" borderId="1" xfId="1" applyNumberFormat="1" applyFont="1" applyFill="1" applyBorder="1" applyAlignment="1">
      <alignment horizontal="center" vertical="center"/>
    </xf>
    <xf numFmtId="0" fontId="14" fillId="3" borderId="1" xfId="2" applyFont="1" applyFill="1" applyBorder="1" applyAlignment="1">
      <alignment horizontal="center" vertical="center" wrapText="1"/>
    </xf>
    <xf numFmtId="0" fontId="15" fillId="3" borderId="1" xfId="1" applyNumberFormat="1" applyFont="1" applyFill="1" applyBorder="1" applyAlignment="1">
      <alignment horizontal="center" vertical="center"/>
    </xf>
    <xf numFmtId="3" fontId="2" fillId="3" borderId="1" xfId="3" applyNumberFormat="1" applyFont="1" applyFill="1" applyBorder="1" applyAlignment="1">
      <alignment horizontal="center" vertical="center"/>
    </xf>
    <xf numFmtId="10" fontId="2" fillId="3" borderId="1" xfId="4" applyNumberFormat="1" applyFont="1" applyFill="1" applyBorder="1" applyAlignment="1">
      <alignment horizontal="center" vertical="center"/>
    </xf>
    <xf numFmtId="0" fontId="2" fillId="3" borderId="1" xfId="3" applyNumberFormat="1" applyFont="1" applyFill="1" applyBorder="1" applyAlignment="1">
      <alignment horizontal="center" vertical="center"/>
    </xf>
    <xf numFmtId="0" fontId="2" fillId="3" borderId="1" xfId="1" applyNumberFormat="1" applyFont="1" applyFill="1" applyBorder="1" applyAlignment="1">
      <alignment horizontal="center" vertical="center" wrapText="1"/>
    </xf>
    <xf numFmtId="167" fontId="8" fillId="3" borderId="0" xfId="1" applyNumberFormat="1" applyFont="1" applyFill="1" applyBorder="1" applyAlignment="1">
      <alignment vertical="center"/>
    </xf>
    <xf numFmtId="3" fontId="14" fillId="3" borderId="1" xfId="2" applyNumberFormat="1" applyFont="1" applyFill="1" applyBorder="1" applyAlignment="1">
      <alignment horizontal="center"/>
    </xf>
    <xf numFmtId="0" fontId="17" fillId="3" borderId="0" xfId="1" applyNumberFormat="1" applyFont="1" applyFill="1" applyBorder="1" applyAlignment="1">
      <alignment vertical="center"/>
    </xf>
    <xf numFmtId="0" fontId="18" fillId="0" borderId="0" xfId="1" applyFont="1" applyFill="1" applyAlignment="1">
      <alignment vertical="center"/>
    </xf>
    <xf numFmtId="0" fontId="16" fillId="2" borderId="1" xfId="1" applyNumberFormat="1" applyFont="1" applyFill="1" applyBorder="1" applyAlignment="1">
      <alignment horizontal="center" vertical="center"/>
    </xf>
    <xf numFmtId="3" fontId="16" fillId="2" borderId="1" xfId="3" applyNumberFormat="1" applyFont="1" applyFill="1" applyBorder="1" applyAlignment="1">
      <alignment horizontal="center" vertical="center"/>
    </xf>
    <xf numFmtId="3" fontId="16" fillId="2" borderId="1" xfId="1" applyNumberFormat="1" applyFont="1" applyFill="1" applyBorder="1" applyAlignment="1">
      <alignment horizontal="center" vertical="center"/>
    </xf>
    <xf numFmtId="9" fontId="16" fillId="2" borderId="1" xfId="4" applyNumberFormat="1" applyFont="1" applyFill="1" applyBorder="1" applyAlignment="1">
      <alignment horizontal="center" vertical="center"/>
    </xf>
    <xf numFmtId="41" fontId="16" fillId="2" borderId="1" xfId="8" applyFont="1" applyFill="1" applyBorder="1" applyAlignment="1">
      <alignment horizontal="center" vertical="center"/>
    </xf>
    <xf numFmtId="1" fontId="16" fillId="2" borderId="1" xfId="3" applyNumberFormat="1" applyFont="1" applyFill="1" applyBorder="1" applyAlignment="1">
      <alignment horizontal="center" vertical="center"/>
    </xf>
    <xf numFmtId="41" fontId="2" fillId="3" borderId="1" xfId="5" applyFont="1" applyFill="1" applyBorder="1" applyAlignment="1">
      <alignment horizontal="center" vertical="center"/>
    </xf>
    <xf numFmtId="0" fontId="14" fillId="3" borderId="4" xfId="2" applyFont="1" applyFill="1" applyBorder="1" applyAlignment="1">
      <alignment horizontal="center" vertical="center" wrapText="1"/>
    </xf>
    <xf numFmtId="166" fontId="24" fillId="0" borderId="1" xfId="7" applyNumberFormat="1" applyFont="1" applyFill="1" applyBorder="1" applyAlignment="1">
      <alignment horizontal="center" vertical="center" wrapText="1"/>
    </xf>
    <xf numFmtId="0" fontId="2" fillId="0" borderId="3" xfId="1" applyNumberFormat="1" applyFont="1" applyFill="1" applyBorder="1" applyAlignment="1">
      <alignment horizontal="left" vertical="center" wrapText="1"/>
    </xf>
    <xf numFmtId="0" fontId="21" fillId="4" borderId="1" xfId="1" applyNumberFormat="1" applyFont="1" applyFill="1" applyBorder="1" applyAlignment="1">
      <alignment horizontal="center" vertical="center"/>
    </xf>
    <xf numFmtId="0" fontId="14" fillId="0" borderId="1" xfId="2" applyFont="1" applyFill="1" applyBorder="1" applyAlignment="1">
      <alignment horizontal="center" vertical="center" wrapText="1"/>
    </xf>
    <xf numFmtId="0" fontId="14" fillId="0" borderId="4" xfId="2" applyFont="1" applyFill="1" applyBorder="1" applyAlignment="1">
      <alignment horizontal="center" vertical="center" wrapText="1"/>
    </xf>
    <xf numFmtId="174" fontId="2" fillId="0" borderId="1" xfId="4" applyNumberFormat="1" applyFont="1" applyFill="1" applyBorder="1" applyAlignment="1">
      <alignment horizontal="center" vertical="center"/>
    </xf>
    <xf numFmtId="3" fontId="14" fillId="0" borderId="1" xfId="2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vertical="center"/>
    </xf>
    <xf numFmtId="41" fontId="16" fillId="4" borderId="1" xfId="8" applyFont="1" applyFill="1" applyBorder="1" applyAlignment="1">
      <alignment horizontal="center" vertical="center"/>
    </xf>
    <xf numFmtId="0" fontId="17" fillId="0" borderId="0" xfId="1" applyNumberFormat="1" applyFont="1" applyFill="1" applyBorder="1" applyAlignment="1">
      <alignment vertical="center"/>
    </xf>
    <xf numFmtId="0" fontId="15" fillId="0" borderId="2" xfId="1" applyNumberFormat="1" applyFont="1" applyFill="1" applyBorder="1" applyAlignment="1">
      <alignment horizontal="center" vertical="center"/>
    </xf>
    <xf numFmtId="166" fontId="19" fillId="0" borderId="1" xfId="7" applyNumberFormat="1" applyFont="1" applyFill="1" applyBorder="1" applyAlignment="1">
      <alignment horizontal="right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0" fontId="11" fillId="0" borderId="1" xfId="1" applyNumberFormat="1" applyFont="1" applyFill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12" fillId="0" borderId="2" xfId="1" applyNumberFormat="1" applyFont="1" applyFill="1" applyBorder="1" applyAlignment="1">
      <alignment horizontal="center" vertical="center" wrapText="1"/>
    </xf>
    <xf numFmtId="0" fontId="12" fillId="0" borderId="8" xfId="1" applyNumberFormat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center" vertical="center" wrapText="1"/>
    </xf>
    <xf numFmtId="0" fontId="13" fillId="0" borderId="2" xfId="1" applyNumberFormat="1" applyFont="1" applyFill="1" applyBorder="1" applyAlignment="1">
      <alignment horizontal="center" vertical="center" wrapText="1"/>
    </xf>
    <xf numFmtId="0" fontId="13" fillId="0" borderId="8" xfId="1" applyNumberFormat="1" applyFont="1" applyFill="1" applyBorder="1" applyAlignment="1">
      <alignment horizontal="center" vertical="center" wrapText="1"/>
    </xf>
    <xf numFmtId="0" fontId="13" fillId="0" borderId="3" xfId="1" applyNumberFormat="1" applyFont="1" applyFill="1" applyBorder="1" applyAlignment="1">
      <alignment horizontal="center" vertical="center" wrapText="1"/>
    </xf>
    <xf numFmtId="0" fontId="21" fillId="0" borderId="4" xfId="1" applyNumberFormat="1" applyFont="1" applyFill="1" applyBorder="1" applyAlignment="1">
      <alignment horizontal="center" vertical="center"/>
    </xf>
    <xf numFmtId="0" fontId="21" fillId="0" borderId="5" xfId="1" applyNumberFormat="1" applyFont="1" applyFill="1" applyBorder="1" applyAlignment="1">
      <alignment horizontal="center" vertical="center"/>
    </xf>
    <xf numFmtId="0" fontId="21" fillId="0" borderId="6" xfId="1" applyNumberFormat="1" applyFont="1" applyFill="1" applyBorder="1" applyAlignment="1">
      <alignment horizontal="center" vertical="center"/>
    </xf>
    <xf numFmtId="0" fontId="21" fillId="0" borderId="4" xfId="1" applyNumberFormat="1" applyFont="1" applyFill="1" applyBorder="1" applyAlignment="1">
      <alignment horizontal="center" vertical="center" wrapText="1"/>
    </xf>
    <xf numFmtId="0" fontId="21" fillId="0" borderId="5" xfId="1" applyNumberFormat="1" applyFont="1" applyFill="1" applyBorder="1" applyAlignment="1">
      <alignment horizontal="center" vertical="center" wrapText="1"/>
    </xf>
    <xf numFmtId="0" fontId="21" fillId="0" borderId="6" xfId="1" applyNumberFormat="1" applyFont="1" applyFill="1" applyBorder="1" applyAlignment="1">
      <alignment horizontal="center" vertical="center" wrapText="1"/>
    </xf>
    <xf numFmtId="0" fontId="16" fillId="4" borderId="2" xfId="1" applyNumberFormat="1" applyFont="1" applyFill="1" applyBorder="1" applyAlignment="1">
      <alignment horizontal="center" vertical="center" wrapText="1"/>
    </xf>
    <xf numFmtId="0" fontId="16" fillId="4" borderId="3" xfId="1" applyNumberFormat="1" applyFont="1" applyFill="1" applyBorder="1" applyAlignment="1">
      <alignment horizontal="center" vertical="center" wrapText="1"/>
    </xf>
    <xf numFmtId="0" fontId="23" fillId="0" borderId="4" xfId="1" applyNumberFormat="1" applyFont="1" applyFill="1" applyBorder="1" applyAlignment="1">
      <alignment horizontal="center" vertical="center"/>
    </xf>
    <xf numFmtId="0" fontId="23" fillId="0" borderId="5" xfId="1" applyNumberFormat="1" applyFont="1" applyFill="1" applyBorder="1" applyAlignment="1">
      <alignment horizontal="center" vertical="center"/>
    </xf>
    <xf numFmtId="0" fontId="23" fillId="0" borderId="6" xfId="1" applyNumberFormat="1" applyFont="1" applyFill="1" applyBorder="1" applyAlignment="1">
      <alignment horizontal="center" vertical="center"/>
    </xf>
    <xf numFmtId="0" fontId="23" fillId="0" borderId="4" xfId="1" applyNumberFormat="1" applyFont="1" applyFill="1" applyBorder="1" applyAlignment="1">
      <alignment horizontal="center" vertical="center" wrapText="1"/>
    </xf>
    <xf numFmtId="0" fontId="23" fillId="0" borderId="5" xfId="1" applyNumberFormat="1" applyFont="1" applyFill="1" applyBorder="1" applyAlignment="1">
      <alignment horizontal="center" vertical="center" wrapText="1"/>
    </xf>
    <xf numFmtId="0" fontId="23" fillId="0" borderId="6" xfId="1" applyNumberFormat="1" applyFont="1" applyFill="1" applyBorder="1" applyAlignment="1">
      <alignment horizontal="center" vertical="center" wrapText="1"/>
    </xf>
    <xf numFmtId="0" fontId="12" fillId="0" borderId="3" xfId="1" applyNumberFormat="1" applyFont="1" applyFill="1" applyBorder="1" applyAlignment="1">
      <alignment horizontal="center" vertical="center" wrapText="1"/>
    </xf>
    <xf numFmtId="0" fontId="10" fillId="0" borderId="0" xfId="1" applyNumberFormat="1" applyFont="1" applyFill="1" applyBorder="1" applyAlignment="1">
      <alignment horizontal="center" vertical="center" wrapText="1"/>
    </xf>
    <xf numFmtId="0" fontId="10" fillId="0" borderId="7" xfId="1" applyNumberFormat="1" applyFont="1" applyFill="1" applyBorder="1" applyAlignment="1">
      <alignment horizontal="center" vertical="center" wrapText="1"/>
    </xf>
    <xf numFmtId="0" fontId="11" fillId="0" borderId="4" xfId="1" applyNumberFormat="1" applyFont="1" applyFill="1" applyBorder="1" applyAlignment="1">
      <alignment horizontal="center" vertical="center"/>
    </xf>
    <xf numFmtId="0" fontId="11" fillId="0" borderId="5" xfId="1" applyNumberFormat="1" applyFont="1" applyFill="1" applyBorder="1" applyAlignment="1">
      <alignment horizontal="center" vertical="center"/>
    </xf>
    <xf numFmtId="0" fontId="11" fillId="0" borderId="6" xfId="1" applyNumberFormat="1" applyFont="1" applyFill="1" applyBorder="1" applyAlignment="1">
      <alignment horizontal="center" vertical="center"/>
    </xf>
    <xf numFmtId="0" fontId="11" fillId="0" borderId="4" xfId="1" applyNumberFormat="1" applyFont="1" applyFill="1" applyBorder="1" applyAlignment="1">
      <alignment horizontal="center" vertical="center" wrapText="1"/>
    </xf>
    <xf numFmtId="0" fontId="11" fillId="0" borderId="5" xfId="1" applyNumberFormat="1" applyFont="1" applyFill="1" applyBorder="1" applyAlignment="1">
      <alignment horizontal="center" vertical="center" wrapText="1"/>
    </xf>
    <xf numFmtId="0" fontId="11" fillId="0" borderId="6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0" fillId="0" borderId="1" xfId="1" applyNumberFormat="1" applyFont="1" applyFill="1" applyBorder="1" applyAlignment="1">
      <alignment horizontal="center" vertical="center" wrapText="1"/>
    </xf>
    <xf numFmtId="0" fontId="2" fillId="0" borderId="4" xfId="1" applyNumberFormat="1" applyFont="1" applyFill="1" applyBorder="1" applyAlignment="1">
      <alignment horizontal="center" vertical="center" wrapText="1"/>
    </xf>
    <xf numFmtId="0" fontId="2" fillId="0" borderId="5" xfId="1" applyNumberFormat="1" applyFont="1" applyFill="1" applyBorder="1" applyAlignment="1">
      <alignment horizontal="center" vertical="center" wrapText="1"/>
    </xf>
    <xf numFmtId="0" fontId="2" fillId="0" borderId="6" xfId="1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2" fillId="0" borderId="4" xfId="1" applyNumberFormat="1" applyFont="1" applyFill="1" applyBorder="1" applyAlignment="1">
      <alignment horizontal="center" vertical="center"/>
    </xf>
    <xf numFmtId="0" fontId="2" fillId="0" borderId="5" xfId="1" applyNumberFormat="1" applyFont="1" applyFill="1" applyBorder="1" applyAlignment="1">
      <alignment horizontal="center" vertical="center"/>
    </xf>
    <xf numFmtId="0" fontId="2" fillId="0" borderId="6" xfId="1" applyNumberFormat="1" applyFont="1" applyFill="1" applyBorder="1" applyAlignment="1">
      <alignment horizontal="center" vertical="center"/>
    </xf>
    <xf numFmtId="0" fontId="16" fillId="2" borderId="2" xfId="1" applyNumberFormat="1" applyFont="1" applyFill="1" applyBorder="1" applyAlignment="1">
      <alignment horizontal="center" vertical="center" wrapText="1"/>
    </xf>
    <xf numFmtId="0" fontId="16" fillId="2" borderId="3" xfId="1" applyNumberFormat="1" applyFont="1" applyFill="1" applyBorder="1" applyAlignment="1">
      <alignment horizontal="center" vertical="center" wrapText="1"/>
    </xf>
    <xf numFmtId="0" fontId="2" fillId="3" borderId="1" xfId="1" applyNumberFormat="1" applyFont="1" applyFill="1" applyBorder="1" applyAlignment="1">
      <alignment horizontal="center" vertical="center"/>
    </xf>
    <xf numFmtId="0" fontId="2" fillId="3" borderId="4" xfId="1" applyNumberFormat="1" applyFont="1" applyFill="1" applyBorder="1" applyAlignment="1">
      <alignment horizontal="center" vertical="center" wrapText="1"/>
    </xf>
    <xf numFmtId="0" fontId="2" fillId="3" borderId="5" xfId="1" applyNumberFormat="1" applyFont="1" applyFill="1" applyBorder="1" applyAlignment="1">
      <alignment horizontal="center" vertical="center" wrapText="1"/>
    </xf>
    <xf numFmtId="0" fontId="2" fillId="3" borderId="6" xfId="1" applyNumberFormat="1" applyFont="1" applyFill="1" applyBorder="1" applyAlignment="1">
      <alignment horizontal="center" vertical="center" wrapText="1"/>
    </xf>
    <xf numFmtId="0" fontId="2" fillId="3" borderId="4" xfId="1" applyNumberFormat="1" applyFont="1" applyFill="1" applyBorder="1" applyAlignment="1">
      <alignment horizontal="center" vertical="center"/>
    </xf>
    <xf numFmtId="0" fontId="2" fillId="3" borderId="5" xfId="1" applyNumberFormat="1" applyFont="1" applyFill="1" applyBorder="1" applyAlignment="1">
      <alignment horizontal="center" vertical="center"/>
    </xf>
    <xf numFmtId="0" fontId="2" fillId="3" borderId="6" xfId="1" applyNumberFormat="1" applyFont="1" applyFill="1" applyBorder="1" applyAlignment="1">
      <alignment horizontal="center" vertical="center"/>
    </xf>
    <xf numFmtId="0" fontId="11" fillId="3" borderId="1" xfId="1" applyNumberFormat="1" applyFont="1" applyFill="1" applyBorder="1" applyAlignment="1">
      <alignment horizontal="center" vertical="center"/>
    </xf>
    <xf numFmtId="0" fontId="11" fillId="3" borderId="1" xfId="1" applyNumberFormat="1" applyFont="1" applyFill="1" applyBorder="1" applyAlignment="1">
      <alignment horizontal="center" vertical="center" wrapText="1"/>
    </xf>
    <xf numFmtId="0" fontId="12" fillId="3" borderId="2" xfId="1" applyNumberFormat="1" applyFont="1" applyFill="1" applyBorder="1" applyAlignment="1">
      <alignment horizontal="center" vertical="center" wrapText="1"/>
    </xf>
    <xf numFmtId="0" fontId="12" fillId="3" borderId="8" xfId="1" applyNumberFormat="1" applyFont="1" applyFill="1" applyBorder="1" applyAlignment="1">
      <alignment horizontal="center" vertical="center" wrapText="1"/>
    </xf>
    <xf numFmtId="0" fontId="12" fillId="3" borderId="3" xfId="1" applyNumberFormat="1" applyFont="1" applyFill="1" applyBorder="1" applyAlignment="1">
      <alignment horizontal="center" vertical="center" wrapText="1"/>
    </xf>
    <xf numFmtId="0" fontId="13" fillId="3" borderId="2" xfId="1" applyNumberFormat="1" applyFont="1" applyFill="1" applyBorder="1" applyAlignment="1">
      <alignment horizontal="center" vertical="center" wrapText="1"/>
    </xf>
    <xf numFmtId="0" fontId="13" fillId="3" borderId="8" xfId="1" applyNumberFormat="1" applyFont="1" applyFill="1" applyBorder="1" applyAlignment="1">
      <alignment horizontal="center" vertical="center" wrapText="1"/>
    </xf>
    <xf numFmtId="0" fontId="13" fillId="3" borderId="3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/>
    </xf>
  </cellXfs>
  <cellStyles count="10">
    <cellStyle name="Millares [0]" xfId="5" builtinId="6"/>
    <cellStyle name="Millares [0] 2" xfId="3"/>
    <cellStyle name="Millares [0] 3" xfId="8"/>
    <cellStyle name="Millares 2" xfId="7"/>
    <cellStyle name="Normal" xfId="0" builtinId="0"/>
    <cellStyle name="Normal 2" xfId="1"/>
    <cellStyle name="Normal 3" xfId="2"/>
    <cellStyle name="Porcentaje" xfId="6" builtinId="5"/>
    <cellStyle name="Porcentaje 2" xfId="4"/>
    <cellStyle name="Porcentaje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"/>
  <sheetViews>
    <sheetView topLeftCell="A2" zoomScale="60" zoomScaleNormal="60" workbookViewId="0">
      <selection activeCell="G8" sqref="G8"/>
    </sheetView>
  </sheetViews>
  <sheetFormatPr baseColWidth="10" defaultColWidth="11.42578125" defaultRowHeight="15"/>
  <cols>
    <col min="1" max="1" width="8.5703125" style="71" customWidth="1"/>
    <col min="2" max="2" width="84" style="75" customWidth="1"/>
    <col min="3" max="3" width="29.85546875" style="72" customWidth="1"/>
    <col min="4" max="4" width="27.28515625" style="71" customWidth="1"/>
    <col min="5" max="5" width="19.7109375" style="71" customWidth="1"/>
    <col min="6" max="6" width="20.140625" style="73" customWidth="1"/>
    <col min="7" max="7" width="21" style="73" customWidth="1"/>
    <col min="8" max="8" width="18.42578125" style="73" customWidth="1"/>
    <col min="9" max="9" width="18.5703125" style="73" customWidth="1"/>
    <col min="10" max="10" width="20.5703125" style="73" customWidth="1"/>
    <col min="11" max="11" width="23.140625" style="73" customWidth="1"/>
    <col min="12" max="12" width="19.5703125" style="73" customWidth="1"/>
    <col min="13" max="13" width="18.140625" style="73" customWidth="1"/>
    <col min="14" max="14" width="22.140625" style="73" customWidth="1"/>
    <col min="15" max="15" width="21.42578125" style="73" customWidth="1"/>
    <col min="16" max="16" width="21" style="73" customWidth="1"/>
    <col min="17" max="17" width="19.28515625" style="73" customWidth="1"/>
    <col min="18" max="19" width="22.42578125" style="73" customWidth="1"/>
    <col min="20" max="20" width="21.42578125" style="73" customWidth="1"/>
    <col min="21" max="21" width="19.28515625" style="73" customWidth="1"/>
    <col min="22" max="22" width="20.7109375" style="73" customWidth="1"/>
    <col min="23" max="23" width="22.85546875" style="73" customWidth="1"/>
    <col min="24" max="24" width="21.42578125" style="73" customWidth="1"/>
    <col min="25" max="25" width="20.28515625" style="73" customWidth="1"/>
    <col min="26" max="16384" width="11.42578125" style="75"/>
  </cols>
  <sheetData>
    <row r="1" spans="1:31" s="48" customFormat="1" ht="31.5" customHeight="1">
      <c r="A1" s="47"/>
      <c r="C1" s="47"/>
      <c r="D1" s="47"/>
      <c r="E1" s="47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1:31" s="48" customFormat="1" ht="35.25" customHeight="1">
      <c r="A2" s="141" t="s">
        <v>135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</row>
    <row r="3" spans="1:31" s="48" customFormat="1" ht="47.25" customHeight="1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</row>
    <row r="4" spans="1:31" s="48" customFormat="1" ht="76.5" customHeight="1">
      <c r="A4" s="142" t="s">
        <v>1</v>
      </c>
      <c r="B4" s="142" t="s">
        <v>2</v>
      </c>
      <c r="C4" s="142" t="s">
        <v>3</v>
      </c>
      <c r="D4" s="143" t="s">
        <v>4</v>
      </c>
      <c r="E4" s="143" t="s">
        <v>5</v>
      </c>
      <c r="F4" s="144" t="s">
        <v>136</v>
      </c>
      <c r="G4" s="145"/>
      <c r="H4" s="145"/>
      <c r="I4" s="145"/>
      <c r="J4" s="144" t="s">
        <v>125</v>
      </c>
      <c r="K4" s="145"/>
      <c r="L4" s="145"/>
      <c r="M4" s="145"/>
      <c r="N4" s="144" t="s">
        <v>126</v>
      </c>
      <c r="O4" s="145"/>
      <c r="P4" s="145"/>
      <c r="Q4" s="145"/>
      <c r="R4" s="144" t="s">
        <v>127</v>
      </c>
      <c r="S4" s="145"/>
      <c r="T4" s="145"/>
      <c r="U4" s="145"/>
      <c r="V4" s="146" t="s">
        <v>128</v>
      </c>
      <c r="W4" s="146"/>
      <c r="X4" s="146"/>
      <c r="Y4" s="146"/>
      <c r="Z4" s="52" t="s">
        <v>11</v>
      </c>
      <c r="AA4" s="147" t="s">
        <v>12</v>
      </c>
      <c r="AB4" s="148"/>
      <c r="AC4" s="148"/>
      <c r="AD4" s="148"/>
      <c r="AE4" s="149"/>
    </row>
    <row r="5" spans="1:31" s="48" customFormat="1" ht="55.5" customHeight="1">
      <c r="A5" s="142"/>
      <c r="B5" s="142"/>
      <c r="C5" s="142"/>
      <c r="D5" s="143"/>
      <c r="E5" s="143"/>
      <c r="F5" s="52" t="s">
        <v>13</v>
      </c>
      <c r="G5" s="52" t="s">
        <v>14</v>
      </c>
      <c r="H5" s="52" t="s">
        <v>15</v>
      </c>
      <c r="I5" s="52" t="s">
        <v>16</v>
      </c>
      <c r="J5" s="52" t="s">
        <v>13</v>
      </c>
      <c r="K5" s="52" t="s">
        <v>14</v>
      </c>
      <c r="L5" s="52" t="s">
        <v>15</v>
      </c>
      <c r="M5" s="52" t="s">
        <v>16</v>
      </c>
      <c r="N5" s="52" t="s">
        <v>13</v>
      </c>
      <c r="O5" s="52" t="s">
        <v>14</v>
      </c>
      <c r="P5" s="52" t="s">
        <v>15</v>
      </c>
      <c r="Q5" s="52" t="s">
        <v>16</v>
      </c>
      <c r="R5" s="52" t="s">
        <v>13</v>
      </c>
      <c r="S5" s="52" t="s">
        <v>14</v>
      </c>
      <c r="T5" s="52" t="s">
        <v>15</v>
      </c>
      <c r="U5" s="52" t="s">
        <v>16</v>
      </c>
      <c r="V5" s="52" t="s">
        <v>13</v>
      </c>
      <c r="W5" s="52" t="s">
        <v>14</v>
      </c>
      <c r="X5" s="52" t="s">
        <v>15</v>
      </c>
      <c r="Y5" s="52" t="s">
        <v>16</v>
      </c>
      <c r="Z5" s="52">
        <v>2018</v>
      </c>
      <c r="AA5" s="52">
        <v>2019</v>
      </c>
      <c r="AB5" s="52">
        <v>2020</v>
      </c>
      <c r="AC5" s="52">
        <v>2021</v>
      </c>
      <c r="AD5" s="52">
        <v>2022</v>
      </c>
      <c r="AE5" s="52">
        <v>2023</v>
      </c>
    </row>
    <row r="6" spans="1:31" s="48" customFormat="1" ht="24.75" customHeight="1">
      <c r="A6" s="54">
        <v>1</v>
      </c>
      <c r="B6" s="99" t="s">
        <v>132</v>
      </c>
      <c r="C6" s="150" t="s">
        <v>133</v>
      </c>
      <c r="D6" s="153" t="s">
        <v>134</v>
      </c>
      <c r="E6" s="56" t="s">
        <v>22</v>
      </c>
      <c r="F6" s="92">
        <v>44154</v>
      </c>
      <c r="G6" s="92">
        <v>52083.712707377839</v>
      </c>
      <c r="H6" s="92">
        <v>31948</v>
      </c>
      <c r="I6" s="92">
        <v>50955.106344826236</v>
      </c>
      <c r="J6" s="92">
        <v>44595.54</v>
      </c>
      <c r="K6" s="92">
        <v>52599.377096661417</v>
      </c>
      <c r="L6" s="92">
        <v>32267.48</v>
      </c>
      <c r="M6" s="92">
        <v>51459.576167555417</v>
      </c>
      <c r="N6" s="92">
        <v>45041.4954</v>
      </c>
      <c r="O6" s="92">
        <v>53125.321061078714</v>
      </c>
      <c r="P6" s="92">
        <v>32590.1548</v>
      </c>
      <c r="Q6" s="92">
        <v>51972.688615950639</v>
      </c>
      <c r="R6" s="92">
        <v>45491.910354</v>
      </c>
      <c r="S6" s="92">
        <v>53656.533759975253</v>
      </c>
      <c r="T6" s="92">
        <v>32916.056347999998</v>
      </c>
      <c r="U6" s="92">
        <v>52490.877873571313</v>
      </c>
      <c r="V6" s="93">
        <v>45946.82945754</v>
      </c>
      <c r="W6" s="93">
        <v>498393.83758159517</v>
      </c>
      <c r="X6" s="93">
        <v>33245.216911479998</v>
      </c>
      <c r="Y6" s="93">
        <v>546814.0545697764</v>
      </c>
      <c r="Z6" s="59">
        <v>6</v>
      </c>
      <c r="AA6" s="60">
        <v>0</v>
      </c>
      <c r="AB6" s="60">
        <v>0</v>
      </c>
      <c r="AC6" s="60">
        <v>0</v>
      </c>
      <c r="AD6" s="60">
        <v>0</v>
      </c>
      <c r="AE6" s="60">
        <v>0</v>
      </c>
    </row>
    <row r="7" spans="1:31" s="48" customFormat="1" ht="24" customHeight="1">
      <c r="A7" s="54">
        <v>2</v>
      </c>
      <c r="B7" s="63" t="s">
        <v>57</v>
      </c>
      <c r="C7" s="151"/>
      <c r="D7" s="154"/>
      <c r="E7" s="56"/>
      <c r="F7" s="92">
        <v>371780</v>
      </c>
      <c r="G7" s="92">
        <v>438548.77724212827</v>
      </c>
      <c r="H7" s="92">
        <v>101394</v>
      </c>
      <c r="I7" s="92">
        <v>161717.22964590308</v>
      </c>
      <c r="J7" s="92">
        <v>375497.8</v>
      </c>
      <c r="K7" s="92">
        <v>442890.71017341077</v>
      </c>
      <c r="L7" s="92">
        <v>102407.94</v>
      </c>
      <c r="M7" s="92">
        <v>163318.2755081105</v>
      </c>
      <c r="N7" s="92">
        <v>371742.82199999999</v>
      </c>
      <c r="O7" s="92">
        <v>438461.3920012397</v>
      </c>
      <c r="P7" s="92">
        <v>101383.8606</v>
      </c>
      <c r="Q7" s="92">
        <v>161680.47835252219</v>
      </c>
      <c r="R7" s="92">
        <v>368025.39377999998</v>
      </c>
      <c r="S7" s="92">
        <v>434076.45034516446</v>
      </c>
      <c r="T7" s="92">
        <v>100370.021994</v>
      </c>
      <c r="U7" s="92">
        <v>160058.98492073879</v>
      </c>
      <c r="V7" s="93">
        <v>364345.13984219998</v>
      </c>
      <c r="W7" s="93">
        <v>3952119.7565539102</v>
      </c>
      <c r="X7" s="93">
        <v>99366.321774059994</v>
      </c>
      <c r="Y7" s="93">
        <v>1634367.4773316421</v>
      </c>
      <c r="Z7" s="59">
        <v>0</v>
      </c>
      <c r="AA7" s="60">
        <v>0</v>
      </c>
      <c r="AB7" s="60">
        <v>0</v>
      </c>
      <c r="AC7" s="60">
        <v>0</v>
      </c>
      <c r="AD7" s="60">
        <v>0</v>
      </c>
      <c r="AE7" s="60">
        <v>0</v>
      </c>
    </row>
    <row r="8" spans="1:31" s="48" customFormat="1" ht="24" customHeight="1">
      <c r="A8" s="54">
        <v>3</v>
      </c>
      <c r="B8" s="63" t="s">
        <v>61</v>
      </c>
      <c r="C8" s="151"/>
      <c r="D8" s="154"/>
      <c r="E8" s="56"/>
      <c r="F8" s="92">
        <v>262149</v>
      </c>
      <c r="G8" s="92">
        <v>309228.90797043056</v>
      </c>
      <c r="H8" s="92">
        <v>305370</v>
      </c>
      <c r="I8" s="92">
        <v>487046.47629020869</v>
      </c>
      <c r="J8" s="92">
        <v>264770.49</v>
      </c>
      <c r="K8" s="92">
        <v>312290.48572072049</v>
      </c>
      <c r="L8" s="92">
        <v>308423.7</v>
      </c>
      <c r="M8" s="92">
        <v>491868.37280225364</v>
      </c>
      <c r="N8" s="92">
        <v>267418.1949</v>
      </c>
      <c r="O8" s="92">
        <v>315413.09486888442</v>
      </c>
      <c r="P8" s="92">
        <v>311507.93700000003</v>
      </c>
      <c r="Q8" s="92">
        <v>496772.87851048104</v>
      </c>
      <c r="R8" s="92">
        <v>270092.37684899999</v>
      </c>
      <c r="S8" s="92">
        <v>318566.98529337661</v>
      </c>
      <c r="T8" s="92">
        <v>314623.01637000003</v>
      </c>
      <c r="U8" s="92">
        <v>501725.91011182155</v>
      </c>
      <c r="V8" s="93">
        <v>272793.30061749002</v>
      </c>
      <c r="W8" s="93">
        <v>2959039.8633912578</v>
      </c>
      <c r="X8" s="93">
        <v>317769.24653370003</v>
      </c>
      <c r="Y8" s="93">
        <v>5226637.2807052918</v>
      </c>
      <c r="Z8" s="59">
        <v>0</v>
      </c>
      <c r="AA8" s="60">
        <v>0</v>
      </c>
      <c r="AB8" s="60">
        <v>0</v>
      </c>
      <c r="AC8" s="60">
        <v>0</v>
      </c>
      <c r="AD8" s="60">
        <v>0</v>
      </c>
      <c r="AE8" s="60">
        <v>0</v>
      </c>
    </row>
    <row r="9" spans="1:31" s="48" customFormat="1" ht="24" customHeight="1">
      <c r="A9" s="54">
        <v>4</v>
      </c>
      <c r="B9" s="63" t="s">
        <v>56</v>
      </c>
      <c r="C9" s="152"/>
      <c r="D9" s="155"/>
      <c r="E9" s="56"/>
      <c r="F9" s="100">
        <v>117.5</v>
      </c>
      <c r="G9" s="92">
        <v>138.60208006334409</v>
      </c>
      <c r="H9" s="100">
        <v>176.3</v>
      </c>
      <c r="I9" s="92">
        <v>281.18771906200283</v>
      </c>
      <c r="J9" s="100">
        <v>129.25</v>
      </c>
      <c r="K9" s="100">
        <v>152.447296069147</v>
      </c>
      <c r="L9" s="100">
        <v>193.93000000000004</v>
      </c>
      <c r="M9" s="100">
        <v>309.27595232642972</v>
      </c>
      <c r="N9" s="92">
        <v>127.9575</v>
      </c>
      <c r="O9" s="100">
        <v>150.92268161400742</v>
      </c>
      <c r="P9" s="92">
        <v>191.99070000000003</v>
      </c>
      <c r="Q9" s="100">
        <v>306.17445450913897</v>
      </c>
      <c r="R9" s="92">
        <v>126.677925</v>
      </c>
      <c r="S9" s="101">
        <v>149.41334198792245</v>
      </c>
      <c r="T9" s="92">
        <v>190.07079300000004</v>
      </c>
      <c r="U9" s="101">
        <v>303.10383106699425</v>
      </c>
      <c r="V9" s="93">
        <v>125.41114575</v>
      </c>
      <c r="W9" s="102">
        <v>1360.3581127095629</v>
      </c>
      <c r="X9" s="93">
        <v>188.17008507000003</v>
      </c>
      <c r="Y9" s="102">
        <v>3095.0030327621612</v>
      </c>
      <c r="Z9" s="59">
        <v>0</v>
      </c>
      <c r="AA9" s="60">
        <v>0</v>
      </c>
      <c r="AB9" s="60">
        <v>0</v>
      </c>
      <c r="AC9" s="60">
        <v>0</v>
      </c>
      <c r="AD9" s="60">
        <v>0</v>
      </c>
      <c r="AE9" s="60">
        <v>0</v>
      </c>
    </row>
    <row r="10" spans="1:31" s="68" customFormat="1" ht="39.75" customHeight="1">
      <c r="A10" s="156" t="s">
        <v>134</v>
      </c>
      <c r="B10" s="157"/>
      <c r="C10" s="103" t="s">
        <v>27</v>
      </c>
      <c r="D10" s="64">
        <v>1</v>
      </c>
      <c r="E10" s="64">
        <f>COUNTA(E6:E8)</f>
        <v>1</v>
      </c>
      <c r="F10" s="95">
        <v>678200.5</v>
      </c>
      <c r="G10" s="95">
        <v>800000</v>
      </c>
      <c r="H10" s="95">
        <v>438888.3</v>
      </c>
      <c r="I10" s="96">
        <v>700000</v>
      </c>
      <c r="J10" s="95">
        <v>684993.08</v>
      </c>
      <c r="K10" s="95">
        <v>807933.02028686181</v>
      </c>
      <c r="L10" s="95">
        <v>443293.05</v>
      </c>
      <c r="M10" s="96">
        <v>706955.50043024588</v>
      </c>
      <c r="N10" s="95">
        <v>684330.46980000008</v>
      </c>
      <c r="O10" s="95">
        <v>807150.73061281699</v>
      </c>
      <c r="P10" s="95">
        <v>445673.94310000009</v>
      </c>
      <c r="Q10" s="96">
        <v>710732.21993346314</v>
      </c>
      <c r="R10" s="95">
        <v>683736.35890799994</v>
      </c>
      <c r="S10" s="95">
        <v>806449.38274050422</v>
      </c>
      <c r="T10" s="95">
        <v>448099.16550499998</v>
      </c>
      <c r="U10" s="96">
        <v>714578.87673719856</v>
      </c>
      <c r="V10" s="67">
        <v>683210.68106297997</v>
      </c>
      <c r="W10" s="104">
        <v>7410913.8156394726</v>
      </c>
      <c r="X10" s="67">
        <v>450568.95530431002</v>
      </c>
      <c r="Y10" s="104">
        <v>7410913.8156394726</v>
      </c>
      <c r="Z10" s="67">
        <f t="shared" ref="Z10:AE10" si="0">SUM(Z6:Z8)</f>
        <v>6</v>
      </c>
      <c r="AA10" s="67">
        <f t="shared" si="0"/>
        <v>0</v>
      </c>
      <c r="AB10" s="67">
        <f t="shared" si="0"/>
        <v>0</v>
      </c>
      <c r="AC10" s="67">
        <f t="shared" si="0"/>
        <v>0</v>
      </c>
      <c r="AD10" s="67">
        <f t="shared" si="0"/>
        <v>0</v>
      </c>
      <c r="AE10" s="67">
        <f t="shared" si="0"/>
        <v>0</v>
      </c>
    </row>
    <row r="11" spans="1:31" s="48" customFormat="1">
      <c r="A11" s="47"/>
      <c r="C11" s="105"/>
      <c r="E11" s="47"/>
      <c r="F11" s="49"/>
      <c r="G11" s="6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</row>
    <row r="12" spans="1:31">
      <c r="C12" s="48"/>
    </row>
    <row r="13" spans="1:31">
      <c r="C13" s="48"/>
    </row>
    <row r="14" spans="1:31">
      <c r="C14" s="48"/>
    </row>
    <row r="15" spans="1:31">
      <c r="C15" s="48"/>
    </row>
    <row r="16" spans="1:31">
      <c r="C16" s="48"/>
    </row>
    <row r="17" spans="1:25">
      <c r="A17" s="75"/>
      <c r="C17" s="48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</row>
    <row r="18" spans="1:25">
      <c r="A18" s="75"/>
      <c r="C18" s="48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</row>
    <row r="19" spans="1:25">
      <c r="A19" s="75"/>
      <c r="C19" s="48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</row>
    <row r="20" spans="1:25">
      <c r="A20" s="75"/>
      <c r="C20" s="48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</row>
    <row r="21" spans="1:25">
      <c r="A21" s="75"/>
      <c r="C21" s="48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</row>
    <row r="22" spans="1:25">
      <c r="A22" s="75"/>
      <c r="C22" s="48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</row>
    <row r="23" spans="1:25">
      <c r="A23" s="75"/>
      <c r="C23" s="48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</row>
    <row r="24" spans="1:25">
      <c r="A24" s="75"/>
      <c r="C24" s="48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</row>
    <row r="25" spans="1:25">
      <c r="A25" s="75"/>
      <c r="C25" s="48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</row>
    <row r="26" spans="1:25">
      <c r="A26" s="75"/>
      <c r="C26" s="48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</row>
    <row r="27" spans="1:25">
      <c r="A27" s="75"/>
      <c r="C27" s="48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</row>
  </sheetData>
  <mergeCells count="15">
    <mergeCell ref="AA4:AE4"/>
    <mergeCell ref="C6:C9"/>
    <mergeCell ref="D6:D9"/>
    <mergeCell ref="A10:B10"/>
    <mergeCell ref="A2:Y3"/>
    <mergeCell ref="A4:A5"/>
    <mergeCell ref="B4:B5"/>
    <mergeCell ref="C4:C5"/>
    <mergeCell ref="D4:D5"/>
    <mergeCell ref="E4:E5"/>
    <mergeCell ref="F4:I4"/>
    <mergeCell ref="J4:M4"/>
    <mergeCell ref="N4:Q4"/>
    <mergeCell ref="R4:U4"/>
    <mergeCell ref="V4:Y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7"/>
  <sheetViews>
    <sheetView zoomScale="70" zoomScaleNormal="70" workbookViewId="0">
      <selection activeCell="C6" sqref="C6:C13"/>
    </sheetView>
  </sheetViews>
  <sheetFormatPr baseColWidth="10" defaultColWidth="11.42578125" defaultRowHeight="15"/>
  <cols>
    <col min="1" max="1" width="8.5703125" style="71" customWidth="1"/>
    <col min="2" max="2" width="72.28515625" style="75" customWidth="1"/>
    <col min="3" max="3" width="34.42578125" style="72" customWidth="1"/>
    <col min="4" max="4" width="28.85546875" style="71" customWidth="1"/>
    <col min="5" max="5" width="17.5703125" style="71" customWidth="1"/>
    <col min="6" max="35" width="28.85546875" style="73" customWidth="1"/>
    <col min="36" max="36" width="19.28515625" style="73" customWidth="1"/>
    <col min="37" max="37" width="9.5703125" style="74" customWidth="1"/>
    <col min="38" max="38" width="10.28515625" style="74" customWidth="1"/>
    <col min="39" max="39" width="11.42578125" style="74"/>
    <col min="40" max="40" width="11" style="74" customWidth="1"/>
    <col min="41" max="41" width="10.28515625" style="74" customWidth="1"/>
    <col min="42" max="16384" width="11.42578125" style="75"/>
  </cols>
  <sheetData>
    <row r="1" spans="1:52" s="48" customFormat="1" ht="31.5" customHeight="1">
      <c r="A1" s="47"/>
      <c r="C1" s="47"/>
      <c r="D1" s="47"/>
      <c r="E1" s="47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</row>
    <row r="2" spans="1:52" s="48" customFormat="1" ht="35.25" customHeight="1">
      <c r="A2" s="165" t="s">
        <v>131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</row>
    <row r="3" spans="1:52" s="48" customFormat="1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</row>
    <row r="4" spans="1:52" s="48" customFormat="1" ht="54" customHeight="1">
      <c r="A4" s="142" t="s">
        <v>1</v>
      </c>
      <c r="B4" s="142" t="s">
        <v>2</v>
      </c>
      <c r="C4" s="142" t="s">
        <v>3</v>
      </c>
      <c r="D4" s="143" t="s">
        <v>4</v>
      </c>
      <c r="E4" s="143" t="s">
        <v>5</v>
      </c>
      <c r="F4" s="144" t="s">
        <v>124</v>
      </c>
      <c r="G4" s="145"/>
      <c r="H4" s="145"/>
      <c r="I4" s="145"/>
      <c r="J4" s="145"/>
      <c r="K4" s="164"/>
      <c r="L4" s="144" t="s">
        <v>125</v>
      </c>
      <c r="M4" s="145"/>
      <c r="N4" s="145"/>
      <c r="O4" s="145"/>
      <c r="P4" s="145"/>
      <c r="Q4" s="164"/>
      <c r="R4" s="144" t="s">
        <v>126</v>
      </c>
      <c r="S4" s="145"/>
      <c r="T4" s="145"/>
      <c r="U4" s="145"/>
      <c r="V4" s="145"/>
      <c r="W4" s="164"/>
      <c r="X4" s="144" t="s">
        <v>127</v>
      </c>
      <c r="Y4" s="145"/>
      <c r="Z4" s="145"/>
      <c r="AA4" s="145"/>
      <c r="AB4" s="145"/>
      <c r="AC4" s="164"/>
      <c r="AD4" s="144" t="s">
        <v>128</v>
      </c>
      <c r="AE4" s="145"/>
      <c r="AF4" s="145"/>
      <c r="AG4" s="145"/>
      <c r="AH4" s="145"/>
      <c r="AI4" s="164"/>
      <c r="AJ4" s="52" t="s">
        <v>11</v>
      </c>
      <c r="AK4" s="147" t="s">
        <v>12</v>
      </c>
      <c r="AL4" s="148"/>
      <c r="AM4" s="148"/>
      <c r="AN4" s="148"/>
      <c r="AO4" s="149"/>
    </row>
    <row r="5" spans="1:52" s="48" customFormat="1" ht="31.5">
      <c r="A5" s="142"/>
      <c r="B5" s="142"/>
      <c r="C5" s="142"/>
      <c r="D5" s="143"/>
      <c r="E5" s="143"/>
      <c r="F5" s="52" t="s">
        <v>13</v>
      </c>
      <c r="G5" s="52" t="s">
        <v>14</v>
      </c>
      <c r="H5" s="52" t="s">
        <v>15</v>
      </c>
      <c r="I5" s="52" t="s">
        <v>16</v>
      </c>
      <c r="J5" s="53" t="s">
        <v>17</v>
      </c>
      <c r="K5" s="53" t="s">
        <v>18</v>
      </c>
      <c r="L5" s="52" t="s">
        <v>13</v>
      </c>
      <c r="M5" s="52" t="s">
        <v>14</v>
      </c>
      <c r="N5" s="52" t="s">
        <v>15</v>
      </c>
      <c r="O5" s="52" t="s">
        <v>16</v>
      </c>
      <c r="P5" s="53" t="s">
        <v>17</v>
      </c>
      <c r="Q5" s="53" t="s">
        <v>18</v>
      </c>
      <c r="R5" s="52" t="s">
        <v>13</v>
      </c>
      <c r="S5" s="52" t="s">
        <v>14</v>
      </c>
      <c r="T5" s="52" t="s">
        <v>15</v>
      </c>
      <c r="U5" s="52" t="s">
        <v>16</v>
      </c>
      <c r="V5" s="53" t="s">
        <v>17</v>
      </c>
      <c r="W5" s="53" t="s">
        <v>18</v>
      </c>
      <c r="X5" s="52" t="s">
        <v>13</v>
      </c>
      <c r="Y5" s="52" t="s">
        <v>14</v>
      </c>
      <c r="Z5" s="52" t="s">
        <v>15</v>
      </c>
      <c r="AA5" s="52" t="s">
        <v>16</v>
      </c>
      <c r="AB5" s="53" t="s">
        <v>17</v>
      </c>
      <c r="AC5" s="53" t="s">
        <v>18</v>
      </c>
      <c r="AD5" s="52" t="s">
        <v>13</v>
      </c>
      <c r="AE5" s="52" t="s">
        <v>14</v>
      </c>
      <c r="AF5" s="52" t="s">
        <v>15</v>
      </c>
      <c r="AG5" s="52" t="s">
        <v>16</v>
      </c>
      <c r="AH5" s="53" t="s">
        <v>17</v>
      </c>
      <c r="AI5" s="53" t="s">
        <v>18</v>
      </c>
      <c r="AJ5" s="52">
        <v>2018</v>
      </c>
      <c r="AK5" s="52">
        <v>2019</v>
      </c>
      <c r="AL5" s="52">
        <v>2020</v>
      </c>
      <c r="AM5" s="52">
        <v>2021</v>
      </c>
      <c r="AN5" s="52">
        <v>2022</v>
      </c>
      <c r="AO5" s="52">
        <v>2023</v>
      </c>
    </row>
    <row r="6" spans="1:52" s="48" customFormat="1" ht="18">
      <c r="A6" s="54">
        <v>1</v>
      </c>
      <c r="B6" s="63" t="s">
        <v>64</v>
      </c>
      <c r="C6" s="187" t="s">
        <v>65</v>
      </c>
      <c r="D6" s="187" t="s">
        <v>66</v>
      </c>
      <c r="E6" s="56" t="s">
        <v>22</v>
      </c>
      <c r="F6" s="57">
        <v>22598.823744000005</v>
      </c>
      <c r="G6" s="57">
        <v>28004.8578511343</v>
      </c>
      <c r="H6" s="57">
        <v>28521.158400000004</v>
      </c>
      <c r="I6" s="57">
        <v>36896.968572175567</v>
      </c>
      <c r="J6" s="58">
        <v>5.2839354436102451E-2</v>
      </c>
      <c r="K6" s="58">
        <v>8.1993263493723489E-2</v>
      </c>
      <c r="L6" s="57">
        <v>22824.811981440005</v>
      </c>
      <c r="M6" s="57">
        <v>28283.160045535384</v>
      </c>
      <c r="N6" s="57">
        <v>28806.369984000004</v>
      </c>
      <c r="O6" s="57">
        <v>37252.346217619161</v>
      </c>
      <c r="P6" s="58">
        <v>5.2948403057649765E-2</v>
      </c>
      <c r="Q6" s="58">
        <v>8.1231635508861991E-2</v>
      </c>
      <c r="R6" s="57">
        <v>23053.060101254407</v>
      </c>
      <c r="S6" s="57">
        <v>28565.983645893695</v>
      </c>
      <c r="T6" s="57">
        <v>29094.433683840005</v>
      </c>
      <c r="U6" s="57">
        <v>37609.981946884924</v>
      </c>
      <c r="V6" s="58">
        <v>5.3449586385794064E-2</v>
      </c>
      <c r="W6" s="58">
        <v>8.0411939842752606E-2</v>
      </c>
      <c r="X6" s="57">
        <v>23283.590702266953</v>
      </c>
      <c r="Y6" s="57">
        <v>28849.841587453673</v>
      </c>
      <c r="Z6" s="57">
        <v>29385.378020678407</v>
      </c>
      <c r="AA6" s="57">
        <v>37983.220335264181</v>
      </c>
      <c r="AB6" s="58">
        <v>5.355745835898737E-2</v>
      </c>
      <c r="AC6" s="58">
        <v>8.0511169306448013E-2</v>
      </c>
      <c r="AD6" s="57">
        <v>23516.426609289621</v>
      </c>
      <c r="AE6" s="57">
        <v>29136.498270552289</v>
      </c>
      <c r="AF6" s="57">
        <v>29679.231800885191</v>
      </c>
      <c r="AG6" s="57">
        <v>38344.855887291174</v>
      </c>
      <c r="AH6" s="58">
        <v>5.3662979688905953E-2</v>
      </c>
      <c r="AI6" s="58">
        <v>7.9545288726242044E-2</v>
      </c>
      <c r="AJ6" s="59">
        <v>1</v>
      </c>
      <c r="AK6" s="60">
        <v>0</v>
      </c>
      <c r="AL6" s="60">
        <v>0</v>
      </c>
      <c r="AM6" s="60">
        <v>0</v>
      </c>
      <c r="AN6" s="60">
        <v>0</v>
      </c>
      <c r="AO6" s="60">
        <v>0</v>
      </c>
      <c r="AQ6" s="76"/>
      <c r="AR6" s="76"/>
      <c r="AS6" s="76"/>
      <c r="AT6" s="76"/>
      <c r="AU6" s="76"/>
      <c r="AV6" s="76"/>
      <c r="AW6" s="76"/>
      <c r="AX6" s="76"/>
      <c r="AY6" s="76"/>
      <c r="AZ6" s="76"/>
    </row>
    <row r="7" spans="1:52" s="48" customFormat="1" ht="18">
      <c r="A7" s="54">
        <v>2</v>
      </c>
      <c r="B7" s="63" t="s">
        <v>61</v>
      </c>
      <c r="C7" s="188"/>
      <c r="D7" s="188"/>
      <c r="E7" s="56"/>
      <c r="F7" s="57">
        <v>190048.90736712396</v>
      </c>
      <c r="G7" s="57">
        <v>235511.93176559763</v>
      </c>
      <c r="H7" s="57">
        <v>221382.46494229406</v>
      </c>
      <c r="I7" s="57">
        <v>286395.86572355288</v>
      </c>
      <c r="J7" s="58">
        <v>0.44436213540678798</v>
      </c>
      <c r="K7" s="58">
        <v>0.63643525716345084</v>
      </c>
      <c r="L7" s="57">
        <v>191949.39644079522</v>
      </c>
      <c r="M7" s="57">
        <v>237852.36454931018</v>
      </c>
      <c r="N7" s="57">
        <v>223596.28959171701</v>
      </c>
      <c r="O7" s="57">
        <v>289154.32237634057</v>
      </c>
      <c r="P7" s="58">
        <v>0.44527919956949513</v>
      </c>
      <c r="Q7" s="58">
        <v>0.63052346780717883</v>
      </c>
      <c r="R7" s="57">
        <v>191949.39644079522</v>
      </c>
      <c r="S7" s="57">
        <v>237852.29793716446</v>
      </c>
      <c r="T7" s="57">
        <v>225832.25248763419</v>
      </c>
      <c r="U7" s="57">
        <v>291930.30637341028</v>
      </c>
      <c r="V7" s="58">
        <v>0.44504355611362195</v>
      </c>
      <c r="W7" s="58">
        <v>0.62416095459783416</v>
      </c>
      <c r="X7" s="57">
        <v>193868.89040520316</v>
      </c>
      <c r="Y7" s="57">
        <v>240215.81758783324</v>
      </c>
      <c r="Z7" s="57">
        <v>223596.28959171701</v>
      </c>
      <c r="AA7" s="57">
        <v>289018.1343841583</v>
      </c>
      <c r="AB7" s="58">
        <v>0.44594174316802543</v>
      </c>
      <c r="AC7" s="58">
        <v>0.61261756493125086</v>
      </c>
      <c r="AD7" s="57">
        <v>195807.5793092552</v>
      </c>
      <c r="AE7" s="57">
        <v>242602.64072822433</v>
      </c>
      <c r="AF7" s="57">
        <v>225832.25248763419</v>
      </c>
      <c r="AG7" s="57">
        <v>291769.85558239464</v>
      </c>
      <c r="AH7" s="58">
        <v>0.44682035778580459</v>
      </c>
      <c r="AI7" s="58">
        <v>0.60526808268975063</v>
      </c>
      <c r="AJ7" s="59">
        <v>0</v>
      </c>
      <c r="AK7" s="60">
        <v>0</v>
      </c>
      <c r="AL7" s="60">
        <v>0</v>
      </c>
      <c r="AM7" s="60">
        <v>0</v>
      </c>
      <c r="AN7" s="60">
        <v>0</v>
      </c>
      <c r="AO7" s="60">
        <v>0</v>
      </c>
    </row>
    <row r="8" spans="1:52" s="48" customFormat="1" ht="18">
      <c r="A8" s="54">
        <v>3</v>
      </c>
      <c r="B8" s="63" t="s">
        <v>67</v>
      </c>
      <c r="C8" s="188"/>
      <c r="D8" s="188"/>
      <c r="E8" s="56"/>
      <c r="F8" s="57">
        <v>21.854448000000005</v>
      </c>
      <c r="G8" s="57">
        <v>27.08241440298417</v>
      </c>
      <c r="H8" s="57">
        <v>47.351303999999999</v>
      </c>
      <c r="I8" s="57">
        <v>61.256964076870418</v>
      </c>
      <c r="J8" s="58">
        <v>5.1098895099970135E-5</v>
      </c>
      <c r="K8" s="58">
        <v>1.3612658683748982E-4</v>
      </c>
      <c r="L8" s="57">
        <v>24.039892800000008</v>
      </c>
      <c r="M8" s="57">
        <v>29.788816490264814</v>
      </c>
      <c r="N8" s="57">
        <v>52.086434400000002</v>
      </c>
      <c r="O8" s="57">
        <v>67.358083944205319</v>
      </c>
      <c r="P8" s="58">
        <v>5.5767115824311293E-5</v>
      </c>
      <c r="Q8" s="58">
        <v>1.4687953589734225E-4</v>
      </c>
      <c r="R8" s="57">
        <v>24.039892800000008</v>
      </c>
      <c r="S8" s="57">
        <v>29.788808147707496</v>
      </c>
      <c r="T8" s="57">
        <v>57.295077840000005</v>
      </c>
      <c r="U8" s="57">
        <v>74.064574228322229</v>
      </c>
      <c r="V8" s="58">
        <v>5.5737603653274277E-5</v>
      </c>
      <c r="W8" s="58">
        <v>1.5835360133216483E-4</v>
      </c>
      <c r="X8" s="57">
        <v>26.443882080000012</v>
      </c>
      <c r="Y8" s="57">
        <v>32.765642495640812</v>
      </c>
      <c r="Z8" s="57">
        <v>63.024585624000011</v>
      </c>
      <c r="AA8" s="57">
        <v>81.46489456799064</v>
      </c>
      <c r="AB8" s="58">
        <v>6.0826834291142278E-5</v>
      </c>
      <c r="AC8" s="58">
        <v>1.7267714167474403E-4</v>
      </c>
      <c r="AD8" s="57">
        <v>29.088270288000015</v>
      </c>
      <c r="AE8" s="57">
        <v>36.039928643107395</v>
      </c>
      <c r="AF8" s="57">
        <v>69.327044186400016</v>
      </c>
      <c r="AG8" s="57">
        <v>89.568878879812871</v>
      </c>
      <c r="AH8" s="58">
        <v>6.6377570180400146E-5</v>
      </c>
      <c r="AI8" s="58">
        <v>1.8580803517224639E-4</v>
      </c>
      <c r="AJ8" s="59">
        <v>1</v>
      </c>
      <c r="AK8" s="60">
        <v>0</v>
      </c>
      <c r="AL8" s="60">
        <v>0</v>
      </c>
      <c r="AM8" s="60">
        <v>0</v>
      </c>
      <c r="AN8" s="60">
        <v>0</v>
      </c>
      <c r="AO8" s="60">
        <v>0</v>
      </c>
    </row>
    <row r="9" spans="1:52" s="48" customFormat="1" ht="18">
      <c r="A9" s="54">
        <v>4</v>
      </c>
      <c r="B9" s="63" t="s">
        <v>68</v>
      </c>
      <c r="C9" s="188"/>
      <c r="D9" s="188"/>
      <c r="E9" s="56"/>
      <c r="F9" s="57">
        <v>45.530100000000004</v>
      </c>
      <c r="G9" s="57">
        <v>56.421696672883691</v>
      </c>
      <c r="H9" s="57">
        <v>478.71648000000005</v>
      </c>
      <c r="I9" s="57">
        <v>619.30117528264611</v>
      </c>
      <c r="J9" s="58">
        <v>1.0645603145827111E-4</v>
      </c>
      <c r="K9" s="58">
        <v>1.3762248339614358E-3</v>
      </c>
      <c r="L9" s="57">
        <v>50.083110000000012</v>
      </c>
      <c r="M9" s="57">
        <v>62.060034354718361</v>
      </c>
      <c r="N9" s="57">
        <v>526.5881280000001</v>
      </c>
      <c r="O9" s="57">
        <v>680.98282668866921</v>
      </c>
      <c r="P9" s="58">
        <v>1.1618149130064852E-4</v>
      </c>
      <c r="Q9" s="58">
        <v>1.48493596731379E-3</v>
      </c>
      <c r="R9" s="57">
        <v>50.083110000000012</v>
      </c>
      <c r="S9" s="57">
        <v>62.060016974390614</v>
      </c>
      <c r="T9" s="57">
        <v>579.24694080000017</v>
      </c>
      <c r="U9" s="57">
        <v>748.78470648413702</v>
      </c>
      <c r="V9" s="58">
        <v>1.1612000761098807E-4</v>
      </c>
      <c r="W9" s="58">
        <v>1.600937507973535E-3</v>
      </c>
      <c r="X9" s="57">
        <v>55.091421000000018</v>
      </c>
      <c r="Y9" s="57">
        <v>68.261755199251667</v>
      </c>
      <c r="Z9" s="57">
        <v>637.17163488000028</v>
      </c>
      <c r="AA9" s="57">
        <v>823.60113189616925</v>
      </c>
      <c r="AB9" s="58">
        <v>1.2672257143987972E-4</v>
      </c>
      <c r="AC9" s="58">
        <v>1.7457469268215883E-3</v>
      </c>
      <c r="AD9" s="57">
        <v>60.600563100000024</v>
      </c>
      <c r="AE9" s="57">
        <v>75.083184673140394</v>
      </c>
      <c r="AF9" s="57">
        <v>700.88879836800038</v>
      </c>
      <c r="AG9" s="57">
        <v>905.53152274096556</v>
      </c>
      <c r="AH9" s="58">
        <v>1.3828660454250029E-4</v>
      </c>
      <c r="AI9" s="58">
        <v>1.8784988171260081E-3</v>
      </c>
      <c r="AJ9" s="59">
        <v>1</v>
      </c>
      <c r="AK9" s="60">
        <v>0</v>
      </c>
      <c r="AL9" s="60">
        <v>0</v>
      </c>
      <c r="AM9" s="60">
        <v>0</v>
      </c>
      <c r="AN9" s="60">
        <v>0</v>
      </c>
      <c r="AO9" s="60">
        <v>0</v>
      </c>
      <c r="AQ9" s="76"/>
      <c r="AR9" s="76"/>
      <c r="AS9" s="76"/>
      <c r="AT9" s="76"/>
      <c r="AU9" s="76"/>
      <c r="AV9" s="76"/>
      <c r="AW9" s="76"/>
      <c r="AX9" s="76"/>
      <c r="AY9" s="76"/>
      <c r="AZ9" s="76"/>
    </row>
    <row r="10" spans="1:52" s="48" customFormat="1" ht="18">
      <c r="A10" s="54">
        <v>5</v>
      </c>
      <c r="B10" s="63" t="s">
        <v>69</v>
      </c>
      <c r="C10" s="188"/>
      <c r="D10" s="188"/>
      <c r="E10" s="56"/>
      <c r="F10" s="57">
        <v>37.929001572000011</v>
      </c>
      <c r="G10" s="57">
        <v>47.002282485668012</v>
      </c>
      <c r="H10" s="57">
        <v>214.21695240000003</v>
      </c>
      <c r="I10" s="57">
        <v>277.12605671479423</v>
      </c>
      <c r="J10" s="58">
        <v>8.8683551859750962E-5</v>
      </c>
      <c r="K10" s="58">
        <v>6.1583568158843165E-4</v>
      </c>
      <c r="L10" s="57">
        <v>41.721901729200013</v>
      </c>
      <c r="M10" s="57">
        <v>51.699318485979319</v>
      </c>
      <c r="N10" s="57">
        <v>235.63864764000004</v>
      </c>
      <c r="O10" s="57">
        <v>304.72747829776847</v>
      </c>
      <c r="P10" s="58">
        <v>9.6785378599642931E-5</v>
      </c>
      <c r="Q10" s="58">
        <v>6.6448194435902042E-4</v>
      </c>
      <c r="R10" s="57">
        <v>41.721901729200013</v>
      </c>
      <c r="S10" s="57">
        <v>51.699304007239355</v>
      </c>
      <c r="T10" s="57">
        <v>259.20251240400006</v>
      </c>
      <c r="U10" s="57">
        <v>335.06759121131643</v>
      </c>
      <c r="V10" s="58">
        <v>9.6734159407025664E-5</v>
      </c>
      <c r="W10" s="58">
        <v>7.1639053232707035E-4</v>
      </c>
      <c r="X10" s="57">
        <v>45.894091902120017</v>
      </c>
      <c r="Y10" s="57">
        <v>56.865682707920605</v>
      </c>
      <c r="Z10" s="57">
        <v>285.1227636444001</v>
      </c>
      <c r="AA10" s="57">
        <v>368.54658621317526</v>
      </c>
      <c r="AB10" s="58">
        <v>1.0556666054656327E-4</v>
      </c>
      <c r="AC10" s="58">
        <v>7.8119012390253707E-4</v>
      </c>
      <c r="AD10" s="57">
        <v>50.48350109233202</v>
      </c>
      <c r="AE10" s="57">
        <v>62.548297269241857</v>
      </c>
      <c r="AF10" s="57">
        <v>313.63504000884012</v>
      </c>
      <c r="AG10" s="57">
        <v>405.20895187001065</v>
      </c>
      <c r="AH10" s="58">
        <v>1.1520011686947835E-4</v>
      </c>
      <c r="AI10" s="58">
        <v>8.4059418988821589E-4</v>
      </c>
      <c r="AJ10" s="59">
        <v>1</v>
      </c>
      <c r="AK10" s="60">
        <v>0</v>
      </c>
      <c r="AL10" s="60">
        <v>0</v>
      </c>
      <c r="AM10" s="60">
        <v>0</v>
      </c>
      <c r="AN10" s="60">
        <v>0</v>
      </c>
      <c r="AO10" s="60">
        <v>0</v>
      </c>
    </row>
    <row r="11" spans="1:52" s="48" customFormat="1" ht="18">
      <c r="A11" s="54">
        <v>6</v>
      </c>
      <c r="B11" s="63" t="s">
        <v>70</v>
      </c>
      <c r="C11" s="188"/>
      <c r="D11" s="188"/>
      <c r="E11" s="56"/>
      <c r="F11" s="57">
        <v>86.73484049999999</v>
      </c>
      <c r="G11" s="57">
        <v>107.48333216184341</v>
      </c>
      <c r="H11" s="57">
        <v>550.45890899999995</v>
      </c>
      <c r="I11" s="57">
        <v>712.11220739361863</v>
      </c>
      <c r="J11" s="58">
        <v>2.0279873992800642E-4</v>
      </c>
      <c r="K11" s="58">
        <v>1.5824715719858192E-3</v>
      </c>
      <c r="L11" s="57">
        <v>95.408324550000003</v>
      </c>
      <c r="M11" s="57">
        <v>118.22436544573846</v>
      </c>
      <c r="N11" s="57">
        <v>605.50479989999997</v>
      </c>
      <c r="O11" s="57">
        <v>783.03772585138677</v>
      </c>
      <c r="P11" s="58">
        <v>2.213257409277354E-4</v>
      </c>
      <c r="Q11" s="58">
        <v>1.7074746048066035E-3</v>
      </c>
      <c r="R11" s="57">
        <v>95.408324550000003</v>
      </c>
      <c r="S11" s="57">
        <v>118.22433233621409</v>
      </c>
      <c r="T11" s="57">
        <v>666.05527989000007</v>
      </c>
      <c r="U11" s="57">
        <v>861.00067540424595</v>
      </c>
      <c r="V11" s="58">
        <v>2.2120861449893223E-4</v>
      </c>
      <c r="W11" s="58">
        <v>1.8408606154864163E-3</v>
      </c>
      <c r="X11" s="57">
        <v>104.94915700500002</v>
      </c>
      <c r="Y11" s="57">
        <v>130.03864365457443</v>
      </c>
      <c r="Z11" s="57">
        <v>732.66080787900012</v>
      </c>
      <c r="AA11" s="57">
        <v>947.02939935289123</v>
      </c>
      <c r="AB11" s="58">
        <v>2.4140649859297084E-4</v>
      </c>
      <c r="AC11" s="58">
        <v>2.0073717719688994E-3</v>
      </c>
      <c r="AD11" s="57">
        <v>115.44407270550003</v>
      </c>
      <c r="AE11" s="57">
        <v>143.03346680233244</v>
      </c>
      <c r="AF11" s="57">
        <v>805.92688866690014</v>
      </c>
      <c r="AG11" s="57">
        <v>1041.2382169778245</v>
      </c>
      <c r="AH11" s="58">
        <v>2.6343598165346301E-4</v>
      </c>
      <c r="AI11" s="58">
        <v>2.1600184088773644E-3</v>
      </c>
      <c r="AJ11" s="59">
        <v>1</v>
      </c>
      <c r="AK11" s="60">
        <v>0</v>
      </c>
      <c r="AL11" s="60">
        <v>0</v>
      </c>
      <c r="AM11" s="60">
        <v>0</v>
      </c>
      <c r="AN11" s="60">
        <v>0</v>
      </c>
      <c r="AO11" s="60">
        <v>0</v>
      </c>
    </row>
    <row r="12" spans="1:52" s="48" customFormat="1" ht="18">
      <c r="A12" s="54">
        <v>7</v>
      </c>
      <c r="B12" s="63" t="s">
        <v>56</v>
      </c>
      <c r="C12" s="188"/>
      <c r="D12" s="188"/>
      <c r="E12" s="56"/>
      <c r="F12" s="57">
        <v>78505.951609928001</v>
      </c>
      <c r="G12" s="57">
        <v>2182.5544346410329</v>
      </c>
      <c r="H12" s="57">
        <v>119243.04103740001</v>
      </c>
      <c r="I12" s="57">
        <v>49855.769717994452</v>
      </c>
      <c r="J12" s="58">
        <v>4.1180272351717603E-3</v>
      </c>
      <c r="K12" s="58">
        <v>0.110790599373321</v>
      </c>
      <c r="L12" s="57">
        <v>1937.3595669208003</v>
      </c>
      <c r="M12" s="57">
        <v>2400.6616458232552</v>
      </c>
      <c r="N12" s="57">
        <v>42392.066241140004</v>
      </c>
      <c r="O12" s="57">
        <v>54821.344354472087</v>
      </c>
      <c r="P12" s="58">
        <v>4.494236154073441E-3</v>
      </c>
      <c r="Q12" s="58">
        <v>0.11954220109234495</v>
      </c>
      <c r="R12" s="57">
        <v>1937.3595669208003</v>
      </c>
      <c r="S12" s="57">
        <v>2400.6609735019028</v>
      </c>
      <c r="T12" s="57">
        <v>46631.27286525401</v>
      </c>
      <c r="U12" s="57">
        <v>60279.617389376661</v>
      </c>
      <c r="V12" s="58">
        <v>4.4918577871075468E-3</v>
      </c>
      <c r="W12" s="58">
        <v>0.12888070443916214</v>
      </c>
      <c r="X12" s="57">
        <v>2131.0955236128802</v>
      </c>
      <c r="Y12" s="57">
        <v>2640.5621474001091</v>
      </c>
      <c r="Z12" s="57">
        <v>51294.400151779417</v>
      </c>
      <c r="AA12" s="57">
        <v>66302.58428389841</v>
      </c>
      <c r="AB12" s="58">
        <v>4.9019956253486549E-3</v>
      </c>
      <c r="AC12" s="58">
        <v>0.1405383361815695</v>
      </c>
      <c r="AD12" s="57">
        <v>2344.2050759741683</v>
      </c>
      <c r="AE12" s="57">
        <v>2904.4347713508546</v>
      </c>
      <c r="AF12" s="57">
        <v>56423.840166957365</v>
      </c>
      <c r="AG12" s="57">
        <v>72898.248658343058</v>
      </c>
      <c r="AH12" s="58">
        <v>5.3493258762765776E-3</v>
      </c>
      <c r="AI12" s="58">
        <v>0.15122529744823426</v>
      </c>
      <c r="AJ12" s="59">
        <v>0</v>
      </c>
      <c r="AK12" s="60">
        <v>0</v>
      </c>
      <c r="AL12" s="60">
        <v>0</v>
      </c>
      <c r="AM12" s="60">
        <v>0</v>
      </c>
      <c r="AN12" s="60">
        <v>0</v>
      </c>
      <c r="AO12" s="60">
        <v>0</v>
      </c>
    </row>
    <row r="13" spans="1:52" s="48" customFormat="1" ht="18">
      <c r="A13" s="54">
        <v>8</v>
      </c>
      <c r="B13" s="63" t="s">
        <v>57</v>
      </c>
      <c r="C13" s="189"/>
      <c r="D13" s="189"/>
      <c r="E13" s="56"/>
      <c r="F13" s="57">
        <v>213088.23215827887</v>
      </c>
      <c r="G13" s="57">
        <v>264062.6662229037</v>
      </c>
      <c r="H13" s="57">
        <v>58114.972406803325</v>
      </c>
      <c r="I13" s="57">
        <v>75181.599582809111</v>
      </c>
      <c r="J13" s="58">
        <v>0.4982314457035919</v>
      </c>
      <c r="K13" s="58">
        <v>0.16707022129513135</v>
      </c>
      <c r="L13" s="57">
        <v>214153.67331907025</v>
      </c>
      <c r="M13" s="57">
        <v>265366.59411467519</v>
      </c>
      <c r="N13" s="57">
        <v>58405.547268837334</v>
      </c>
      <c r="O13" s="57">
        <v>75529.949420795761</v>
      </c>
      <c r="P13" s="58">
        <v>0.49678810149212937</v>
      </c>
      <c r="Q13" s="58">
        <v>0.16469892353923754</v>
      </c>
      <c r="R13" s="57">
        <v>214153.67331907025</v>
      </c>
      <c r="S13" s="57">
        <v>265366.51979698543</v>
      </c>
      <c r="T13" s="57">
        <v>58697.575005181512</v>
      </c>
      <c r="U13" s="57">
        <v>75877.563394436569</v>
      </c>
      <c r="V13" s="58">
        <v>0.49652519932830619</v>
      </c>
      <c r="W13" s="58">
        <v>0.1622298588631319</v>
      </c>
      <c r="X13" s="57">
        <v>215224.44168566557</v>
      </c>
      <c r="Y13" s="57">
        <v>266676.6963815022</v>
      </c>
      <c r="Z13" s="57">
        <v>58991.062880207413</v>
      </c>
      <c r="AA13" s="57">
        <v>76251.206896626914</v>
      </c>
      <c r="AB13" s="58">
        <v>0.49506428028276805</v>
      </c>
      <c r="AC13" s="58">
        <v>0.16162594361636365</v>
      </c>
      <c r="AD13" s="57">
        <v>216300.56389409388</v>
      </c>
      <c r="AE13" s="57">
        <v>267993.13988164329</v>
      </c>
      <c r="AF13" s="57">
        <v>59286.018194608441</v>
      </c>
      <c r="AG13" s="57">
        <v>76596.114045505092</v>
      </c>
      <c r="AH13" s="58">
        <v>0.49358403637576703</v>
      </c>
      <c r="AI13" s="58">
        <v>0.15889641168470925</v>
      </c>
      <c r="AJ13" s="59">
        <v>0</v>
      </c>
      <c r="AK13" s="60">
        <v>0</v>
      </c>
      <c r="AL13" s="60">
        <v>0</v>
      </c>
      <c r="AM13" s="60">
        <v>0</v>
      </c>
      <c r="AN13" s="60">
        <v>0</v>
      </c>
      <c r="AO13" s="60">
        <v>0</v>
      </c>
    </row>
    <row r="14" spans="1:52" s="68" customFormat="1" ht="20.25">
      <c r="A14" s="156" t="s">
        <v>66</v>
      </c>
      <c r="B14" s="157"/>
      <c r="C14" s="64" t="s">
        <v>27</v>
      </c>
      <c r="D14" s="64">
        <v>5</v>
      </c>
      <c r="E14" s="64">
        <v>1</v>
      </c>
      <c r="F14" s="65">
        <v>504433.9632694028</v>
      </c>
      <c r="G14" s="65">
        <v>530000</v>
      </c>
      <c r="H14" s="65">
        <v>428552.38043189741</v>
      </c>
      <c r="I14" s="65">
        <v>450000</v>
      </c>
      <c r="J14" s="66">
        <v>1</v>
      </c>
      <c r="K14" s="66">
        <v>0.99999999999999978</v>
      </c>
      <c r="L14" s="65">
        <v>431076.49453730544</v>
      </c>
      <c r="M14" s="65">
        <v>534164.55289012066</v>
      </c>
      <c r="N14" s="65">
        <v>354620.09109563433</v>
      </c>
      <c r="O14" s="65">
        <v>458594.06848400959</v>
      </c>
      <c r="P14" s="66">
        <v>1</v>
      </c>
      <c r="Q14" s="66">
        <v>1</v>
      </c>
      <c r="R14" s="65">
        <v>431304.74265711987</v>
      </c>
      <c r="S14" s="65">
        <v>534447.23481501103</v>
      </c>
      <c r="T14" s="65">
        <v>361817.33385284373</v>
      </c>
      <c r="U14" s="65">
        <v>467716.38665143645</v>
      </c>
      <c r="V14" s="66">
        <v>1</v>
      </c>
      <c r="W14" s="66">
        <v>1</v>
      </c>
      <c r="X14" s="65">
        <v>434740.39686873567</v>
      </c>
      <c r="Y14" s="65">
        <v>538670.84942824661</v>
      </c>
      <c r="Z14" s="65">
        <v>364985.11043640971</v>
      </c>
      <c r="AA14" s="65">
        <v>471775.78791197814</v>
      </c>
      <c r="AB14" s="66">
        <v>1</v>
      </c>
      <c r="AC14" s="66">
        <v>0.99999999999999978</v>
      </c>
      <c r="AD14" s="65">
        <v>438224.3912957987</v>
      </c>
      <c r="AE14" s="65">
        <v>542953.41852915857</v>
      </c>
      <c r="AF14" s="65">
        <v>373111.12042131531</v>
      </c>
      <c r="AG14" s="65">
        <v>482050.62174400256</v>
      </c>
      <c r="AH14" s="66">
        <v>1</v>
      </c>
      <c r="AI14" s="66">
        <v>0.99999999999999989</v>
      </c>
      <c r="AJ14" s="67">
        <v>5</v>
      </c>
      <c r="AK14" s="67">
        <f t="shared" ref="AK14:AO14" si="0">SUM(AK6:AK13)</f>
        <v>0</v>
      </c>
      <c r="AL14" s="67">
        <f t="shared" si="0"/>
        <v>0</v>
      </c>
      <c r="AM14" s="67">
        <f t="shared" si="0"/>
        <v>0</v>
      </c>
      <c r="AN14" s="67">
        <f t="shared" si="0"/>
        <v>0</v>
      </c>
      <c r="AO14" s="67">
        <f t="shared" si="0"/>
        <v>0</v>
      </c>
    </row>
    <row r="15" spans="1:52" s="48" customFormat="1">
      <c r="A15" s="47"/>
      <c r="E15" s="47"/>
      <c r="F15" s="49"/>
      <c r="G15" s="6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</row>
    <row r="17" spans="5:6">
      <c r="E17" s="86"/>
      <c r="F17" s="87"/>
    </row>
  </sheetData>
  <mergeCells count="15">
    <mergeCell ref="C6:C13"/>
    <mergeCell ref="D6:D13"/>
    <mergeCell ref="A14:B14"/>
    <mergeCell ref="A2:AO3"/>
    <mergeCell ref="A4:A5"/>
    <mergeCell ref="B4:B5"/>
    <mergeCell ref="C4:C5"/>
    <mergeCell ref="D4:D5"/>
    <mergeCell ref="E4:E5"/>
    <mergeCell ref="F4:K4"/>
    <mergeCell ref="L4:Q4"/>
    <mergeCell ref="R4:W4"/>
    <mergeCell ref="X4:AC4"/>
    <mergeCell ref="AD4:AI4"/>
    <mergeCell ref="AK4:AO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5"/>
  <sheetViews>
    <sheetView tabSelected="1" topLeftCell="C1" zoomScale="60" zoomScaleNormal="60" zoomScaleSheetLayoutView="70" workbookViewId="0">
      <selection activeCell="I14" sqref="I14:I15"/>
    </sheetView>
  </sheetViews>
  <sheetFormatPr baseColWidth="10" defaultColWidth="11.42578125" defaultRowHeight="15"/>
  <cols>
    <col min="1" max="1" width="8.5703125" style="71" customWidth="1"/>
    <col min="2" max="2" width="72.28515625" style="75" customWidth="1"/>
    <col min="3" max="3" width="34.42578125" style="72" customWidth="1"/>
    <col min="4" max="4" width="28.85546875" style="71" customWidth="1"/>
    <col min="5" max="5" width="17.5703125" style="71" customWidth="1"/>
    <col min="6" max="35" width="28.85546875" style="73" customWidth="1"/>
    <col min="36" max="36" width="19.28515625" style="73" customWidth="1"/>
    <col min="37" max="37" width="9.5703125" style="74" customWidth="1"/>
    <col min="38" max="38" width="10.28515625" style="74" customWidth="1"/>
    <col min="39" max="39" width="11.42578125" style="74" customWidth="1"/>
    <col min="40" max="40" width="11" style="74" customWidth="1"/>
    <col min="41" max="41" width="10.28515625" style="74" customWidth="1"/>
    <col min="42" max="42" width="11.42578125" style="75"/>
    <col min="43" max="61" width="11.42578125" style="119"/>
    <col min="62" max="16384" width="11.42578125" style="75"/>
  </cols>
  <sheetData>
    <row r="1" spans="1:53" s="48" customFormat="1" ht="31.5" customHeight="1">
      <c r="A1" s="47"/>
      <c r="C1" s="47"/>
      <c r="D1" s="47"/>
      <c r="E1" s="47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</row>
    <row r="2" spans="1:53" s="48" customFormat="1" ht="35.25" customHeight="1">
      <c r="A2" s="165" t="s">
        <v>129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</row>
    <row r="3" spans="1:53" s="48" customFormat="1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</row>
    <row r="4" spans="1:53" s="48" customFormat="1" ht="47.45" customHeight="1">
      <c r="A4" s="142" t="s">
        <v>1</v>
      </c>
      <c r="B4" s="142" t="s">
        <v>2</v>
      </c>
      <c r="C4" s="142" t="s">
        <v>3</v>
      </c>
      <c r="D4" s="143" t="s">
        <v>4</v>
      </c>
      <c r="E4" s="143" t="s">
        <v>5</v>
      </c>
      <c r="F4" s="144" t="s">
        <v>124</v>
      </c>
      <c r="G4" s="145"/>
      <c r="H4" s="145"/>
      <c r="I4" s="145"/>
      <c r="J4" s="145"/>
      <c r="K4" s="164"/>
      <c r="L4" s="144" t="s">
        <v>125</v>
      </c>
      <c r="M4" s="145"/>
      <c r="N4" s="145"/>
      <c r="O4" s="145"/>
      <c r="P4" s="145"/>
      <c r="Q4" s="164"/>
      <c r="R4" s="144" t="s">
        <v>126</v>
      </c>
      <c r="S4" s="145"/>
      <c r="T4" s="145"/>
      <c r="U4" s="145"/>
      <c r="V4" s="145"/>
      <c r="W4" s="164"/>
      <c r="X4" s="144" t="s">
        <v>127</v>
      </c>
      <c r="Y4" s="145"/>
      <c r="Z4" s="145"/>
      <c r="AA4" s="145"/>
      <c r="AB4" s="145"/>
      <c r="AC4" s="164"/>
      <c r="AD4" s="144" t="s">
        <v>128</v>
      </c>
      <c r="AE4" s="145"/>
      <c r="AF4" s="145"/>
      <c r="AG4" s="145"/>
      <c r="AH4" s="145"/>
      <c r="AI4" s="164"/>
      <c r="AJ4" s="52" t="s">
        <v>11</v>
      </c>
      <c r="AK4" s="147" t="s">
        <v>12</v>
      </c>
      <c r="AL4" s="148"/>
      <c r="AM4" s="148"/>
      <c r="AN4" s="148"/>
      <c r="AO4" s="149"/>
    </row>
    <row r="5" spans="1:53" s="48" customFormat="1" ht="43.15" customHeight="1">
      <c r="A5" s="142"/>
      <c r="B5" s="142"/>
      <c r="C5" s="142"/>
      <c r="D5" s="143"/>
      <c r="E5" s="143"/>
      <c r="F5" s="52" t="s">
        <v>13</v>
      </c>
      <c r="G5" s="52" t="s">
        <v>14</v>
      </c>
      <c r="H5" s="52" t="s">
        <v>15</v>
      </c>
      <c r="I5" s="52" t="s">
        <v>16</v>
      </c>
      <c r="J5" s="53" t="s">
        <v>17</v>
      </c>
      <c r="K5" s="53" t="s">
        <v>18</v>
      </c>
      <c r="L5" s="52" t="s">
        <v>13</v>
      </c>
      <c r="M5" s="52" t="s">
        <v>14</v>
      </c>
      <c r="N5" s="52" t="s">
        <v>15</v>
      </c>
      <c r="O5" s="52" t="s">
        <v>16</v>
      </c>
      <c r="P5" s="53" t="s">
        <v>17</v>
      </c>
      <c r="Q5" s="53" t="s">
        <v>18</v>
      </c>
      <c r="R5" s="52" t="s">
        <v>13</v>
      </c>
      <c r="S5" s="52" t="s">
        <v>14</v>
      </c>
      <c r="T5" s="52" t="s">
        <v>15</v>
      </c>
      <c r="U5" s="52" t="s">
        <v>16</v>
      </c>
      <c r="V5" s="53" t="s">
        <v>17</v>
      </c>
      <c r="W5" s="53" t="s">
        <v>18</v>
      </c>
      <c r="X5" s="52" t="s">
        <v>13</v>
      </c>
      <c r="Y5" s="52" t="s">
        <v>14</v>
      </c>
      <c r="Z5" s="52" t="s">
        <v>15</v>
      </c>
      <c r="AA5" s="52" t="s">
        <v>16</v>
      </c>
      <c r="AB5" s="53" t="s">
        <v>17</v>
      </c>
      <c r="AC5" s="53" t="s">
        <v>18</v>
      </c>
      <c r="AD5" s="52" t="s">
        <v>13</v>
      </c>
      <c r="AE5" s="52" t="s">
        <v>14</v>
      </c>
      <c r="AF5" s="52" t="s">
        <v>15</v>
      </c>
      <c r="AG5" s="52" t="s">
        <v>16</v>
      </c>
      <c r="AH5" s="53" t="s">
        <v>17</v>
      </c>
      <c r="AI5" s="53" t="s">
        <v>18</v>
      </c>
      <c r="AJ5" s="52">
        <v>2018</v>
      </c>
      <c r="AK5" s="52">
        <v>2019</v>
      </c>
      <c r="AL5" s="52">
        <v>2020</v>
      </c>
      <c r="AM5" s="52">
        <v>2021</v>
      </c>
      <c r="AN5" s="52">
        <v>2022</v>
      </c>
      <c r="AO5" s="52">
        <v>2023</v>
      </c>
    </row>
    <row r="6" spans="1:53" s="48" customFormat="1" ht="24" customHeight="1">
      <c r="A6" s="54">
        <v>1</v>
      </c>
      <c r="B6" s="131" t="s">
        <v>171</v>
      </c>
      <c r="C6" s="187" t="s">
        <v>172</v>
      </c>
      <c r="D6" s="194" t="s">
        <v>173</v>
      </c>
      <c r="E6" s="56" t="s">
        <v>22</v>
      </c>
      <c r="F6" s="92">
        <v>10479.097440000001</v>
      </c>
      <c r="G6" s="92">
        <v>13571.255725797799</v>
      </c>
      <c r="H6" s="92">
        <v>8628.5334240000011</v>
      </c>
      <c r="I6" s="92">
        <v>13539.314825204368</v>
      </c>
      <c r="J6" s="58">
        <v>3.3928139314494499E-3</v>
      </c>
      <c r="K6" s="58">
        <v>5.4157259300817474E-3</v>
      </c>
      <c r="L6" s="92">
        <v>10583.888414400002</v>
      </c>
      <c r="M6" s="92">
        <v>13706.294476474053</v>
      </c>
      <c r="N6" s="92">
        <v>8714.8187582400005</v>
      </c>
      <c r="O6" s="92">
        <v>13673.546717964102</v>
      </c>
      <c r="P6" s="58">
        <v>3.402716244237308E-3</v>
      </c>
      <c r="Q6" s="58">
        <v>5.419477110796888E-3</v>
      </c>
      <c r="R6" s="92">
        <v>10689.727298544003</v>
      </c>
      <c r="S6" s="92">
        <v>13837.792159468474</v>
      </c>
      <c r="T6" s="92">
        <v>8801.9669458223998</v>
      </c>
      <c r="U6" s="92">
        <v>13791.523294573622</v>
      </c>
      <c r="V6" s="58">
        <v>3.3678354787952669E-3</v>
      </c>
      <c r="W6" s="58">
        <v>5.2719369719267974E-3</v>
      </c>
      <c r="X6" s="92">
        <v>10796.624571529443</v>
      </c>
      <c r="Y6" s="92">
        <v>13974.683751969102</v>
      </c>
      <c r="Z6" s="92">
        <v>8889.9866152806244</v>
      </c>
      <c r="AA6" s="92">
        <v>13928.598323404134</v>
      </c>
      <c r="AB6" s="58">
        <v>3.3664357674567684E-3</v>
      </c>
      <c r="AC6" s="58">
        <v>5.283302374359671E-3</v>
      </c>
      <c r="AD6" s="57">
        <v>10904.590817244738</v>
      </c>
      <c r="AE6" s="57">
        <v>14113.714936666207</v>
      </c>
      <c r="AF6" s="57">
        <v>8978.8864814334302</v>
      </c>
      <c r="AG6" s="57">
        <v>14066.602492936045</v>
      </c>
      <c r="AH6" s="58">
        <v>3.3758892092226223E-3</v>
      </c>
      <c r="AI6" s="58">
        <v>5.285199390510564E-3</v>
      </c>
      <c r="AJ6" s="59">
        <v>1</v>
      </c>
      <c r="AK6" s="60">
        <v>0</v>
      </c>
      <c r="AL6" s="60">
        <v>0</v>
      </c>
      <c r="AM6" s="60">
        <v>0</v>
      </c>
      <c r="AN6" s="60">
        <v>0</v>
      </c>
      <c r="AO6" s="60">
        <v>0</v>
      </c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</row>
    <row r="7" spans="1:53" s="48" customFormat="1" ht="24" customHeight="1">
      <c r="A7" s="54">
        <v>2</v>
      </c>
      <c r="B7" s="131" t="s">
        <v>174</v>
      </c>
      <c r="C7" s="188"/>
      <c r="D7" s="195"/>
      <c r="E7" s="56"/>
      <c r="F7" s="92">
        <v>115049.75705453519</v>
      </c>
      <c r="G7" s="92">
        <v>148998.48800127258</v>
      </c>
      <c r="H7" s="92">
        <v>134018.12807344281</v>
      </c>
      <c r="I7" s="92">
        <v>210292.24076757792</v>
      </c>
      <c r="J7" s="58">
        <v>3.7249622000318144E-2</v>
      </c>
      <c r="K7" s="58">
        <v>8.4116896307031175E-2</v>
      </c>
      <c r="L7" s="92">
        <v>116200.25462508055</v>
      </c>
      <c r="M7" s="92">
        <v>150481.07517513999</v>
      </c>
      <c r="N7" s="92">
        <v>135358.30935417724</v>
      </c>
      <c r="O7" s="92">
        <v>212377.1265890059</v>
      </c>
      <c r="P7" s="58">
        <v>3.7358339252642987E-2</v>
      </c>
      <c r="Q7" s="58">
        <v>8.4175159535879562E-2</v>
      </c>
      <c r="R7" s="92">
        <v>117362.25717133135</v>
      </c>
      <c r="S7" s="92">
        <v>151924.78505267145</v>
      </c>
      <c r="T7" s="92">
        <v>136711.892447719</v>
      </c>
      <c r="U7" s="92">
        <v>214209.53531674441</v>
      </c>
      <c r="V7" s="58">
        <v>3.6975384173452211E-2</v>
      </c>
      <c r="W7" s="58">
        <v>8.1883570426185992E-2</v>
      </c>
      <c r="X7" s="92">
        <v>118535.87974304467</v>
      </c>
      <c r="Y7" s="92">
        <v>153427.71453206422</v>
      </c>
      <c r="Z7" s="92">
        <v>138079.0113721962</v>
      </c>
      <c r="AA7" s="92">
        <v>216338.58064423673</v>
      </c>
      <c r="AB7" s="58">
        <v>3.6960016776559225E-2</v>
      </c>
      <c r="AC7" s="58">
        <v>8.2060097523435044E-2</v>
      </c>
      <c r="AD7" s="57">
        <v>119721.23854047513</v>
      </c>
      <c r="AE7" s="57">
        <v>154954.13454237444</v>
      </c>
      <c r="AF7" s="57">
        <v>139459.80148591817</v>
      </c>
      <c r="AG7" s="57">
        <v>218482.05735785217</v>
      </c>
      <c r="AH7" s="58">
        <v>3.7063805884802382E-2</v>
      </c>
      <c r="AI7" s="58">
        <v>8.208956192265271E-2</v>
      </c>
      <c r="AJ7" s="59"/>
      <c r="AK7" s="60">
        <v>0</v>
      </c>
      <c r="AL7" s="60">
        <v>0</v>
      </c>
      <c r="AM7" s="60">
        <v>0</v>
      </c>
      <c r="AN7" s="60">
        <v>0</v>
      </c>
      <c r="AO7" s="60">
        <v>0</v>
      </c>
    </row>
    <row r="8" spans="1:53" s="48" customFormat="1" ht="24" customHeight="1">
      <c r="A8" s="54">
        <v>3</v>
      </c>
      <c r="B8" s="131" t="s">
        <v>41</v>
      </c>
      <c r="C8" s="189"/>
      <c r="D8" s="195"/>
      <c r="E8" s="56"/>
      <c r="F8" s="92">
        <v>2289</v>
      </c>
      <c r="G8" s="92">
        <v>2964.4351084830791</v>
      </c>
      <c r="H8" s="92">
        <v>3434</v>
      </c>
      <c r="I8" s="92">
        <v>5388.4020406561958</v>
      </c>
      <c r="J8" s="58">
        <v>7.4110877712076984E-4</v>
      </c>
      <c r="K8" s="58">
        <v>2.1553608162624784E-3</v>
      </c>
      <c r="L8" s="92">
        <v>2517.9</v>
      </c>
      <c r="M8" s="92">
        <v>3260.7183211946631</v>
      </c>
      <c r="N8" s="92">
        <v>3777.4</v>
      </c>
      <c r="O8" s="92">
        <v>5926.7389036176191</v>
      </c>
      <c r="P8" s="58">
        <v>8.0950392671452016E-4</v>
      </c>
      <c r="Q8" s="58">
        <v>2.3490486040192177E-3</v>
      </c>
      <c r="R8" s="92">
        <v>2769.6900000000005</v>
      </c>
      <c r="S8" s="92">
        <v>3585.3482035391589</v>
      </c>
      <c r="T8" s="92">
        <v>3966.2700000000004</v>
      </c>
      <c r="U8" s="92">
        <v>6214.6228717128652</v>
      </c>
      <c r="V8" s="58">
        <v>8.726003935137773E-4</v>
      </c>
      <c r="W8" s="58">
        <v>2.3755969071854325E-3</v>
      </c>
      <c r="X8" s="92">
        <v>3046.659000000001</v>
      </c>
      <c r="Y8" s="92">
        <v>3943.4636022598256</v>
      </c>
      <c r="Z8" s="92">
        <v>4362.8970000000008</v>
      </c>
      <c r="AA8" s="92">
        <v>6835.672815854592</v>
      </c>
      <c r="AB8" s="58">
        <v>9.4996188492929698E-4</v>
      </c>
      <c r="AC8" s="58">
        <v>2.5928615055017235E-3</v>
      </c>
      <c r="AD8" s="57">
        <v>3198.991950000001</v>
      </c>
      <c r="AE8" s="57">
        <v>4140.4268370702539</v>
      </c>
      <c r="AF8" s="57">
        <v>4799.1867000000011</v>
      </c>
      <c r="AG8" s="57">
        <v>7518.5549720312538</v>
      </c>
      <c r="AH8" s="58">
        <v>9.903574178424543E-4</v>
      </c>
      <c r="AI8" s="58">
        <v>2.8249225195390911E-3</v>
      </c>
      <c r="AJ8" s="59"/>
      <c r="AK8" s="60"/>
      <c r="AL8" s="60"/>
      <c r="AM8" s="60"/>
      <c r="AN8" s="60"/>
      <c r="AO8" s="60"/>
    </row>
    <row r="9" spans="1:53" s="48" customFormat="1" ht="24" customHeight="1">
      <c r="A9" s="54">
        <v>4</v>
      </c>
      <c r="B9" s="131" t="s">
        <v>175</v>
      </c>
      <c r="C9" s="187" t="s">
        <v>176</v>
      </c>
      <c r="D9" s="195"/>
      <c r="E9" s="56" t="s">
        <v>22</v>
      </c>
      <c r="F9" s="92">
        <v>185021.08128000001</v>
      </c>
      <c r="G9" s="92">
        <v>239616.85852159612</v>
      </c>
      <c r="H9" s="92">
        <v>136165.51008000001</v>
      </c>
      <c r="I9" s="92">
        <v>213661.76831160858</v>
      </c>
      <c r="J9" s="58">
        <v>5.9904214630399029E-2</v>
      </c>
      <c r="K9" s="58">
        <v>8.5464707324643438E-2</v>
      </c>
      <c r="L9" s="92">
        <v>186871.29209280002</v>
      </c>
      <c r="M9" s="92">
        <v>242001.13024040364</v>
      </c>
      <c r="N9" s="92">
        <v>137527.16518080002</v>
      </c>
      <c r="O9" s="92">
        <v>215780.06040697143</v>
      </c>
      <c r="P9" s="58">
        <v>6.0079051884243881E-2</v>
      </c>
      <c r="Q9" s="58">
        <v>8.5523904109355287E-2</v>
      </c>
      <c r="R9" s="92">
        <v>188740.00501372802</v>
      </c>
      <c r="S9" s="92">
        <v>244322.8801461324</v>
      </c>
      <c r="T9" s="92">
        <v>138902.43683260801</v>
      </c>
      <c r="U9" s="92">
        <v>217641.82995019938</v>
      </c>
      <c r="V9" s="58">
        <v>5.9463189976774057E-2</v>
      </c>
      <c r="W9" s="58">
        <v>8.3195596704224245E-2</v>
      </c>
      <c r="X9" s="92">
        <v>190627.4050638653</v>
      </c>
      <c r="Y9" s="92">
        <v>246739.86601801938</v>
      </c>
      <c r="Z9" s="92">
        <v>140291.46120093411</v>
      </c>
      <c r="AA9" s="92">
        <v>219804.98912253586</v>
      </c>
      <c r="AB9" s="58">
        <v>5.9438476387954818E-2</v>
      </c>
      <c r="AC9" s="58">
        <v>8.3374952307719061E-2</v>
      </c>
      <c r="AD9" s="57">
        <v>192533.67911450396</v>
      </c>
      <c r="AE9" s="57">
        <v>249194.62896602936</v>
      </c>
      <c r="AF9" s="57">
        <v>141694.37581294344</v>
      </c>
      <c r="AG9" s="57">
        <v>221982.81091612266</v>
      </c>
      <c r="AH9" s="58">
        <v>5.9605388283502175E-2</v>
      </c>
      <c r="AI9" s="58">
        <v>8.3404888817102896E-2</v>
      </c>
      <c r="AJ9" s="59">
        <v>5</v>
      </c>
      <c r="AK9" s="60">
        <v>0</v>
      </c>
      <c r="AL9" s="60">
        <v>0</v>
      </c>
      <c r="AM9" s="60">
        <v>0</v>
      </c>
      <c r="AN9" s="60">
        <v>0</v>
      </c>
      <c r="AO9" s="60">
        <v>0</v>
      </c>
    </row>
    <row r="10" spans="1:53" s="48" customFormat="1" ht="24" customHeight="1">
      <c r="A10" s="54">
        <v>5</v>
      </c>
      <c r="B10" s="132" t="s">
        <v>174</v>
      </c>
      <c r="C10" s="188"/>
      <c r="D10" s="195"/>
      <c r="E10" s="56"/>
      <c r="F10" s="92">
        <v>457158.9998158394</v>
      </c>
      <c r="G10" s="92">
        <v>592056.8760214434</v>
      </c>
      <c r="H10" s="92">
        <v>532531.27130207233</v>
      </c>
      <c r="I10" s="92">
        <v>835612.28567190585</v>
      </c>
      <c r="J10" s="58">
        <v>0.14801421900536085</v>
      </c>
      <c r="K10" s="58">
        <v>0.33424491426876235</v>
      </c>
      <c r="L10" s="92">
        <v>461730.58981399779</v>
      </c>
      <c r="M10" s="92">
        <v>597948.04943108163</v>
      </c>
      <c r="N10" s="92">
        <v>537856.58401509305</v>
      </c>
      <c r="O10" s="92">
        <v>843896.7387751179</v>
      </c>
      <c r="P10" s="58">
        <v>0.14844621531381016</v>
      </c>
      <c r="Q10" s="58">
        <v>0.33447642766008351</v>
      </c>
      <c r="R10" s="92">
        <v>507903.6487953976</v>
      </c>
      <c r="S10" s="92">
        <v>657478.43071952544</v>
      </c>
      <c r="T10" s="92">
        <v>559157.83486717602</v>
      </c>
      <c r="U10" s="92">
        <v>876126.70581251336</v>
      </c>
      <c r="V10" s="58">
        <v>0.160016797477677</v>
      </c>
      <c r="W10" s="58">
        <v>0.33490751339141461</v>
      </c>
      <c r="X10" s="92">
        <v>512982.68528335157</v>
      </c>
      <c r="Y10" s="92">
        <v>663982.5947060053</v>
      </c>
      <c r="Z10" s="92">
        <v>564749.4132158478</v>
      </c>
      <c r="AA10" s="92">
        <v>884834.59767429822</v>
      </c>
      <c r="AB10" s="58">
        <v>0.15995029264773802</v>
      </c>
      <c r="AC10" s="58">
        <v>0.33562951721804524</v>
      </c>
      <c r="AD10" s="57">
        <v>518112.51213618508</v>
      </c>
      <c r="AE10" s="57">
        <v>670588.41766405443</v>
      </c>
      <c r="AF10" s="57">
        <v>570396.90734800627</v>
      </c>
      <c r="AG10" s="57">
        <v>893601.51455924846</v>
      </c>
      <c r="AH10" s="58">
        <v>0.1603994563572001</v>
      </c>
      <c r="AI10" s="58">
        <v>0.33575002794595071</v>
      </c>
      <c r="AJ10" s="59"/>
      <c r="AK10" s="60"/>
      <c r="AL10" s="60"/>
      <c r="AM10" s="60"/>
      <c r="AN10" s="60"/>
      <c r="AO10" s="60"/>
    </row>
    <row r="11" spans="1:53" s="48" customFormat="1" ht="24" customHeight="1">
      <c r="A11" s="54">
        <v>6</v>
      </c>
      <c r="B11" s="131" t="s">
        <v>177</v>
      </c>
      <c r="C11" s="188"/>
      <c r="D11" s="195"/>
      <c r="E11" s="56"/>
      <c r="F11" s="92">
        <v>47.886785280000005</v>
      </c>
      <c r="G11" s="92">
        <v>62.017154878297404</v>
      </c>
      <c r="H11" s="92">
        <v>183.91795200000001</v>
      </c>
      <c r="I11" s="92">
        <v>288.59169128424821</v>
      </c>
      <c r="J11" s="58">
        <v>1.550428871957435E-5</v>
      </c>
      <c r="K11" s="58">
        <v>1.1543667651369929E-4</v>
      </c>
      <c r="L11" s="92">
        <v>52.675463808000011</v>
      </c>
      <c r="M11" s="92">
        <v>68.215516865710327</v>
      </c>
      <c r="N11" s="92">
        <v>202.30974720000003</v>
      </c>
      <c r="O11" s="92">
        <v>317.42390250206114</v>
      </c>
      <c r="P11" s="58">
        <v>1.6935142298774614E-5</v>
      </c>
      <c r="Q11" s="58">
        <v>1.2581019464172205E-4</v>
      </c>
      <c r="R11" s="92">
        <v>57.943010188800017</v>
      </c>
      <c r="S11" s="92">
        <v>75.006902392710117</v>
      </c>
      <c r="T11" s="92">
        <v>222.54072192000007</v>
      </c>
      <c r="U11" s="92">
        <v>348.69201046109441</v>
      </c>
      <c r="V11" s="58">
        <v>1.8255145338330171E-5</v>
      </c>
      <c r="W11" s="58">
        <v>1.3329073681720243E-4</v>
      </c>
      <c r="X11" s="92">
        <v>63.737311207680023</v>
      </c>
      <c r="Y11" s="92">
        <v>82.498818165535866</v>
      </c>
      <c r="Z11" s="92">
        <v>244.79479411200009</v>
      </c>
      <c r="AA11" s="92">
        <v>383.53807563509304</v>
      </c>
      <c r="AB11" s="58">
        <v>1.9873578334553656E-5</v>
      </c>
      <c r="AC11" s="58">
        <v>1.4548108708507785E-4</v>
      </c>
      <c r="AD11" s="57">
        <v>70.111042328448036</v>
      </c>
      <c r="AE11" s="57">
        <v>90.744098693863464</v>
      </c>
      <c r="AF11" s="57">
        <v>269.27427352320012</v>
      </c>
      <c r="AG11" s="57">
        <v>421.85344196714817</v>
      </c>
      <c r="AH11" s="58">
        <v>2.1705272138194906E-5</v>
      </c>
      <c r="AI11" s="58">
        <v>1.5850163928988564E-4</v>
      </c>
      <c r="AJ11" s="59">
        <v>1</v>
      </c>
      <c r="AK11" s="60"/>
      <c r="AL11" s="60"/>
      <c r="AM11" s="60"/>
      <c r="AN11" s="60"/>
      <c r="AO11" s="60"/>
    </row>
    <row r="12" spans="1:53" s="48" customFormat="1" ht="24" customHeight="1">
      <c r="A12" s="54">
        <v>7</v>
      </c>
      <c r="B12" s="131" t="s">
        <v>178</v>
      </c>
      <c r="C12" s="188"/>
      <c r="D12" s="195"/>
      <c r="E12" s="56"/>
      <c r="F12" s="92">
        <v>2225.5746753599997</v>
      </c>
      <c r="G12" s="92">
        <v>2882.2943224936716</v>
      </c>
      <c r="H12" s="92">
        <v>964.71777600000007</v>
      </c>
      <c r="I12" s="92">
        <v>1513.7703065974686</v>
      </c>
      <c r="J12" s="133">
        <v>7.205735806234179E-4</v>
      </c>
      <c r="K12" s="58">
        <v>6.0550812263898744E-4</v>
      </c>
      <c r="L12" s="92">
        <v>2247.8304221135995</v>
      </c>
      <c r="M12" s="92">
        <v>2910.9741611360841</v>
      </c>
      <c r="N12" s="92">
        <v>974.36495376000005</v>
      </c>
      <c r="O12" s="92">
        <v>1528.7781748745103</v>
      </c>
      <c r="P12" s="58">
        <v>7.2267665645550498E-4</v>
      </c>
      <c r="Q12" s="58">
        <v>6.0592752539714563E-4</v>
      </c>
      <c r="R12" s="92">
        <v>2270.3087263347356</v>
      </c>
      <c r="S12" s="92">
        <v>2938.9019397273773</v>
      </c>
      <c r="T12" s="92">
        <v>984.1086032976001</v>
      </c>
      <c r="U12" s="92">
        <v>1541.968608869963</v>
      </c>
      <c r="V12" s="58">
        <v>7.1526859973406864E-4</v>
      </c>
      <c r="W12" s="58">
        <v>5.8943172157426352E-4</v>
      </c>
      <c r="X12" s="92">
        <v>2293.0118135980829</v>
      </c>
      <c r="Y12" s="92">
        <v>2967.9752891530784</v>
      </c>
      <c r="Z12" s="92">
        <v>993.94968933057612</v>
      </c>
      <c r="AA12" s="92">
        <v>1557.2943554899725</v>
      </c>
      <c r="AB12" s="58">
        <v>7.1497132583947856E-4</v>
      </c>
      <c r="AC12" s="58">
        <v>5.9070243644776565E-4</v>
      </c>
      <c r="AD12" s="57">
        <v>2315.9419317340639</v>
      </c>
      <c r="AE12" s="57">
        <v>2997.5030500617677</v>
      </c>
      <c r="AF12" s="57">
        <v>1003.8891862238819</v>
      </c>
      <c r="AG12" s="57">
        <v>1572.7239851810671</v>
      </c>
      <c r="AH12" s="58">
        <v>7.169790694175434E-4</v>
      </c>
      <c r="AI12" s="58">
        <v>5.9091453334908094E-4</v>
      </c>
      <c r="AJ12" s="59"/>
      <c r="AK12" s="60"/>
      <c r="AL12" s="60"/>
      <c r="AM12" s="60"/>
      <c r="AN12" s="60"/>
      <c r="AO12" s="60"/>
    </row>
    <row r="13" spans="1:53" s="48" customFormat="1" ht="24" customHeight="1">
      <c r="A13" s="54">
        <v>8</v>
      </c>
      <c r="B13" s="134" t="s">
        <v>41</v>
      </c>
      <c r="C13" s="189"/>
      <c r="D13" s="195"/>
      <c r="E13" s="56"/>
      <c r="F13" s="92">
        <v>6712</v>
      </c>
      <c r="G13" s="92">
        <v>8692.5681293745874</v>
      </c>
      <c r="H13" s="92">
        <v>10068</v>
      </c>
      <c r="I13" s="92">
        <v>15798.02904639679</v>
      </c>
      <c r="J13" s="58">
        <v>2.1731420323436467E-3</v>
      </c>
      <c r="K13" s="58">
        <v>6.3192116185587163E-3</v>
      </c>
      <c r="L13" s="92">
        <v>7383.2000000000007</v>
      </c>
      <c r="M13" s="92">
        <v>9561.3549025157608</v>
      </c>
      <c r="N13" s="92">
        <v>11074.800000000001</v>
      </c>
      <c r="O13" s="92">
        <v>17376.356226447933</v>
      </c>
      <c r="P13" s="58">
        <v>2.3736960926639839E-3</v>
      </c>
      <c r="Q13" s="58">
        <v>6.8870766876137123E-3</v>
      </c>
      <c r="R13" s="92">
        <v>8121.5200000000013</v>
      </c>
      <c r="S13" s="92">
        <v>10513.26218530137</v>
      </c>
      <c r="T13" s="92">
        <v>12182.280000000002</v>
      </c>
      <c r="U13" s="92">
        <v>19088.028782107678</v>
      </c>
      <c r="V13" s="58">
        <v>2.5587129057511896E-3</v>
      </c>
      <c r="W13" s="58">
        <v>7.2965750416554981E-3</v>
      </c>
      <c r="X13" s="92">
        <v>8933.6720000000023</v>
      </c>
      <c r="Y13" s="92">
        <v>11563.358540134534</v>
      </c>
      <c r="Z13" s="92">
        <v>13400.508000000003</v>
      </c>
      <c r="AA13" s="92">
        <v>20995.565161002429</v>
      </c>
      <c r="AB13" s="58">
        <v>2.7855588342706166E-3</v>
      </c>
      <c r="AC13" s="58">
        <v>7.9638967748649342E-3</v>
      </c>
      <c r="AD13" s="57">
        <v>9827.0392000000029</v>
      </c>
      <c r="AE13" s="57">
        <v>12719.04945950908</v>
      </c>
      <c r="AF13" s="57">
        <v>14740.558800000004</v>
      </c>
      <c r="AG13" s="57">
        <v>23093.01733484531</v>
      </c>
      <c r="AH13" s="58">
        <v>3.0422962355840183E-3</v>
      </c>
      <c r="AI13" s="58">
        <v>8.6766652576175298E-3</v>
      </c>
      <c r="AJ13" s="59">
        <v>1</v>
      </c>
      <c r="AK13" s="60"/>
      <c r="AL13" s="60"/>
      <c r="AM13" s="60"/>
      <c r="AN13" s="60"/>
      <c r="AO13" s="60"/>
    </row>
    <row r="14" spans="1:53" s="48" customFormat="1" ht="24" customHeight="1">
      <c r="A14" s="54">
        <v>9</v>
      </c>
      <c r="B14" s="134" t="s">
        <v>179</v>
      </c>
      <c r="C14" s="194" t="s">
        <v>180</v>
      </c>
      <c r="D14" s="195"/>
      <c r="E14" s="56" t="s">
        <v>22</v>
      </c>
      <c r="F14" s="92">
        <v>70909.642080000005</v>
      </c>
      <c r="G14" s="92">
        <v>91833.565972879485</v>
      </c>
      <c r="H14" s="92">
        <v>25009.624800000001</v>
      </c>
      <c r="I14" s="92">
        <v>39243.422629110602</v>
      </c>
      <c r="J14" s="58">
        <v>2.2958391493219873E-2</v>
      </c>
      <c r="K14" s="58">
        <v>1.569736905164424E-2</v>
      </c>
      <c r="L14" s="92">
        <v>71618.738500800013</v>
      </c>
      <c r="M14" s="92">
        <v>92747.342138451961</v>
      </c>
      <c r="N14" s="92">
        <v>25259.721048000003</v>
      </c>
      <c r="O14" s="92">
        <v>39632.490980491988</v>
      </c>
      <c r="P14" s="58">
        <v>2.3025398166225026E-2</v>
      </c>
      <c r="Q14" s="58">
        <v>1.5708241770985138E-2</v>
      </c>
      <c r="R14" s="92">
        <v>72334.925885808014</v>
      </c>
      <c r="S14" s="92">
        <v>93637.156713502205</v>
      </c>
      <c r="T14" s="92">
        <v>25512.318258480002</v>
      </c>
      <c r="U14" s="92">
        <v>39974.443635851203</v>
      </c>
      <c r="V14" s="58">
        <v>2.2789368049401189E-2</v>
      </c>
      <c r="W14" s="58">
        <v>1.5280599744842263E-2</v>
      </c>
      <c r="X14" s="92">
        <v>73058.275144666099</v>
      </c>
      <c r="Y14" s="92">
        <v>94563.470633528181</v>
      </c>
      <c r="Z14" s="92">
        <v>25767.441441064802</v>
      </c>
      <c r="AA14" s="92">
        <v>40371.752758043956</v>
      </c>
      <c r="AB14" s="58">
        <v>2.2779896524721076E-2</v>
      </c>
      <c r="AC14" s="58">
        <v>1.5313542127583294E-2</v>
      </c>
      <c r="AD14" s="57">
        <v>73788.857896112764</v>
      </c>
      <c r="AE14" s="57">
        <v>95504.262681820299</v>
      </c>
      <c r="AF14" s="57">
        <v>26025.115855475451</v>
      </c>
      <c r="AG14" s="57">
        <v>40771.754975249096</v>
      </c>
      <c r="AH14" s="58">
        <v>2.2843865790765125E-2</v>
      </c>
      <c r="AI14" s="58">
        <v>1.5319040589470386E-2</v>
      </c>
      <c r="AJ14" s="59">
        <v>2</v>
      </c>
      <c r="AK14" s="60">
        <v>0</v>
      </c>
      <c r="AL14" s="60">
        <v>0</v>
      </c>
      <c r="AM14" s="60">
        <v>0</v>
      </c>
      <c r="AN14" s="60">
        <v>0</v>
      </c>
      <c r="AO14" s="60">
        <v>0</v>
      </c>
    </row>
    <row r="15" spans="1:53" s="48" customFormat="1" ht="24" customHeight="1">
      <c r="A15" s="54">
        <v>10</v>
      </c>
      <c r="B15" s="134" t="s">
        <v>174</v>
      </c>
      <c r="C15" s="195"/>
      <c r="D15" s="195"/>
      <c r="E15" s="56"/>
      <c r="F15" s="92">
        <v>50030.85502392015</v>
      </c>
      <c r="G15" s="92">
        <v>64793.893901413699</v>
      </c>
      <c r="H15" s="92">
        <v>58279.493219975237</v>
      </c>
      <c r="I15" s="92">
        <v>91448.264471439572</v>
      </c>
      <c r="J15" s="58">
        <v>1.6198473475353425E-2</v>
      </c>
      <c r="K15" s="58">
        <v>3.6579305788575829E-2</v>
      </c>
      <c r="L15" s="92">
        <v>50531.163574159349</v>
      </c>
      <c r="M15" s="92">
        <v>65438.615853507195</v>
      </c>
      <c r="N15" s="92">
        <v>58862.288152174988</v>
      </c>
      <c r="O15" s="92">
        <v>92354.903676456292</v>
      </c>
      <c r="P15" s="58">
        <v>1.6245750559885506E-2</v>
      </c>
      <c r="Q15" s="58">
        <v>3.660464229714714E-2</v>
      </c>
      <c r="R15" s="92">
        <v>51036.475209900942</v>
      </c>
      <c r="S15" s="92">
        <v>66066.431517169476</v>
      </c>
      <c r="T15" s="92">
        <v>59450.911033696735</v>
      </c>
      <c r="U15" s="92">
        <v>93151.749995380669</v>
      </c>
      <c r="V15" s="58">
        <v>1.6079217656747035E-2</v>
      </c>
      <c r="W15" s="58">
        <v>3.5608115529453685E-2</v>
      </c>
      <c r="X15" s="92">
        <v>51546.839961999955</v>
      </c>
      <c r="Y15" s="92">
        <v>66719.999580412186</v>
      </c>
      <c r="Z15" s="92">
        <v>60045.420144033706</v>
      </c>
      <c r="AA15" s="92">
        <v>94077.592525136148</v>
      </c>
      <c r="AB15" s="58">
        <v>1.6072534948102256E-2</v>
      </c>
      <c r="AC15" s="58">
        <v>3.5684880590383578E-2</v>
      </c>
      <c r="AD15" s="57">
        <v>52062.308361619951</v>
      </c>
      <c r="AE15" s="57">
        <v>67383.782800790825</v>
      </c>
      <c r="AF15" s="57">
        <v>60645.87434547404</v>
      </c>
      <c r="AG15" s="57">
        <v>95009.710727308513</v>
      </c>
      <c r="AH15" s="58">
        <v>1.6117668966291566E-2</v>
      </c>
      <c r="AI15" s="58">
        <v>3.5697693560383388E-2</v>
      </c>
      <c r="AJ15" s="59"/>
      <c r="AK15" s="60"/>
      <c r="AL15" s="60"/>
      <c r="AM15" s="60"/>
      <c r="AN15" s="60"/>
      <c r="AO15" s="60"/>
    </row>
    <row r="16" spans="1:53" s="48" customFormat="1" ht="24" customHeight="1">
      <c r="A16" s="54">
        <v>11</v>
      </c>
      <c r="B16" s="134" t="s">
        <v>41</v>
      </c>
      <c r="C16" s="196"/>
      <c r="D16" s="195"/>
      <c r="E16" s="56"/>
      <c r="F16" s="92">
        <v>398</v>
      </c>
      <c r="G16" s="92">
        <v>515.4413163723309</v>
      </c>
      <c r="H16" s="92">
        <v>597</v>
      </c>
      <c r="I16" s="92">
        <v>936.77228254855834</v>
      </c>
      <c r="J16" s="58">
        <v>1.2886032909308274E-4</v>
      </c>
      <c r="K16" s="58">
        <v>3.7470891301942332E-4</v>
      </c>
      <c r="L16" s="92">
        <v>437.8</v>
      </c>
      <c r="M16" s="92">
        <v>566.95757616228741</v>
      </c>
      <c r="N16" s="92">
        <v>656.7</v>
      </c>
      <c r="O16" s="92">
        <v>1030.3620050843676</v>
      </c>
      <c r="P16" s="58">
        <v>1.4075253946368676E-4</v>
      </c>
      <c r="Q16" s="58">
        <v>4.083814841582624E-4</v>
      </c>
      <c r="R16" s="92">
        <v>481.58000000000004</v>
      </c>
      <c r="S16" s="92">
        <v>623.40261468264976</v>
      </c>
      <c r="T16" s="92">
        <v>722.37000000000012</v>
      </c>
      <c r="U16" s="92">
        <v>1131.8586792727735</v>
      </c>
      <c r="V16" s="58">
        <v>1.5172344107404254E-4</v>
      </c>
      <c r="W16" s="58">
        <v>4.3266341873940531E-4</v>
      </c>
      <c r="X16" s="92">
        <v>529.73800000000006</v>
      </c>
      <c r="Y16" s="92">
        <v>685.6699491915291</v>
      </c>
      <c r="Z16" s="92">
        <v>794.6070000000002</v>
      </c>
      <c r="AA16" s="92">
        <v>1244.9694478663537</v>
      </c>
      <c r="AB16" s="58">
        <v>1.6517467461854964E-4</v>
      </c>
      <c r="AC16" s="58">
        <v>4.7223344999944034E-4</v>
      </c>
      <c r="AD16" s="57">
        <v>582.71180000000015</v>
      </c>
      <c r="AE16" s="57">
        <v>754.19870156207014</v>
      </c>
      <c r="AF16" s="57">
        <v>874.06770000000029</v>
      </c>
      <c r="AG16" s="57">
        <v>1369.3416119291469</v>
      </c>
      <c r="AH16" s="58">
        <v>1.8039837630548858E-4</v>
      </c>
      <c r="AI16" s="58">
        <v>5.1449832725443639E-4</v>
      </c>
      <c r="AJ16" s="59"/>
      <c r="AK16" s="60"/>
      <c r="AL16" s="60"/>
      <c r="AM16" s="60"/>
      <c r="AN16" s="60"/>
      <c r="AO16" s="60"/>
    </row>
    <row r="17" spans="1:61" s="48" customFormat="1" ht="24" customHeight="1">
      <c r="A17" s="54">
        <v>12</v>
      </c>
      <c r="B17" s="135" t="s">
        <v>181</v>
      </c>
      <c r="C17" s="194" t="s">
        <v>182</v>
      </c>
      <c r="D17" s="195"/>
      <c r="E17" s="56" t="s">
        <v>22</v>
      </c>
      <c r="F17" s="92">
        <v>63278.560800000007</v>
      </c>
      <c r="G17" s="92">
        <v>81950.715268589411</v>
      </c>
      <c r="H17" s="92">
        <v>26269.488000000005</v>
      </c>
      <c r="I17" s="92">
        <v>41220.315301745337</v>
      </c>
      <c r="J17" s="58">
        <v>2.0487678817147352E-2</v>
      </c>
      <c r="K17" s="58">
        <v>1.6488126120698134E-2</v>
      </c>
      <c r="L17" s="92">
        <v>63911.346408000005</v>
      </c>
      <c r="M17" s="92">
        <v>33106.461442437641</v>
      </c>
      <c r="N17" s="92">
        <v>26532.182880000004</v>
      </c>
      <c r="O17" s="92">
        <v>16651.593209381415</v>
      </c>
      <c r="P17" s="58">
        <v>2.0547474434603419E-2</v>
      </c>
      <c r="Q17" s="58">
        <v>1.6499546554732514E-2</v>
      </c>
      <c r="R17" s="92">
        <v>33437.526056862022</v>
      </c>
      <c r="S17" s="92">
        <v>43297.46026494851</v>
      </c>
      <c r="T17" s="92">
        <v>26797.504708800003</v>
      </c>
      <c r="U17" s="92">
        <v>41988.161589640062</v>
      </c>
      <c r="V17" s="58">
        <v>1.0638892938840641E-2</v>
      </c>
      <c r="W17" s="58">
        <v>1.6050362004228744E-2</v>
      </c>
      <c r="X17" s="92">
        <v>34984.434867597993</v>
      </c>
      <c r="Y17" s="92">
        <v>45295.334911676844</v>
      </c>
      <c r="Z17" s="92">
        <v>21652.479755888002</v>
      </c>
      <c r="AA17" s="92">
        <v>33925.878135344195</v>
      </c>
      <c r="AB17" s="58">
        <v>1.1012037441633397E-2</v>
      </c>
      <c r="AC17" s="58">
        <v>1.2909557331220865E-2</v>
      </c>
      <c r="AD17" s="57">
        <v>35334.279216273972</v>
      </c>
      <c r="AE17" s="57">
        <v>45745.985899472063</v>
      </c>
      <c r="AF17" s="57">
        <v>21869.004553446881</v>
      </c>
      <c r="AG17" s="57">
        <v>34262.015554625723</v>
      </c>
      <c r="AH17" s="58">
        <v>1.1043255751148414E-2</v>
      </c>
      <c r="AI17" s="58">
        <v>1.2914207586181704E-2</v>
      </c>
      <c r="AJ17" s="59">
        <v>1</v>
      </c>
      <c r="AK17" s="60">
        <v>0</v>
      </c>
      <c r="AL17" s="60">
        <v>0</v>
      </c>
      <c r="AM17" s="60">
        <v>0</v>
      </c>
      <c r="AN17" s="60">
        <v>0</v>
      </c>
      <c r="AO17" s="60">
        <v>0</v>
      </c>
    </row>
    <row r="18" spans="1:61" s="48" customFormat="1" ht="24" customHeight="1">
      <c r="A18" s="54">
        <v>13</v>
      </c>
      <c r="B18" s="131" t="s">
        <v>174</v>
      </c>
      <c r="C18" s="195"/>
      <c r="D18" s="195"/>
      <c r="E18" s="56"/>
      <c r="F18" s="92">
        <v>37128.408897873858</v>
      </c>
      <c r="G18" s="92">
        <v>48084.210947563486</v>
      </c>
      <c r="H18" s="92">
        <v>43249.807615671685</v>
      </c>
      <c r="I18" s="92">
        <v>67864.691792158759</v>
      </c>
      <c r="J18" s="58">
        <v>1.2021052736890872E-2</v>
      </c>
      <c r="K18" s="58">
        <v>2.7145876716863505E-2</v>
      </c>
      <c r="L18" s="92">
        <v>37499.692986852599</v>
      </c>
      <c r="M18" s="92">
        <v>48562.665698163262</v>
      </c>
      <c r="N18" s="92">
        <v>43682.305691828406</v>
      </c>
      <c r="O18" s="92">
        <v>68537.518013309891</v>
      </c>
      <c r="P18" s="58">
        <v>1.2056137544559406E-2</v>
      </c>
      <c r="Q18" s="58">
        <v>2.716467919884848E-2</v>
      </c>
      <c r="R18" s="92">
        <v>37874.689916721123</v>
      </c>
      <c r="S18" s="92">
        <v>49028.574119312543</v>
      </c>
      <c r="T18" s="92">
        <v>44119.128748746691</v>
      </c>
      <c r="U18" s="92">
        <v>69128.865811456548</v>
      </c>
      <c r="V18" s="58">
        <v>1.1932551774943456E-2</v>
      </c>
      <c r="W18" s="58">
        <v>2.6425146498659579E-2</v>
      </c>
      <c r="X18" s="92">
        <v>38253.436815888337</v>
      </c>
      <c r="Y18" s="92">
        <v>49513.593659415645</v>
      </c>
      <c r="Z18" s="92">
        <v>44560.320036234159</v>
      </c>
      <c r="AA18" s="92">
        <v>69815.943016180885</v>
      </c>
      <c r="AB18" s="58">
        <v>1.1927592468551629E-2</v>
      </c>
      <c r="AC18" s="58">
        <v>2.6482114635020881E-2</v>
      </c>
      <c r="AD18" s="57">
        <v>38635.971184047223</v>
      </c>
      <c r="AE18" s="57">
        <v>50006.193972042376</v>
      </c>
      <c r="AF18" s="57">
        <v>45005.9232365965</v>
      </c>
      <c r="AG18" s="57">
        <v>70507.677461551866</v>
      </c>
      <c r="AH18" s="58">
        <v>1.1961086884782085E-2</v>
      </c>
      <c r="AI18" s="58">
        <v>2.6491623271024042E-2</v>
      </c>
      <c r="AJ18" s="59"/>
      <c r="AK18" s="60"/>
      <c r="AL18" s="60"/>
      <c r="AM18" s="60"/>
      <c r="AN18" s="60"/>
      <c r="AO18" s="60"/>
    </row>
    <row r="19" spans="1:61" s="48" customFormat="1" ht="24" customHeight="1">
      <c r="A19" s="54">
        <v>14</v>
      </c>
      <c r="B19" s="131" t="s">
        <v>41</v>
      </c>
      <c r="C19" s="196"/>
      <c r="D19" s="195"/>
      <c r="E19" s="56"/>
      <c r="F19" s="92">
        <v>889</v>
      </c>
      <c r="G19" s="92">
        <v>1151.3249503894529</v>
      </c>
      <c r="H19" s="92">
        <v>1333</v>
      </c>
      <c r="I19" s="92">
        <v>2091.6540245179699</v>
      </c>
      <c r="J19" s="58">
        <v>2.8783123759736323E-4</v>
      </c>
      <c r="K19" s="58">
        <v>8.3666160980718797E-4</v>
      </c>
      <c r="L19" s="92">
        <v>977.90000000000009</v>
      </c>
      <c r="M19" s="92">
        <v>1266.3951889655114</v>
      </c>
      <c r="N19" s="92">
        <v>1466.3000000000002</v>
      </c>
      <c r="O19" s="92">
        <v>2300.6240415032871</v>
      </c>
      <c r="P19" s="58">
        <v>3.1439449141511944E-4</v>
      </c>
      <c r="Q19" s="58">
        <v>9.1184676446057591E-4</v>
      </c>
      <c r="R19" s="92">
        <v>1075.6900000000003</v>
      </c>
      <c r="S19" s="92">
        <v>1392.4746845549639</v>
      </c>
      <c r="T19" s="92">
        <v>1612.9300000000003</v>
      </c>
      <c r="U19" s="92">
        <v>2527.2489438368625</v>
      </c>
      <c r="V19" s="58">
        <v>3.3889984702217043E-4</v>
      </c>
      <c r="W19" s="58">
        <v>9.6606421638128516E-4</v>
      </c>
      <c r="X19" s="92">
        <v>1183.2590000000005</v>
      </c>
      <c r="Y19" s="92">
        <v>1531.5592583700241</v>
      </c>
      <c r="Z19" s="92">
        <v>1774.2230000000004</v>
      </c>
      <c r="AA19" s="92">
        <v>2779.8061541136503</v>
      </c>
      <c r="AB19" s="58">
        <v>3.6894544154746398E-4</v>
      </c>
      <c r="AC19" s="58">
        <v>1.0544174017575443E-3</v>
      </c>
      <c r="AD19" s="57">
        <v>1301.5849000000005</v>
      </c>
      <c r="AE19" s="57">
        <v>1684.6297630368854</v>
      </c>
      <c r="AF19" s="57">
        <v>1951.6453000000006</v>
      </c>
      <c r="AG19" s="57">
        <v>3057.5081552789829</v>
      </c>
      <c r="AH19" s="58">
        <v>4.0295014204919436E-4</v>
      </c>
      <c r="AI19" s="58">
        <v>1.1487877223285824E-3</v>
      </c>
      <c r="AJ19" s="59"/>
      <c r="AK19" s="60"/>
      <c r="AL19" s="60"/>
      <c r="AM19" s="60"/>
      <c r="AN19" s="60"/>
      <c r="AO19" s="60"/>
    </row>
    <row r="20" spans="1:61" s="48" customFormat="1" ht="24" customHeight="1">
      <c r="A20" s="54">
        <v>15</v>
      </c>
      <c r="B20" s="135" t="s">
        <v>183</v>
      </c>
      <c r="C20" s="194" t="s">
        <v>184</v>
      </c>
      <c r="D20" s="195"/>
      <c r="E20" s="56" t="s">
        <v>22</v>
      </c>
      <c r="F20" s="92">
        <v>3774.2284799999998</v>
      </c>
      <c r="G20" s="92">
        <v>4887.9228543244772</v>
      </c>
      <c r="H20" s="92">
        <v>1533.2803200000001</v>
      </c>
      <c r="I20" s="92">
        <v>2405.9204441426864</v>
      </c>
      <c r="J20" s="58">
        <v>1.2219807135811192E-3</v>
      </c>
      <c r="K20" s="58">
        <v>9.6236817765707461E-4</v>
      </c>
      <c r="L20" s="92">
        <v>3811.9707647999999</v>
      </c>
      <c r="M20" s="92">
        <v>4936.5593997544738</v>
      </c>
      <c r="N20" s="92">
        <v>1548.6131232</v>
      </c>
      <c r="O20" s="92">
        <v>2429.7732948383082</v>
      </c>
      <c r="P20" s="58">
        <v>1.2255472030765924E-3</v>
      </c>
      <c r="Q20" s="58">
        <v>9.6303475809255063E-4</v>
      </c>
      <c r="R20" s="92">
        <v>3850.0904724480001</v>
      </c>
      <c r="S20" s="92">
        <v>4983.9205683143837</v>
      </c>
      <c r="T20" s="92">
        <v>1564.099254432</v>
      </c>
      <c r="U20" s="92">
        <v>2450.7375948238891</v>
      </c>
      <c r="V20" s="58">
        <v>1.212984291137914E-3</v>
      </c>
      <c r="W20" s="58">
        <v>9.3681704759375928E-4</v>
      </c>
      <c r="X20" s="92">
        <v>3888.59137717248</v>
      </c>
      <c r="Y20" s="92">
        <v>5033.2244468255485</v>
      </c>
      <c r="Z20" s="92">
        <v>1579.7402469763199</v>
      </c>
      <c r="AA20" s="92">
        <v>2475.0956674813656</v>
      </c>
      <c r="AB20" s="58">
        <v>1.2124801608511418E-3</v>
      </c>
      <c r="AC20" s="58">
        <v>9.3883666634272706E-4</v>
      </c>
      <c r="AD20" s="57">
        <v>3927.4772909442049</v>
      </c>
      <c r="AE20" s="57">
        <v>5083.2989365319791</v>
      </c>
      <c r="AF20" s="57">
        <v>1595.5376494460832</v>
      </c>
      <c r="AG20" s="57">
        <v>2499.6188473571792</v>
      </c>
      <c r="AH20" s="58">
        <v>1.2158849816719232E-3</v>
      </c>
      <c r="AI20" s="58">
        <v>9.3917376389893463E-4</v>
      </c>
      <c r="AJ20" s="59">
        <v>1</v>
      </c>
      <c r="AK20" s="60">
        <v>0</v>
      </c>
      <c r="AL20" s="60">
        <v>0</v>
      </c>
      <c r="AM20" s="60">
        <v>0</v>
      </c>
      <c r="AN20" s="60">
        <v>0</v>
      </c>
      <c r="AO20" s="60">
        <v>0</v>
      </c>
    </row>
    <row r="21" spans="1:61" s="48" customFormat="1" ht="24" customHeight="1">
      <c r="A21" s="54">
        <v>16</v>
      </c>
      <c r="B21" s="131" t="s">
        <v>174</v>
      </c>
      <c r="C21" s="195"/>
      <c r="D21" s="195"/>
      <c r="E21" s="56"/>
      <c r="F21" s="92">
        <v>45376.547973885194</v>
      </c>
      <c r="G21" s="92">
        <v>58766.200050481435</v>
      </c>
      <c r="H21" s="92">
        <v>52857.825810203634</v>
      </c>
      <c r="I21" s="92">
        <v>82940.948299461568</v>
      </c>
      <c r="J21" s="58">
        <v>1.4691550012620359E-2</v>
      </c>
      <c r="K21" s="58">
        <v>3.3176379319784628E-2</v>
      </c>
      <c r="L21" s="92">
        <v>45830.313453624047</v>
      </c>
      <c r="M21" s="92">
        <v>59350.944336282686</v>
      </c>
      <c r="N21" s="92">
        <v>53386.404068305674</v>
      </c>
      <c r="O21" s="92">
        <v>83763.244008015361</v>
      </c>
      <c r="P21" s="58">
        <v>1.4734428969882031E-2</v>
      </c>
      <c r="Q21" s="58">
        <v>3.3199358805066803E-2</v>
      </c>
      <c r="R21" s="92">
        <v>46288.616588160286</v>
      </c>
      <c r="S21" s="92">
        <v>59920.355104243929</v>
      </c>
      <c r="T21" s="92">
        <v>84600.876448095514</v>
      </c>
      <c r="U21" s="92">
        <v>132558.43443368419</v>
      </c>
      <c r="V21" s="58">
        <v>1.458338841171287E-2</v>
      </c>
      <c r="W21" s="58">
        <v>5.0671684084863756E-2</v>
      </c>
      <c r="X21" s="92">
        <v>46751.502754041889</v>
      </c>
      <c r="Y21" s="92">
        <v>60513.122558682851</v>
      </c>
      <c r="Z21" s="92">
        <v>85446.885212576468</v>
      </c>
      <c r="AA21" s="92">
        <v>133875.94308255654</v>
      </c>
      <c r="AB21" s="58">
        <v>1.4577327386985823E-2</v>
      </c>
      <c r="AC21" s="58">
        <v>5.0780923646080563E-2</v>
      </c>
      <c r="AD21" s="57">
        <v>47219.017781582304</v>
      </c>
      <c r="AE21" s="57">
        <v>61115.154867132711</v>
      </c>
      <c r="AF21" s="57">
        <v>86301.354064702231</v>
      </c>
      <c r="AG21" s="57">
        <v>135202.38224868319</v>
      </c>
      <c r="AH21" s="58">
        <v>1.4618262644651161E-2</v>
      </c>
      <c r="AI21" s="58">
        <v>5.0799156983014175E-2</v>
      </c>
      <c r="AJ21" s="59"/>
      <c r="AK21" s="60"/>
      <c r="AL21" s="60"/>
      <c r="AM21" s="60"/>
      <c r="AN21" s="60"/>
      <c r="AO21" s="60"/>
    </row>
    <row r="22" spans="1:61" s="48" customFormat="1" ht="24" customHeight="1">
      <c r="A22" s="54">
        <v>17</v>
      </c>
      <c r="B22" s="131" t="s">
        <v>41</v>
      </c>
      <c r="C22" s="196"/>
      <c r="D22" s="195"/>
      <c r="E22" s="56"/>
      <c r="F22" s="92">
        <v>1904</v>
      </c>
      <c r="G22" s="92">
        <v>2465.8298150073319</v>
      </c>
      <c r="H22" s="92">
        <v>2856</v>
      </c>
      <c r="I22" s="92">
        <v>4481.4432813378262</v>
      </c>
      <c r="J22" s="58">
        <v>6.1645745375183303E-4</v>
      </c>
      <c r="K22" s="58">
        <v>1.7925773125351304E-3</v>
      </c>
      <c r="L22" s="92">
        <v>2094.4</v>
      </c>
      <c r="M22" s="92">
        <v>2712.2794598316464</v>
      </c>
      <c r="N22" s="92">
        <v>3141.6000000000004</v>
      </c>
      <c r="O22" s="92">
        <v>4929.168989147327</v>
      </c>
      <c r="P22" s="58">
        <v>6.7334883200718498E-4</v>
      </c>
      <c r="Q22" s="58">
        <v>1.9536641855209336E-3</v>
      </c>
      <c r="R22" s="92">
        <v>2303.84</v>
      </c>
      <c r="S22" s="92">
        <v>2982.3079858185047</v>
      </c>
      <c r="T22" s="92">
        <v>3455.7600000000007</v>
      </c>
      <c r="U22" s="92">
        <v>5414.7209179280426</v>
      </c>
      <c r="V22" s="58">
        <v>7.2583274322858527E-4</v>
      </c>
      <c r="W22" s="58">
        <v>2.0698270082407733E-3</v>
      </c>
      <c r="X22" s="92">
        <v>2534.2240000000002</v>
      </c>
      <c r="Y22" s="92">
        <v>3280.1899076901291</v>
      </c>
      <c r="Z22" s="92">
        <v>3801.3360000000011</v>
      </c>
      <c r="AA22" s="92">
        <v>5955.8337405465754</v>
      </c>
      <c r="AB22" s="58">
        <v>7.9018236299929268E-4</v>
      </c>
      <c r="AC22" s="58">
        <v>2.2591268562787295E-3</v>
      </c>
      <c r="AD22" s="57">
        <v>2787.6464000000005</v>
      </c>
      <c r="AE22" s="57">
        <v>3608.0259491813604</v>
      </c>
      <c r="AF22" s="57">
        <v>4181.4696000000013</v>
      </c>
      <c r="AG22" s="57">
        <v>6550.8201736509936</v>
      </c>
      <c r="AH22" s="58">
        <v>8.6301132785339255E-4</v>
      </c>
      <c r="AI22" s="58">
        <v>2.4613186308855449E-3</v>
      </c>
      <c r="AJ22" s="59"/>
      <c r="AK22" s="60"/>
      <c r="AL22" s="60"/>
      <c r="AM22" s="60"/>
      <c r="AN22" s="60"/>
      <c r="AO22" s="60"/>
    </row>
    <row r="23" spans="1:61" s="48" customFormat="1" ht="24" customHeight="1">
      <c r="A23" s="54">
        <v>18</v>
      </c>
      <c r="B23" s="134" t="s">
        <v>122</v>
      </c>
      <c r="C23" s="136"/>
      <c r="D23" s="196"/>
      <c r="E23" s="56"/>
      <c r="F23" s="92">
        <v>2035942.7838592899</v>
      </c>
      <c r="G23" s="92">
        <v>2636706.1019376395</v>
      </c>
      <c r="H23" s="92">
        <v>555257.12287071662</v>
      </c>
      <c r="I23" s="92">
        <v>871272.16481230559</v>
      </c>
      <c r="J23" s="58">
        <v>0.65917652548440986</v>
      </c>
      <c r="K23" s="58">
        <v>0.34850886592492225</v>
      </c>
      <c r="L23" s="92">
        <v>2046122.4977785861</v>
      </c>
      <c r="M23" s="92">
        <v>2649759.3692820291</v>
      </c>
      <c r="N23" s="92">
        <v>558033.4084850701</v>
      </c>
      <c r="O23" s="92">
        <v>875554.16730735626</v>
      </c>
      <c r="P23" s="58">
        <v>0.65782763274581491</v>
      </c>
      <c r="Q23" s="58">
        <v>0.34702377275320057</v>
      </c>
      <c r="R23" s="92">
        <v>2056353.1102674787</v>
      </c>
      <c r="S23" s="92">
        <v>2661937.5921997279</v>
      </c>
      <c r="T23" s="92">
        <v>560823.57552749536</v>
      </c>
      <c r="U23" s="92">
        <v>878736.70210776385</v>
      </c>
      <c r="V23" s="58">
        <v>0.64786114446839949</v>
      </c>
      <c r="W23" s="58">
        <v>0.33590520854601269</v>
      </c>
      <c r="X23" s="92">
        <v>2076916.6413701535</v>
      </c>
      <c r="Y23" s="92">
        <v>2688271.0471276641</v>
      </c>
      <c r="Z23" s="92">
        <v>560809.69409942382</v>
      </c>
      <c r="AA23" s="92">
        <v>878661.9488892724</v>
      </c>
      <c r="AB23" s="58">
        <v>0.64759188589107453</v>
      </c>
      <c r="AC23" s="58">
        <v>0.33328814953518104</v>
      </c>
      <c r="AD23" s="57">
        <v>2087301.2245770041</v>
      </c>
      <c r="AE23" s="57">
        <v>2701575.4157456481</v>
      </c>
      <c r="AF23" s="57">
        <v>563613.74256992084</v>
      </c>
      <c r="AG23" s="57">
        <v>882974.79789736459</v>
      </c>
      <c r="AH23" s="58">
        <v>0.64619551513140694</v>
      </c>
      <c r="AI23" s="58">
        <v>0.33175728581417285</v>
      </c>
      <c r="AJ23" s="59"/>
      <c r="AK23" s="60"/>
      <c r="AL23" s="60"/>
      <c r="AM23" s="60"/>
      <c r="AN23" s="60"/>
      <c r="AO23" s="60"/>
    </row>
    <row r="24" spans="1:61" s="68" customFormat="1" ht="24" customHeight="1">
      <c r="A24" s="156" t="s">
        <v>173</v>
      </c>
      <c r="B24" s="157"/>
      <c r="C24" s="64" t="s">
        <v>27</v>
      </c>
      <c r="D24" s="64">
        <v>7</v>
      </c>
      <c r="E24" s="64">
        <v>5</v>
      </c>
      <c r="F24" s="95">
        <v>3088615.4241659837</v>
      </c>
      <c r="G24" s="95">
        <v>4000000</v>
      </c>
      <c r="H24" s="95">
        <v>1593236.7212440823</v>
      </c>
      <c r="I24" s="96">
        <v>2500000</v>
      </c>
      <c r="J24" s="66">
        <v>1</v>
      </c>
      <c r="K24" s="66">
        <v>1</v>
      </c>
      <c r="L24" s="95">
        <v>3110423.454299022</v>
      </c>
      <c r="M24" s="95">
        <v>4028045.0947640538</v>
      </c>
      <c r="N24" s="95">
        <v>1608055.2754578495</v>
      </c>
      <c r="O24" s="96">
        <v>2523038.005036158</v>
      </c>
      <c r="P24" s="66">
        <v>1</v>
      </c>
      <c r="Q24" s="66">
        <v>1</v>
      </c>
      <c r="R24" s="95">
        <v>3142951.6444129036</v>
      </c>
      <c r="S24" s="95">
        <v>4069733.6192638469</v>
      </c>
      <c r="T24" s="95">
        <v>1669588.8043982894</v>
      </c>
      <c r="U24" s="96">
        <v>2616025.8303568205</v>
      </c>
      <c r="V24" s="66">
        <v>1</v>
      </c>
      <c r="W24" s="66">
        <v>0.99999999999999989</v>
      </c>
      <c r="X24" s="95">
        <v>3176926.6180781173</v>
      </c>
      <c r="Y24" s="95">
        <v>4113256.5296616233</v>
      </c>
      <c r="Z24" s="95">
        <v>1677244.1688238983</v>
      </c>
      <c r="AA24" s="96">
        <v>2627966.030508019</v>
      </c>
      <c r="AB24" s="66">
        <v>0.99999999999999989</v>
      </c>
      <c r="AC24" s="66">
        <v>1.0000000000000004</v>
      </c>
      <c r="AD24" s="137">
        <v>3199625.1841400554</v>
      </c>
      <c r="AE24" s="137">
        <v>4142436.517846182</v>
      </c>
      <c r="AF24" s="137">
        <v>1693406.6149631103</v>
      </c>
      <c r="AG24" s="137">
        <v>2653048.228161233</v>
      </c>
      <c r="AH24" s="66">
        <v>1</v>
      </c>
      <c r="AI24" s="66">
        <v>1</v>
      </c>
      <c r="AJ24" s="67">
        <f t="shared" ref="AJ24:AO24" si="0">SUM(AJ6:AJ23)</f>
        <v>12</v>
      </c>
      <c r="AK24" s="67">
        <f t="shared" si="0"/>
        <v>0</v>
      </c>
      <c r="AL24" s="67">
        <f t="shared" si="0"/>
        <v>0</v>
      </c>
      <c r="AM24" s="67">
        <f t="shared" si="0"/>
        <v>0</v>
      </c>
      <c r="AN24" s="67">
        <f t="shared" si="0"/>
        <v>0</v>
      </c>
      <c r="AO24" s="67">
        <f t="shared" si="0"/>
        <v>0</v>
      </c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</row>
    <row r="25" spans="1:61" s="48" customFormat="1">
      <c r="A25" s="47"/>
      <c r="E25" s="47"/>
      <c r="F25" s="49"/>
      <c r="G25" s="6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</row>
  </sheetData>
  <mergeCells count="19">
    <mergeCell ref="A24:B24"/>
    <mergeCell ref="C6:C8"/>
    <mergeCell ref="D6:D23"/>
    <mergeCell ref="C9:C13"/>
    <mergeCell ref="C14:C16"/>
    <mergeCell ref="C17:C19"/>
    <mergeCell ref="C20:C22"/>
    <mergeCell ref="AD4:AI4"/>
    <mergeCell ref="AK4:AO4"/>
    <mergeCell ref="A2:AO3"/>
    <mergeCell ref="A4:A5"/>
    <mergeCell ref="B4:B5"/>
    <mergeCell ref="C4:C5"/>
    <mergeCell ref="D4:D5"/>
    <mergeCell ref="E4:E5"/>
    <mergeCell ref="F4:K4"/>
    <mergeCell ref="L4:Q4"/>
    <mergeCell ref="R4:W4"/>
    <mergeCell ref="X4:AC4"/>
  </mergeCells>
  <pageMargins left="0.7" right="0.7" top="0.75" bottom="0.75" header="0.3" footer="0.3"/>
  <pageSetup scale="1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1"/>
  <sheetViews>
    <sheetView topLeftCell="A2" zoomScale="60" zoomScaleNormal="60" zoomScaleSheetLayoutView="70" workbookViewId="0">
      <selection activeCell="AM8" sqref="AM8"/>
    </sheetView>
  </sheetViews>
  <sheetFormatPr baseColWidth="10" defaultColWidth="11.42578125" defaultRowHeight="15"/>
  <cols>
    <col min="1" max="1" width="8.5703125" style="71" customWidth="1"/>
    <col min="2" max="2" width="72.28515625" style="75" customWidth="1"/>
    <col min="3" max="3" width="34.42578125" style="72" customWidth="1"/>
    <col min="4" max="4" width="28.85546875" style="71" customWidth="1"/>
    <col min="5" max="5" width="17.5703125" style="71" customWidth="1"/>
    <col min="6" max="35" width="28.85546875" style="73" hidden="1" customWidth="1"/>
    <col min="36" max="36" width="19.28515625" style="73" customWidth="1"/>
    <col min="37" max="37" width="9.5703125" style="74" customWidth="1"/>
    <col min="38" max="38" width="10.28515625" style="74" customWidth="1"/>
    <col min="39" max="39" width="11.42578125" style="74" customWidth="1"/>
    <col min="40" max="40" width="11" style="74" customWidth="1"/>
    <col min="41" max="41" width="10.28515625" style="74" customWidth="1"/>
    <col min="42" max="42" width="11.42578125" style="75"/>
    <col min="43" max="59" width="11.42578125" style="119"/>
    <col min="60" max="16384" width="11.42578125" style="75"/>
  </cols>
  <sheetData>
    <row r="1" spans="1:51" s="48" customFormat="1" ht="31.5" customHeight="1">
      <c r="A1" s="47"/>
      <c r="C1" s="47"/>
      <c r="D1" s="47"/>
      <c r="E1" s="47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</row>
    <row r="2" spans="1:51" s="48" customFormat="1" ht="35.25" customHeight="1">
      <c r="A2" s="165" t="s">
        <v>150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</row>
    <row r="3" spans="1:51" s="48" customFormat="1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</row>
    <row r="4" spans="1:51" s="48" customFormat="1" ht="47.45" customHeight="1">
      <c r="A4" s="142" t="s">
        <v>1</v>
      </c>
      <c r="B4" s="142" t="s">
        <v>2</v>
      </c>
      <c r="C4" s="142" t="s">
        <v>3</v>
      </c>
      <c r="D4" s="143" t="s">
        <v>4</v>
      </c>
      <c r="E4" s="143" t="s">
        <v>5</v>
      </c>
      <c r="F4" s="144" t="s">
        <v>124</v>
      </c>
      <c r="G4" s="145"/>
      <c r="H4" s="145"/>
      <c r="I4" s="145"/>
      <c r="J4" s="145"/>
      <c r="K4" s="164"/>
      <c r="L4" s="144" t="s">
        <v>125</v>
      </c>
      <c r="M4" s="145"/>
      <c r="N4" s="145"/>
      <c r="O4" s="145"/>
      <c r="P4" s="145"/>
      <c r="Q4" s="164"/>
      <c r="R4" s="144" t="s">
        <v>126</v>
      </c>
      <c r="S4" s="145"/>
      <c r="T4" s="145"/>
      <c r="U4" s="145"/>
      <c r="V4" s="145"/>
      <c r="W4" s="164"/>
      <c r="X4" s="144" t="s">
        <v>127</v>
      </c>
      <c r="Y4" s="145"/>
      <c r="Z4" s="145"/>
      <c r="AA4" s="145"/>
      <c r="AB4" s="145"/>
      <c r="AC4" s="164"/>
      <c r="AD4" s="144" t="s">
        <v>128</v>
      </c>
      <c r="AE4" s="145"/>
      <c r="AF4" s="145"/>
      <c r="AG4" s="145"/>
      <c r="AH4" s="145"/>
      <c r="AI4" s="164"/>
      <c r="AJ4" s="52" t="s">
        <v>11</v>
      </c>
      <c r="AK4" s="147" t="s">
        <v>12</v>
      </c>
      <c r="AL4" s="148"/>
      <c r="AM4" s="148"/>
      <c r="AN4" s="148"/>
      <c r="AO4" s="149"/>
    </row>
    <row r="5" spans="1:51" s="48" customFormat="1" ht="43.15" customHeight="1">
      <c r="A5" s="142"/>
      <c r="B5" s="142"/>
      <c r="C5" s="142"/>
      <c r="D5" s="143"/>
      <c r="E5" s="143"/>
      <c r="F5" s="52" t="s">
        <v>13</v>
      </c>
      <c r="G5" s="52" t="s">
        <v>14</v>
      </c>
      <c r="H5" s="52" t="s">
        <v>15</v>
      </c>
      <c r="I5" s="52" t="s">
        <v>16</v>
      </c>
      <c r="J5" s="53" t="s">
        <v>17</v>
      </c>
      <c r="K5" s="53" t="s">
        <v>18</v>
      </c>
      <c r="L5" s="52" t="s">
        <v>13</v>
      </c>
      <c r="M5" s="52" t="s">
        <v>14</v>
      </c>
      <c r="N5" s="52" t="s">
        <v>15</v>
      </c>
      <c r="O5" s="52" t="s">
        <v>16</v>
      </c>
      <c r="P5" s="53" t="s">
        <v>17</v>
      </c>
      <c r="Q5" s="53" t="s">
        <v>18</v>
      </c>
      <c r="R5" s="52" t="s">
        <v>13</v>
      </c>
      <c r="S5" s="52" t="s">
        <v>14</v>
      </c>
      <c r="T5" s="52" t="s">
        <v>15</v>
      </c>
      <c r="U5" s="52" t="s">
        <v>16</v>
      </c>
      <c r="V5" s="53" t="s">
        <v>17</v>
      </c>
      <c r="W5" s="53" t="s">
        <v>18</v>
      </c>
      <c r="X5" s="52" t="s">
        <v>13</v>
      </c>
      <c r="Y5" s="52" t="s">
        <v>14</v>
      </c>
      <c r="Z5" s="52" t="s">
        <v>15</v>
      </c>
      <c r="AA5" s="52" t="s">
        <v>16</v>
      </c>
      <c r="AB5" s="53" t="s">
        <v>17</v>
      </c>
      <c r="AC5" s="53" t="s">
        <v>18</v>
      </c>
      <c r="AD5" s="52" t="s">
        <v>13</v>
      </c>
      <c r="AE5" s="52" t="s">
        <v>14</v>
      </c>
      <c r="AF5" s="52" t="s">
        <v>15</v>
      </c>
      <c r="AG5" s="52" t="s">
        <v>16</v>
      </c>
      <c r="AH5" s="53" t="s">
        <v>17</v>
      </c>
      <c r="AI5" s="53" t="s">
        <v>18</v>
      </c>
      <c r="AJ5" s="52">
        <v>2018</v>
      </c>
      <c r="AK5" s="52">
        <v>2019</v>
      </c>
      <c r="AL5" s="52">
        <v>2020</v>
      </c>
      <c r="AM5" s="52">
        <v>2021</v>
      </c>
      <c r="AN5" s="52">
        <v>2022</v>
      </c>
      <c r="AO5" s="52">
        <v>2023</v>
      </c>
    </row>
    <row r="6" spans="1:51" s="107" customFormat="1" ht="24" customHeight="1">
      <c r="A6" s="109">
        <v>1</v>
      </c>
      <c r="B6" s="110" t="s">
        <v>19</v>
      </c>
      <c r="C6" s="199" t="s">
        <v>141</v>
      </c>
      <c r="D6" s="200" t="s">
        <v>142</v>
      </c>
      <c r="E6" s="111" t="s">
        <v>22</v>
      </c>
      <c r="F6" s="112">
        <v>39519</v>
      </c>
      <c r="G6" s="112">
        <f>G20*J6</f>
        <v>47598.285358459572</v>
      </c>
      <c r="H6" s="112">
        <v>33196</v>
      </c>
      <c r="I6" s="112">
        <f t="shared" ref="I6:I18" si="0">$I$20*K6</f>
        <v>39956.860649305003</v>
      </c>
      <c r="J6" s="113">
        <f t="shared" ref="J6:J19" si="1">F6/$F$20</f>
        <v>2.3799142679229786E-2</v>
      </c>
      <c r="K6" s="113">
        <f>H6/$H$20</f>
        <v>2.283249179960286E-2</v>
      </c>
      <c r="L6" s="112">
        <f>(F6)*1</f>
        <v>39519</v>
      </c>
      <c r="M6" s="112">
        <f t="shared" ref="M6:M18" si="2">P6*M$20</f>
        <v>47520.110592367579</v>
      </c>
      <c r="N6" s="112">
        <f>(H6)*1</f>
        <v>33196</v>
      </c>
      <c r="O6" s="112">
        <f t="shared" ref="O6:O18" si="3">Q6*O$20</f>
        <v>39803.296226557795</v>
      </c>
      <c r="P6" s="113">
        <f t="shared" ref="P6:P19" si="4">L6/L$20</f>
        <v>2.2834649959677506E-2</v>
      </c>
      <c r="Q6" s="113">
        <f t="shared" ref="Q6:Q19" si="5">N6/N$20</f>
        <v>2.1417014409545486E-2</v>
      </c>
      <c r="R6" s="112">
        <f>(L6)*1</f>
        <v>39519</v>
      </c>
      <c r="S6" s="112">
        <f t="shared" ref="S6:S18" si="6">V6*S$20</f>
        <v>47434.987937847138</v>
      </c>
      <c r="T6" s="112">
        <f>N6*1</f>
        <v>33196</v>
      </c>
      <c r="U6" s="112">
        <f t="shared" ref="U6:U18" si="7">W6*U$20</f>
        <v>39647.302012284475</v>
      </c>
      <c r="V6" s="113">
        <f t="shared" ref="V6:V19" si="8">R6/R$20</f>
        <v>2.186820257213928E-2</v>
      </c>
      <c r="W6" s="113">
        <f t="shared" ref="W6:W19" si="9">T6/T$20</f>
        <v>2.0076246351400817E-2</v>
      </c>
      <c r="X6" s="112">
        <f>(R6)*1</f>
        <v>39519</v>
      </c>
      <c r="Y6" s="112">
        <f t="shared" ref="Y6:Y18" si="10">AB6*Y$20</f>
        <v>47342.551817559433</v>
      </c>
      <c r="Z6" s="112">
        <f>T6*1</f>
        <v>33196</v>
      </c>
      <c r="AA6" s="112">
        <f t="shared" ref="AA6:AA18" si="11">AC6*AA$20</f>
        <v>39477.378502270614</v>
      </c>
      <c r="AB6" s="113">
        <f t="shared" ref="AB6:AB19" si="12">X6/X$20</f>
        <v>2.0902853139804878E-2</v>
      </c>
      <c r="AC6" s="113">
        <f t="shared" ref="AC6:AC19" si="13">Z6/Z$20</f>
        <v>1.876192237089459E-2</v>
      </c>
      <c r="AD6" s="126">
        <f>(X6)*1</f>
        <v>39519</v>
      </c>
      <c r="AE6" s="126">
        <f t="shared" ref="AE6:AE18" si="14">AH6*AE$20</f>
        <v>47242.459482849998</v>
      </c>
      <c r="AF6" s="126">
        <f>Z6*1</f>
        <v>33196</v>
      </c>
      <c r="AG6" s="126">
        <f t="shared" ref="AG6:AG18" si="15">AI6*AG$20</f>
        <v>39299.763557432132</v>
      </c>
      <c r="AH6" s="113">
        <f t="shared" ref="AH6:AH19" si="16">AD6/AD$20</f>
        <v>1.9941727534441303E-2</v>
      </c>
      <c r="AI6" s="113">
        <f t="shared" ref="AI6:AI19" si="17">AF6/AF$20</f>
        <v>1.7503452175437258E-2</v>
      </c>
      <c r="AJ6" s="114">
        <v>3</v>
      </c>
      <c r="AK6" s="115">
        <v>0</v>
      </c>
      <c r="AL6" s="115">
        <v>0</v>
      </c>
      <c r="AM6" s="115">
        <v>0</v>
      </c>
      <c r="AN6" s="115">
        <v>0</v>
      </c>
      <c r="AO6" s="115">
        <v>0</v>
      </c>
      <c r="AQ6" s="116"/>
      <c r="AR6" s="116"/>
      <c r="AS6" s="116"/>
      <c r="AT6" s="116"/>
      <c r="AU6" s="116"/>
      <c r="AV6" s="116"/>
      <c r="AW6" s="116"/>
      <c r="AX6" s="116"/>
      <c r="AY6" s="116"/>
    </row>
    <row r="7" spans="1:51" s="107" customFormat="1" ht="24" customHeight="1">
      <c r="A7" s="109">
        <v>2</v>
      </c>
      <c r="B7" s="110" t="s">
        <v>32</v>
      </c>
      <c r="C7" s="199"/>
      <c r="D7" s="201"/>
      <c r="E7" s="111"/>
      <c r="F7" s="112">
        <v>131994</v>
      </c>
      <c r="G7" s="112">
        <f>G20*J7</f>
        <v>158978.92349514191</v>
      </c>
      <c r="H7" s="112">
        <v>153756</v>
      </c>
      <c r="I7" s="112">
        <f t="shared" si="0"/>
        <v>185070.70327733885</v>
      </c>
      <c r="J7" s="113">
        <f t="shared" si="1"/>
        <v>7.9489461747570947E-2</v>
      </c>
      <c r="K7" s="113">
        <f t="shared" ref="K7:K19" si="18">H7/$H$20</f>
        <v>0.10575468758705077</v>
      </c>
      <c r="L7" s="112">
        <f>(F7)*1.01</f>
        <v>133313.94</v>
      </c>
      <c r="M7" s="112">
        <f t="shared" si="2"/>
        <v>160304.99689527205</v>
      </c>
      <c r="N7" s="112">
        <f>(H7)*1.01</f>
        <v>155293.56</v>
      </c>
      <c r="O7" s="112">
        <f t="shared" si="3"/>
        <v>186203.02357985079</v>
      </c>
      <c r="P7" s="113">
        <f t="shared" si="4"/>
        <v>7.7030723313986929E-2</v>
      </c>
      <c r="Q7" s="113">
        <f t="shared" si="5"/>
        <v>0.10019051729815691</v>
      </c>
      <c r="R7" s="112">
        <f>(L7)*1.01</f>
        <v>134647.07940000002</v>
      </c>
      <c r="S7" s="112">
        <f t="shared" si="6"/>
        <v>161618.02138731611</v>
      </c>
      <c r="T7" s="112">
        <f>N7*1.01</f>
        <v>156846.49559999999</v>
      </c>
      <c r="U7" s="112">
        <f t="shared" si="7"/>
        <v>187328.00279014485</v>
      </c>
      <c r="V7" s="113">
        <f t="shared" si="8"/>
        <v>7.4508201322556797E-2</v>
      </c>
      <c r="W7" s="113">
        <f t="shared" si="9"/>
        <v>9.485747936557129E-2</v>
      </c>
      <c r="X7" s="112">
        <f>(R7)*1.01</f>
        <v>135993.55019400001</v>
      </c>
      <c r="Y7" s="112">
        <f t="shared" si="10"/>
        <v>162916.10862909781</v>
      </c>
      <c r="Z7" s="112">
        <f>T7*1.01</f>
        <v>158414.96055600001</v>
      </c>
      <c r="AA7" s="112">
        <f t="shared" si="11"/>
        <v>188390.38915205092</v>
      </c>
      <c r="AB7" s="113">
        <f t="shared" si="12"/>
        <v>7.1931304123734552E-2</v>
      </c>
      <c r="AC7" s="113">
        <f t="shared" si="13"/>
        <v>8.9533955667550333E-2</v>
      </c>
      <c r="AD7" s="126">
        <f>X7*1.01</f>
        <v>137353.48569594001</v>
      </c>
      <c r="AE7" s="126">
        <f t="shared" si="14"/>
        <v>164197.38563269976</v>
      </c>
      <c r="AF7" s="126">
        <f>Z7*1.01</f>
        <v>159999.11016156001</v>
      </c>
      <c r="AG7" s="126">
        <f t="shared" si="15"/>
        <v>189418.21902484773</v>
      </c>
      <c r="AH7" s="113">
        <f t="shared" si="16"/>
        <v>6.9310098627349284E-2</v>
      </c>
      <c r="AI7" s="113">
        <f t="shared" si="17"/>
        <v>8.4363681552758862E-2</v>
      </c>
      <c r="AJ7" s="114"/>
      <c r="AK7" s="115"/>
      <c r="AL7" s="115"/>
      <c r="AM7" s="115"/>
      <c r="AN7" s="115"/>
      <c r="AO7" s="115"/>
    </row>
    <row r="8" spans="1:51" s="107" customFormat="1" ht="24" customHeight="1">
      <c r="A8" s="109">
        <v>3</v>
      </c>
      <c r="B8" s="110" t="s">
        <v>140</v>
      </c>
      <c r="C8" s="199"/>
      <c r="D8" s="201"/>
      <c r="E8" s="111"/>
      <c r="F8" s="112">
        <v>6812</v>
      </c>
      <c r="G8" s="112">
        <f>G20*J8</f>
        <v>8204.6488995629079</v>
      </c>
      <c r="H8" s="112">
        <v>10218</v>
      </c>
      <c r="I8" s="112">
        <f t="shared" si="0"/>
        <v>12299.048141782099</v>
      </c>
      <c r="J8" s="113">
        <f t="shared" si="1"/>
        <v>4.1023244497814543E-3</v>
      </c>
      <c r="K8" s="113">
        <f t="shared" si="18"/>
        <v>7.0280275095897706E-3</v>
      </c>
      <c r="L8" s="112">
        <f>(F8)*1.1</f>
        <v>7493.2000000000007</v>
      </c>
      <c r="M8" s="112">
        <f t="shared" si="2"/>
        <v>9010.2910673531405</v>
      </c>
      <c r="N8" s="112">
        <f>(H8)*1.1</f>
        <v>11239.800000000001</v>
      </c>
      <c r="O8" s="112">
        <f t="shared" si="3"/>
        <v>13476.957733680696</v>
      </c>
      <c r="P8" s="113">
        <f t="shared" si="4"/>
        <v>4.3296793713873197E-3</v>
      </c>
      <c r="Q8" s="113">
        <f t="shared" si="5"/>
        <v>7.2515652054587721E-3</v>
      </c>
      <c r="R8" s="112">
        <f t="shared" ref="R8:R11" si="19">(L8)*1.1</f>
        <v>8242.5200000000023</v>
      </c>
      <c r="S8" s="112">
        <f t="shared" si="6"/>
        <v>9893.5660512023042</v>
      </c>
      <c r="T8" s="112">
        <f>N8*1.1</f>
        <v>12363.780000000002</v>
      </c>
      <c r="U8" s="112">
        <f t="shared" si="7"/>
        <v>14766.553791825603</v>
      </c>
      <c r="V8" s="113">
        <f t="shared" si="8"/>
        <v>4.5610743456289257E-3</v>
      </c>
      <c r="W8" s="113">
        <f t="shared" si="9"/>
        <v>7.4773554980877956E-3</v>
      </c>
      <c r="X8" s="112">
        <f t="shared" ref="X8:X11" si="20">(R8)*1.1</f>
        <v>9066.7720000000027</v>
      </c>
      <c r="Y8" s="112">
        <f t="shared" si="10"/>
        <v>10861.715206052713</v>
      </c>
      <c r="Z8" s="112">
        <f>T8*1.1</f>
        <v>13600.158000000003</v>
      </c>
      <c r="AA8" s="112">
        <f t="shared" si="11"/>
        <v>16173.592753846362</v>
      </c>
      <c r="AB8" s="113">
        <f t="shared" si="12"/>
        <v>4.7957034228622948E-3</v>
      </c>
      <c r="AC8" s="113">
        <f t="shared" si="13"/>
        <v>7.6866221420623295E-3</v>
      </c>
      <c r="AD8" s="126">
        <f>X8*1.1</f>
        <v>9973.4492000000046</v>
      </c>
      <c r="AE8" s="126">
        <f t="shared" si="14"/>
        <v>11922.626324938963</v>
      </c>
      <c r="AF8" s="126">
        <f>Z8*1.1</f>
        <v>14960.173800000004</v>
      </c>
      <c r="AG8" s="126">
        <f t="shared" si="15"/>
        <v>17710.907733404361</v>
      </c>
      <c r="AH8" s="113">
        <f t="shared" si="16"/>
        <v>5.0327135434852007E-3</v>
      </c>
      <c r="AI8" s="113">
        <f t="shared" si="17"/>
        <v>7.8881397350442691E-3</v>
      </c>
      <c r="AJ8" s="114"/>
      <c r="AK8" s="115"/>
      <c r="AL8" s="115"/>
      <c r="AM8" s="115"/>
      <c r="AN8" s="115"/>
      <c r="AO8" s="115"/>
    </row>
    <row r="9" spans="1:51" s="107" customFormat="1" ht="24" customHeight="1">
      <c r="A9" s="109">
        <v>4</v>
      </c>
      <c r="B9" s="127" t="s">
        <v>30</v>
      </c>
      <c r="C9" s="203" t="s">
        <v>143</v>
      </c>
      <c r="D9" s="201"/>
      <c r="E9" s="111" t="s">
        <v>22</v>
      </c>
      <c r="F9" s="112">
        <v>20932</v>
      </c>
      <c r="G9" s="112">
        <f>G20*J9</f>
        <v>25211.349202238813</v>
      </c>
      <c r="H9" s="112">
        <v>2177</v>
      </c>
      <c r="I9" s="112">
        <f t="shared" si="0"/>
        <v>2620.3785285437098</v>
      </c>
      <c r="J9" s="113">
        <f t="shared" si="1"/>
        <v>1.2605674601119407E-2</v>
      </c>
      <c r="K9" s="113">
        <f t="shared" si="18"/>
        <v>1.4973591591678343E-3</v>
      </c>
      <c r="L9" s="112">
        <f>(F9)*1.005</f>
        <v>21036.659999999996</v>
      </c>
      <c r="M9" s="112">
        <f t="shared" si="2"/>
        <v>25295.792142868875</v>
      </c>
      <c r="N9" s="112">
        <f>(H9)*1.005</f>
        <v>2187.8849999999998</v>
      </c>
      <c r="O9" s="112">
        <f t="shared" si="3"/>
        <v>2623.3592831859983</v>
      </c>
      <c r="P9" s="113">
        <f t="shared" si="4"/>
        <v>1.215528650575038E-2</v>
      </c>
      <c r="Q9" s="113">
        <f t="shared" si="5"/>
        <v>1.4115545418552965E-3</v>
      </c>
      <c r="R9" s="112">
        <f>(L9)*1.005</f>
        <v>21141.843299999993</v>
      </c>
      <c r="S9" s="112">
        <f t="shared" si="6"/>
        <v>25376.732253330145</v>
      </c>
      <c r="T9" s="112">
        <f>N9*1.005</f>
        <v>2198.8244249999993</v>
      </c>
      <c r="U9" s="112">
        <f t="shared" si="7"/>
        <v>2626.1433922750552</v>
      </c>
      <c r="V9" s="113">
        <f t="shared" si="8"/>
        <v>1.169903368083265E-2</v>
      </c>
      <c r="W9" s="113">
        <f t="shared" si="9"/>
        <v>1.3298030136093878E-3</v>
      </c>
      <c r="X9" s="112">
        <f>(R9)*1.005</f>
        <v>21247.552516499993</v>
      </c>
      <c r="Y9" s="112">
        <f t="shared" si="10"/>
        <v>25453.917255211829</v>
      </c>
      <c r="Z9" s="112">
        <f>T9*1.005</f>
        <v>2209.818547124999</v>
      </c>
      <c r="AA9" s="112">
        <f t="shared" si="11"/>
        <v>2627.9625016927134</v>
      </c>
      <c r="AB9" s="113">
        <f t="shared" si="12"/>
        <v>1.1238504765623901E-2</v>
      </c>
      <c r="AC9" s="113">
        <f t="shared" si="13"/>
        <v>1.2489590322605827E-3</v>
      </c>
      <c r="AD9" s="126">
        <f>X9*1.005</f>
        <v>21353.790279082492</v>
      </c>
      <c r="AE9" s="126">
        <f t="shared" si="14"/>
        <v>25527.102711729312</v>
      </c>
      <c r="AF9" s="126">
        <f>Z9*1.005</f>
        <v>2220.867639860624</v>
      </c>
      <c r="AG9" s="126">
        <f t="shared" si="15"/>
        <v>2629.2195788310291</v>
      </c>
      <c r="AH9" s="113">
        <f t="shared" si="16"/>
        <v>1.0775360398113928E-2</v>
      </c>
      <c r="AI9" s="113">
        <f t="shared" si="17"/>
        <v>1.1710100771863069E-3</v>
      </c>
      <c r="AJ9" s="114">
        <v>2</v>
      </c>
      <c r="AK9" s="115"/>
      <c r="AL9" s="115"/>
      <c r="AM9" s="115"/>
      <c r="AN9" s="115"/>
      <c r="AO9" s="115"/>
    </row>
    <row r="10" spans="1:51" s="107" customFormat="1" ht="24" customHeight="1">
      <c r="A10" s="109">
        <v>5</v>
      </c>
      <c r="B10" s="110" t="s">
        <v>32</v>
      </c>
      <c r="C10" s="204"/>
      <c r="D10" s="201"/>
      <c r="E10" s="111"/>
      <c r="F10" s="112">
        <v>52364</v>
      </c>
      <c r="G10" s="112">
        <f>G20*J10</f>
        <v>63069.323983662965</v>
      </c>
      <c r="H10" s="112">
        <v>60997</v>
      </c>
      <c r="I10" s="112">
        <f t="shared" si="0"/>
        <v>73419.949060900632</v>
      </c>
      <c r="J10" s="113">
        <f t="shared" si="1"/>
        <v>3.1534661991831484E-2</v>
      </c>
      <c r="K10" s="113">
        <f t="shared" si="18"/>
        <v>4.195425660622893E-2</v>
      </c>
      <c r="L10" s="112">
        <f>(F10)*0.99</f>
        <v>51840.36</v>
      </c>
      <c r="M10" s="112">
        <f t="shared" si="2"/>
        <v>62336.082399558407</v>
      </c>
      <c r="N10" s="112">
        <f>(H10)*0.99</f>
        <v>60387.03</v>
      </c>
      <c r="O10" s="112">
        <f t="shared" si="3"/>
        <v>72406.399666587313</v>
      </c>
      <c r="P10" s="113">
        <f t="shared" si="4"/>
        <v>2.9954110032735327E-2</v>
      </c>
      <c r="Q10" s="113">
        <f t="shared" si="5"/>
        <v>3.8959811171817557E-2</v>
      </c>
      <c r="R10" s="112">
        <f>(L10)*0.99</f>
        <v>51321.956400000003</v>
      </c>
      <c r="S10" s="112">
        <f t="shared" si="6"/>
        <v>61602.175732703683</v>
      </c>
      <c r="T10" s="112">
        <f>N10*0.99</f>
        <v>59783.159699999997</v>
      </c>
      <c r="U10" s="112">
        <f t="shared" si="7"/>
        <v>71401.403418319504</v>
      </c>
      <c r="V10" s="113">
        <f t="shared" si="8"/>
        <v>2.8399477187016374E-2</v>
      </c>
      <c r="W10" s="113">
        <f t="shared" si="9"/>
        <v>3.6155604343967265E-2</v>
      </c>
      <c r="X10" s="112">
        <f>(R10)*0.99</f>
        <v>50808.736836000004</v>
      </c>
      <c r="Y10" s="112">
        <f t="shared" si="10"/>
        <v>60867.310823732165</v>
      </c>
      <c r="Z10" s="112">
        <f>T10*0.99</f>
        <v>59185.328102999993</v>
      </c>
      <c r="AA10" s="112">
        <f t="shared" si="11"/>
        <v>70384.431838269811</v>
      </c>
      <c r="AB10" s="113">
        <f t="shared" si="12"/>
        <v>2.6874353204835714E-2</v>
      </c>
      <c r="AC10" s="113">
        <f t="shared" si="13"/>
        <v>3.3450732960730568E-2</v>
      </c>
      <c r="AD10" s="126">
        <f>X10*0.99</f>
        <v>50300.649467640003</v>
      </c>
      <c r="AE10" s="126">
        <f t="shared" si="14"/>
        <v>60131.237997824413</v>
      </c>
      <c r="AF10" s="126">
        <f>Z10*0.99</f>
        <v>58593.47482196999</v>
      </c>
      <c r="AG10" s="126">
        <f t="shared" si="15"/>
        <v>69367.083579701575</v>
      </c>
      <c r="AH10" s="113">
        <f t="shared" si="16"/>
        <v>2.5382267934135904E-2</v>
      </c>
      <c r="AI10" s="113">
        <f t="shared" si="17"/>
        <v>3.0894929640289157E-2</v>
      </c>
      <c r="AJ10" s="114"/>
      <c r="AK10" s="115"/>
      <c r="AL10" s="115"/>
      <c r="AM10" s="115"/>
      <c r="AN10" s="115"/>
      <c r="AO10" s="115"/>
    </row>
    <row r="11" spans="1:51" s="107" customFormat="1" ht="24" customHeight="1">
      <c r="A11" s="109">
        <v>6</v>
      </c>
      <c r="B11" s="110" t="s">
        <v>140</v>
      </c>
      <c r="C11" s="204"/>
      <c r="D11" s="201"/>
      <c r="E11" s="111"/>
      <c r="F11" s="112">
        <v>959</v>
      </c>
      <c r="G11" s="112">
        <f>G20*J11</f>
        <v>1155.0584695655944</v>
      </c>
      <c r="H11" s="112">
        <v>1438</v>
      </c>
      <c r="I11" s="112">
        <f t="shared" si="0"/>
        <v>1730.8701534432039</v>
      </c>
      <c r="J11" s="113">
        <f t="shared" si="1"/>
        <v>5.7752923478279717E-4</v>
      </c>
      <c r="K11" s="113">
        <f t="shared" si="18"/>
        <v>9.8906865911040217E-4</v>
      </c>
      <c r="L11" s="112">
        <f>(F11)*1.1</f>
        <v>1054.9000000000001</v>
      </c>
      <c r="M11" s="112">
        <f t="shared" si="2"/>
        <v>1268.477559247161</v>
      </c>
      <c r="N11" s="112">
        <f t="shared" ref="N11" si="21">(H11)*1.1</f>
        <v>1581.8000000000002</v>
      </c>
      <c r="O11" s="112">
        <f t="shared" si="3"/>
        <v>1896.6397750081073</v>
      </c>
      <c r="P11" s="113">
        <f t="shared" si="4"/>
        <v>6.0953648226078094E-4</v>
      </c>
      <c r="Q11" s="113">
        <f t="shared" si="5"/>
        <v>1.0205275754012247E-3</v>
      </c>
      <c r="R11" s="112">
        <f t="shared" si="19"/>
        <v>1160.3900000000001</v>
      </c>
      <c r="S11" s="112">
        <f t="shared" si="6"/>
        <v>1392.8258724461257</v>
      </c>
      <c r="T11" s="112">
        <f>N11*1.1</f>
        <v>1739.9800000000002</v>
      </c>
      <c r="U11" s="112">
        <f t="shared" si="7"/>
        <v>2078.1272609752605</v>
      </c>
      <c r="V11" s="113">
        <f t="shared" si="8"/>
        <v>6.4211249228686711E-4</v>
      </c>
      <c r="W11" s="113">
        <f t="shared" si="9"/>
        <v>1.0523035042327509E-3</v>
      </c>
      <c r="X11" s="112">
        <f t="shared" si="20"/>
        <v>1276.4290000000003</v>
      </c>
      <c r="Y11" s="112">
        <f t="shared" si="10"/>
        <v>1529.1228541697815</v>
      </c>
      <c r="Z11" s="112">
        <f>T11*1.1</f>
        <v>1913.9780000000005</v>
      </c>
      <c r="AA11" s="112">
        <f t="shared" si="11"/>
        <v>2276.1427265640114</v>
      </c>
      <c r="AB11" s="113">
        <f t="shared" si="12"/>
        <v>6.7514380248457728E-4</v>
      </c>
      <c r="AC11" s="113">
        <f t="shared" si="13"/>
        <v>1.0817540262561783E-3</v>
      </c>
      <c r="AD11" s="126">
        <f>X11*1.1</f>
        <v>1404.0719000000004</v>
      </c>
      <c r="AE11" s="126">
        <f t="shared" si="14"/>
        <v>1678.478955610168</v>
      </c>
      <c r="AF11" s="126">
        <f>Z11*1.1</f>
        <v>2105.3758000000007</v>
      </c>
      <c r="AG11" s="126">
        <f t="shared" si="15"/>
        <v>2492.4922020586678</v>
      </c>
      <c r="AH11" s="113">
        <f t="shared" si="16"/>
        <v>7.0851031829158935E-4</v>
      </c>
      <c r="AI11" s="113">
        <f t="shared" si="17"/>
        <v>1.1101140085137658E-3</v>
      </c>
      <c r="AJ11" s="114"/>
      <c r="AK11" s="115"/>
      <c r="AL11" s="115"/>
      <c r="AM11" s="115"/>
      <c r="AN11" s="115"/>
      <c r="AO11" s="115"/>
    </row>
    <row r="12" spans="1:51" s="107" customFormat="1" ht="24" customHeight="1">
      <c r="A12" s="109">
        <v>7</v>
      </c>
      <c r="B12" s="127" t="s">
        <v>30</v>
      </c>
      <c r="C12" s="199" t="s">
        <v>144</v>
      </c>
      <c r="D12" s="201"/>
      <c r="E12" s="111" t="s">
        <v>22</v>
      </c>
      <c r="F12" s="112">
        <v>26815</v>
      </c>
      <c r="G12" s="112">
        <f>G20*J12</f>
        <v>32297.072848176656</v>
      </c>
      <c r="H12" s="112">
        <v>17312</v>
      </c>
      <c r="I12" s="112">
        <f t="shared" si="0"/>
        <v>20837.847076779377</v>
      </c>
      <c r="J12" s="113">
        <f t="shared" si="1"/>
        <v>1.6148536424088328E-2</v>
      </c>
      <c r="K12" s="113">
        <f t="shared" si="18"/>
        <v>1.1907341186731073E-2</v>
      </c>
      <c r="L12" s="112">
        <f>(F12)*0.99</f>
        <v>26546.85</v>
      </c>
      <c r="M12" s="112">
        <f t="shared" si="2"/>
        <v>31921.588296237082</v>
      </c>
      <c r="N12" s="112">
        <f>(H12)*0.99</f>
        <v>17138.88</v>
      </c>
      <c r="O12" s="112">
        <f t="shared" si="3"/>
        <v>20550.184288210236</v>
      </c>
      <c r="P12" s="113">
        <f t="shared" si="4"/>
        <v>1.5339154009009964E-2</v>
      </c>
      <c r="Q12" s="113">
        <f t="shared" si="5"/>
        <v>1.1057465957448819E-2</v>
      </c>
      <c r="R12" s="112">
        <f>(L12)*0.99</f>
        <v>26281.3815</v>
      </c>
      <c r="S12" s="112">
        <f t="shared" si="6"/>
        <v>31545.763163097719</v>
      </c>
      <c r="T12" s="112">
        <f>N12*0.99</f>
        <v>16967.4912</v>
      </c>
      <c r="U12" s="112">
        <f t="shared" si="7"/>
        <v>20264.94902991864</v>
      </c>
      <c r="V12" s="113">
        <f t="shared" si="8"/>
        <v>1.4543044472726377E-2</v>
      </c>
      <c r="W12" s="113">
        <f t="shared" si="9"/>
        <v>1.0261583723834965E-2</v>
      </c>
      <c r="X12" s="112">
        <f>(R12)*0.99</f>
        <v>26018.567684999998</v>
      </c>
      <c r="Y12" s="112">
        <f t="shared" si="10"/>
        <v>31169.447325230645</v>
      </c>
      <c r="Z12" s="112">
        <f>T12*0.99</f>
        <v>16797.816288000002</v>
      </c>
      <c r="AA12" s="112">
        <f t="shared" si="11"/>
        <v>19976.314966049598</v>
      </c>
      <c r="AB12" s="113">
        <f t="shared" si="12"/>
        <v>1.3762046084861155E-2</v>
      </c>
      <c r="AC12" s="113">
        <f t="shared" si="13"/>
        <v>9.4938946016388959E-3</v>
      </c>
      <c r="AD12" s="126">
        <f>X12*0.99</f>
        <v>25758.382008149998</v>
      </c>
      <c r="AE12" s="126">
        <f t="shared" si="14"/>
        <v>30792.512927042655</v>
      </c>
      <c r="AF12" s="126">
        <f>Z12*0.99</f>
        <v>16629.838125120001</v>
      </c>
      <c r="AG12" s="126">
        <f t="shared" si="15"/>
        <v>19687.573994324212</v>
      </c>
      <c r="AH12" s="113">
        <f t="shared" si="16"/>
        <v>1.299796643980319E-2</v>
      </c>
      <c r="AI12" s="113">
        <f t="shared" si="17"/>
        <v>8.7685135651374008E-3</v>
      </c>
      <c r="AJ12" s="114">
        <v>3</v>
      </c>
      <c r="AK12" s="115"/>
      <c r="AL12" s="115"/>
      <c r="AM12" s="115"/>
      <c r="AN12" s="115"/>
      <c r="AO12" s="115"/>
    </row>
    <row r="13" spans="1:51" s="107" customFormat="1" ht="24" customHeight="1">
      <c r="A13" s="109">
        <v>8</v>
      </c>
      <c r="B13" s="110" t="s">
        <v>32</v>
      </c>
      <c r="C13" s="199"/>
      <c r="D13" s="201"/>
      <c r="E13" s="111"/>
      <c r="F13" s="112">
        <v>16814</v>
      </c>
      <c r="G13" s="112">
        <f>G20*J13</f>
        <v>20251.463094135459</v>
      </c>
      <c r="H13" s="112">
        <v>19587</v>
      </c>
      <c r="I13" s="112">
        <f t="shared" si="0"/>
        <v>23576.184767379717</v>
      </c>
      <c r="J13" s="113">
        <f t="shared" si="1"/>
        <v>1.0125731547067729E-2</v>
      </c>
      <c r="K13" s="113">
        <f t="shared" si="18"/>
        <v>1.3472105581359839E-2</v>
      </c>
      <c r="L13" s="112">
        <f>(F13)*0.99</f>
        <v>16645.86</v>
      </c>
      <c r="M13" s="112">
        <f t="shared" si="2"/>
        <v>20016.020347303012</v>
      </c>
      <c r="N13" s="112">
        <f>(H13)*0.99</f>
        <v>19391.13</v>
      </c>
      <c r="O13" s="112">
        <f t="shared" si="3"/>
        <v>23250.719711943959</v>
      </c>
      <c r="P13" s="113">
        <f t="shared" si="4"/>
        <v>9.6182187397909208E-3</v>
      </c>
      <c r="Q13" s="113">
        <f t="shared" si="5"/>
        <v>1.2510546771519755E-2</v>
      </c>
      <c r="R13" s="112">
        <f>(L13)*0.99</f>
        <v>16479.401399999999</v>
      </c>
      <c r="S13" s="112">
        <f t="shared" si="6"/>
        <v>19780.364043420665</v>
      </c>
      <c r="T13" s="112">
        <f>N13*0.99</f>
        <v>19197.218700000001</v>
      </c>
      <c r="U13" s="112">
        <f t="shared" si="7"/>
        <v>22928.00119275742</v>
      </c>
      <c r="V13" s="113">
        <f t="shared" si="8"/>
        <v>9.1190285200231699E-3</v>
      </c>
      <c r="W13" s="113">
        <f t="shared" si="9"/>
        <v>1.1610076270722936E-2</v>
      </c>
      <c r="X13" s="112">
        <f>(R13)*0.99</f>
        <v>16314.607385999998</v>
      </c>
      <c r="Y13" s="112">
        <f t="shared" si="10"/>
        <v>19544.400049465901</v>
      </c>
      <c r="Z13" s="112">
        <f>T13*0.99</f>
        <v>19005.246513000002</v>
      </c>
      <c r="AA13" s="112">
        <f t="shared" si="11"/>
        <v>22601.43722504699</v>
      </c>
      <c r="AB13" s="113">
        <f t="shared" si="12"/>
        <v>8.6293135510294786E-3</v>
      </c>
      <c r="AC13" s="113">
        <f t="shared" si="13"/>
        <v>1.0741503787101493E-2</v>
      </c>
      <c r="AD13" s="126">
        <f>X13*0.99</f>
        <v>16151.461312139998</v>
      </c>
      <c r="AE13" s="126">
        <f t="shared" si="14"/>
        <v>19308.048195237559</v>
      </c>
      <c r="AF13" s="126">
        <f>Z13*0.99</f>
        <v>18815.194047870002</v>
      </c>
      <c r="AG13" s="126">
        <f t="shared" si="15"/>
        <v>22274.752300533059</v>
      </c>
      <c r="AH13" s="113">
        <f t="shared" si="16"/>
        <v>8.1502072615644537E-3</v>
      </c>
      <c r="AI13" s="113">
        <f t="shared" si="17"/>
        <v>9.9207991682270253E-3</v>
      </c>
      <c r="AJ13" s="114"/>
      <c r="AK13" s="115"/>
      <c r="AL13" s="115"/>
      <c r="AM13" s="115"/>
      <c r="AN13" s="115"/>
      <c r="AO13" s="115"/>
    </row>
    <row r="14" spans="1:51" s="107" customFormat="1" ht="24" customHeight="1">
      <c r="A14" s="109">
        <v>9</v>
      </c>
      <c r="B14" s="110" t="s">
        <v>140</v>
      </c>
      <c r="C14" s="199"/>
      <c r="D14" s="201"/>
      <c r="E14" s="111"/>
      <c r="F14" s="112">
        <v>485718</v>
      </c>
      <c r="G14" s="112">
        <f>G20*J14</f>
        <v>585018.44600673765</v>
      </c>
      <c r="H14" s="112">
        <v>728576</v>
      </c>
      <c r="I14" s="112">
        <f t="shared" si="0"/>
        <v>876961.37198542117</v>
      </c>
      <c r="J14" s="113">
        <f t="shared" si="1"/>
        <v>0.29250922300336885</v>
      </c>
      <c r="K14" s="113">
        <f t="shared" si="18"/>
        <v>0.50112078399166926</v>
      </c>
      <c r="L14" s="112">
        <f>(F14)*1.1</f>
        <v>534289.80000000005</v>
      </c>
      <c r="M14" s="112">
        <f t="shared" si="2"/>
        <v>642463.38177519559</v>
      </c>
      <c r="N14" s="112">
        <f>(H14)*1.1</f>
        <v>801433.60000000009</v>
      </c>
      <c r="O14" s="112">
        <f t="shared" si="3"/>
        <v>960950.08394736203</v>
      </c>
      <c r="P14" s="113">
        <f t="shared" si="4"/>
        <v>0.30872037652840667</v>
      </c>
      <c r="Q14" s="113">
        <f t="shared" si="5"/>
        <v>0.51705973489257484</v>
      </c>
      <c r="R14" s="112">
        <f>(L14)*1.1</f>
        <v>587718.78000000014</v>
      </c>
      <c r="S14" s="112">
        <f t="shared" si="6"/>
        <v>705443.79260978871</v>
      </c>
      <c r="T14" s="112">
        <f>N14*1.1</f>
        <v>881576.9600000002</v>
      </c>
      <c r="U14" s="112">
        <f t="shared" si="7"/>
        <v>1052902.3972825534</v>
      </c>
      <c r="V14" s="113">
        <f t="shared" si="8"/>
        <v>0.32521959909133741</v>
      </c>
      <c r="W14" s="113">
        <f t="shared" si="9"/>
        <v>0.53315930312926341</v>
      </c>
      <c r="X14" s="112">
        <f>(R14)*1.1</f>
        <v>646490.65800000017</v>
      </c>
      <c r="Y14" s="112">
        <f t="shared" si="10"/>
        <v>774476.01092975796</v>
      </c>
      <c r="Z14" s="112">
        <f>T14*1.1</f>
        <v>969734.65600000031</v>
      </c>
      <c r="AA14" s="112">
        <f t="shared" si="11"/>
        <v>1153228.7643595973</v>
      </c>
      <c r="AB14" s="113">
        <f t="shared" si="12"/>
        <v>0.3419494238323294</v>
      </c>
      <c r="AC14" s="113">
        <f t="shared" si="13"/>
        <v>0.54808068249904129</v>
      </c>
      <c r="AD14" s="126">
        <f>X14*1.1</f>
        <v>711139.72380000027</v>
      </c>
      <c r="AE14" s="126">
        <f t="shared" si="14"/>
        <v>850122.46231601643</v>
      </c>
      <c r="AF14" s="126">
        <f>Z14*1.1</f>
        <v>1066708.1216000004</v>
      </c>
      <c r="AG14" s="126">
        <f t="shared" si="15"/>
        <v>1262844.2271259362</v>
      </c>
      <c r="AH14" s="113">
        <f t="shared" si="16"/>
        <v>0.35884902479661551</v>
      </c>
      <c r="AI14" s="113">
        <f t="shared" si="17"/>
        <v>0.56244952981010121</v>
      </c>
      <c r="AJ14" s="114"/>
      <c r="AK14" s="115"/>
      <c r="AL14" s="115"/>
      <c r="AM14" s="115"/>
      <c r="AN14" s="115"/>
      <c r="AO14" s="115"/>
    </row>
    <row r="15" spans="1:51" s="107" customFormat="1" ht="39.75" customHeight="1">
      <c r="A15" s="109">
        <v>10</v>
      </c>
      <c r="B15" s="127" t="s">
        <v>145</v>
      </c>
      <c r="C15" s="204" t="s">
        <v>146</v>
      </c>
      <c r="D15" s="201"/>
      <c r="E15" s="111" t="s">
        <v>22</v>
      </c>
      <c r="F15" s="112">
        <v>6254</v>
      </c>
      <c r="G15" s="112">
        <f>G20*J15</f>
        <v>7532.5710830690587</v>
      </c>
      <c r="H15" s="112">
        <v>11472</v>
      </c>
      <c r="I15" s="112">
        <f t="shared" si="0"/>
        <v>13808.443950139384</v>
      </c>
      <c r="J15" s="113">
        <f t="shared" si="1"/>
        <v>3.7662855415345293E-3</v>
      </c>
      <c r="K15" s="113">
        <f t="shared" si="18"/>
        <v>7.8905394000796485E-3</v>
      </c>
      <c r="L15" s="112">
        <f>(F15)*0.99</f>
        <v>6191.46</v>
      </c>
      <c r="M15" s="112">
        <f t="shared" si="2"/>
        <v>7444.9976954938165</v>
      </c>
      <c r="N15" s="112">
        <f>(H15)*0.99</f>
        <v>11357.28</v>
      </c>
      <c r="O15" s="112">
        <f t="shared" si="3"/>
        <v>13617.820826845413</v>
      </c>
      <c r="P15" s="113">
        <f t="shared" si="4"/>
        <v>3.5775151658530044E-3</v>
      </c>
      <c r="Q15" s="113">
        <f t="shared" si="5"/>
        <v>7.3273596039656217E-3</v>
      </c>
      <c r="R15" s="112">
        <f>(L15)*0.99</f>
        <v>6129.5454</v>
      </c>
      <c r="S15" s="112">
        <f t="shared" si="6"/>
        <v>7357.3448749585368</v>
      </c>
      <c r="T15" s="112">
        <f>N15*0.99</f>
        <v>11243.707200000001</v>
      </c>
      <c r="U15" s="112">
        <f t="shared" si="7"/>
        <v>13428.806334983055</v>
      </c>
      <c r="V15" s="113">
        <f t="shared" si="8"/>
        <v>3.3918403927813076E-3</v>
      </c>
      <c r="W15" s="113">
        <f t="shared" si="9"/>
        <v>6.7999589001752963E-3</v>
      </c>
      <c r="X15" s="112">
        <f>(R15)*0.99</f>
        <v>6068.2499459999999</v>
      </c>
      <c r="Y15" s="112">
        <f t="shared" si="10"/>
        <v>7269.5776085024236</v>
      </c>
      <c r="Z15" s="112">
        <f>T15*0.99</f>
        <v>11131.270128</v>
      </c>
      <c r="AA15" s="112">
        <f t="shared" si="11"/>
        <v>13237.539584711238</v>
      </c>
      <c r="AB15" s="113">
        <f t="shared" si="12"/>
        <v>3.2096899576625646E-3</v>
      </c>
      <c r="AC15" s="113">
        <f t="shared" si="13"/>
        <v>6.2912406925832599E-3</v>
      </c>
      <c r="AD15" s="126">
        <f>X15*0.99</f>
        <v>6007.5674465399998</v>
      </c>
      <c r="AE15" s="126">
        <f t="shared" si="14"/>
        <v>7181.6660766632394</v>
      </c>
      <c r="AF15" s="126">
        <f>Z15*0.99</f>
        <v>11019.957426720001</v>
      </c>
      <c r="AG15" s="126">
        <f t="shared" si="15"/>
        <v>13046.201990693586</v>
      </c>
      <c r="AH15" s="113">
        <f t="shared" si="16"/>
        <v>3.0314854415263528E-3</v>
      </c>
      <c r="AI15" s="113">
        <f t="shared" si="17"/>
        <v>5.8105584345688691E-3</v>
      </c>
      <c r="AJ15" s="114">
        <v>2</v>
      </c>
      <c r="AK15" s="115"/>
      <c r="AL15" s="115"/>
      <c r="AM15" s="115"/>
      <c r="AN15" s="115"/>
      <c r="AO15" s="115"/>
    </row>
    <row r="16" spans="1:51" s="107" customFormat="1" ht="24" customHeight="1">
      <c r="A16" s="109">
        <v>11</v>
      </c>
      <c r="B16" s="110" t="s">
        <v>32</v>
      </c>
      <c r="C16" s="204"/>
      <c r="D16" s="201"/>
      <c r="E16" s="111"/>
      <c r="F16" s="112">
        <v>18759</v>
      </c>
      <c r="G16" s="112">
        <f>G20*J16</f>
        <v>22594.099927613126</v>
      </c>
      <c r="H16" s="112">
        <v>21851</v>
      </c>
      <c r="I16" s="112">
        <f t="shared" si="0"/>
        <v>26301.28214387166</v>
      </c>
      <c r="J16" s="113">
        <f t="shared" si="1"/>
        <v>1.1297049963806562E-2</v>
      </c>
      <c r="K16" s="113">
        <f t="shared" si="18"/>
        <v>1.5029304082212378E-2</v>
      </c>
      <c r="L16" s="112">
        <f>(F16)*1</f>
        <v>18759</v>
      </c>
      <c r="M16" s="112">
        <f t="shared" si="2"/>
        <v>22556.991690129387</v>
      </c>
      <c r="N16" s="112">
        <f>(H16)*1</f>
        <v>21851</v>
      </c>
      <c r="O16" s="112">
        <f t="shared" si="3"/>
        <v>26200.199597738116</v>
      </c>
      <c r="P16" s="113">
        <f t="shared" si="4"/>
        <v>1.0839221604635499E-2</v>
      </c>
      <c r="Q16" s="113">
        <f t="shared" si="5"/>
        <v>1.4097577475086711E-2</v>
      </c>
      <c r="R16" s="112">
        <f>(L16)*1</f>
        <v>18759</v>
      </c>
      <c r="S16" s="112">
        <f t="shared" si="6"/>
        <v>22516.585407679206</v>
      </c>
      <c r="T16" s="112">
        <f>N16*1</f>
        <v>21851</v>
      </c>
      <c r="U16" s="112">
        <f t="shared" si="7"/>
        <v>26097.517660875652</v>
      </c>
      <c r="V16" s="113">
        <f t="shared" si="8"/>
        <v>1.0380465397676075E-2</v>
      </c>
      <c r="W16" s="113">
        <f t="shared" si="9"/>
        <v>1.3215027684795135E-2</v>
      </c>
      <c r="X16" s="112">
        <f>(R16)*1</f>
        <v>18759</v>
      </c>
      <c r="Y16" s="112">
        <f t="shared" si="10"/>
        <v>22472.707546891306</v>
      </c>
      <c r="Z16" s="112">
        <f>T16*1</f>
        <v>21851</v>
      </c>
      <c r="AA16" s="112">
        <f t="shared" si="11"/>
        <v>25985.666877127216</v>
      </c>
      <c r="AB16" s="113">
        <f t="shared" si="12"/>
        <v>9.9222303714567618E-3</v>
      </c>
      <c r="AC16" s="113">
        <f t="shared" si="13"/>
        <v>1.2349884495915703E-2</v>
      </c>
      <c r="AD16" s="126">
        <f>X16*1</f>
        <v>18759</v>
      </c>
      <c r="AE16" s="126">
        <f t="shared" si="14"/>
        <v>22425.195410784258</v>
      </c>
      <c r="AF16" s="126">
        <f>Z16*1</f>
        <v>21851</v>
      </c>
      <c r="AG16" s="126">
        <f t="shared" si="15"/>
        <v>25868.753268268752</v>
      </c>
      <c r="AH16" s="113">
        <f t="shared" si="16"/>
        <v>9.4660003243650995E-3</v>
      </c>
      <c r="AI16" s="113">
        <f t="shared" si="17"/>
        <v>1.1521506611805022E-2</v>
      </c>
      <c r="AJ16" s="114"/>
      <c r="AK16" s="115"/>
      <c r="AL16" s="115"/>
      <c r="AM16" s="115"/>
      <c r="AN16" s="115"/>
      <c r="AO16" s="115"/>
    </row>
    <row r="17" spans="1:41" s="107" customFormat="1" ht="24" customHeight="1">
      <c r="A17" s="109">
        <v>12</v>
      </c>
      <c r="B17" s="110" t="s">
        <v>147</v>
      </c>
      <c r="C17" s="204"/>
      <c r="D17" s="201"/>
      <c r="E17" s="111"/>
      <c r="F17" s="112">
        <v>1407</v>
      </c>
      <c r="G17" s="112">
        <f>G20*J17</f>
        <v>1694.6478276108355</v>
      </c>
      <c r="H17" s="112">
        <v>1030</v>
      </c>
      <c r="I17" s="112">
        <f t="shared" si="0"/>
        <v>1239.7748665135605</v>
      </c>
      <c r="J17" s="113">
        <f t="shared" si="1"/>
        <v>8.4732391380541781E-4</v>
      </c>
      <c r="K17" s="113">
        <f t="shared" si="18"/>
        <v>7.0844278086489173E-4</v>
      </c>
      <c r="L17" s="112">
        <f>(F17)*1.1</f>
        <v>1547.7</v>
      </c>
      <c r="M17" s="112">
        <f t="shared" si="2"/>
        <v>1861.0510175816014</v>
      </c>
      <c r="N17" s="112">
        <f>(H17)*1.1</f>
        <v>1133</v>
      </c>
      <c r="O17" s="112">
        <f t="shared" si="3"/>
        <v>1358.5111044912032</v>
      </c>
      <c r="P17" s="113">
        <f t="shared" si="4"/>
        <v>8.9428345207603628E-4</v>
      </c>
      <c r="Q17" s="113">
        <f t="shared" si="5"/>
        <v>7.3097594065595366E-4</v>
      </c>
      <c r="R17" s="112">
        <f>(L17)*1.1</f>
        <v>1702.4700000000003</v>
      </c>
      <c r="S17" s="112">
        <f t="shared" si="6"/>
        <v>2043.4890537348269</v>
      </c>
      <c r="T17" s="112">
        <f>N17*1.1</f>
        <v>1246.3000000000002</v>
      </c>
      <c r="U17" s="112">
        <f t="shared" si="7"/>
        <v>1488.5056180838098</v>
      </c>
      <c r="V17" s="113">
        <f t="shared" si="8"/>
        <v>9.4207745218730142E-4</v>
      </c>
      <c r="W17" s="113">
        <f t="shared" si="9"/>
        <v>7.5373616784404278E-4</v>
      </c>
      <c r="X17" s="112">
        <f>(R17)*1.1</f>
        <v>1872.7170000000003</v>
      </c>
      <c r="Y17" s="112">
        <f t="shared" si="10"/>
        <v>2243.4576181615039</v>
      </c>
      <c r="Z17" s="112">
        <f>T17*1.1</f>
        <v>1370.9300000000003</v>
      </c>
      <c r="AA17" s="112">
        <f t="shared" si="11"/>
        <v>1630.3386706265171</v>
      </c>
      <c r="AB17" s="113">
        <f t="shared" si="12"/>
        <v>9.9053944744087615E-4</v>
      </c>
      <c r="AC17" s="113">
        <f t="shared" si="13"/>
        <v>7.7483076984969658E-4</v>
      </c>
      <c r="AD17" s="126">
        <f>X17*1.1</f>
        <v>2059.9887000000003</v>
      </c>
      <c r="AE17" s="126">
        <f t="shared" si="14"/>
        <v>2462.5859129755017</v>
      </c>
      <c r="AF17" s="126">
        <f>Z17*1.1</f>
        <v>1508.0230000000004</v>
      </c>
      <c r="AG17" s="126">
        <f t="shared" si="15"/>
        <v>1785.303872128253</v>
      </c>
      <c r="AH17" s="113">
        <f t="shared" si="16"/>
        <v>1.0394932407051785E-3</v>
      </c>
      <c r="AI17" s="113">
        <f t="shared" si="17"/>
        <v>7.9514424810095874E-4</v>
      </c>
      <c r="AJ17" s="114"/>
      <c r="AK17" s="115"/>
      <c r="AL17" s="115"/>
      <c r="AM17" s="115"/>
      <c r="AN17" s="115"/>
      <c r="AO17" s="115"/>
    </row>
    <row r="18" spans="1:41" s="107" customFormat="1" ht="24" customHeight="1">
      <c r="A18" s="109">
        <v>13</v>
      </c>
      <c r="B18" s="110" t="s">
        <v>140</v>
      </c>
      <c r="C18" s="204"/>
      <c r="D18" s="201"/>
      <c r="E18" s="111"/>
      <c r="F18" s="112">
        <v>130265</v>
      </c>
      <c r="G18" s="112">
        <f>G20*J18</f>
        <v>156896.44581643603</v>
      </c>
      <c r="H18" s="112">
        <v>195398</v>
      </c>
      <c r="I18" s="112">
        <f t="shared" si="0"/>
        <v>235193.71783205506</v>
      </c>
      <c r="J18" s="113">
        <f t="shared" si="1"/>
        <v>7.8448222908218013E-2</v>
      </c>
      <c r="K18" s="113">
        <f t="shared" si="18"/>
        <v>0.13439641018974574</v>
      </c>
      <c r="L18" s="112">
        <f>(F18)*1.1</f>
        <v>143291.5</v>
      </c>
      <c r="M18" s="112">
        <f t="shared" si="2"/>
        <v>172302.63738824966</v>
      </c>
      <c r="N18" s="112">
        <f t="shared" ref="N18" si="22">(H18)*1.1</f>
        <v>214937.80000000002</v>
      </c>
      <c r="O18" s="112">
        <f t="shared" si="3"/>
        <v>257718.78912172056</v>
      </c>
      <c r="P18" s="113">
        <f t="shared" si="4"/>
        <v>8.2795901837018376E-2</v>
      </c>
      <c r="Q18" s="113">
        <f t="shared" si="5"/>
        <v>0.13867110374008937</v>
      </c>
      <c r="R18" s="112">
        <f t="shared" ref="R18" si="23">(L18)*1.1</f>
        <v>157620.65000000002</v>
      </c>
      <c r="S18" s="112">
        <f t="shared" si="6"/>
        <v>189193.39131824253</v>
      </c>
      <c r="T18" s="112">
        <f>N18*1.1</f>
        <v>236431.58000000005</v>
      </c>
      <c r="U18" s="112">
        <f t="shared" si="7"/>
        <v>282379.63180809736</v>
      </c>
      <c r="V18" s="113">
        <f t="shared" si="8"/>
        <v>8.7220838172834991E-2</v>
      </c>
      <c r="W18" s="113">
        <f t="shared" si="9"/>
        <v>0.1429888735188255</v>
      </c>
      <c r="X18" s="112">
        <f t="shared" ref="X18" si="24">(R18)*1.1</f>
        <v>173382.71500000003</v>
      </c>
      <c r="Y18" s="112">
        <f t="shared" si="10"/>
        <v>207707.18310576282</v>
      </c>
      <c r="Z18" s="112">
        <f>T18*1.1</f>
        <v>260074.73800000007</v>
      </c>
      <c r="AA18" s="112">
        <f t="shared" si="11"/>
        <v>309286.32578939828</v>
      </c>
      <c r="AB18" s="113">
        <f t="shared" si="12"/>
        <v>9.1707619844268451E-2</v>
      </c>
      <c r="AC18" s="113">
        <f t="shared" si="13"/>
        <v>0.14699066288067089</v>
      </c>
      <c r="AD18" s="126">
        <f>X18*1.1</f>
        <v>190720.98650000006</v>
      </c>
      <c r="AE18" s="126">
        <f t="shared" si="14"/>
        <v>227994.85000266792</v>
      </c>
      <c r="AF18" s="126">
        <f>Z18*1.1</f>
        <v>286082.21180000011</v>
      </c>
      <c r="AG18" s="126">
        <f t="shared" si="15"/>
        <v>338684.27767584118</v>
      </c>
      <c r="AH18" s="113">
        <f t="shared" si="16"/>
        <v>9.6239933902245986E-2</v>
      </c>
      <c r="AI18" s="113">
        <f t="shared" si="17"/>
        <v>0.15084426775770016</v>
      </c>
      <c r="AJ18" s="114"/>
      <c r="AK18" s="115"/>
      <c r="AL18" s="115"/>
      <c r="AM18" s="115"/>
      <c r="AN18" s="115"/>
      <c r="AO18" s="115"/>
    </row>
    <row r="19" spans="1:41" s="107" customFormat="1" ht="24" customHeight="1">
      <c r="A19" s="109">
        <v>14</v>
      </c>
      <c r="B19" s="117" t="s">
        <v>122</v>
      </c>
      <c r="C19" s="205"/>
      <c r="D19" s="202"/>
      <c r="E19" s="111"/>
      <c r="F19" s="112">
        <v>721910</v>
      </c>
      <c r="G19" s="112">
        <f>G20*J19</f>
        <v>869497.66398758942</v>
      </c>
      <c r="H19" s="112">
        <v>196885</v>
      </c>
      <c r="I19" s="112">
        <f>$I$10*K19</f>
        <v>9942.4694051456481</v>
      </c>
      <c r="J19" s="113">
        <f t="shared" si="1"/>
        <v>0.43474883199379472</v>
      </c>
      <c r="K19" s="113">
        <f t="shared" si="18"/>
        <v>0.1354191814665866</v>
      </c>
      <c r="L19" s="112">
        <f>(F19)*1.01</f>
        <v>729129.1</v>
      </c>
      <c r="M19" s="112">
        <f>P19*M$10</f>
        <v>26262.275232131247</v>
      </c>
      <c r="N19" s="112">
        <f>(H19)*1.01</f>
        <v>198853.85</v>
      </c>
      <c r="O19" s="112">
        <f>Q19*O$10</f>
        <v>9289.3244085448023</v>
      </c>
      <c r="P19" s="113">
        <f t="shared" si="4"/>
        <v>0.42130134299741123</v>
      </c>
      <c r="Q19" s="113">
        <f t="shared" si="5"/>
        <v>0.12829424541642356</v>
      </c>
      <c r="R19" s="112">
        <f>(L19)*1.01</f>
        <v>736420.39099999995</v>
      </c>
      <c r="S19" s="112">
        <f>V19*S$10</f>
        <v>25103.194923804382</v>
      </c>
      <c r="T19" s="112">
        <f>(H19)*1.01</f>
        <v>198853.85</v>
      </c>
      <c r="U19" s="112">
        <f>W19*U$10</f>
        <v>8586.9218836796754</v>
      </c>
      <c r="V19" s="113">
        <f t="shared" si="8"/>
        <v>0.40750500489997249</v>
      </c>
      <c r="W19" s="113">
        <f t="shared" si="9"/>
        <v>0.12026264852766917</v>
      </c>
      <c r="X19" s="112">
        <f>(R19)*1.01</f>
        <v>743784.59490999999</v>
      </c>
      <c r="Y19" s="112">
        <f>AB19*Y$10</f>
        <v>23945.886323606468</v>
      </c>
      <c r="Z19" s="112">
        <f>(T19)*1.01</f>
        <v>200842.3885</v>
      </c>
      <c r="AA19" s="112">
        <f>AC19*AA$10</f>
        <v>7989.5729325157172</v>
      </c>
      <c r="AB19" s="113">
        <f t="shared" si="12"/>
        <v>0.3934112744516054</v>
      </c>
      <c r="AC19" s="113">
        <f t="shared" si="13"/>
        <v>0.11351335407344416</v>
      </c>
      <c r="AD19" s="126">
        <f>(X19)*1.01</f>
        <v>751222.44085909997</v>
      </c>
      <c r="AE19" s="126">
        <f>AH19*AE$10</f>
        <v>22794.261685857848</v>
      </c>
      <c r="AF19" s="126">
        <f>(Z19)*1.01</f>
        <v>202850.812385</v>
      </c>
      <c r="AG19" s="126">
        <f>AI19*AG$10</f>
        <v>7419.3890270211396</v>
      </c>
      <c r="AH19" s="113">
        <f t="shared" si="16"/>
        <v>0.37907521023735713</v>
      </c>
      <c r="AI19" s="113">
        <f t="shared" si="17"/>
        <v>0.10695835321512963</v>
      </c>
      <c r="AJ19" s="114"/>
      <c r="AK19" s="115"/>
      <c r="AL19" s="115"/>
      <c r="AM19" s="115"/>
      <c r="AN19" s="115"/>
      <c r="AO19" s="115"/>
    </row>
    <row r="20" spans="1:41" s="118" customFormat="1" ht="24" customHeight="1">
      <c r="A20" s="197" t="s">
        <v>149</v>
      </c>
      <c r="B20" s="198"/>
      <c r="C20" s="120" t="s">
        <v>27</v>
      </c>
      <c r="D20" s="120">
        <v>5</v>
      </c>
      <c r="E20" s="120">
        <f>COUNTA(E6:E19)</f>
        <v>4</v>
      </c>
      <c r="F20" s="121">
        <f>SUM(F6:F19)</f>
        <v>1660522</v>
      </c>
      <c r="G20" s="121">
        <v>2000000</v>
      </c>
      <c r="H20" s="121">
        <f>SUM(H6:H19)</f>
        <v>1453893</v>
      </c>
      <c r="I20" s="122">
        <v>1750000</v>
      </c>
      <c r="J20" s="123">
        <f>SUM(J6:J19)</f>
        <v>1</v>
      </c>
      <c r="K20" s="123">
        <f>SUM(K6:K19)</f>
        <v>1</v>
      </c>
      <c r="L20" s="121">
        <f>SUM(L6:L19)</f>
        <v>1730659.33</v>
      </c>
      <c r="M20" s="121">
        <f>G20*(1+((L20-F20)/L20))</f>
        <v>2081052.72803747</v>
      </c>
      <c r="N20" s="121">
        <f>SUM(N6:N19)</f>
        <v>1549982.6150000002</v>
      </c>
      <c r="O20" s="122">
        <f>I20*(1+((N20-H20)/N20))</f>
        <v>1858489.4918321392</v>
      </c>
      <c r="P20" s="123">
        <f>SUM(P6:P19)</f>
        <v>1</v>
      </c>
      <c r="Q20" s="123">
        <f>SUM(Q6:Q19)</f>
        <v>0.99999999999999978</v>
      </c>
      <c r="R20" s="121">
        <f>SUM(R6:R19)</f>
        <v>1807144.4084000001</v>
      </c>
      <c r="S20" s="121">
        <f>M20*(1+((R20-L20)/R20))</f>
        <v>2169130.6261393735</v>
      </c>
      <c r="T20" s="121">
        <f>SUM(T6:T19)</f>
        <v>1653496.3468250006</v>
      </c>
      <c r="U20" s="122">
        <f>O20*(1+((T20-N20)/T20))</f>
        <v>1974836.3971195288</v>
      </c>
      <c r="V20" s="123">
        <f>SUM(V6:V19)</f>
        <v>1</v>
      </c>
      <c r="W20" s="123">
        <f>SUM(W6:W19)</f>
        <v>0.99999999999999967</v>
      </c>
      <c r="X20" s="121">
        <f>SUM(X6:X19)</f>
        <v>1890603.1504735001</v>
      </c>
      <c r="Y20" s="121">
        <f>S20*(1+((X20-R20)/X20))</f>
        <v>2264884.6787047447</v>
      </c>
      <c r="Z20" s="121">
        <f>SUM(Z6:Z19)</f>
        <v>1769328.2886351254</v>
      </c>
      <c r="AA20" s="122">
        <f>U20*(1+((Z20-T20)/Z20))</f>
        <v>2104122.2600681875</v>
      </c>
      <c r="AB20" s="123">
        <f>SUM(AB6:AB19)</f>
        <v>1</v>
      </c>
      <c r="AC20" s="123">
        <f>SUM(AC6:AC19)</f>
        <v>1</v>
      </c>
      <c r="AD20" s="124">
        <f>SUM(AD6:AD19)</f>
        <v>1981723.9971685926</v>
      </c>
      <c r="AE20" s="124">
        <f>Y20*(1+((AD20-X20)/AD20))</f>
        <v>2369025.4217573516</v>
      </c>
      <c r="AF20" s="124">
        <f>SUM(AF6:AF19)</f>
        <v>1896540.1606081014</v>
      </c>
      <c r="AG20" s="124">
        <f>AA20*(1+((AF20-Z20)/AF20))</f>
        <v>2245257.8590514744</v>
      </c>
      <c r="AH20" s="123">
        <f t="shared" ref="AH20:AO20" si="25">SUM(AH6:AH19)</f>
        <v>1</v>
      </c>
      <c r="AI20" s="123">
        <f t="shared" si="25"/>
        <v>0.99999999999999989</v>
      </c>
      <c r="AJ20" s="125">
        <f t="shared" si="25"/>
        <v>10</v>
      </c>
      <c r="AK20" s="125">
        <f t="shared" si="25"/>
        <v>0</v>
      </c>
      <c r="AL20" s="125">
        <f t="shared" si="25"/>
        <v>0</v>
      </c>
      <c r="AM20" s="125">
        <f t="shared" si="25"/>
        <v>0</v>
      </c>
      <c r="AN20" s="125">
        <f t="shared" si="25"/>
        <v>0</v>
      </c>
      <c r="AO20" s="125">
        <f t="shared" si="25"/>
        <v>0</v>
      </c>
    </row>
    <row r="21" spans="1:41" s="48" customFormat="1">
      <c r="A21" s="47"/>
      <c r="E21" s="47"/>
      <c r="F21" s="49"/>
      <c r="G21" s="6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</row>
  </sheetData>
  <mergeCells count="18">
    <mergeCell ref="A20:B20"/>
    <mergeCell ref="C6:C8"/>
    <mergeCell ref="D6:D19"/>
    <mergeCell ref="C9:C11"/>
    <mergeCell ref="C12:C14"/>
    <mergeCell ref="C15:C19"/>
    <mergeCell ref="AD4:AI4"/>
    <mergeCell ref="AK4:AO4"/>
    <mergeCell ref="A2:AO3"/>
    <mergeCell ref="A4:A5"/>
    <mergeCell ref="B4:B5"/>
    <mergeCell ref="C4:C5"/>
    <mergeCell ref="D4:D5"/>
    <mergeCell ref="E4:E5"/>
    <mergeCell ref="F4:K4"/>
    <mergeCell ref="L4:Q4"/>
    <mergeCell ref="R4:W4"/>
    <mergeCell ref="X4:AC4"/>
  </mergeCells>
  <pageMargins left="0.7" right="0.7" top="0.75" bottom="0.75" header="0.3" footer="0.3"/>
  <pageSetup scale="1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"/>
  <sheetViews>
    <sheetView zoomScale="60" zoomScaleNormal="60" zoomScaleSheetLayoutView="70" workbookViewId="0">
      <selection activeCell="C26" sqref="C26"/>
    </sheetView>
  </sheetViews>
  <sheetFormatPr baseColWidth="10" defaultColWidth="11.42578125" defaultRowHeight="15"/>
  <cols>
    <col min="1" max="1" width="8.5703125" style="71" customWidth="1"/>
    <col min="2" max="2" width="72.28515625" style="75" customWidth="1"/>
    <col min="3" max="3" width="34.42578125" style="72" customWidth="1"/>
    <col min="4" max="4" width="28.85546875" style="71" customWidth="1"/>
    <col min="5" max="5" width="17.5703125" style="71" customWidth="1"/>
    <col min="6" max="35" width="28.85546875" style="73" customWidth="1"/>
    <col min="36" max="36" width="19.28515625" style="73" customWidth="1"/>
    <col min="37" max="37" width="9.5703125" style="74" customWidth="1"/>
    <col min="38" max="38" width="10.28515625" style="74" customWidth="1"/>
    <col min="39" max="39" width="11.42578125" style="74" customWidth="1"/>
    <col min="40" max="40" width="11" style="74" customWidth="1"/>
    <col min="41" max="41" width="10.28515625" style="74" customWidth="1"/>
    <col min="42" max="42" width="11.42578125" style="75"/>
    <col min="43" max="60" width="11.42578125" style="119"/>
    <col min="61" max="16384" width="11.42578125" style="75"/>
  </cols>
  <sheetData>
    <row r="1" spans="1:52" s="48" customFormat="1" ht="31.5" customHeight="1">
      <c r="A1" s="47"/>
      <c r="C1" s="47"/>
      <c r="D1" s="47"/>
      <c r="E1" s="47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</row>
    <row r="2" spans="1:52" s="48" customFormat="1" ht="35.25" customHeight="1">
      <c r="A2" s="165" t="s">
        <v>131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</row>
    <row r="3" spans="1:52" s="48" customFormat="1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</row>
    <row r="4" spans="1:52" s="107" customFormat="1" ht="47.45" customHeight="1">
      <c r="A4" s="206" t="s">
        <v>1</v>
      </c>
      <c r="B4" s="206" t="s">
        <v>2</v>
      </c>
      <c r="C4" s="206" t="s">
        <v>3</v>
      </c>
      <c r="D4" s="207" t="s">
        <v>4</v>
      </c>
      <c r="E4" s="207" t="s">
        <v>5</v>
      </c>
      <c r="F4" s="208" t="s">
        <v>124</v>
      </c>
      <c r="G4" s="209"/>
      <c r="H4" s="209"/>
      <c r="I4" s="209"/>
      <c r="J4" s="209"/>
      <c r="K4" s="210"/>
      <c r="L4" s="208" t="s">
        <v>125</v>
      </c>
      <c r="M4" s="209"/>
      <c r="N4" s="209"/>
      <c r="O4" s="209"/>
      <c r="P4" s="209"/>
      <c r="Q4" s="210"/>
      <c r="R4" s="208" t="s">
        <v>126</v>
      </c>
      <c r="S4" s="209"/>
      <c r="T4" s="209"/>
      <c r="U4" s="209"/>
      <c r="V4" s="209"/>
      <c r="W4" s="210"/>
      <c r="X4" s="208" t="s">
        <v>127</v>
      </c>
      <c r="Y4" s="209"/>
      <c r="Z4" s="209"/>
      <c r="AA4" s="209"/>
      <c r="AB4" s="209"/>
      <c r="AC4" s="210"/>
      <c r="AD4" s="208" t="s">
        <v>128</v>
      </c>
      <c r="AE4" s="209"/>
      <c r="AF4" s="209"/>
      <c r="AG4" s="209"/>
      <c r="AH4" s="209"/>
      <c r="AI4" s="210"/>
      <c r="AJ4" s="106" t="s">
        <v>11</v>
      </c>
      <c r="AK4" s="211" t="s">
        <v>12</v>
      </c>
      <c r="AL4" s="212"/>
      <c r="AM4" s="212"/>
      <c r="AN4" s="212"/>
      <c r="AO4" s="213"/>
    </row>
    <row r="5" spans="1:52" s="107" customFormat="1" ht="43.15" customHeight="1">
      <c r="A5" s="206"/>
      <c r="B5" s="206"/>
      <c r="C5" s="206"/>
      <c r="D5" s="207"/>
      <c r="E5" s="207"/>
      <c r="F5" s="106" t="s">
        <v>13</v>
      </c>
      <c r="G5" s="106" t="s">
        <v>14</v>
      </c>
      <c r="H5" s="106" t="s">
        <v>15</v>
      </c>
      <c r="I5" s="106" t="s">
        <v>16</v>
      </c>
      <c r="J5" s="108" t="s">
        <v>17</v>
      </c>
      <c r="K5" s="108" t="s">
        <v>18</v>
      </c>
      <c r="L5" s="106" t="s">
        <v>13</v>
      </c>
      <c r="M5" s="106" t="s">
        <v>14</v>
      </c>
      <c r="N5" s="106" t="s">
        <v>15</v>
      </c>
      <c r="O5" s="106" t="s">
        <v>16</v>
      </c>
      <c r="P5" s="108" t="s">
        <v>17</v>
      </c>
      <c r="Q5" s="108" t="s">
        <v>18</v>
      </c>
      <c r="R5" s="106" t="s">
        <v>13</v>
      </c>
      <c r="S5" s="106" t="s">
        <v>14</v>
      </c>
      <c r="T5" s="106" t="s">
        <v>15</v>
      </c>
      <c r="U5" s="106" t="s">
        <v>16</v>
      </c>
      <c r="V5" s="108" t="s">
        <v>17</v>
      </c>
      <c r="W5" s="108" t="s">
        <v>18</v>
      </c>
      <c r="X5" s="106" t="s">
        <v>13</v>
      </c>
      <c r="Y5" s="106" t="s">
        <v>14</v>
      </c>
      <c r="Z5" s="106" t="s">
        <v>15</v>
      </c>
      <c r="AA5" s="106" t="s">
        <v>16</v>
      </c>
      <c r="AB5" s="108" t="s">
        <v>17</v>
      </c>
      <c r="AC5" s="108" t="s">
        <v>18</v>
      </c>
      <c r="AD5" s="106" t="s">
        <v>13</v>
      </c>
      <c r="AE5" s="106" t="s">
        <v>14</v>
      </c>
      <c r="AF5" s="106" t="s">
        <v>15</v>
      </c>
      <c r="AG5" s="106" t="s">
        <v>16</v>
      </c>
      <c r="AH5" s="108" t="s">
        <v>17</v>
      </c>
      <c r="AI5" s="108" t="s">
        <v>18</v>
      </c>
      <c r="AJ5" s="106">
        <v>2018</v>
      </c>
      <c r="AK5" s="106">
        <v>2019</v>
      </c>
      <c r="AL5" s="106">
        <v>2020</v>
      </c>
      <c r="AM5" s="106">
        <v>2021</v>
      </c>
      <c r="AN5" s="106">
        <v>2022</v>
      </c>
      <c r="AO5" s="106">
        <v>2023</v>
      </c>
    </row>
    <row r="6" spans="1:52" s="107" customFormat="1" ht="24" customHeight="1">
      <c r="A6" s="109">
        <v>1</v>
      </c>
      <c r="B6" s="110" t="s">
        <v>151</v>
      </c>
      <c r="C6" s="199" t="s">
        <v>152</v>
      </c>
      <c r="D6" s="199" t="s">
        <v>153</v>
      </c>
      <c r="E6" s="111" t="s">
        <v>22</v>
      </c>
      <c r="F6" s="112">
        <v>149688</v>
      </c>
      <c r="G6" s="112">
        <f>G10*J6</f>
        <v>158259.17293413749</v>
      </c>
      <c r="H6" s="112">
        <v>145096</v>
      </c>
      <c r="I6" s="112">
        <f>$I$10*K6</f>
        <v>155941.74861626094</v>
      </c>
      <c r="J6" s="113">
        <f>F6/$F$10</f>
        <v>0.14387197539467045</v>
      </c>
      <c r="K6" s="113">
        <f>H6/$H$10</f>
        <v>0.51980582872086978</v>
      </c>
      <c r="L6" s="112">
        <f>(F6)*1.003</f>
        <v>150137.06399999998</v>
      </c>
      <c r="M6" s="112">
        <f>P6*M$10</f>
        <v>158730.19408718369</v>
      </c>
      <c r="N6" s="112">
        <f>(H6)*1.003</f>
        <v>145531.28799999997</v>
      </c>
      <c r="O6" s="112">
        <f>Q6*O$10</f>
        <v>156404.82390675705</v>
      </c>
      <c r="P6" s="113">
        <f>L6/L$10</f>
        <v>0.14360160901795951</v>
      </c>
      <c r="Q6" s="113">
        <f>N6/N$10</f>
        <v>0.51849211687828578</v>
      </c>
      <c r="R6" s="112">
        <f>(L6)*1.003</f>
        <v>150587.47519199995</v>
      </c>
      <c r="S6" s="112">
        <f>V6*S$10</f>
        <v>159202.51742883417</v>
      </c>
      <c r="T6" s="112">
        <f>N6*1.003</f>
        <v>145967.88186399997</v>
      </c>
      <c r="U6" s="112">
        <f>W6*U$10</f>
        <v>156868.8818339814</v>
      </c>
      <c r="V6" s="113">
        <f>R6/R$10</f>
        <v>0.14332254094681554</v>
      </c>
      <c r="W6" s="113">
        <f>T6/T$10</f>
        <v>0.5170660099972183</v>
      </c>
      <c r="X6" s="112">
        <f>(R6)*1.003</f>
        <v>151039.23761757594</v>
      </c>
      <c r="Y6" s="112">
        <f>AB6*Y$10</f>
        <v>159676.13572202867</v>
      </c>
      <c r="Z6" s="112">
        <f>T6*1.003</f>
        <v>146405.78550959195</v>
      </c>
      <c r="AA6" s="112">
        <f>AC6*AA$10</f>
        <v>157333.59816545053</v>
      </c>
      <c r="AB6" s="113">
        <f>X6/X$10</f>
        <v>0.14303399310162332</v>
      </c>
      <c r="AC6" s="113">
        <f>Z6/Z$10</f>
        <v>0.51544400923415434</v>
      </c>
      <c r="AD6" s="126">
        <f>(X6)*1.003</f>
        <v>151492.35533042866</v>
      </c>
      <c r="AE6" s="126">
        <f>AH6*AE$10</f>
        <v>160151.18408879757</v>
      </c>
      <c r="AF6" s="126">
        <f>Z6*1.003</f>
        <v>146845.00286612072</v>
      </c>
      <c r="AG6" s="126">
        <f>AI6*AG$10</f>
        <v>157798.85450133885</v>
      </c>
      <c r="AH6" s="113">
        <f>AD6/AD$10</f>
        <v>0.14274791820675373</v>
      </c>
      <c r="AI6" s="113">
        <f>AF6/AF$10</f>
        <v>0.51361051191755025</v>
      </c>
      <c r="AJ6" s="114">
        <v>1</v>
      </c>
      <c r="AK6" s="115">
        <v>0</v>
      </c>
      <c r="AL6" s="115">
        <v>0</v>
      </c>
      <c r="AM6" s="115">
        <v>0</v>
      </c>
      <c r="AN6" s="115">
        <v>0</v>
      </c>
      <c r="AO6" s="115">
        <v>0</v>
      </c>
      <c r="AQ6" s="116"/>
      <c r="AR6" s="116"/>
      <c r="AS6" s="116"/>
      <c r="AT6" s="116"/>
      <c r="AU6" s="116"/>
      <c r="AV6" s="116"/>
      <c r="AW6" s="116"/>
      <c r="AX6" s="116"/>
      <c r="AY6" s="116"/>
      <c r="AZ6" s="116"/>
    </row>
    <row r="7" spans="1:52" s="107" customFormat="1" ht="24" customHeight="1">
      <c r="A7" s="109">
        <v>2</v>
      </c>
      <c r="B7" s="110" t="s">
        <v>32</v>
      </c>
      <c r="C7" s="199"/>
      <c r="D7" s="199"/>
      <c r="E7" s="111"/>
      <c r="F7" s="112">
        <v>105670</v>
      </c>
      <c r="G7" s="112">
        <f>G10*J7</f>
        <v>111720.69106374799</v>
      </c>
      <c r="H7" s="112">
        <v>123092</v>
      </c>
      <c r="I7" s="112">
        <f>$I$10*K7</f>
        <v>132292.97651673923</v>
      </c>
      <c r="J7" s="113">
        <f>F7/$F$10</f>
        <v>0.10156426460340726</v>
      </c>
      <c r="K7" s="113">
        <f>H7/$H$10</f>
        <v>0.44097658838913073</v>
      </c>
      <c r="L7" s="112">
        <f>(F7)*1.0003</f>
        <v>105701.701</v>
      </c>
      <c r="M7" s="112">
        <f>P7*M$10</f>
        <v>111751.56265927419</v>
      </c>
      <c r="N7" s="112">
        <f>(H7)*1.0003</f>
        <v>123128.9276</v>
      </c>
      <c r="O7" s="112">
        <f>Q7*O$10</f>
        <v>132328.64563877039</v>
      </c>
      <c r="P7" s="113">
        <f>L7/L$10</f>
        <v>0.10110051399123711</v>
      </c>
      <c r="Q7" s="113">
        <f>N7/N$10</f>
        <v>0.4386780272313483</v>
      </c>
      <c r="R7" s="112">
        <f>(L7)*1.0003</f>
        <v>105733.41151029999</v>
      </c>
      <c r="S7" s="112">
        <f>V7*S$10</f>
        <v>111782.37278576069</v>
      </c>
      <c r="T7" s="112">
        <f>(H7)*1.0003</f>
        <v>123128.9276</v>
      </c>
      <c r="U7" s="112">
        <f>W7*U$10</f>
        <v>132324.29591617532</v>
      </c>
      <c r="V7" s="113">
        <f>R7/R$10</f>
        <v>0.10063241435790093</v>
      </c>
      <c r="W7" s="113">
        <f>T7/T$10</f>
        <v>0.43616295925076548</v>
      </c>
      <c r="X7" s="112">
        <f>(R7)*1.0003</f>
        <v>105765.13153375308</v>
      </c>
      <c r="Y7" s="112">
        <f>AB7*Y$10</f>
        <v>111813.11402141606</v>
      </c>
      <c r="Z7" s="112">
        <f>(H7)*1.0003</f>
        <v>123128.9276</v>
      </c>
      <c r="AA7" s="112">
        <f>AC7*AA$10</f>
        <v>132319.34209520739</v>
      </c>
      <c r="AB7" s="113">
        <f>X7/X$10</f>
        <v>0.10015946407578215</v>
      </c>
      <c r="AC7" s="113">
        <f>Z7/Z$10</f>
        <v>0.43349426304391414</v>
      </c>
      <c r="AD7" s="126">
        <f>(F7)*1.0003</f>
        <v>105701.701</v>
      </c>
      <c r="AE7" s="126">
        <f>AH7*AE$10</f>
        <v>111743.27931219272</v>
      </c>
      <c r="AF7" s="126">
        <f>(H7)*1.0003</f>
        <v>123128.9276</v>
      </c>
      <c r="AG7" s="126">
        <f>AI7*AG$10</f>
        <v>132313.68689455744</v>
      </c>
      <c r="AH7" s="113">
        <f>AD7/AD$10</f>
        <v>9.9600390631935945E-2</v>
      </c>
      <c r="AI7" s="113">
        <f>AF7/AF$10</f>
        <v>0.43066029011658963</v>
      </c>
      <c r="AJ7" s="114"/>
      <c r="AK7" s="115">
        <v>0</v>
      </c>
      <c r="AL7" s="115">
        <v>0</v>
      </c>
      <c r="AM7" s="115">
        <v>0</v>
      </c>
      <c r="AN7" s="115">
        <v>0</v>
      </c>
      <c r="AO7" s="115">
        <v>0</v>
      </c>
    </row>
    <row r="8" spans="1:52" s="107" customFormat="1" ht="24" customHeight="1">
      <c r="A8" s="109">
        <v>3</v>
      </c>
      <c r="B8" s="110" t="s">
        <v>122</v>
      </c>
      <c r="C8" s="199"/>
      <c r="D8" s="199"/>
      <c r="E8" s="111"/>
      <c r="F8" s="112">
        <v>777910</v>
      </c>
      <c r="G8" s="112">
        <f>G10*J8</f>
        <v>822453.32436264027</v>
      </c>
      <c r="H8" s="112">
        <v>212</v>
      </c>
      <c r="I8" s="112">
        <f>$I$10*K8</f>
        <v>227.8467408243323</v>
      </c>
      <c r="J8" s="113">
        <f>F8/$F$10</f>
        <v>0.74768484032967297</v>
      </c>
      <c r="K8" s="113">
        <f>H8/$H$10</f>
        <v>7.5948913608110766E-4</v>
      </c>
      <c r="L8" s="112">
        <f>(F8)*1.005</f>
        <v>781799.54999999993</v>
      </c>
      <c r="M8" s="112">
        <f>P8*M$10</f>
        <v>826546.03069081507</v>
      </c>
      <c r="N8" s="112">
        <f>(H8)*1.005</f>
        <v>213.05999999999997</v>
      </c>
      <c r="O8" s="112">
        <f>Q8*O$10</f>
        <v>228.97902052219629</v>
      </c>
      <c r="P8" s="113">
        <f>L8/L$10</f>
        <v>0.74776787502329667</v>
      </c>
      <c r="Q8" s="113">
        <f>N8/N$10</f>
        <v>7.5908027710225149E-4</v>
      </c>
      <c r="R8" s="112">
        <f>(L8)*1.005</f>
        <v>785708.54774999979</v>
      </c>
      <c r="S8" s="112">
        <f>V8*S$10</f>
        <v>830658.58304395445</v>
      </c>
      <c r="T8" s="112">
        <f>N8*1.005</f>
        <v>214.12529999999995</v>
      </c>
      <c r="U8" s="112">
        <f>W8*U$10</f>
        <v>230.11635131255551</v>
      </c>
      <c r="V8" s="113">
        <f>R8/R$10</f>
        <v>0.74780286583319233</v>
      </c>
      <c r="W8" s="113">
        <f>T8/T$10</f>
        <v>7.5850189162581416E-4</v>
      </c>
      <c r="X8" s="112">
        <f>(R8)*1.005</f>
        <v>789637.09048874967</v>
      </c>
      <c r="Y8" s="112">
        <f>AB8*Y$10</f>
        <v>834791.02000814921</v>
      </c>
      <c r="Z8" s="112">
        <f>T8*1.005</f>
        <v>215.19592649999993</v>
      </c>
      <c r="AA8" s="112">
        <f>AC8*AA$10</f>
        <v>231.2582751354085</v>
      </c>
      <c r="AB8" s="113">
        <f>X8/X$10</f>
        <v>0.74778546247515421</v>
      </c>
      <c r="AC8" s="113">
        <f>Z8/Z$10</f>
        <v>7.5763024487001036E-4</v>
      </c>
      <c r="AD8" s="126">
        <f>X8*1.005</f>
        <v>793585.27594119334</v>
      </c>
      <c r="AE8" s="126">
        <f>AH8*AE$10</f>
        <v>838944.12586170505</v>
      </c>
      <c r="AF8" s="126">
        <f>Z8*1.005</f>
        <v>216.27190613249991</v>
      </c>
      <c r="AG8" s="126">
        <f>AI8*AG$10</f>
        <v>232.40463333739544</v>
      </c>
      <c r="AH8" s="113">
        <f>AD8/AD$10</f>
        <v>0.74777797079628394</v>
      </c>
      <c r="AI8" s="113">
        <f>AF8/AF$10</f>
        <v>7.5644061598316274E-4</v>
      </c>
      <c r="AJ8" s="114"/>
      <c r="AK8" s="115"/>
      <c r="AL8" s="115"/>
      <c r="AM8" s="115"/>
      <c r="AN8" s="115"/>
      <c r="AO8" s="115"/>
    </row>
    <row r="9" spans="1:52" s="107" customFormat="1" ht="24" customHeight="1">
      <c r="A9" s="109">
        <v>4</v>
      </c>
      <c r="B9" s="117" t="s">
        <v>140</v>
      </c>
      <c r="C9" s="199"/>
      <c r="D9" s="199"/>
      <c r="E9" s="111"/>
      <c r="F9" s="112">
        <v>7157</v>
      </c>
      <c r="G9" s="112">
        <f>G10*J9</f>
        <v>7566.8116394742528</v>
      </c>
      <c r="H9" s="112">
        <v>10735</v>
      </c>
      <c r="I9" s="112">
        <f>$I$10*K9</f>
        <v>11537.428126175508</v>
      </c>
      <c r="J9" s="113">
        <f>F9/$F$10</f>
        <v>6.8789196722493211E-3</v>
      </c>
      <c r="K9" s="113">
        <f>H9/$H$10</f>
        <v>3.8458093753918357E-2</v>
      </c>
      <c r="L9" s="112">
        <f>(F9)*1.1</f>
        <v>7872.7000000000007</v>
      </c>
      <c r="M9" s="112">
        <f>P9*M$10</f>
        <v>8323.2958318018736</v>
      </c>
      <c r="N9" s="112">
        <f>(H9)*1.1</f>
        <v>11808.500000000002</v>
      </c>
      <c r="O9" s="112">
        <f>Q9*O$10</f>
        <v>12690.7855244361</v>
      </c>
      <c r="P9" s="113">
        <f>L9/L$10</f>
        <v>7.5300019675067715E-3</v>
      </c>
      <c r="Q9" s="113">
        <f>N9/N$10</f>
        <v>4.2070775613263584E-2</v>
      </c>
      <c r="R9" s="112">
        <f>(L9)*1.1</f>
        <v>8659.9700000000012</v>
      </c>
      <c r="S9" s="112">
        <f>V9*S$10</f>
        <v>9155.4030180819773</v>
      </c>
      <c r="T9" s="112">
        <f>N9*1.1</f>
        <v>12989.350000000002</v>
      </c>
      <c r="U9" s="112">
        <f>W9*U$10</f>
        <v>13959.405207706628</v>
      </c>
      <c r="V9" s="113">
        <f>R9/R$10</f>
        <v>8.2421788620912623E-3</v>
      </c>
      <c r="W9" s="113">
        <f>T9/T$10</f>
        <v>4.6012528860390499E-2</v>
      </c>
      <c r="X9" s="112">
        <f>(R9)*1.1</f>
        <v>9525.9670000000024</v>
      </c>
      <c r="Y9" s="112">
        <f>AB9*Y$10</f>
        <v>10070.6917193719</v>
      </c>
      <c r="Z9" s="112">
        <f>(T9)*1.1</f>
        <v>14288.285000000003</v>
      </c>
      <c r="AA9" s="112">
        <f>AC9*AA$10</f>
        <v>15354.770870828412</v>
      </c>
      <c r="AB9" s="113">
        <f>X9/X$10</f>
        <v>9.0210803474403776E-3</v>
      </c>
      <c r="AC9" s="113">
        <f>Z9/Z$10</f>
        <v>5.0304097477061223E-2</v>
      </c>
      <c r="AD9" s="126">
        <f>(X9)*1.1</f>
        <v>10478.563700000004</v>
      </c>
      <c r="AE9" s="126">
        <f>AH9*AE$10</f>
        <v>11077.485596184531</v>
      </c>
      <c r="AF9" s="126">
        <f>(Z9)*1.1</f>
        <v>15717.113500000005</v>
      </c>
      <c r="AG9" s="126">
        <f>AI9*AG$10</f>
        <v>16889.526085056412</v>
      </c>
      <c r="AH9" s="113">
        <f>AD9/AD$10</f>
        <v>9.8737203650263346E-3</v>
      </c>
      <c r="AI9" s="113">
        <f>AF9/AF$10</f>
        <v>5.4972757349876972E-2</v>
      </c>
      <c r="AJ9" s="114"/>
      <c r="AK9" s="115"/>
      <c r="AL9" s="115"/>
      <c r="AM9" s="115"/>
      <c r="AN9" s="115"/>
      <c r="AO9" s="115"/>
    </row>
    <row r="10" spans="1:52" s="118" customFormat="1" ht="24" customHeight="1">
      <c r="A10" s="197" t="s">
        <v>153</v>
      </c>
      <c r="B10" s="198"/>
      <c r="C10" s="120" t="s">
        <v>27</v>
      </c>
      <c r="D10" s="120">
        <v>4</v>
      </c>
      <c r="E10" s="120">
        <f>COUNTA(E6:E9)</f>
        <v>1</v>
      </c>
      <c r="F10" s="121">
        <f>SUM(F6:F9)</f>
        <v>1040425</v>
      </c>
      <c r="G10" s="121">
        <v>1100000</v>
      </c>
      <c r="H10" s="121">
        <f>SUM(H6:H9)</f>
        <v>279135</v>
      </c>
      <c r="I10" s="122">
        <v>300000</v>
      </c>
      <c r="J10" s="123">
        <f>SUM(J6:J9)</f>
        <v>1</v>
      </c>
      <c r="K10" s="123">
        <f>SUM(K6:K9)</f>
        <v>1</v>
      </c>
      <c r="L10" s="121">
        <f>SUM(L6:L9)</f>
        <v>1045511.0149999999</v>
      </c>
      <c r="M10" s="121">
        <f>G10*(1+((L10-F10)/L10))</f>
        <v>1105351.0832690748</v>
      </c>
      <c r="N10" s="121">
        <f>SUM(N6:N9)</f>
        <v>280681.77559999999</v>
      </c>
      <c r="O10" s="122">
        <f>I10*(1+((N10-H10)/N10))</f>
        <v>301653.23409048578</v>
      </c>
      <c r="P10" s="123">
        <f>SUM(P6:P9)</f>
        <v>1.0000000000000002</v>
      </c>
      <c r="Q10" s="123">
        <f>SUM(Q6:Q9)</f>
        <v>0.99999999999999989</v>
      </c>
      <c r="R10" s="121">
        <f>SUM(R6:R9)</f>
        <v>1050689.4044522997</v>
      </c>
      <c r="S10" s="121">
        <f>M10*(1+((R10-L10)/R10))</f>
        <v>1110798.8762766311</v>
      </c>
      <c r="T10" s="121">
        <f>SUM(T6:T9)</f>
        <v>282300.28476399992</v>
      </c>
      <c r="U10" s="122">
        <f>O10*(1+((T10-N10)/T10))</f>
        <v>303382.69930917589</v>
      </c>
      <c r="V10" s="123">
        <f>SUM(V6:V9)</f>
        <v>1</v>
      </c>
      <c r="W10" s="123">
        <f>SUM(W6:W9)</f>
        <v>1.0000000000000002</v>
      </c>
      <c r="X10" s="121">
        <f>SUM(X6:X9)</f>
        <v>1055967.4266400787</v>
      </c>
      <c r="Y10" s="121">
        <f>S10*(1+((X10-R10)/X10))</f>
        <v>1116350.9614709658</v>
      </c>
      <c r="Z10" s="121">
        <f>SUM(Z6:Z9)</f>
        <v>284038.19403609203</v>
      </c>
      <c r="AA10" s="122">
        <f>U10*(1+((Z10-T10)/Z10))</f>
        <v>305238.96940662182</v>
      </c>
      <c r="AB10" s="123">
        <f>SUM(AB6:AB9)</f>
        <v>1</v>
      </c>
      <c r="AC10" s="123">
        <f>SUM(AC6:AC9)</f>
        <v>0.99999999999999967</v>
      </c>
      <c r="AD10" s="124">
        <f>SUM(AD6:AD9)</f>
        <v>1061257.8959716221</v>
      </c>
      <c r="AE10" s="124">
        <f>Y10*(1+((AD10-X10)/AD10))</f>
        <v>1121916.0748588799</v>
      </c>
      <c r="AF10" s="124">
        <f>SUM(AF6:AF9)</f>
        <v>285907.31587225321</v>
      </c>
      <c r="AG10" s="124">
        <f>AA10*(1+((AF10-Z10)/AF10))</f>
        <v>307234.47211429011</v>
      </c>
      <c r="AH10" s="123">
        <f t="shared" ref="AH10:AO10" si="0">SUM(AH6:AH9)</f>
        <v>1</v>
      </c>
      <c r="AI10" s="123">
        <f t="shared" si="0"/>
        <v>1</v>
      </c>
      <c r="AJ10" s="125">
        <f t="shared" si="0"/>
        <v>1</v>
      </c>
      <c r="AK10" s="125">
        <f t="shared" si="0"/>
        <v>0</v>
      </c>
      <c r="AL10" s="125">
        <f t="shared" si="0"/>
        <v>0</v>
      </c>
      <c r="AM10" s="125">
        <f t="shared" si="0"/>
        <v>0</v>
      </c>
      <c r="AN10" s="125">
        <f t="shared" si="0"/>
        <v>0</v>
      </c>
      <c r="AO10" s="125">
        <f t="shared" si="0"/>
        <v>0</v>
      </c>
    </row>
    <row r="11" spans="1:52" s="48" customFormat="1">
      <c r="A11" s="47"/>
      <c r="E11" s="47"/>
      <c r="F11" s="49"/>
      <c r="G11" s="6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</row>
  </sheetData>
  <mergeCells count="15">
    <mergeCell ref="C6:C9"/>
    <mergeCell ref="D6:D9"/>
    <mergeCell ref="A10:B10"/>
    <mergeCell ref="AD4:AI4"/>
    <mergeCell ref="AK4:AO4"/>
    <mergeCell ref="A2:AO3"/>
    <mergeCell ref="A4:A5"/>
    <mergeCell ref="B4:B5"/>
    <mergeCell ref="C4:C5"/>
    <mergeCell ref="D4:D5"/>
    <mergeCell ref="E4:E5"/>
    <mergeCell ref="F4:K4"/>
    <mergeCell ref="L4:Q4"/>
    <mergeCell ref="R4:W4"/>
    <mergeCell ref="X4:AC4"/>
  </mergeCells>
  <pageMargins left="0.7" right="0.7" top="0.75" bottom="0.75" header="0.3" footer="0.3"/>
  <pageSetup scale="1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"/>
  <sheetViews>
    <sheetView topLeftCell="A2" zoomScale="60" zoomScaleNormal="60" zoomScaleSheetLayoutView="70" workbookViewId="0">
      <selection activeCell="F24" sqref="F24"/>
    </sheetView>
  </sheetViews>
  <sheetFormatPr baseColWidth="10" defaultColWidth="11.42578125" defaultRowHeight="15"/>
  <cols>
    <col min="1" max="1" width="8.5703125" style="71" customWidth="1"/>
    <col min="2" max="2" width="72.28515625" style="75" customWidth="1"/>
    <col min="3" max="3" width="34.42578125" style="72" customWidth="1"/>
    <col min="4" max="4" width="28.85546875" style="71" customWidth="1"/>
    <col min="5" max="5" width="17.5703125" style="71" customWidth="1"/>
    <col min="6" max="35" width="28.85546875" style="73" customWidth="1"/>
    <col min="36" max="36" width="19.28515625" style="73" customWidth="1"/>
    <col min="37" max="37" width="9.5703125" style="74" customWidth="1"/>
    <col min="38" max="38" width="10.28515625" style="74" customWidth="1"/>
    <col min="39" max="39" width="11.42578125" style="74" customWidth="1"/>
    <col min="40" max="40" width="11" style="74" customWidth="1"/>
    <col min="41" max="41" width="10.28515625" style="74" customWidth="1"/>
    <col min="42" max="42" width="11.42578125" style="75"/>
    <col min="43" max="60" width="11.42578125" style="119"/>
    <col min="61" max="16384" width="11.42578125" style="75"/>
  </cols>
  <sheetData>
    <row r="1" spans="1:52" s="48" customFormat="1" ht="31.5" customHeight="1">
      <c r="A1" s="47"/>
      <c r="C1" s="47"/>
      <c r="D1" s="47"/>
      <c r="E1" s="47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</row>
    <row r="2" spans="1:52" s="48" customFormat="1" ht="35.25" customHeight="1">
      <c r="A2" s="165" t="s">
        <v>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</row>
    <row r="3" spans="1:52" s="48" customFormat="1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</row>
    <row r="4" spans="1:52" s="107" customFormat="1" ht="47.45" customHeight="1">
      <c r="A4" s="206" t="s">
        <v>1</v>
      </c>
      <c r="B4" s="206" t="s">
        <v>2</v>
      </c>
      <c r="C4" s="206" t="s">
        <v>3</v>
      </c>
      <c r="D4" s="207" t="s">
        <v>4</v>
      </c>
      <c r="E4" s="207" t="s">
        <v>5</v>
      </c>
      <c r="F4" s="208" t="s">
        <v>6</v>
      </c>
      <c r="G4" s="209"/>
      <c r="H4" s="209"/>
      <c r="I4" s="209"/>
      <c r="J4" s="209"/>
      <c r="K4" s="210"/>
      <c r="L4" s="208" t="s">
        <v>7</v>
      </c>
      <c r="M4" s="209"/>
      <c r="N4" s="209"/>
      <c r="O4" s="209"/>
      <c r="P4" s="209"/>
      <c r="Q4" s="210"/>
      <c r="R4" s="208" t="s">
        <v>8</v>
      </c>
      <c r="S4" s="209"/>
      <c r="T4" s="209"/>
      <c r="U4" s="209"/>
      <c r="V4" s="209"/>
      <c r="W4" s="210"/>
      <c r="X4" s="208" t="s">
        <v>9</v>
      </c>
      <c r="Y4" s="209"/>
      <c r="Z4" s="209"/>
      <c r="AA4" s="209"/>
      <c r="AB4" s="209"/>
      <c r="AC4" s="210"/>
      <c r="AD4" s="208" t="s">
        <v>10</v>
      </c>
      <c r="AE4" s="209"/>
      <c r="AF4" s="209"/>
      <c r="AG4" s="209"/>
      <c r="AH4" s="209"/>
      <c r="AI4" s="210"/>
      <c r="AJ4" s="106" t="s">
        <v>11</v>
      </c>
      <c r="AK4" s="211" t="s">
        <v>12</v>
      </c>
      <c r="AL4" s="212"/>
      <c r="AM4" s="212"/>
      <c r="AN4" s="212"/>
      <c r="AO4" s="213"/>
    </row>
    <row r="5" spans="1:52" s="107" customFormat="1" ht="43.15" customHeight="1">
      <c r="A5" s="206"/>
      <c r="B5" s="206"/>
      <c r="C5" s="206"/>
      <c r="D5" s="207"/>
      <c r="E5" s="207"/>
      <c r="F5" s="106" t="s">
        <v>13</v>
      </c>
      <c r="G5" s="106" t="s">
        <v>14</v>
      </c>
      <c r="H5" s="106" t="s">
        <v>15</v>
      </c>
      <c r="I5" s="106" t="s">
        <v>16</v>
      </c>
      <c r="J5" s="108" t="s">
        <v>17</v>
      </c>
      <c r="K5" s="108" t="s">
        <v>18</v>
      </c>
      <c r="L5" s="106" t="s">
        <v>13</v>
      </c>
      <c r="M5" s="106" t="s">
        <v>14</v>
      </c>
      <c r="N5" s="106" t="s">
        <v>15</v>
      </c>
      <c r="O5" s="106" t="s">
        <v>16</v>
      </c>
      <c r="P5" s="108" t="s">
        <v>17</v>
      </c>
      <c r="Q5" s="108" t="s">
        <v>18</v>
      </c>
      <c r="R5" s="106" t="s">
        <v>13</v>
      </c>
      <c r="S5" s="106" t="s">
        <v>14</v>
      </c>
      <c r="T5" s="106" t="s">
        <v>15</v>
      </c>
      <c r="U5" s="106" t="s">
        <v>16</v>
      </c>
      <c r="V5" s="108" t="s">
        <v>17</v>
      </c>
      <c r="W5" s="108" t="s">
        <v>18</v>
      </c>
      <c r="X5" s="106" t="s">
        <v>13</v>
      </c>
      <c r="Y5" s="106" t="s">
        <v>14</v>
      </c>
      <c r="Z5" s="106" t="s">
        <v>15</v>
      </c>
      <c r="AA5" s="106" t="s">
        <v>16</v>
      </c>
      <c r="AB5" s="108" t="s">
        <v>17</v>
      </c>
      <c r="AC5" s="108" t="s">
        <v>18</v>
      </c>
      <c r="AD5" s="106" t="s">
        <v>13</v>
      </c>
      <c r="AE5" s="106" t="s">
        <v>14</v>
      </c>
      <c r="AF5" s="106" t="s">
        <v>15</v>
      </c>
      <c r="AG5" s="106" t="s">
        <v>16</v>
      </c>
      <c r="AH5" s="108" t="s">
        <v>17</v>
      </c>
      <c r="AI5" s="108" t="s">
        <v>18</v>
      </c>
      <c r="AJ5" s="106">
        <v>2018</v>
      </c>
      <c r="AK5" s="106">
        <v>2019</v>
      </c>
      <c r="AL5" s="106">
        <v>2020</v>
      </c>
      <c r="AM5" s="106">
        <v>2021</v>
      </c>
      <c r="AN5" s="106">
        <v>2022</v>
      </c>
      <c r="AO5" s="106">
        <v>2023</v>
      </c>
    </row>
    <row r="6" spans="1:52" s="107" customFormat="1" ht="24" customHeight="1">
      <c r="A6" s="109">
        <v>1</v>
      </c>
      <c r="B6" s="110" t="s">
        <v>137</v>
      </c>
      <c r="C6" s="199" t="s">
        <v>138</v>
      </c>
      <c r="D6" s="199" t="s">
        <v>139</v>
      </c>
      <c r="E6" s="111" t="s">
        <v>22</v>
      </c>
      <c r="F6" s="112">
        <v>392746</v>
      </c>
      <c r="G6" s="112">
        <f>G10*J6</f>
        <v>425014.08972579794</v>
      </c>
      <c r="H6" s="112">
        <v>328720</v>
      </c>
      <c r="I6" s="112">
        <f>$I$10*K6</f>
        <v>349522.4086905669</v>
      </c>
      <c r="J6" s="113">
        <f>F6/$F$10</f>
        <v>0.34001127178063834</v>
      </c>
      <c r="K6" s="113">
        <f>H6/$H$10</f>
        <v>0.2330149391270446</v>
      </c>
      <c r="L6" s="112">
        <f>(F6)*0.99</f>
        <v>388818.54</v>
      </c>
      <c r="M6" s="112">
        <f>P6*M$10</f>
        <v>419854.13077780401</v>
      </c>
      <c r="N6" s="112">
        <f>(H6)*0.99</f>
        <v>325432.8</v>
      </c>
      <c r="O6" s="112">
        <f>Q6*O$10</f>
        <v>344855.85854289628</v>
      </c>
      <c r="P6" s="113">
        <f>L6/L$10</f>
        <v>0.32095855778139587</v>
      </c>
      <c r="Q6" s="113">
        <f>N6/N$10</f>
        <v>0.2172632372662176</v>
      </c>
      <c r="R6" s="112">
        <f>(L6)*0.99</f>
        <v>384930.35459999996</v>
      </c>
      <c r="S6" s="112">
        <f>V6*S$10</f>
        <v>414656.50146264309</v>
      </c>
      <c r="T6" s="112">
        <f>N6*0.99</f>
        <v>322178.47200000001</v>
      </c>
      <c r="U6" s="112">
        <f>W6*U$10</f>
        <v>340175.42345166788</v>
      </c>
      <c r="V6" s="113">
        <f>R6/R$10</f>
        <v>0.3021707026258551</v>
      </c>
      <c r="W6" s="113">
        <f>T6/T$10</f>
        <v>0.20217042306291066</v>
      </c>
      <c r="X6" s="112">
        <f>(R6)*0.99</f>
        <v>381081.05105399998</v>
      </c>
      <c r="Y6" s="112">
        <f>AB6*Y$10</f>
        <v>409420.67075792444</v>
      </c>
      <c r="Z6" s="112">
        <f>T6*0.99</f>
        <v>318956.68728000001</v>
      </c>
      <c r="AA6" s="112">
        <f>AC6*AA$10</f>
        <v>335455.4598610102</v>
      </c>
      <c r="AB6" s="113">
        <f>X6/X$10</f>
        <v>0.28373935093429037</v>
      </c>
      <c r="AC6" s="113">
        <f>Z6/Z$10</f>
        <v>0.18762665408484763</v>
      </c>
      <c r="AD6" s="126">
        <f>(X6)*0.99</f>
        <v>377270.24054345995</v>
      </c>
      <c r="AE6" s="126">
        <f>AH6*AE$10</f>
        <v>404061.15878037165</v>
      </c>
      <c r="AF6" s="126">
        <f>Z6*0.99</f>
        <v>315767.12040720001</v>
      </c>
      <c r="AG6" s="126">
        <f>AI6*AG$10</f>
        <v>330714.62875383312</v>
      </c>
      <c r="AH6" s="113">
        <f>AD6/AD$10</f>
        <v>0.26520736854124188</v>
      </c>
      <c r="AI6" s="113">
        <f>AF6/AF$10</f>
        <v>0.17374932688845346</v>
      </c>
      <c r="AJ6" s="114">
        <v>5</v>
      </c>
      <c r="AK6" s="115">
        <v>0</v>
      </c>
      <c r="AL6" s="115">
        <v>1</v>
      </c>
      <c r="AM6" s="115">
        <v>1</v>
      </c>
      <c r="AN6" s="115">
        <v>1</v>
      </c>
      <c r="AO6" s="115">
        <v>1</v>
      </c>
      <c r="AQ6" s="116"/>
      <c r="AR6" s="116"/>
      <c r="AS6" s="116"/>
      <c r="AT6" s="116"/>
      <c r="AU6" s="116"/>
      <c r="AV6" s="116"/>
      <c r="AW6" s="116"/>
      <c r="AX6" s="116"/>
      <c r="AY6" s="116"/>
      <c r="AZ6" s="116"/>
    </row>
    <row r="7" spans="1:52" s="107" customFormat="1" ht="24" customHeight="1">
      <c r="A7" s="109">
        <v>2</v>
      </c>
      <c r="B7" s="110" t="s">
        <v>32</v>
      </c>
      <c r="C7" s="199"/>
      <c r="D7" s="199"/>
      <c r="E7" s="111"/>
      <c r="F7" s="112">
        <v>98671</v>
      </c>
      <c r="G7" s="112">
        <f>G10*J7</f>
        <v>106777.82904812323</v>
      </c>
      <c r="H7" s="112">
        <v>114939</v>
      </c>
      <c r="I7" s="112">
        <f>$I$10*K7</f>
        <v>122212.69205550339</v>
      </c>
      <c r="J7" s="113">
        <f>F7/$F$10</f>
        <v>8.542226323849858E-2</v>
      </c>
      <c r="K7" s="113">
        <f>H7/$H$10</f>
        <v>8.1475128037002256E-2</v>
      </c>
      <c r="L7" s="112">
        <f>(F7)*0.99</f>
        <v>97684.29</v>
      </c>
      <c r="M7" s="112">
        <f>P7*M$10</f>
        <v>105481.47387364019</v>
      </c>
      <c r="N7" s="112">
        <f>(H7)*0.99</f>
        <v>113789.61</v>
      </c>
      <c r="O7" s="112">
        <f>Q7*O$10</f>
        <v>120581.00366592224</v>
      </c>
      <c r="P7" s="113">
        <f>L7/L$10</f>
        <v>8.0635580896681588E-2</v>
      </c>
      <c r="Q7" s="113">
        <f>N7/N$10</f>
        <v>7.5967447153023199E-2</v>
      </c>
      <c r="R7" s="112">
        <f>(L7)*0.99</f>
        <v>96707.44709999999</v>
      </c>
      <c r="S7" s="112">
        <f>V7*S$10</f>
        <v>104175.65463638192</v>
      </c>
      <c r="T7" s="112">
        <f>N7*0.99</f>
        <v>112651.7139</v>
      </c>
      <c r="U7" s="112">
        <f>W7*U$10</f>
        <v>118944.46031915082</v>
      </c>
      <c r="V7" s="113">
        <f>R7/R$10</f>
        <v>7.5915440001415035E-2</v>
      </c>
      <c r="W7" s="113">
        <f>T7/T$10</f>
        <v>7.0690150451532888E-2</v>
      </c>
      <c r="X7" s="112">
        <f>(R7)*0.99</f>
        <v>95740.37262899999</v>
      </c>
      <c r="Y7" s="112">
        <f>AB7*Y$10</f>
        <v>102860.23792566991</v>
      </c>
      <c r="Z7" s="112">
        <f>T7*0.99</f>
        <v>111525.196761</v>
      </c>
      <c r="AA7" s="112">
        <f>AC7*AA$10</f>
        <v>117294.09558580143</v>
      </c>
      <c r="AB7" s="113">
        <f>X7/X$10</f>
        <v>7.1284864762562475E-2</v>
      </c>
      <c r="AC7" s="113">
        <f>Z7/Z$10</f>
        <v>6.5604830840406123E-2</v>
      </c>
      <c r="AD7" s="126">
        <f>(F7)*0.99</f>
        <v>97684.29</v>
      </c>
      <c r="AE7" s="126">
        <f>AH7*AE$10</f>
        <v>104621.09960006518</v>
      </c>
      <c r="AF7" s="126">
        <f>Z7*0.99</f>
        <v>110409.94479338999</v>
      </c>
      <c r="AG7" s="126">
        <f>AI7*AG$10</f>
        <v>115636.4343950378</v>
      </c>
      <c r="AH7" s="113">
        <f>AD7/AD$10</f>
        <v>6.8668531770226429E-2</v>
      </c>
      <c r="AI7" s="113">
        <f>AF7/AF$10</f>
        <v>6.0752536758432556E-2</v>
      </c>
      <c r="AJ7" s="114"/>
      <c r="AK7" s="115"/>
      <c r="AL7" s="115"/>
      <c r="AM7" s="115"/>
      <c r="AN7" s="115"/>
      <c r="AO7" s="115"/>
    </row>
    <row r="8" spans="1:52" s="107" customFormat="1" ht="24" customHeight="1">
      <c r="A8" s="109">
        <v>3</v>
      </c>
      <c r="B8" s="110" t="s">
        <v>140</v>
      </c>
      <c r="C8" s="199"/>
      <c r="D8" s="199"/>
      <c r="E8" s="111"/>
      <c r="F8" s="112">
        <v>606772</v>
      </c>
      <c r="G8" s="112">
        <f>G10*J8</f>
        <v>656624.50859105343</v>
      </c>
      <c r="H8" s="112">
        <v>910158</v>
      </c>
      <c r="I8" s="112">
        <f>$I$10*K8</f>
        <v>967755.58666643035</v>
      </c>
      <c r="J8" s="113">
        <f>F8/$F$10</f>
        <v>0.52529960687284272</v>
      </c>
      <c r="K8" s="113">
        <f>H8/$H$10</f>
        <v>0.64517039111095353</v>
      </c>
      <c r="L8" s="112">
        <f>(F8)*1.1</f>
        <v>667449.20000000007</v>
      </c>
      <c r="M8" s="112">
        <f>P8*M$10</f>
        <v>720725.15807590005</v>
      </c>
      <c r="N8" s="112">
        <f>(H8)*1.1</f>
        <v>1001173.8</v>
      </c>
      <c r="O8" s="112">
        <f>Q8*O$10</f>
        <v>1060927.633445842</v>
      </c>
      <c r="P8" s="113">
        <f>L8/L$10</f>
        <v>0.55096017958492016</v>
      </c>
      <c r="Q8" s="113">
        <f>N8/N$10</f>
        <v>0.66839685752057176</v>
      </c>
      <c r="R8" s="112">
        <f t="shared" ref="R8" si="0">(L8)*1.1</f>
        <v>734194.12000000011</v>
      </c>
      <c r="S8" s="112">
        <f>V8*S$10</f>
        <v>790892.07061885484</v>
      </c>
      <c r="T8" s="112">
        <f>N8*1.1</f>
        <v>1101291.1800000002</v>
      </c>
      <c r="U8" s="112">
        <f>W8*U$10</f>
        <v>1162809.5172668367</v>
      </c>
      <c r="V8" s="113">
        <f>R8/R$10</f>
        <v>0.57634309805135708</v>
      </c>
      <c r="W8" s="113">
        <f>T8/T$10</f>
        <v>0.6910719465329519</v>
      </c>
      <c r="X8" s="112">
        <f t="shared" ref="X8" si="1">(R8)*1.1</f>
        <v>807613.53200000024</v>
      </c>
      <c r="Y8" s="112">
        <f>AB8*Y$10</f>
        <v>867672.82988773484</v>
      </c>
      <c r="Z8" s="112">
        <f>T8*1.1</f>
        <v>1211420.2980000002</v>
      </c>
      <c r="AA8" s="112">
        <f>AC8*AA$10</f>
        <v>1274083.8156304546</v>
      </c>
      <c r="AB8" s="113">
        <f>X8/X$10</f>
        <v>0.60132021453608964</v>
      </c>
      <c r="AC8" s="113">
        <f>Z8/Z$10</f>
        <v>0.71261944417135115</v>
      </c>
      <c r="AD8" s="126">
        <f>X8*1.1</f>
        <v>888374.88520000037</v>
      </c>
      <c r="AE8" s="126">
        <f>AH8*AE$10</f>
        <v>951460.64271650743</v>
      </c>
      <c r="AF8" s="126">
        <f>Z8*1.1</f>
        <v>1332562.3278000003</v>
      </c>
      <c r="AG8" s="126">
        <f>AI8*AG$10</f>
        <v>1395642.0002228711</v>
      </c>
      <c r="AH8" s="113">
        <f>AD8/AD$10</f>
        <v>0.62449549490739487</v>
      </c>
      <c r="AI8" s="113">
        <f>AF8/AF$10</f>
        <v>0.73323595944247466</v>
      </c>
      <c r="AJ8" s="114"/>
      <c r="AK8" s="115"/>
      <c r="AL8" s="115"/>
      <c r="AM8" s="115"/>
      <c r="AN8" s="115"/>
      <c r="AO8" s="115"/>
    </row>
    <row r="9" spans="1:52" s="107" customFormat="1" ht="24" customHeight="1">
      <c r="A9" s="109">
        <v>4</v>
      </c>
      <c r="B9" s="117" t="s">
        <v>122</v>
      </c>
      <c r="C9" s="199"/>
      <c r="D9" s="199"/>
      <c r="E9" s="111"/>
      <c r="F9" s="112">
        <v>56908</v>
      </c>
      <c r="G9" s="112">
        <f>G10*J9</f>
        <v>61583.572635025455</v>
      </c>
      <c r="H9" s="112">
        <v>56908</v>
      </c>
      <c r="I9" s="112">
        <f>$I$10*K9</f>
        <v>60509.312587499342</v>
      </c>
      <c r="J9" s="113">
        <f>F9/$F$10</f>
        <v>4.9266858108020367E-2</v>
      </c>
      <c r="K9" s="113">
        <f>H9/$H$10</f>
        <v>4.033954172499956E-2</v>
      </c>
      <c r="L9" s="112">
        <f>(F9)*1.01</f>
        <v>57477.08</v>
      </c>
      <c r="M9" s="112">
        <f>P9*M$10</f>
        <v>62064.914556405412</v>
      </c>
      <c r="N9" s="112">
        <f>(H9)*1.01</f>
        <v>57477.08</v>
      </c>
      <c r="O9" s="112">
        <f>Q9*O$10</f>
        <v>60907.529203997685</v>
      </c>
      <c r="P9" s="113">
        <f>L9/L$10</f>
        <v>4.7445681737002338E-2</v>
      </c>
      <c r="Q9" s="113">
        <f>N9/N$10</f>
        <v>3.8372458060187457E-2</v>
      </c>
      <c r="R9" s="112">
        <f>(L9)*1.01</f>
        <v>58051.8508</v>
      </c>
      <c r="S9" s="112">
        <f>V9*S$10</f>
        <v>62534.889931383295</v>
      </c>
      <c r="T9" s="112">
        <f>(H9)*1.01</f>
        <v>57477.08</v>
      </c>
      <c r="U9" s="112">
        <f>W9*U$10</f>
        <v>60687.760750710222</v>
      </c>
      <c r="V9" s="113">
        <f>R9/R$10</f>
        <v>4.5570759321372861E-2</v>
      </c>
      <c r="W9" s="113">
        <f>T9/T$10</f>
        <v>3.6067479952604536E-2</v>
      </c>
      <c r="X9" s="112">
        <f>(R9)*1.01</f>
        <v>58632.369308000001</v>
      </c>
      <c r="Y9" s="112">
        <f>AB9*Y$10</f>
        <v>62992.646587421375</v>
      </c>
      <c r="Z9" s="112">
        <f>(T9)*1.01</f>
        <v>58051.8508</v>
      </c>
      <c r="AA9" s="112">
        <f>AC9*AA$10</f>
        <v>61054.717090165381</v>
      </c>
      <c r="AB9" s="113">
        <f>X9/X$10</f>
        <v>4.3655569767057582E-2</v>
      </c>
      <c r="AC9" s="113">
        <f>Z9/Z$10</f>
        <v>3.4149070903395244E-2</v>
      </c>
      <c r="AD9" s="126">
        <f>(X9)*1.01</f>
        <v>59218.693001079999</v>
      </c>
      <c r="AE9" s="126">
        <f>AH9*AE$10</f>
        <v>63423.962836313527</v>
      </c>
      <c r="AF9" s="126">
        <f>(Z9)*1.01</f>
        <v>58632.369308000001</v>
      </c>
      <c r="AG9" s="126">
        <f>AI9*AG$10</f>
        <v>61407.857232404633</v>
      </c>
      <c r="AH9" s="113">
        <f>AD9/AD$10</f>
        <v>4.1628604781136738E-2</v>
      </c>
      <c r="AI9" s="113">
        <f>AF9/AF$10</f>
        <v>3.2262176910639269E-2</v>
      </c>
      <c r="AJ9" s="114"/>
      <c r="AK9" s="115"/>
      <c r="AL9" s="115"/>
      <c r="AM9" s="115"/>
      <c r="AN9" s="115"/>
      <c r="AO9" s="115"/>
    </row>
    <row r="10" spans="1:52" s="118" customFormat="1" ht="24" customHeight="1">
      <c r="A10" s="197" t="s">
        <v>139</v>
      </c>
      <c r="B10" s="198"/>
      <c r="C10" s="120" t="s">
        <v>27</v>
      </c>
      <c r="D10" s="120">
        <v>1</v>
      </c>
      <c r="E10" s="120">
        <f>COUNTA(E6:E9)</f>
        <v>1</v>
      </c>
      <c r="F10" s="121">
        <f>SUM(F6:F9)</f>
        <v>1155097</v>
      </c>
      <c r="G10" s="121">
        <v>1250000</v>
      </c>
      <c r="H10" s="121">
        <f>SUM(H6:H9)</f>
        <v>1410725</v>
      </c>
      <c r="I10" s="122">
        <v>1500000</v>
      </c>
      <c r="J10" s="123">
        <f>SUM(J6:J9)</f>
        <v>1</v>
      </c>
      <c r="K10" s="123">
        <f>SUM(K6:K9)</f>
        <v>0.99999999999999989</v>
      </c>
      <c r="L10" s="121">
        <f>SUM(L6:L9)</f>
        <v>1211429.1100000001</v>
      </c>
      <c r="M10" s="121">
        <f>G10*(1+((L10-F10)/L10))</f>
        <v>1308125.6772837497</v>
      </c>
      <c r="N10" s="121">
        <f>SUM(N6:N9)</f>
        <v>1497873.29</v>
      </c>
      <c r="O10" s="122">
        <f>I10*(1+((N10-H10)/N10))</f>
        <v>1587272.0248586582</v>
      </c>
      <c r="P10" s="123">
        <f>SUM(P6:P9)</f>
        <v>1</v>
      </c>
      <c r="Q10" s="123">
        <f>SUM(Q6:Q9)</f>
        <v>1</v>
      </c>
      <c r="R10" s="121">
        <f>SUM(R6:R9)</f>
        <v>1273883.7725</v>
      </c>
      <c r="S10" s="121">
        <f>M10*(1+((R10-L10)/R10))</f>
        <v>1372259.1166492631</v>
      </c>
      <c r="T10" s="121">
        <f>SUM(T6:T9)</f>
        <v>1593598.4459000002</v>
      </c>
      <c r="U10" s="122">
        <f>O10*(1+((T10-N10)/T10))</f>
        <v>1682617.1617883656</v>
      </c>
      <c r="V10" s="123">
        <f>SUM(V6:V9)</f>
        <v>1</v>
      </c>
      <c r="W10" s="123">
        <f>SUM(W6:W9)</f>
        <v>0.99999999999999989</v>
      </c>
      <c r="X10" s="121">
        <f>SUM(X6:X9)</f>
        <v>1343067.3249910001</v>
      </c>
      <c r="Y10" s="121">
        <f>S10*(1+((X10-R10)/X10))</f>
        <v>1442946.3851587505</v>
      </c>
      <c r="Z10" s="121">
        <f>SUM(Z6:Z9)</f>
        <v>1699954.032841</v>
      </c>
      <c r="AA10" s="122">
        <f>U10*(1+((Z10-T10)/Z10))</f>
        <v>1787888.0881674313</v>
      </c>
      <c r="AB10" s="123">
        <f>SUM(AB6:AB9)</f>
        <v>1</v>
      </c>
      <c r="AC10" s="123">
        <f>SUM(AC6:AC9)</f>
        <v>1</v>
      </c>
      <c r="AD10" s="124">
        <f>SUM(AD6:AD9)</f>
        <v>1422548.1087445405</v>
      </c>
      <c r="AE10" s="124">
        <f>Y10*(1+((AD10-X10)/AD10))</f>
        <v>1523566.863933258</v>
      </c>
      <c r="AF10" s="124">
        <f>SUM(AF6:AF9)</f>
        <v>1817371.7623085903</v>
      </c>
      <c r="AG10" s="124">
        <f>AA10*(1+((AF10-Z10)/AF10))</f>
        <v>1903400.9206041468</v>
      </c>
      <c r="AH10" s="123">
        <f t="shared" ref="AH10:AO10" si="2">SUM(AH6:AH9)</f>
        <v>0.99999999999999989</v>
      </c>
      <c r="AI10" s="123">
        <f t="shared" si="2"/>
        <v>1</v>
      </c>
      <c r="AJ10" s="125">
        <f t="shared" si="2"/>
        <v>5</v>
      </c>
      <c r="AK10" s="125">
        <f t="shared" si="2"/>
        <v>0</v>
      </c>
      <c r="AL10" s="125">
        <f t="shared" si="2"/>
        <v>1</v>
      </c>
      <c r="AM10" s="125">
        <f t="shared" si="2"/>
        <v>1</v>
      </c>
      <c r="AN10" s="125">
        <f t="shared" si="2"/>
        <v>1</v>
      </c>
      <c r="AO10" s="125">
        <f t="shared" si="2"/>
        <v>1</v>
      </c>
    </row>
    <row r="11" spans="1:52" s="48" customFormat="1">
      <c r="A11" s="47"/>
      <c r="E11" s="47"/>
      <c r="F11" s="49"/>
      <c r="G11" s="6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</row>
  </sheetData>
  <mergeCells count="15">
    <mergeCell ref="C6:C9"/>
    <mergeCell ref="D6:D9"/>
    <mergeCell ref="A10:B10"/>
    <mergeCell ref="AD4:AI4"/>
    <mergeCell ref="AK4:AO4"/>
    <mergeCell ref="A2:AO3"/>
    <mergeCell ref="A4:A5"/>
    <mergeCell ref="B4:B5"/>
    <mergeCell ref="C4:C5"/>
    <mergeCell ref="D4:D5"/>
    <mergeCell ref="E4:E5"/>
    <mergeCell ref="F4:K4"/>
    <mergeCell ref="L4:Q4"/>
    <mergeCell ref="R4:W4"/>
    <mergeCell ref="X4:AC4"/>
  </mergeCells>
  <pageMargins left="0.7" right="0.7" top="0.75" bottom="0.75" header="0.3" footer="0.3"/>
  <pageSetup scale="1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7"/>
  <sheetViews>
    <sheetView zoomScale="60" zoomScaleNormal="60" zoomScaleSheetLayoutView="70" workbookViewId="0">
      <pane xSplit="2" ySplit="5" topLeftCell="AC9" activePane="bottomRight" state="frozen"/>
      <selection activeCell="G23" sqref="G23"/>
      <selection pane="topRight" activeCell="G23" sqref="G23"/>
      <selection pane="bottomLeft" activeCell="G23" sqref="G23"/>
      <selection pane="bottomRight" activeCell="AC13" sqref="AC13"/>
    </sheetView>
  </sheetViews>
  <sheetFormatPr baseColWidth="10" defaultColWidth="11.42578125" defaultRowHeight="15"/>
  <cols>
    <col min="1" max="1" width="8.5703125" style="71" customWidth="1"/>
    <col min="2" max="2" width="72.28515625" style="75" customWidth="1"/>
    <col min="3" max="3" width="34.42578125" style="72" customWidth="1"/>
    <col min="4" max="4" width="28.85546875" style="71" customWidth="1"/>
    <col min="5" max="5" width="17.5703125" style="71" customWidth="1"/>
    <col min="6" max="35" width="28.85546875" style="73" customWidth="1"/>
    <col min="36" max="36" width="19.28515625" style="73" customWidth="1"/>
    <col min="37" max="37" width="9.5703125" style="74" customWidth="1"/>
    <col min="38" max="38" width="10.28515625" style="74" customWidth="1"/>
    <col min="39" max="39" width="11.42578125" style="74" customWidth="1"/>
    <col min="40" max="40" width="11" style="74" customWidth="1"/>
    <col min="41" max="41" width="10.28515625" style="74" customWidth="1"/>
    <col min="42" max="16384" width="11.42578125" style="75"/>
  </cols>
  <sheetData>
    <row r="1" spans="1:52" s="48" customFormat="1" ht="31.5" customHeight="1">
      <c r="A1" s="47"/>
      <c r="C1" s="47"/>
      <c r="D1" s="47"/>
      <c r="E1" s="47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</row>
    <row r="2" spans="1:52" s="48" customFormat="1" ht="35.25" customHeight="1">
      <c r="A2" s="165" t="s">
        <v>129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</row>
    <row r="3" spans="1:52" s="48" customFormat="1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</row>
    <row r="4" spans="1:52" s="48" customFormat="1" ht="47.45" customHeight="1">
      <c r="A4" s="142" t="s">
        <v>1</v>
      </c>
      <c r="B4" s="142" t="s">
        <v>2</v>
      </c>
      <c r="C4" s="142" t="s">
        <v>3</v>
      </c>
      <c r="D4" s="143" t="s">
        <v>4</v>
      </c>
      <c r="E4" s="143" t="s">
        <v>5</v>
      </c>
      <c r="F4" s="144" t="s">
        <v>124</v>
      </c>
      <c r="G4" s="145"/>
      <c r="H4" s="145"/>
      <c r="I4" s="145"/>
      <c r="J4" s="145"/>
      <c r="K4" s="164"/>
      <c r="L4" s="144" t="s">
        <v>125</v>
      </c>
      <c r="M4" s="145"/>
      <c r="N4" s="145"/>
      <c r="O4" s="145"/>
      <c r="P4" s="145"/>
      <c r="Q4" s="164"/>
      <c r="R4" s="144" t="s">
        <v>126</v>
      </c>
      <c r="S4" s="145"/>
      <c r="T4" s="145"/>
      <c r="U4" s="145"/>
      <c r="V4" s="145"/>
      <c r="W4" s="164"/>
      <c r="X4" s="144" t="s">
        <v>127</v>
      </c>
      <c r="Y4" s="145"/>
      <c r="Z4" s="145"/>
      <c r="AA4" s="145"/>
      <c r="AB4" s="145"/>
      <c r="AC4" s="164"/>
      <c r="AD4" s="144" t="s">
        <v>128</v>
      </c>
      <c r="AE4" s="145"/>
      <c r="AF4" s="145"/>
      <c r="AG4" s="145"/>
      <c r="AH4" s="145"/>
      <c r="AI4" s="164"/>
      <c r="AJ4" s="52" t="s">
        <v>11</v>
      </c>
      <c r="AK4" s="147" t="s">
        <v>12</v>
      </c>
      <c r="AL4" s="148"/>
      <c r="AM4" s="148"/>
      <c r="AN4" s="148"/>
      <c r="AO4" s="149"/>
    </row>
    <row r="5" spans="1:52" s="48" customFormat="1" ht="43.15" customHeight="1">
      <c r="A5" s="142"/>
      <c r="B5" s="142"/>
      <c r="C5" s="142"/>
      <c r="D5" s="143"/>
      <c r="E5" s="143"/>
      <c r="F5" s="52" t="s">
        <v>13</v>
      </c>
      <c r="G5" s="52" t="s">
        <v>14</v>
      </c>
      <c r="H5" s="52" t="s">
        <v>15</v>
      </c>
      <c r="I5" s="52" t="s">
        <v>16</v>
      </c>
      <c r="J5" s="53" t="s">
        <v>17</v>
      </c>
      <c r="K5" s="53" t="s">
        <v>18</v>
      </c>
      <c r="L5" s="52" t="s">
        <v>13</v>
      </c>
      <c r="M5" s="52" t="s">
        <v>14</v>
      </c>
      <c r="N5" s="52" t="s">
        <v>15</v>
      </c>
      <c r="O5" s="52" t="s">
        <v>16</v>
      </c>
      <c r="P5" s="53" t="s">
        <v>17</v>
      </c>
      <c r="Q5" s="53" t="s">
        <v>18</v>
      </c>
      <c r="R5" s="52" t="s">
        <v>13</v>
      </c>
      <c r="S5" s="52" t="s">
        <v>14</v>
      </c>
      <c r="T5" s="52" t="s">
        <v>15</v>
      </c>
      <c r="U5" s="52" t="s">
        <v>16</v>
      </c>
      <c r="V5" s="53" t="s">
        <v>17</v>
      </c>
      <c r="W5" s="53" t="s">
        <v>18</v>
      </c>
      <c r="X5" s="52" t="s">
        <v>13</v>
      </c>
      <c r="Y5" s="52" t="s">
        <v>14</v>
      </c>
      <c r="Z5" s="52" t="s">
        <v>15</v>
      </c>
      <c r="AA5" s="52" t="s">
        <v>16</v>
      </c>
      <c r="AB5" s="53" t="s">
        <v>17</v>
      </c>
      <c r="AC5" s="53" t="s">
        <v>18</v>
      </c>
      <c r="AD5" s="52" t="s">
        <v>13</v>
      </c>
      <c r="AE5" s="52" t="s">
        <v>14</v>
      </c>
      <c r="AF5" s="52" t="s">
        <v>15</v>
      </c>
      <c r="AG5" s="52" t="s">
        <v>16</v>
      </c>
      <c r="AH5" s="53" t="s">
        <v>17</v>
      </c>
      <c r="AI5" s="53" t="s">
        <v>18</v>
      </c>
      <c r="AJ5" s="52">
        <v>2018</v>
      </c>
      <c r="AK5" s="52">
        <v>2019</v>
      </c>
      <c r="AL5" s="52">
        <v>2020</v>
      </c>
      <c r="AM5" s="52">
        <v>2021</v>
      </c>
      <c r="AN5" s="52">
        <v>2022</v>
      </c>
      <c r="AO5" s="52">
        <v>2023</v>
      </c>
    </row>
    <row r="6" spans="1:52" s="48" customFormat="1" ht="24" customHeight="1">
      <c r="A6" s="54">
        <v>1</v>
      </c>
      <c r="B6" s="63" t="s">
        <v>95</v>
      </c>
      <c r="C6" s="187" t="s">
        <v>96</v>
      </c>
      <c r="D6" s="187" t="s">
        <v>97</v>
      </c>
      <c r="E6" s="56" t="s">
        <v>22</v>
      </c>
      <c r="F6" s="92">
        <v>445089.01247999998</v>
      </c>
      <c r="G6" s="92">
        <f>J6*G$16</f>
        <v>469147.99340235931</v>
      </c>
      <c r="H6" s="92">
        <v>117510.07391999997</v>
      </c>
      <c r="I6" s="92">
        <f>K6*I$16</f>
        <v>127452.04659192318</v>
      </c>
      <c r="J6" s="58">
        <f>F6/F$16</f>
        <v>0.67021141914622762</v>
      </c>
      <c r="K6" s="58">
        <f>H6/H$16</f>
        <v>0.23173099380349668</v>
      </c>
      <c r="L6" s="92">
        <f>(F6)*1.01</f>
        <v>449539.90260479995</v>
      </c>
      <c r="M6" s="92">
        <f>P6*M$16</f>
        <v>473561.31823892193</v>
      </c>
      <c r="N6" s="92">
        <f>(H6)*1.01</f>
        <v>118685.17465919997</v>
      </c>
      <c r="O6" s="92">
        <f>Q6*O$16</f>
        <v>128335.81663908376</v>
      </c>
      <c r="P6" s="58">
        <f>L6/L$16</f>
        <v>0.66051288222525995</v>
      </c>
      <c r="Q6" s="58">
        <f>N6/N$16</f>
        <v>0.2211533101607403</v>
      </c>
      <c r="R6" s="92">
        <f>(L6)*1.01</f>
        <v>454035.30163084797</v>
      </c>
      <c r="S6" s="92">
        <f>V6*S$16</f>
        <v>477991.49439825997</v>
      </c>
      <c r="T6" s="92">
        <f>(N6)*1.01</f>
        <v>119872.02640579197</v>
      </c>
      <c r="U6" s="92">
        <f>W6*U$16</f>
        <v>129201.08220219371</v>
      </c>
      <c r="V6" s="58">
        <f>R6/R$16</f>
        <v>0.65025967495427439</v>
      </c>
      <c r="W6" s="58">
        <f>T6/T$16</f>
        <v>0.21067908492320295</v>
      </c>
      <c r="X6" s="92">
        <f>(R6)*1.01</f>
        <v>458575.65464715648</v>
      </c>
      <c r="Y6" s="92">
        <f>AB6*Y$16</f>
        <v>482435.73407358059</v>
      </c>
      <c r="Z6" s="92">
        <f>(T6)*1.01</f>
        <v>121070.74666984989</v>
      </c>
      <c r="AA6" s="92">
        <f>AC6*AA$16</f>
        <v>130046.97833591458</v>
      </c>
      <c r="AB6" s="58">
        <f>X6/X$16</f>
        <v>0.6394442971263129</v>
      </c>
      <c r="AC6" s="58">
        <f>Z6/Z$16</f>
        <v>0.20034438860780851</v>
      </c>
      <c r="AD6" s="92">
        <f>(X6)*1.01</f>
        <v>463161.41119362804</v>
      </c>
      <c r="AE6" s="93">
        <f>AH6*AE$16</f>
        <v>486890.95985924761</v>
      </c>
      <c r="AF6" s="92">
        <f>(Z6)*1.01</f>
        <v>122281.45413654839</v>
      </c>
      <c r="AG6" s="93">
        <f>AI6*AG$16</f>
        <v>130872.75456656014</v>
      </c>
      <c r="AH6" s="58">
        <f>AD6/AD$16</f>
        <v>0.6280627312720235</v>
      </c>
      <c r="AI6" s="58">
        <f>AF6/AF$16</f>
        <v>0.19018332855089734</v>
      </c>
      <c r="AJ6" s="59">
        <v>2</v>
      </c>
      <c r="AK6" s="60">
        <v>0</v>
      </c>
      <c r="AL6" s="60">
        <v>0</v>
      </c>
      <c r="AM6" s="60">
        <v>0</v>
      </c>
      <c r="AN6" s="60">
        <v>0</v>
      </c>
      <c r="AO6" s="60">
        <v>0</v>
      </c>
      <c r="AQ6" s="76"/>
      <c r="AR6" s="76"/>
      <c r="AS6" s="76"/>
      <c r="AT6" s="76"/>
      <c r="AU6" s="76"/>
      <c r="AV6" s="76"/>
      <c r="AW6" s="76"/>
      <c r="AX6" s="76"/>
      <c r="AY6" s="76"/>
      <c r="AZ6" s="76"/>
    </row>
    <row r="7" spans="1:52" s="48" customFormat="1" ht="24" customHeight="1">
      <c r="A7" s="54">
        <v>2</v>
      </c>
      <c r="B7" s="63" t="s">
        <v>98</v>
      </c>
      <c r="C7" s="188"/>
      <c r="D7" s="188"/>
      <c r="E7" s="56"/>
      <c r="F7" s="92">
        <v>98093.939725420467</v>
      </c>
      <c r="G7" s="92">
        <f t="shared" ref="G7:G15" si="0">J7*G$16</f>
        <v>103396.34027515096</v>
      </c>
      <c r="H7" s="92">
        <v>114266.78781354072</v>
      </c>
      <c r="I7" s="92">
        <f t="shared" ref="I7:I15" si="1">K7*I$16</f>
        <v>123934.36135727007</v>
      </c>
      <c r="J7" s="58">
        <f t="shared" ref="J7:J15" si="2">F7/F$16</f>
        <v>0.14770905753592994</v>
      </c>
      <c r="K7" s="58">
        <f t="shared" ref="K7:K15" si="3">H7/H$16</f>
        <v>0.22533520246776376</v>
      </c>
      <c r="L7" s="92">
        <f>(F7)*1.01</f>
        <v>99074.879122674669</v>
      </c>
      <c r="M7" s="92">
        <f t="shared" ref="M7:M15" si="4">P7*M$16</f>
        <v>104369.00059335177</v>
      </c>
      <c r="N7" s="92">
        <f>(H7)*1.01</f>
        <v>115409.45569167614</v>
      </c>
      <c r="O7" s="92">
        <f t="shared" ref="O7:O15" si="5">Q7*O$16</f>
        <v>124793.73929046419</v>
      </c>
      <c r="P7" s="58">
        <f t="shared" ref="P7:P15" si="6">L7/L$16</f>
        <v>0.14557158015618243</v>
      </c>
      <c r="Q7" s="58">
        <f t="shared" ref="Q7:Q15" si="7">N7/N$16</f>
        <v>0.21504946361963345</v>
      </c>
      <c r="R7" s="92">
        <f>(L7)*1.01</f>
        <v>100065.62791390142</v>
      </c>
      <c r="S7" s="92">
        <f>V7*S$16</f>
        <v>105345.37480381744</v>
      </c>
      <c r="T7" s="92">
        <f>(N7)*1.01</f>
        <v>116563.5502485929</v>
      </c>
      <c r="U7" s="92">
        <f>W7*U$16</f>
        <v>125635.12346463773</v>
      </c>
      <c r="V7" s="58">
        <f>R7/R$16</f>
        <v>0.14331185801559715</v>
      </c>
      <c r="W7" s="58">
        <f>T7/T$16</f>
        <v>0.20486432771763646</v>
      </c>
      <c r="X7" s="92">
        <f>(R7)*1.01</f>
        <v>101066.28419304044</v>
      </c>
      <c r="Y7" s="92">
        <f>AB7*Y$16</f>
        <v>106324.84849697181</v>
      </c>
      <c r="Z7" s="92">
        <f>(T7)*1.01</f>
        <v>117729.18575107884</v>
      </c>
      <c r="AA7" s="92">
        <f>AC7*AA$16</f>
        <v>126457.67280700289</v>
      </c>
      <c r="AB7" s="58">
        <f>X7/X$16</f>
        <v>0.14092823813054914</v>
      </c>
      <c r="AC7" s="58">
        <f>Z7/Z$16</f>
        <v>0.19481486972995352</v>
      </c>
      <c r="AD7" s="92">
        <f>(X7)*1.01</f>
        <v>102076.94703497084</v>
      </c>
      <c r="AE7" s="93">
        <f>AH7*AE$16</f>
        <v>107306.74343804721</v>
      </c>
      <c r="AF7" s="92">
        <f>(Z7)*1.01</f>
        <v>118906.47760858963</v>
      </c>
      <c r="AG7" s="93">
        <f>AI7*AG$16</f>
        <v>127260.65755699873</v>
      </c>
      <c r="AH7" s="58">
        <f>AD7/AD$16</f>
        <v>0.13841983508399733</v>
      </c>
      <c r="AI7" s="58">
        <f>AF7/AF$16</f>
        <v>0.18493425562810079</v>
      </c>
      <c r="AJ7" s="59"/>
      <c r="AK7" s="60"/>
      <c r="AL7" s="60"/>
      <c r="AM7" s="60"/>
      <c r="AN7" s="60"/>
      <c r="AO7" s="60"/>
    </row>
    <row r="8" spans="1:52" s="48" customFormat="1" ht="24" customHeight="1">
      <c r="A8" s="54">
        <v>3</v>
      </c>
      <c r="B8" s="63" t="s">
        <v>99</v>
      </c>
      <c r="C8" s="188"/>
      <c r="D8" s="188"/>
      <c r="E8" s="56"/>
      <c r="F8" s="92">
        <v>8476.8768</v>
      </c>
      <c r="G8" s="92">
        <f t="shared" si="0"/>
        <v>8935.0885542646702</v>
      </c>
      <c r="H8" s="92">
        <v>4642.0992000000006</v>
      </c>
      <c r="I8" s="92">
        <f t="shared" si="1"/>
        <v>5034.8453012251293</v>
      </c>
      <c r="J8" s="58">
        <f t="shared" si="2"/>
        <v>1.27644122203781E-2</v>
      </c>
      <c r="K8" s="58">
        <f t="shared" si="3"/>
        <v>9.1542641840456889E-3</v>
      </c>
      <c r="L8" s="92">
        <f t="shared" ref="L8:L13" si="8">F8*1.1</f>
        <v>9324.5644800000009</v>
      </c>
      <c r="M8" s="92">
        <f t="shared" si="4"/>
        <v>9822.827788069817</v>
      </c>
      <c r="N8" s="92">
        <f t="shared" ref="N8:N13" si="9">(H8)*1.1</f>
        <v>5106.3091200000008</v>
      </c>
      <c r="O8" s="92">
        <f t="shared" si="5"/>
        <v>5521.5181913708657</v>
      </c>
      <c r="P8" s="58">
        <f t="shared" si="6"/>
        <v>1.3700663555098434E-2</v>
      </c>
      <c r="Q8" s="58">
        <f t="shared" si="7"/>
        <v>9.5148965979504514E-3</v>
      </c>
      <c r="R8" s="92">
        <f t="shared" ref="R8:R13" si="10">L8*1.1</f>
        <v>10257.020928000002</v>
      </c>
      <c r="S8" s="92">
        <f>V8*S$16</f>
        <v>10798.210500017749</v>
      </c>
      <c r="T8" s="92">
        <f t="shared" ref="T8:T13" si="11">(N8)*1.1</f>
        <v>5616.9400320000013</v>
      </c>
      <c r="U8" s="92">
        <f>W8*U$16</f>
        <v>6054.0791088533697</v>
      </c>
      <c r="V8" s="58">
        <f>R8/R$16</f>
        <v>1.4689886602833524E-2</v>
      </c>
      <c r="W8" s="58">
        <f>T8/T$16</f>
        <v>9.8719594678770561E-3</v>
      </c>
      <c r="X8" s="92">
        <f t="shared" ref="X8:X13" si="12">R8*1.1</f>
        <v>11282.723020800004</v>
      </c>
      <c r="Y8" s="92">
        <f t="shared" ref="Y8:Y15" si="13">AB8*Y$16</f>
        <v>11869.772648695687</v>
      </c>
      <c r="Z8" s="92">
        <f t="shared" ref="Z8:Z13" si="14">(T8)*1.1</f>
        <v>6178.6340352000016</v>
      </c>
      <c r="AA8" s="92">
        <f t="shared" ref="AA8:AA15" si="15">AC8*AA$16</f>
        <v>6636.7203360223166</v>
      </c>
      <c r="AB8" s="58">
        <f>X8/X$16</f>
        <v>1.5732786550253175E-2</v>
      </c>
      <c r="AC8" s="58">
        <f>Z8/Z$16</f>
        <v>1.0224225853575268E-2</v>
      </c>
      <c r="AD8" s="92">
        <f t="shared" ref="AD8:AD13" si="16">X8*1.1</f>
        <v>12410.995322880006</v>
      </c>
      <c r="AE8" s="93">
        <f t="shared" ref="AE8:AE15" si="17">AH8*AE$16</f>
        <v>13046.858567065383</v>
      </c>
      <c r="AF8" s="92">
        <f t="shared" ref="AF8:AF13" si="18">(Z8)*1.1</f>
        <v>6796.4974387200027</v>
      </c>
      <c r="AG8" s="93">
        <f t="shared" ref="AG8:AG15" si="19">AI8*AG$16</f>
        <v>7274.0085362135405</v>
      </c>
      <c r="AH8" s="58">
        <f t="shared" ref="AH8:AH15" si="20">AD8/AD$16</f>
        <v>1.682973458476146E-2</v>
      </c>
      <c r="AI8" s="58">
        <f t="shared" ref="AI8:AI15" si="21">AF8/AF$16</f>
        <v>1.0570535937036118E-2</v>
      </c>
      <c r="AJ8" s="59">
        <v>1</v>
      </c>
      <c r="AK8" s="60"/>
      <c r="AL8" s="60"/>
      <c r="AM8" s="60"/>
      <c r="AN8" s="60"/>
      <c r="AO8" s="60"/>
    </row>
    <row r="9" spans="1:52" s="48" customFormat="1" ht="24" customHeight="1">
      <c r="A9" s="54">
        <v>4</v>
      </c>
      <c r="B9" s="63" t="s">
        <v>100</v>
      </c>
      <c r="C9" s="188"/>
      <c r="D9" s="188"/>
      <c r="E9" s="56"/>
      <c r="F9" s="92">
        <v>782.0927999999999</v>
      </c>
      <c r="G9" s="92">
        <f t="shared" si="0"/>
        <v>824.3682892327522</v>
      </c>
      <c r="H9" s="92">
        <v>227.05919999999998</v>
      </c>
      <c r="I9" s="92">
        <f t="shared" si="1"/>
        <v>246.2696071251421</v>
      </c>
      <c r="J9" s="58">
        <f t="shared" si="2"/>
        <v>1.1776689846182175E-3</v>
      </c>
      <c r="K9" s="58">
        <f t="shared" si="3"/>
        <v>4.4776292204571293E-4</v>
      </c>
      <c r="L9" s="92">
        <f t="shared" si="8"/>
        <v>860.30207999999993</v>
      </c>
      <c r="M9" s="92">
        <f t="shared" si="4"/>
        <v>906.27280187548888</v>
      </c>
      <c r="N9" s="92">
        <f t="shared" si="9"/>
        <v>249.76512</v>
      </c>
      <c r="O9" s="92">
        <f t="shared" si="5"/>
        <v>270.07425936053147</v>
      </c>
      <c r="P9" s="58">
        <f t="shared" si="6"/>
        <v>1.2640493160953911E-3</v>
      </c>
      <c r="Q9" s="58">
        <f t="shared" si="7"/>
        <v>4.6540255098670679E-4</v>
      </c>
      <c r="R9" s="92">
        <f t="shared" si="10"/>
        <v>946.33228799999995</v>
      </c>
      <c r="S9" s="92">
        <f t="shared" ref="S9:S15" si="22">V9*S$16</f>
        <v>996.26346875163745</v>
      </c>
      <c r="T9" s="92">
        <f t="shared" si="11"/>
        <v>274.74163200000004</v>
      </c>
      <c r="U9" s="92">
        <f t="shared" ref="U9:U15" si="23">W9*U$16</f>
        <v>296.12343467217568</v>
      </c>
      <c r="V9" s="58">
        <f t="shared" ref="V9:V15" si="24">R9/R$16</f>
        <v>1.3553169187138069E-3</v>
      </c>
      <c r="W9" s="58">
        <f t="shared" ref="W9:W15" si="25">T9/T$16</f>
        <v>4.8286758266789949E-4</v>
      </c>
      <c r="X9" s="92">
        <f t="shared" si="12"/>
        <v>1040.9655167999999</v>
      </c>
      <c r="Y9" s="92">
        <f t="shared" si="13"/>
        <v>1095.1278336594228</v>
      </c>
      <c r="Z9" s="92">
        <f t="shared" si="14"/>
        <v>302.21579520000006</v>
      </c>
      <c r="AA9" s="92">
        <f t="shared" si="15"/>
        <v>324.62219034891768</v>
      </c>
      <c r="AB9" s="58">
        <f t="shared" ref="AB9:AB15" si="26">X9/X$16</f>
        <v>1.4515368543388339E-3</v>
      </c>
      <c r="AC9" s="58">
        <f t="shared" ref="AC9:AC15" si="27">Z9/Z$16</f>
        <v>5.0009800370748596E-4</v>
      </c>
      <c r="AD9" s="92">
        <f t="shared" si="16"/>
        <v>1145.0620684800001</v>
      </c>
      <c r="AE9" s="93">
        <f t="shared" si="17"/>
        <v>1203.7280225566271</v>
      </c>
      <c r="AF9" s="92">
        <f t="shared" si="18"/>
        <v>332.43737472000009</v>
      </c>
      <c r="AG9" s="93">
        <f t="shared" si="19"/>
        <v>355.79389579305354</v>
      </c>
      <c r="AH9" s="58">
        <f t="shared" si="20"/>
        <v>1.5527433694273961E-3</v>
      </c>
      <c r="AI9" s="58">
        <f t="shared" si="21"/>
        <v>5.1703708387676657E-4</v>
      </c>
      <c r="AJ9" s="59">
        <v>1</v>
      </c>
      <c r="AK9" s="60"/>
      <c r="AL9" s="60"/>
      <c r="AM9" s="60"/>
      <c r="AN9" s="60"/>
      <c r="AO9" s="60"/>
    </row>
    <row r="10" spans="1:52" s="48" customFormat="1" ht="24" customHeight="1">
      <c r="A10" s="54">
        <v>5</v>
      </c>
      <c r="B10" s="63" t="s">
        <v>101</v>
      </c>
      <c r="C10" s="188"/>
      <c r="D10" s="188"/>
      <c r="E10" s="56"/>
      <c r="F10" s="92">
        <v>13774.924799999999</v>
      </c>
      <c r="G10" s="92">
        <f t="shared" si="0"/>
        <v>14519.518900680088</v>
      </c>
      <c r="H10" s="92">
        <v>3033.7632000000003</v>
      </c>
      <c r="I10" s="92">
        <f t="shared" si="1"/>
        <v>3290.4355840887051</v>
      </c>
      <c r="J10" s="58">
        <f t="shared" si="2"/>
        <v>2.0742169858114411E-2</v>
      </c>
      <c r="K10" s="58">
        <f t="shared" si="3"/>
        <v>5.9826101528885544E-3</v>
      </c>
      <c r="L10" s="92">
        <f t="shared" si="8"/>
        <v>15152.41728</v>
      </c>
      <c r="M10" s="92">
        <f t="shared" si="4"/>
        <v>15962.09515561345</v>
      </c>
      <c r="N10" s="92">
        <f t="shared" si="9"/>
        <v>3337.1395200000006</v>
      </c>
      <c r="O10" s="92">
        <f t="shared" si="5"/>
        <v>3608.4921875671021</v>
      </c>
      <c r="P10" s="58">
        <f t="shared" si="6"/>
        <v>2.2263578277034953E-2</v>
      </c>
      <c r="Q10" s="58">
        <f t="shared" si="7"/>
        <v>6.2182951951279455E-3</v>
      </c>
      <c r="R10" s="92">
        <f t="shared" si="10"/>
        <v>16667.659008000002</v>
      </c>
      <c r="S10" s="92">
        <f t="shared" si="22"/>
        <v>17547.092062528842</v>
      </c>
      <c r="T10" s="92">
        <f t="shared" si="11"/>
        <v>3670.8534720000011</v>
      </c>
      <c r="U10" s="92">
        <f t="shared" si="23"/>
        <v>3956.5381132587922</v>
      </c>
      <c r="V10" s="58">
        <f t="shared" si="24"/>
        <v>2.3871065729604474E-2</v>
      </c>
      <c r="W10" s="58">
        <f t="shared" si="25"/>
        <v>6.4516474239794354E-3</v>
      </c>
      <c r="X10" s="92">
        <f t="shared" si="12"/>
        <v>18334.424908800003</v>
      </c>
      <c r="Y10" s="92">
        <f t="shared" si="13"/>
        <v>19288.380554130486</v>
      </c>
      <c r="Z10" s="92">
        <f t="shared" si="14"/>
        <v>4037.9388192000015</v>
      </c>
      <c r="AA10" s="92">
        <f t="shared" si="15"/>
        <v>4337.3131543841509</v>
      </c>
      <c r="AB10" s="58">
        <f t="shared" si="26"/>
        <v>2.5565778144161402E-2</v>
      </c>
      <c r="AC10" s="58">
        <f t="shared" si="27"/>
        <v>6.6818649939805767E-3</v>
      </c>
      <c r="AD10" s="92">
        <f t="shared" si="16"/>
        <v>20167.867399680006</v>
      </c>
      <c r="AE10" s="93">
        <f t="shared" si="17"/>
        <v>21201.145171481243</v>
      </c>
      <c r="AF10" s="92">
        <f t="shared" si="18"/>
        <v>4441.7327011200023</v>
      </c>
      <c r="AG10" s="93">
        <f t="shared" si="19"/>
        <v>4753.8017743460778</v>
      </c>
      <c r="AH10" s="58">
        <f t="shared" si="20"/>
        <v>2.7348318700237368E-2</v>
      </c>
      <c r="AI10" s="58">
        <f t="shared" si="21"/>
        <v>6.9081899262423549E-3</v>
      </c>
      <c r="AJ10" s="59">
        <v>1</v>
      </c>
      <c r="AK10" s="60"/>
      <c r="AL10" s="60"/>
      <c r="AM10" s="60"/>
      <c r="AN10" s="60"/>
      <c r="AO10" s="60"/>
    </row>
    <row r="11" spans="1:52" s="48" customFormat="1" ht="24" customHeight="1">
      <c r="A11" s="54">
        <v>6</v>
      </c>
      <c r="B11" s="63" t="s">
        <v>102</v>
      </c>
      <c r="C11" s="188"/>
      <c r="D11" s="188"/>
      <c r="E11" s="56"/>
      <c r="F11" s="92">
        <v>39.73536</v>
      </c>
      <c r="G11" s="92">
        <f t="shared" si="0"/>
        <v>41.883227598115639</v>
      </c>
      <c r="H11" s="92">
        <v>49.196160000000006</v>
      </c>
      <c r="I11" s="92">
        <f t="shared" si="1"/>
        <v>53.358414877114143</v>
      </c>
      <c r="J11" s="58">
        <f t="shared" si="2"/>
        <v>5.9833182283022343E-5</v>
      </c>
      <c r="K11" s="58">
        <f t="shared" si="3"/>
        <v>9.7015299776571166E-5</v>
      </c>
      <c r="L11" s="92">
        <f t="shared" si="8"/>
        <v>43.708896000000003</v>
      </c>
      <c r="M11" s="92">
        <f t="shared" si="4"/>
        <v>46.044505256577267</v>
      </c>
      <c r="N11" s="92">
        <f t="shared" si="9"/>
        <v>54.115776000000011</v>
      </c>
      <c r="O11" s="92">
        <f t="shared" si="5"/>
        <v>58.51608952811516</v>
      </c>
      <c r="P11" s="58">
        <f t="shared" si="6"/>
        <v>6.4221860414523911E-5</v>
      </c>
      <c r="Q11" s="58">
        <f t="shared" si="7"/>
        <v>1.0083721938045316E-4</v>
      </c>
      <c r="R11" s="92">
        <f t="shared" si="10"/>
        <v>48.079785600000008</v>
      </c>
      <c r="S11" s="92">
        <f t="shared" si="22"/>
        <v>50.616611718833205</v>
      </c>
      <c r="T11" s="92">
        <f t="shared" si="11"/>
        <v>59.527353600000019</v>
      </c>
      <c r="U11" s="92">
        <f t="shared" si="23"/>
        <v>64.160077512304753</v>
      </c>
      <c r="V11" s="58">
        <f t="shared" si="24"/>
        <v>6.8858843450782142E-5</v>
      </c>
      <c r="W11" s="58">
        <f t="shared" si="25"/>
        <v>1.0462130957804491E-4</v>
      </c>
      <c r="X11" s="92">
        <f t="shared" si="12"/>
        <v>52.88776416000001</v>
      </c>
      <c r="Y11" s="92">
        <f t="shared" si="13"/>
        <v>55.639559290761021</v>
      </c>
      <c r="Z11" s="92">
        <f t="shared" si="14"/>
        <v>65.480088960000032</v>
      </c>
      <c r="AA11" s="92">
        <f t="shared" si="15"/>
        <v>70.334807908932191</v>
      </c>
      <c r="AB11" s="58">
        <f t="shared" si="26"/>
        <v>7.3747436954311747E-5</v>
      </c>
      <c r="AC11" s="58">
        <f t="shared" si="27"/>
        <v>1.0835456746995532E-4</v>
      </c>
      <c r="AD11" s="92">
        <f t="shared" si="16"/>
        <v>58.176540576000015</v>
      </c>
      <c r="AE11" s="93">
        <f t="shared" si="17"/>
        <v>61.157149533118968</v>
      </c>
      <c r="AF11" s="92">
        <f t="shared" si="18"/>
        <v>72.028097856000045</v>
      </c>
      <c r="AG11" s="93">
        <f t="shared" si="19"/>
        <v>77.088677421828294</v>
      </c>
      <c r="AH11" s="58">
        <f t="shared" si="20"/>
        <v>7.8889380866069324E-5</v>
      </c>
      <c r="AI11" s="58">
        <f t="shared" si="21"/>
        <v>1.120247015066328E-4</v>
      </c>
      <c r="AJ11" s="59">
        <v>1</v>
      </c>
      <c r="AK11" s="60"/>
      <c r="AL11" s="60"/>
      <c r="AM11" s="60"/>
      <c r="AN11" s="60"/>
      <c r="AO11" s="60"/>
    </row>
    <row r="12" spans="1:52" s="48" customFormat="1" ht="24" customHeight="1">
      <c r="A12" s="54">
        <v>7</v>
      </c>
      <c r="B12" s="63" t="s">
        <v>103</v>
      </c>
      <c r="C12" s="188"/>
      <c r="D12" s="188"/>
      <c r="E12" s="56"/>
      <c r="F12" s="92">
        <v>8577.7919999999995</v>
      </c>
      <c r="G12" s="92">
        <f t="shared" si="0"/>
        <v>9041.4586561011547</v>
      </c>
      <c r="H12" s="92">
        <v>188711.424</v>
      </c>
      <c r="I12" s="92">
        <f t="shared" si="1"/>
        <v>204677.40681067368</v>
      </c>
      <c r="J12" s="58">
        <f t="shared" si="2"/>
        <v>1.2916369508715934E-2</v>
      </c>
      <c r="K12" s="58">
        <f t="shared" si="3"/>
        <v>0.37214073965577033</v>
      </c>
      <c r="L12" s="92">
        <f t="shared" si="8"/>
        <v>9435.5712000000003</v>
      </c>
      <c r="M12" s="92">
        <f t="shared" si="4"/>
        <v>9939.7662141182664</v>
      </c>
      <c r="N12" s="92">
        <f t="shared" si="9"/>
        <v>207582.56640000001</v>
      </c>
      <c r="O12" s="92">
        <f t="shared" si="5"/>
        <v>224461.71777964174</v>
      </c>
      <c r="P12" s="58">
        <f t="shared" si="6"/>
        <v>1.3863766692659129E-2</v>
      </c>
      <c r="Q12" s="58">
        <f t="shared" si="7"/>
        <v>0.38680123126450749</v>
      </c>
      <c r="R12" s="92">
        <f t="shared" si="10"/>
        <v>10379.128320000002</v>
      </c>
      <c r="S12" s="92">
        <f t="shared" si="22"/>
        <v>10926.76062501796</v>
      </c>
      <c r="T12" s="92">
        <f t="shared" si="11"/>
        <v>228340.82304000002</v>
      </c>
      <c r="U12" s="92">
        <f t="shared" si="23"/>
        <v>246111.47681643046</v>
      </c>
      <c r="V12" s="58">
        <f t="shared" si="24"/>
        <v>1.4864766205248207E-2</v>
      </c>
      <c r="W12" s="58">
        <f t="shared" si="25"/>
        <v>0.4013166131506542</v>
      </c>
      <c r="X12" s="92">
        <f t="shared" si="12"/>
        <v>11417.041152000003</v>
      </c>
      <c r="Y12" s="92">
        <f t="shared" si="13"/>
        <v>12011.079465942063</v>
      </c>
      <c r="Z12" s="92">
        <f t="shared" si="14"/>
        <v>251174.90534400003</v>
      </c>
      <c r="AA12" s="92">
        <f t="shared" si="15"/>
        <v>269797.10931221157</v>
      </c>
      <c r="AB12" s="58">
        <f t="shared" si="26"/>
        <v>1.5920081628232378E-2</v>
      </c>
      <c r="AC12" s="58">
        <f t="shared" si="27"/>
        <v>0.41563700752577715</v>
      </c>
      <c r="AD12" s="92">
        <f t="shared" si="16"/>
        <v>12558.745267200005</v>
      </c>
      <c r="AE12" s="93">
        <f t="shared" si="17"/>
        <v>13202.178311911399</v>
      </c>
      <c r="AF12" s="92">
        <f t="shared" si="18"/>
        <v>276292.39587840007</v>
      </c>
      <c r="AG12" s="93">
        <f t="shared" si="19"/>
        <v>295704.26005911559</v>
      </c>
      <c r="AH12" s="58">
        <f t="shared" si="20"/>
        <v>1.7030088567913382E-2</v>
      </c>
      <c r="AI12" s="58">
        <f t="shared" si="21"/>
        <v>0.42971526526646819</v>
      </c>
      <c r="AJ12" s="59">
        <v>1</v>
      </c>
      <c r="AK12" s="60"/>
      <c r="AL12" s="60"/>
      <c r="AM12" s="60"/>
      <c r="AN12" s="60"/>
      <c r="AO12" s="60"/>
    </row>
    <row r="13" spans="1:52" s="48" customFormat="1" ht="24" customHeight="1">
      <c r="A13" s="54">
        <v>8</v>
      </c>
      <c r="B13" s="63" t="s">
        <v>104</v>
      </c>
      <c r="C13" s="188"/>
      <c r="D13" s="188"/>
      <c r="E13" s="56"/>
      <c r="F13" s="92">
        <v>33988.870079999993</v>
      </c>
      <c r="G13" s="92">
        <f t="shared" si="0"/>
        <v>35826.115111664338</v>
      </c>
      <c r="H13" s="92">
        <v>9095.61312</v>
      </c>
      <c r="I13" s="92">
        <f t="shared" si="1"/>
        <v>9865.1500120879846</v>
      </c>
      <c r="J13" s="58">
        <f t="shared" si="2"/>
        <v>5.1180164445234773E-2</v>
      </c>
      <c r="K13" s="58">
        <f t="shared" si="3"/>
        <v>1.7936636385614518E-2</v>
      </c>
      <c r="L13" s="92">
        <f t="shared" si="8"/>
        <v>37387.757087999998</v>
      </c>
      <c r="M13" s="92">
        <f t="shared" si="4"/>
        <v>39385.592758280822</v>
      </c>
      <c r="N13" s="92">
        <f t="shared" si="9"/>
        <v>10005.174432000002</v>
      </c>
      <c r="O13" s="92">
        <f t="shared" si="5"/>
        <v>10818.72470621729</v>
      </c>
      <c r="P13" s="58">
        <f t="shared" si="6"/>
        <v>5.4934156125052043E-2</v>
      </c>
      <c r="Q13" s="58">
        <f t="shared" si="7"/>
        <v>1.8643250521609166E-2</v>
      </c>
      <c r="R13" s="92">
        <f t="shared" si="10"/>
        <v>41126.532796799998</v>
      </c>
      <c r="S13" s="92">
        <f t="shared" si="22"/>
        <v>43296.485538352405</v>
      </c>
      <c r="T13" s="92">
        <f t="shared" si="11"/>
        <v>11005.691875200002</v>
      </c>
      <c r="U13" s="92">
        <f t="shared" si="23"/>
        <v>11862.211253909572</v>
      </c>
      <c r="V13" s="58">
        <f t="shared" si="24"/>
        <v>5.8900543090780917E-2</v>
      </c>
      <c r="W13" s="58">
        <f t="shared" si="25"/>
        <v>1.9342870582371607E-2</v>
      </c>
      <c r="X13" s="92">
        <f t="shared" si="12"/>
        <v>45239.18607648</v>
      </c>
      <c r="Y13" s="92">
        <f t="shared" si="13"/>
        <v>47593.019216187618</v>
      </c>
      <c r="Z13" s="92">
        <f t="shared" si="14"/>
        <v>12106.261062720003</v>
      </c>
      <c r="AA13" s="92">
        <f t="shared" si="15"/>
        <v>13003.82390839373</v>
      </c>
      <c r="AB13" s="58">
        <f t="shared" si="26"/>
        <v>6.3082152857633411E-2</v>
      </c>
      <c r="AC13" s="58">
        <f t="shared" si="27"/>
        <v>2.0033092531849043E-2</v>
      </c>
      <c r="AD13" s="92">
        <f t="shared" si="16"/>
        <v>49763.104684128004</v>
      </c>
      <c r="AE13" s="93">
        <f t="shared" si="17"/>
        <v>52312.660812543611</v>
      </c>
      <c r="AF13" s="92">
        <f t="shared" si="18"/>
        <v>13316.887168992003</v>
      </c>
      <c r="AG13" s="93">
        <f t="shared" si="19"/>
        <v>14252.510475643403</v>
      </c>
      <c r="AH13" s="58">
        <f t="shared" si="20"/>
        <v>6.7480473737962052E-2</v>
      </c>
      <c r="AI13" s="58">
        <f t="shared" si="21"/>
        <v>2.071164385163014E-2</v>
      </c>
      <c r="AJ13" s="59">
        <v>1</v>
      </c>
      <c r="AK13" s="60"/>
      <c r="AL13" s="60"/>
      <c r="AM13" s="60"/>
      <c r="AN13" s="60"/>
      <c r="AO13" s="60"/>
    </row>
    <row r="14" spans="1:52" s="48" customFormat="1" ht="24" customHeight="1">
      <c r="A14" s="54">
        <v>9</v>
      </c>
      <c r="B14" s="63" t="s">
        <v>105</v>
      </c>
      <c r="C14" s="188"/>
      <c r="D14" s="188"/>
      <c r="E14" s="56"/>
      <c r="F14" s="92">
        <v>10884.156726849669</v>
      </c>
      <c r="G14" s="92">
        <f t="shared" si="0"/>
        <v>11472.492344456074</v>
      </c>
      <c r="H14" s="92">
        <v>2968.4063800499098</v>
      </c>
      <c r="I14" s="92">
        <f t="shared" si="1"/>
        <v>3219.5492321062375</v>
      </c>
      <c r="J14" s="58">
        <f t="shared" si="2"/>
        <v>1.638927477779439E-2</v>
      </c>
      <c r="K14" s="58">
        <f t="shared" si="3"/>
        <v>5.8537258765567956E-3</v>
      </c>
      <c r="L14" s="92">
        <f>F14*1.005</f>
        <v>10938.577510483916</v>
      </c>
      <c r="M14" s="92">
        <f t="shared" si="4"/>
        <v>11523.086505798601</v>
      </c>
      <c r="N14" s="92">
        <f>(H14)*1.005</f>
        <v>2983.2484119501592</v>
      </c>
      <c r="O14" s="92">
        <f t="shared" si="5"/>
        <v>3225.8251486273221</v>
      </c>
      <c r="P14" s="58">
        <f t="shared" si="6"/>
        <v>1.6072146915166844E-2</v>
      </c>
      <c r="Q14" s="58">
        <f t="shared" si="7"/>
        <v>5.5588683525892094E-3</v>
      </c>
      <c r="R14" s="92">
        <f>L14*1.005</f>
        <v>10993.270398036335</v>
      </c>
      <c r="S14" s="92">
        <f t="shared" si="22"/>
        <v>11573.30658432778</v>
      </c>
      <c r="T14" s="92">
        <f>(N14)*1.005</f>
        <v>2998.1646540099096</v>
      </c>
      <c r="U14" s="92">
        <f t="shared" si="23"/>
        <v>3231.4972019170709</v>
      </c>
      <c r="V14" s="58">
        <f t="shared" si="24"/>
        <v>1.5744327390480321E-2</v>
      </c>
      <c r="W14" s="58">
        <f t="shared" si="25"/>
        <v>5.2693743877961097E-3</v>
      </c>
      <c r="X14" s="92">
        <f>R14*1.005</f>
        <v>11048.236750026515</v>
      </c>
      <c r="Y14" s="92">
        <f t="shared" si="13"/>
        <v>11623.085858796589</v>
      </c>
      <c r="Z14" s="92">
        <f>(T14)*1.005</f>
        <v>3013.1554772799586</v>
      </c>
      <c r="AA14" s="92">
        <f t="shared" si="15"/>
        <v>3236.5519818351918</v>
      </c>
      <c r="AB14" s="58">
        <f t="shared" si="26"/>
        <v>1.5405815619544056E-2</v>
      </c>
      <c r="AC14" s="58">
        <f t="shared" si="27"/>
        <v>4.9860830008926814E-3</v>
      </c>
      <c r="AD14" s="92">
        <f>X14*1.005</f>
        <v>11103.477933776647</v>
      </c>
      <c r="AE14" s="93">
        <f t="shared" si="17"/>
        <v>11672.352010112501</v>
      </c>
      <c r="AF14" s="92">
        <f>(Z14)*1.005</f>
        <v>3028.2212546663582</v>
      </c>
      <c r="AG14" s="93">
        <f t="shared" si="19"/>
        <v>3240.979262420617</v>
      </c>
      <c r="AH14" s="58">
        <f t="shared" si="20"/>
        <v>1.5056696238432969E-2</v>
      </c>
      <c r="AI14" s="58">
        <f t="shared" si="21"/>
        <v>4.7097673303583016E-3</v>
      </c>
      <c r="AJ14" s="59"/>
      <c r="AK14" s="60"/>
      <c r="AL14" s="60"/>
      <c r="AM14" s="60"/>
      <c r="AN14" s="60"/>
      <c r="AO14" s="60"/>
    </row>
    <row r="15" spans="1:52" s="48" customFormat="1" ht="24" customHeight="1">
      <c r="A15" s="54">
        <v>10</v>
      </c>
      <c r="B15" s="63" t="s">
        <v>94</v>
      </c>
      <c r="C15" s="189"/>
      <c r="D15" s="189"/>
      <c r="E15" s="56"/>
      <c r="F15" s="92">
        <v>44395</v>
      </c>
      <c r="G15" s="92">
        <f t="shared" si="0"/>
        <v>46794.741238492461</v>
      </c>
      <c r="H15" s="92">
        <v>66592.5</v>
      </c>
      <c r="I15" s="92">
        <f t="shared" si="1"/>
        <v>72226.577088622827</v>
      </c>
      <c r="J15" s="58">
        <f t="shared" si="2"/>
        <v>6.6849630340703514E-2</v>
      </c>
      <c r="K15" s="58">
        <f t="shared" si="3"/>
        <v>0.13132104925204149</v>
      </c>
      <c r="L15" s="92">
        <f>F15*1.1</f>
        <v>48834.500000000007</v>
      </c>
      <c r="M15" s="92">
        <f t="shared" si="4"/>
        <v>51443.998767489407</v>
      </c>
      <c r="N15" s="92">
        <f>(H15)*1.1</f>
        <v>73251.75</v>
      </c>
      <c r="O15" s="92">
        <f t="shared" si="5"/>
        <v>79208.066074689734</v>
      </c>
      <c r="P15" s="58">
        <f t="shared" si="6"/>
        <v>7.1752954877036201E-2</v>
      </c>
      <c r="Q15" s="58">
        <f t="shared" si="7"/>
        <v>0.13649444451747506</v>
      </c>
      <c r="R15" s="92">
        <f>L15*1.1</f>
        <v>53717.950000000012</v>
      </c>
      <c r="S15" s="92">
        <f t="shared" si="22"/>
        <v>56552.261694812885</v>
      </c>
      <c r="T15" s="92">
        <f>(N15)*1.1</f>
        <v>80576.925000000003</v>
      </c>
      <c r="U15" s="92">
        <f t="shared" si="23"/>
        <v>86847.834500460056</v>
      </c>
      <c r="V15" s="58">
        <f t="shared" si="24"/>
        <v>7.6933702249016328E-2</v>
      </c>
      <c r="W15" s="58">
        <f t="shared" si="25"/>
        <v>0.14161663345423614</v>
      </c>
      <c r="X15" s="92">
        <f>R15*1.1</f>
        <v>59089.745000000017</v>
      </c>
      <c r="Y15" s="92">
        <f t="shared" si="13"/>
        <v>62164.234442907669</v>
      </c>
      <c r="Z15" s="92">
        <f>(T15)*1.1</f>
        <v>88634.617500000008</v>
      </c>
      <c r="AA15" s="92">
        <f t="shared" si="15"/>
        <v>95206.022089438775</v>
      </c>
      <c r="AB15" s="58">
        <f t="shared" si="26"/>
        <v>8.2395565652020525E-2</v>
      </c>
      <c r="AC15" s="58">
        <f t="shared" si="27"/>
        <v>0.1466700151849859</v>
      </c>
      <c r="AD15" s="92">
        <f>X15*1.1</f>
        <v>64998.719500000021</v>
      </c>
      <c r="AE15" s="93">
        <f t="shared" si="17"/>
        <v>68328.855043035146</v>
      </c>
      <c r="AF15" s="92">
        <f>(Z15)*1.1</f>
        <v>97498.07925000001</v>
      </c>
      <c r="AG15" s="93">
        <f t="shared" si="19"/>
        <v>104348.13918836547</v>
      </c>
      <c r="AH15" s="58">
        <f t="shared" si="20"/>
        <v>8.814048906437863E-2</v>
      </c>
      <c r="AI15" s="58">
        <f t="shared" si="21"/>
        <v>0.15163795172388334</v>
      </c>
      <c r="AJ15" s="59"/>
      <c r="AK15" s="60"/>
      <c r="AL15" s="60"/>
      <c r="AM15" s="60"/>
      <c r="AN15" s="60"/>
      <c r="AO15" s="60"/>
    </row>
    <row r="16" spans="1:52" s="68" customFormat="1" ht="24" customHeight="1">
      <c r="A16" s="156" t="s">
        <v>97</v>
      </c>
      <c r="B16" s="157"/>
      <c r="C16" s="64" t="s">
        <v>27</v>
      </c>
      <c r="D16" s="64">
        <v>7</v>
      </c>
      <c r="E16" s="64">
        <f>COUNTA(E6:E14)</f>
        <v>1</v>
      </c>
      <c r="F16" s="95">
        <f>SUM(F6:F15)</f>
        <v>664102.40077227016</v>
      </c>
      <c r="G16" s="95">
        <v>700000</v>
      </c>
      <c r="H16" s="95">
        <f>SUM(H6:H15)</f>
        <v>507096.92299359053</v>
      </c>
      <c r="I16" s="96">
        <v>550000</v>
      </c>
      <c r="J16" s="66">
        <f>SUM(J6:J15)</f>
        <v>0.99999999999999978</v>
      </c>
      <c r="K16" s="66">
        <f>SUM(K6:K15)</f>
        <v>1</v>
      </c>
      <c r="L16" s="95">
        <f>SUM(L6:L15)</f>
        <v>680592.18026195862</v>
      </c>
      <c r="M16" s="95">
        <f>G16*(1+((L16-F16)/L16))</f>
        <v>716960.00332877622</v>
      </c>
      <c r="N16" s="95">
        <f>SUM(N6:N15)</f>
        <v>536664.69913082616</v>
      </c>
      <c r="O16" s="96">
        <f>I16*(1+((N16-H16)/N16))</f>
        <v>580302.49036655051</v>
      </c>
      <c r="P16" s="66">
        <f>SUM(P6:P15)</f>
        <v>1</v>
      </c>
      <c r="Q16" s="66">
        <f>SUM(Q6:Q15)</f>
        <v>1.0000000000000004</v>
      </c>
      <c r="R16" s="95">
        <f>SUM(R6:R15)</f>
        <v>698236.90306918579</v>
      </c>
      <c r="S16" s="95">
        <f>M16*(1+((R16-L16)/R16))</f>
        <v>735077.8662876056</v>
      </c>
      <c r="T16" s="95">
        <f>SUM(T6:T15)</f>
        <v>568979.24371319485</v>
      </c>
      <c r="U16" s="96">
        <f>O16*(1+((T16-N16)/T16))</f>
        <v>613260.12617384526</v>
      </c>
      <c r="V16" s="66">
        <f>SUM(V6:V15)</f>
        <v>1.0000000000000002</v>
      </c>
      <c r="W16" s="66">
        <f>SUM(W6:W15)</f>
        <v>0.99999999999999989</v>
      </c>
      <c r="X16" s="95">
        <f>SUM(X6:X15)</f>
        <v>717147.14902926341</v>
      </c>
      <c r="Y16" s="95">
        <f>S16*(1+((X16-R16)/X16))</f>
        <v>754460.92215016263</v>
      </c>
      <c r="Z16" s="95">
        <f>SUM(Z6:Z15)</f>
        <v>604313.14054348867</v>
      </c>
      <c r="AA16" s="96">
        <f>U16*(1+((Z16-T16)/Z16))</f>
        <v>649117.14892346098</v>
      </c>
      <c r="AB16" s="66">
        <f>SUM(AB6:AB15)</f>
        <v>1</v>
      </c>
      <c r="AC16" s="66">
        <f>SUM(AC6:AC15)</f>
        <v>1</v>
      </c>
      <c r="AD16" s="95">
        <f>SUM(AD6:AD15)</f>
        <v>737444.50694531947</v>
      </c>
      <c r="AE16" s="95">
        <f>Y16*(1+((AD16-X16)/AD16))</f>
        <v>775226.6383855337</v>
      </c>
      <c r="AF16" s="95">
        <f>SUM(AF6:AF15)</f>
        <v>642966.21090961248</v>
      </c>
      <c r="AG16" s="95">
        <f>AA16*(1+((AF16-Z16)/AF16))</f>
        <v>688139.99399287847</v>
      </c>
      <c r="AH16" s="66">
        <f>SUM(AH6:AH15)</f>
        <v>1.0000000000000002</v>
      </c>
      <c r="AI16" s="66">
        <f>SUM(AI6:AI15)</f>
        <v>1</v>
      </c>
      <c r="AJ16" s="67">
        <f t="shared" ref="AJ16:AO16" si="28">SUM(AJ6:AJ14)</f>
        <v>8</v>
      </c>
      <c r="AK16" s="67">
        <f t="shared" si="28"/>
        <v>0</v>
      </c>
      <c r="AL16" s="67">
        <f t="shared" si="28"/>
        <v>0</v>
      </c>
      <c r="AM16" s="67">
        <f t="shared" si="28"/>
        <v>0</v>
      </c>
      <c r="AN16" s="67">
        <f t="shared" si="28"/>
        <v>0</v>
      </c>
      <c r="AO16" s="67">
        <f t="shared" si="28"/>
        <v>0</v>
      </c>
    </row>
    <row r="17" spans="1:36" s="48" customFormat="1">
      <c r="A17" s="47"/>
      <c r="E17" s="47"/>
      <c r="F17" s="49"/>
      <c r="G17" s="6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</row>
  </sheetData>
  <mergeCells count="15">
    <mergeCell ref="C6:C15"/>
    <mergeCell ref="D6:D15"/>
    <mergeCell ref="A16:B16"/>
    <mergeCell ref="AD4:AI4"/>
    <mergeCell ref="AK4:AO4"/>
    <mergeCell ref="A2:AO3"/>
    <mergeCell ref="A4:A5"/>
    <mergeCell ref="B4:B5"/>
    <mergeCell ref="C4:C5"/>
    <mergeCell ref="D4:D5"/>
    <mergeCell ref="E4:E5"/>
    <mergeCell ref="F4:K4"/>
    <mergeCell ref="L4:Q4"/>
    <mergeCell ref="R4:W4"/>
    <mergeCell ref="X4:AC4"/>
  </mergeCells>
  <pageMargins left="0.7" right="0.7" top="0.75" bottom="0.75" header="0.3" footer="0.3"/>
  <pageSetup scale="1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2"/>
  <sheetViews>
    <sheetView zoomScale="60" zoomScaleNormal="60" zoomScaleSheetLayoutView="70" workbookViewId="0">
      <pane xSplit="2" ySplit="5" topLeftCell="AB12" activePane="bottomRight" state="frozen"/>
      <selection activeCell="G23" sqref="G23"/>
      <selection pane="topRight" activeCell="G23" sqref="G23"/>
      <selection pane="bottomLeft" activeCell="G23" sqref="G23"/>
      <selection pane="bottomRight" activeCell="AF18" sqref="AF18"/>
    </sheetView>
  </sheetViews>
  <sheetFormatPr baseColWidth="10" defaultColWidth="11.42578125" defaultRowHeight="15"/>
  <cols>
    <col min="1" max="1" width="8.5703125" style="71" customWidth="1"/>
    <col min="2" max="2" width="72.28515625" style="75" customWidth="1"/>
    <col min="3" max="3" width="34.42578125" style="72" customWidth="1"/>
    <col min="4" max="4" width="28.85546875" style="71" customWidth="1"/>
    <col min="5" max="5" width="17.5703125" style="71" customWidth="1"/>
    <col min="6" max="35" width="28.85546875" style="73" customWidth="1"/>
    <col min="36" max="36" width="19.28515625" style="73" customWidth="1"/>
    <col min="37" max="37" width="9.5703125" style="74" customWidth="1"/>
    <col min="38" max="38" width="10.28515625" style="74" customWidth="1"/>
    <col min="39" max="39" width="11.42578125" style="74" customWidth="1"/>
    <col min="40" max="40" width="11" style="74" customWidth="1"/>
    <col min="41" max="41" width="10.28515625" style="74" customWidth="1"/>
    <col min="42" max="16384" width="11.42578125" style="75"/>
  </cols>
  <sheetData>
    <row r="1" spans="1:53" s="48" customFormat="1" ht="31.5" customHeight="1">
      <c r="A1" s="47"/>
      <c r="C1" s="47"/>
      <c r="D1" s="47"/>
      <c r="E1" s="47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</row>
    <row r="2" spans="1:53" s="48" customFormat="1" ht="35.25" customHeight="1">
      <c r="A2" s="165" t="s">
        <v>129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</row>
    <row r="3" spans="1:53" s="48" customFormat="1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</row>
    <row r="4" spans="1:53" s="48" customFormat="1" ht="47.45" customHeight="1">
      <c r="A4" s="142" t="s">
        <v>1</v>
      </c>
      <c r="B4" s="142" t="s">
        <v>2</v>
      </c>
      <c r="C4" s="142" t="s">
        <v>3</v>
      </c>
      <c r="D4" s="143" t="s">
        <v>4</v>
      </c>
      <c r="E4" s="143" t="s">
        <v>5</v>
      </c>
      <c r="F4" s="144" t="s">
        <v>124</v>
      </c>
      <c r="G4" s="145"/>
      <c r="H4" s="145"/>
      <c r="I4" s="145"/>
      <c r="J4" s="145"/>
      <c r="K4" s="164"/>
      <c r="L4" s="144" t="s">
        <v>125</v>
      </c>
      <c r="M4" s="145"/>
      <c r="N4" s="145"/>
      <c r="O4" s="145"/>
      <c r="P4" s="145"/>
      <c r="Q4" s="164"/>
      <c r="R4" s="144" t="s">
        <v>126</v>
      </c>
      <c r="S4" s="145"/>
      <c r="T4" s="145"/>
      <c r="U4" s="145"/>
      <c r="V4" s="145"/>
      <c r="W4" s="164"/>
      <c r="X4" s="144" t="s">
        <v>127</v>
      </c>
      <c r="Y4" s="145"/>
      <c r="Z4" s="145"/>
      <c r="AA4" s="145"/>
      <c r="AB4" s="145"/>
      <c r="AC4" s="164"/>
      <c r="AD4" s="144" t="s">
        <v>128</v>
      </c>
      <c r="AE4" s="145"/>
      <c r="AF4" s="145"/>
      <c r="AG4" s="145"/>
      <c r="AH4" s="145"/>
      <c r="AI4" s="164"/>
      <c r="AJ4" s="52" t="s">
        <v>11</v>
      </c>
      <c r="AK4" s="147" t="s">
        <v>12</v>
      </c>
      <c r="AL4" s="148"/>
      <c r="AM4" s="148"/>
      <c r="AN4" s="148"/>
      <c r="AO4" s="149"/>
    </row>
    <row r="5" spans="1:53" s="48" customFormat="1" ht="43.15" customHeight="1">
      <c r="A5" s="142"/>
      <c r="B5" s="142"/>
      <c r="C5" s="142"/>
      <c r="D5" s="143"/>
      <c r="E5" s="143"/>
      <c r="F5" s="52" t="s">
        <v>13</v>
      </c>
      <c r="G5" s="52" t="s">
        <v>14</v>
      </c>
      <c r="H5" s="52" t="s">
        <v>15</v>
      </c>
      <c r="I5" s="52" t="s">
        <v>16</v>
      </c>
      <c r="J5" s="53" t="s">
        <v>17</v>
      </c>
      <c r="K5" s="53" t="s">
        <v>18</v>
      </c>
      <c r="L5" s="52" t="s">
        <v>13</v>
      </c>
      <c r="M5" s="52" t="s">
        <v>14</v>
      </c>
      <c r="N5" s="52" t="s">
        <v>15</v>
      </c>
      <c r="O5" s="52" t="s">
        <v>16</v>
      </c>
      <c r="P5" s="53" t="s">
        <v>17</v>
      </c>
      <c r="Q5" s="53" t="s">
        <v>18</v>
      </c>
      <c r="R5" s="52" t="s">
        <v>13</v>
      </c>
      <c r="S5" s="52" t="s">
        <v>14</v>
      </c>
      <c r="T5" s="52" t="s">
        <v>15</v>
      </c>
      <c r="U5" s="52" t="s">
        <v>16</v>
      </c>
      <c r="V5" s="53" t="s">
        <v>17</v>
      </c>
      <c r="W5" s="53" t="s">
        <v>18</v>
      </c>
      <c r="X5" s="52" t="s">
        <v>13</v>
      </c>
      <c r="Y5" s="52" t="s">
        <v>14</v>
      </c>
      <c r="Z5" s="52" t="s">
        <v>15</v>
      </c>
      <c r="AA5" s="52" t="s">
        <v>16</v>
      </c>
      <c r="AB5" s="53" t="s">
        <v>17</v>
      </c>
      <c r="AC5" s="53" t="s">
        <v>18</v>
      </c>
      <c r="AD5" s="52" t="s">
        <v>13</v>
      </c>
      <c r="AE5" s="52" t="s">
        <v>14</v>
      </c>
      <c r="AF5" s="52" t="s">
        <v>15</v>
      </c>
      <c r="AG5" s="52" t="s">
        <v>16</v>
      </c>
      <c r="AH5" s="53" t="s">
        <v>17</v>
      </c>
      <c r="AI5" s="53" t="s">
        <v>18</v>
      </c>
      <c r="AJ5" s="52">
        <v>2018</v>
      </c>
      <c r="AK5" s="52">
        <v>2019</v>
      </c>
      <c r="AL5" s="52">
        <v>2020</v>
      </c>
      <c r="AM5" s="52">
        <v>2021</v>
      </c>
      <c r="AN5" s="52">
        <v>2022</v>
      </c>
      <c r="AO5" s="52">
        <v>2023</v>
      </c>
    </row>
    <row r="6" spans="1:53" s="48" customFormat="1" ht="24" customHeight="1">
      <c r="A6" s="54">
        <v>1</v>
      </c>
      <c r="B6" s="63" t="s">
        <v>106</v>
      </c>
      <c r="C6" s="214" t="s">
        <v>107</v>
      </c>
      <c r="D6" s="214" t="s">
        <v>108</v>
      </c>
      <c r="E6" s="56" t="s">
        <v>22</v>
      </c>
      <c r="F6" s="92">
        <v>4431821.2516800007</v>
      </c>
      <c r="G6" s="92">
        <f>J6*G$21</f>
        <v>5345766.5831100466</v>
      </c>
      <c r="H6" s="92">
        <v>5483930.9601600002</v>
      </c>
      <c r="I6" s="92">
        <f>K6*I$21</f>
        <v>6300079.9900951795</v>
      </c>
      <c r="J6" s="58">
        <f>F6/F$21</f>
        <v>0.76368094044429236</v>
      </c>
      <c r="K6" s="58">
        <f>H6/H$21</f>
        <v>0.78750999876189742</v>
      </c>
      <c r="L6" s="92">
        <f>(F6)*1.004</f>
        <v>4449548.5366867203</v>
      </c>
      <c r="M6" s="92">
        <f>P6*M$21</f>
        <v>5366069.4367042128</v>
      </c>
      <c r="N6" s="92">
        <f>(H6)*1.004</f>
        <v>5505866.6840006402</v>
      </c>
      <c r="O6" s="92">
        <f>Q6*O$21</f>
        <v>6323574.0773825254</v>
      </c>
      <c r="P6" s="58">
        <f>L6/L$21</f>
        <v>0.75585818004733363</v>
      </c>
      <c r="Q6" s="58">
        <f>N6/N$21</f>
        <v>0.77767422923563811</v>
      </c>
      <c r="R6" s="92">
        <f>(L6)*1.004</f>
        <v>4467346.7308334671</v>
      </c>
      <c r="S6" s="92">
        <f>V6*S$21</f>
        <v>5387476.4639931275</v>
      </c>
      <c r="T6" s="92">
        <f>(N6)*1.004</f>
        <v>5527890.150736643</v>
      </c>
      <c r="U6" s="92">
        <f>W6*U$21</f>
        <v>6346942.2968548592</v>
      </c>
      <c r="V6" s="58">
        <f>R6/R$21</f>
        <v>0.75640779039916262</v>
      </c>
      <c r="W6" s="58">
        <f>T6/T$21</f>
        <v>0.76718551629004583</v>
      </c>
      <c r="X6" s="92">
        <f>(R6)*1.004</f>
        <v>4485216.1177568007</v>
      </c>
      <c r="Y6" s="92">
        <f>AB6*Y$21</f>
        <v>5408968.7990189912</v>
      </c>
      <c r="Z6" s="92">
        <f>(T6)*1.004</f>
        <v>5550001.7113395892</v>
      </c>
      <c r="AA6" s="92">
        <f>AC6*AA$21</f>
        <v>6370154.8818584653</v>
      </c>
      <c r="AB6" s="58">
        <f>X6/X$21</f>
        <v>0.75695582036289732</v>
      </c>
      <c r="AC6" s="58">
        <f>Z6/Z$21</f>
        <v>0.75602333777370589</v>
      </c>
      <c r="AD6" s="93">
        <f>(X6)*1.004</f>
        <v>4503156.9822278284</v>
      </c>
      <c r="AE6" s="93">
        <f>AH6*AE$21</f>
        <v>5430546.7815150693</v>
      </c>
      <c r="AF6" s="92">
        <f>(Z6)*1.004</f>
        <v>5572201.718184948</v>
      </c>
      <c r="AG6" s="93">
        <f>AI6*AG$21</f>
        <v>6393178.6234272849</v>
      </c>
      <c r="AH6" s="58">
        <f>AD6/AD$21</f>
        <v>0.75750227063886089</v>
      </c>
      <c r="AI6" s="58">
        <f>AF6/AF$21</f>
        <v>0.74417031151811031</v>
      </c>
      <c r="AJ6" s="59">
        <v>14</v>
      </c>
      <c r="AK6" s="60">
        <v>0</v>
      </c>
      <c r="AL6" s="60">
        <v>0</v>
      </c>
      <c r="AM6" s="60">
        <v>0</v>
      </c>
      <c r="AN6" s="60">
        <v>0</v>
      </c>
      <c r="AO6" s="60">
        <v>0</v>
      </c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</row>
    <row r="7" spans="1:53" s="48" customFormat="1" ht="24" customHeight="1">
      <c r="A7" s="54">
        <v>2</v>
      </c>
      <c r="B7" s="63" t="s">
        <v>109</v>
      </c>
      <c r="C7" s="214"/>
      <c r="D7" s="214"/>
      <c r="E7" s="56"/>
      <c r="F7" s="92">
        <v>230888.97884920289</v>
      </c>
      <c r="G7" s="92">
        <f t="shared" ref="G7:G20" si="0">J7*G$21</f>
        <v>278503.69350356463</v>
      </c>
      <c r="H7" s="92">
        <v>268955.8807455051</v>
      </c>
      <c r="I7" s="92">
        <f t="shared" ref="I7:I20" si="1">K7*I$21</f>
        <v>308983.38706542447</v>
      </c>
      <c r="J7" s="58">
        <f t="shared" ref="J7:J20" si="2">F7/F$21</f>
        <v>3.978624192908066E-2</v>
      </c>
      <c r="K7" s="58">
        <f t="shared" ref="K7:K20" si="3">H7/H$21</f>
        <v>3.8622923383178055E-2</v>
      </c>
      <c r="L7" s="92">
        <f>(F7)*1.001</f>
        <v>231119.86782805205</v>
      </c>
      <c r="M7" s="92">
        <f>P7*M$21</f>
        <v>278726.08844283444</v>
      </c>
      <c r="N7" s="92">
        <f>(H7)*1.001</f>
        <v>269224.83662625059</v>
      </c>
      <c r="O7" s="92">
        <f>Q7*O$21</f>
        <v>309208.93940720521</v>
      </c>
      <c r="P7" s="58">
        <f>L7/L$21</f>
        <v>3.9261026423003012E-2</v>
      </c>
      <c r="Q7" s="58">
        <f>N7/N$21</f>
        <v>3.8026568627753152E-2</v>
      </c>
      <c r="R7" s="92">
        <f>(F7)*1.001</f>
        <v>231119.86782805205</v>
      </c>
      <c r="S7" s="92">
        <f>V7*S$21</f>
        <v>278723.12656880479</v>
      </c>
      <c r="T7" s="92">
        <f>(N7)*1.001</f>
        <v>269494.06146287679</v>
      </c>
      <c r="U7" s="92">
        <f>W7*U$21</f>
        <v>309424.24881977809</v>
      </c>
      <c r="V7" s="58">
        <f>R7/R$21</f>
        <v>3.9133042289857645E-2</v>
      </c>
      <c r="W7" s="58">
        <f>T7/T$21</f>
        <v>3.7401600799347803E-2</v>
      </c>
      <c r="X7" s="92">
        <f>(F7)*1.001</f>
        <v>231119.86782805205</v>
      </c>
      <c r="Y7" s="92">
        <f>AB7*Y$21</f>
        <v>278720.1599865274</v>
      </c>
      <c r="Z7" s="92">
        <f>(T7)*1.001</f>
        <v>269763.55552433967</v>
      </c>
      <c r="AA7" s="92">
        <f>AC7*AA$21</f>
        <v>309627.94599861396</v>
      </c>
      <c r="AB7" s="58">
        <f>X7/X$21</f>
        <v>3.9005373333368912E-2</v>
      </c>
      <c r="AC7" s="58">
        <f>Z7/Z$21</f>
        <v>3.6747293832453148E-2</v>
      </c>
      <c r="AD7" s="93">
        <f>(F7)*1.001</f>
        <v>231119.86782805205</v>
      </c>
      <c r="AE7" s="93">
        <f>AH7*AE$21</f>
        <v>278717.18870366411</v>
      </c>
      <c r="AF7" s="92">
        <f>(Z7)*1.001</f>
        <v>270033.31907986396</v>
      </c>
      <c r="AG7" s="93">
        <f>AI7*AG$21</f>
        <v>309818.5116882025</v>
      </c>
      <c r="AH7" s="58">
        <f>AD7/AD$21</f>
        <v>3.8878019434021437E-2</v>
      </c>
      <c r="AI7" s="58">
        <f>AF7/AF$21</f>
        <v>3.6063084099078165E-2</v>
      </c>
      <c r="AJ7" s="59"/>
      <c r="AK7" s="60"/>
      <c r="AL7" s="60"/>
      <c r="AM7" s="60"/>
      <c r="AN7" s="60"/>
      <c r="AO7" s="60"/>
    </row>
    <row r="8" spans="1:53" s="48" customFormat="1" ht="37.5" customHeight="1">
      <c r="A8" s="54">
        <v>3</v>
      </c>
      <c r="B8" s="63" t="s">
        <v>110</v>
      </c>
      <c r="C8" s="214"/>
      <c r="D8" s="214"/>
      <c r="E8" s="56"/>
      <c r="F8" s="92">
        <v>1201.9946400000001</v>
      </c>
      <c r="G8" s="92">
        <f t="shared" si="0"/>
        <v>1449.8740844192671</v>
      </c>
      <c r="H8" s="92">
        <v>1767.0882240000001</v>
      </c>
      <c r="I8" s="92">
        <f t="shared" si="1"/>
        <v>2030.0760971707082</v>
      </c>
      <c r="J8" s="58">
        <f t="shared" si="2"/>
        <v>2.0712486920275243E-4</v>
      </c>
      <c r="K8" s="58">
        <f t="shared" si="3"/>
        <v>2.5375951214633852E-4</v>
      </c>
      <c r="L8" s="92">
        <f>(F8)*1.004</f>
        <v>1206.8026185600002</v>
      </c>
      <c r="M8" s="92">
        <f t="shared" ref="M8:M20" si="4">P8*M$21</f>
        <v>1455.3806064135017</v>
      </c>
      <c r="N8" s="92">
        <f>(H8)*1.004</f>
        <v>1774.1565768960002</v>
      </c>
      <c r="O8" s="92">
        <f t="shared" ref="O8:O20" si="5">Q8*O$21</f>
        <v>2037.6466018471363</v>
      </c>
      <c r="P8" s="58">
        <f t="shared" ref="P8:P20" si="6">L8/L$21</f>
        <v>2.0500318704700569E-4</v>
      </c>
      <c r="Q8" s="58">
        <f t="shared" ref="Q8:Q20" si="7">N8/N$21</f>
        <v>2.5059013006802669E-4</v>
      </c>
      <c r="R8" s="92">
        <f>(F8)*1.004</f>
        <v>1206.8026185600002</v>
      </c>
      <c r="S8" s="92">
        <f t="shared" ref="S8:S20" si="8">V8*S$21</f>
        <v>1455.3651408571723</v>
      </c>
      <c r="T8" s="92">
        <f>(N8)*1.004</f>
        <v>1781.2532032035842</v>
      </c>
      <c r="U8" s="92">
        <f t="shared" ref="U8:U20" si="9">W8*U$21</f>
        <v>2045.1765481111211</v>
      </c>
      <c r="V8" s="58">
        <f t="shared" ref="V8:V20" si="10">R8/R$21</f>
        <v>2.043349122315802E-4</v>
      </c>
      <c r="W8" s="58">
        <f t="shared" ref="W8:W20" si="11">T8/T$21</f>
        <v>2.4721034989469426E-4</v>
      </c>
      <c r="X8" s="92">
        <f>(F8)*1.004</f>
        <v>1206.8026185600002</v>
      </c>
      <c r="Y8" s="92">
        <f t="shared" ref="Y8:Y20" si="12">AB8*Y$21</f>
        <v>1455.3496507165182</v>
      </c>
      <c r="Z8" s="92">
        <f>(T8)*1.004</f>
        <v>1788.3782160163985</v>
      </c>
      <c r="AA8" s="92">
        <f t="shared" ref="AA8:AA20" si="13">AC8*AA$21</f>
        <v>2052.6563442475908</v>
      </c>
      <c r="AB8" s="58">
        <f t="shared" ref="AB8:AB20" si="14">X8/X$21</f>
        <v>2.0366828312501608E-4</v>
      </c>
      <c r="AC8" s="58">
        <f t="shared" ref="AC8:AC20" si="15">Z8/Z$21</f>
        <v>2.4361355876918481E-4</v>
      </c>
      <c r="AD8" s="93">
        <f>(F8)*1.004</f>
        <v>1206.8026185600002</v>
      </c>
      <c r="AE8" s="93">
        <f t="shared" ref="AE8:AE20" si="16">AH8*AE$21</f>
        <v>1455.3341360315474</v>
      </c>
      <c r="AF8" s="92">
        <f>(Z8)*1.004</f>
        <v>1795.531728880464</v>
      </c>
      <c r="AG8" s="93">
        <f t="shared" ref="AG8:AG20" si="17">AI8*AG$21</f>
        <v>2060.0752893244435</v>
      </c>
      <c r="AH8" s="58">
        <f t="shared" ref="AH8:AH20" si="18">AD8/AD$21</f>
        <v>2.0300329910325859E-4</v>
      </c>
      <c r="AI8" s="58">
        <f t="shared" ref="AI8:AI20" si="19">AF8/AF$21</f>
        <v>2.3979415563169255E-4</v>
      </c>
      <c r="AJ8" s="59">
        <v>1</v>
      </c>
      <c r="AK8" s="60">
        <v>0</v>
      </c>
      <c r="AL8" s="60">
        <v>0</v>
      </c>
      <c r="AM8" s="60">
        <v>0</v>
      </c>
      <c r="AN8" s="60">
        <v>0</v>
      </c>
      <c r="AO8" s="60">
        <v>0</v>
      </c>
    </row>
    <row r="9" spans="1:53" s="48" customFormat="1" ht="24" customHeight="1">
      <c r="A9" s="54">
        <v>4</v>
      </c>
      <c r="B9" s="63" t="s">
        <v>111</v>
      </c>
      <c r="C9" s="214"/>
      <c r="D9" s="214"/>
      <c r="E9" s="56"/>
      <c r="F9" s="92">
        <v>179378.75</v>
      </c>
      <c r="G9" s="92">
        <f t="shared" si="0"/>
        <v>216370.84914165887</v>
      </c>
      <c r="H9" s="92">
        <v>269068.125</v>
      </c>
      <c r="I9" s="92">
        <f t="shared" si="1"/>
        <v>309112.33613259607</v>
      </c>
      <c r="J9" s="58">
        <f t="shared" si="2"/>
        <v>3.0910121305951267E-2</v>
      </c>
      <c r="K9" s="58">
        <f t="shared" si="3"/>
        <v>3.8639042016574511E-2</v>
      </c>
      <c r="L9" s="92">
        <f>(F9)*1.1</f>
        <v>197316.62500000003</v>
      </c>
      <c r="M9" s="92">
        <f t="shared" si="4"/>
        <v>237960.03168324908</v>
      </c>
      <c r="N9" s="92">
        <f>(H9)*1.1</f>
        <v>295974.9375</v>
      </c>
      <c r="O9" s="92">
        <f t="shared" si="5"/>
        <v>339931.84901636012</v>
      </c>
      <c r="P9" s="58">
        <f t="shared" si="6"/>
        <v>3.3518767990929545E-2</v>
      </c>
      <c r="Q9" s="58">
        <f t="shared" si="7"/>
        <v>4.1804877343330875E-2</v>
      </c>
      <c r="R9" s="92">
        <f>(F9)*1.1</f>
        <v>197316.62500000003</v>
      </c>
      <c r="S9" s="92">
        <f t="shared" si="8"/>
        <v>237957.50300844197</v>
      </c>
      <c r="T9" s="92">
        <f>(N9)*1.1</f>
        <v>325572.43125000002</v>
      </c>
      <c r="U9" s="92">
        <f t="shared" si="9"/>
        <v>373811.59506491461</v>
      </c>
      <c r="V9" s="58">
        <f t="shared" si="10"/>
        <v>3.3409502623814577E-2</v>
      </c>
      <c r="W9" s="58">
        <f t="shared" si="11"/>
        <v>4.5184409774324467E-2</v>
      </c>
      <c r="X9" s="92">
        <f>(F9)*1.1</f>
        <v>197316.62500000003</v>
      </c>
      <c r="Y9" s="92">
        <f t="shared" si="12"/>
        <v>237954.97031400827</v>
      </c>
      <c r="Z9" s="92">
        <f>(T9)*1.1</f>
        <v>358129.67437500006</v>
      </c>
      <c r="AA9" s="92">
        <f t="shared" si="13"/>
        <v>411052.39461406361</v>
      </c>
      <c r="AB9" s="58">
        <f t="shared" si="14"/>
        <v>3.3300506336094431E-2</v>
      </c>
      <c r="AC9" s="58">
        <f t="shared" si="15"/>
        <v>4.8784560052225048E-2</v>
      </c>
      <c r="AD9" s="93">
        <f>(F9)*1.1</f>
        <v>197316.62500000003</v>
      </c>
      <c r="AE9" s="93">
        <f t="shared" si="16"/>
        <v>237952.4336064893</v>
      </c>
      <c r="AF9" s="92">
        <f>(Z9)*1.1</f>
        <v>393942.64181250008</v>
      </c>
      <c r="AG9" s="93">
        <f t="shared" si="17"/>
        <v>451983.93810346868</v>
      </c>
      <c r="AH9" s="58">
        <f t="shared" si="18"/>
        <v>3.3191779025733864E-2</v>
      </c>
      <c r="AI9" s="58">
        <f t="shared" si="19"/>
        <v>5.2611235792333746E-2</v>
      </c>
      <c r="AJ9" s="59"/>
      <c r="AK9" s="60"/>
      <c r="AL9" s="60"/>
      <c r="AM9" s="60"/>
      <c r="AN9" s="60"/>
      <c r="AO9" s="60"/>
    </row>
    <row r="10" spans="1:53" s="48" customFormat="1" ht="37.5" customHeight="1">
      <c r="A10" s="54">
        <v>5</v>
      </c>
      <c r="B10" s="63" t="s">
        <v>112</v>
      </c>
      <c r="C10" s="214" t="s">
        <v>113</v>
      </c>
      <c r="D10" s="214"/>
      <c r="E10" s="56" t="s">
        <v>22</v>
      </c>
      <c r="F10" s="92">
        <v>21275.762400000003</v>
      </c>
      <c r="G10" s="92">
        <f t="shared" si="0"/>
        <v>25663.322866416333</v>
      </c>
      <c r="H10" s="92">
        <v>6171.5952000000007</v>
      </c>
      <c r="I10" s="92">
        <f t="shared" si="1"/>
        <v>7090.0862372186111</v>
      </c>
      <c r="J10" s="58">
        <f t="shared" si="2"/>
        <v>3.6661889809166191E-3</v>
      </c>
      <c r="K10" s="58">
        <f t="shared" si="3"/>
        <v>8.8626077965232636E-4</v>
      </c>
      <c r="L10" s="92">
        <f>(F10)*0.9996</f>
        <v>21267.252095040003</v>
      </c>
      <c r="M10" s="92">
        <f t="shared" si="4"/>
        <v>25647.894506361859</v>
      </c>
      <c r="N10" s="92">
        <f>(H10)*0.9996</f>
        <v>6169.1265619200012</v>
      </c>
      <c r="O10" s="92">
        <f t="shared" si="5"/>
        <v>7085.338430080441</v>
      </c>
      <c r="P10" s="58">
        <f t="shared" si="6"/>
        <v>3.6127320177823637E-3</v>
      </c>
      <c r="Q10" s="58">
        <f t="shared" si="7"/>
        <v>8.7135614053994068E-4</v>
      </c>
      <c r="R10" s="92">
        <f>(F10)*0.9996</f>
        <v>21267.252095040003</v>
      </c>
      <c r="S10" s="92">
        <f t="shared" si="8"/>
        <v>25647.621959815981</v>
      </c>
      <c r="T10" s="92">
        <f>(N10)*0.9996</f>
        <v>6166.6589112952333</v>
      </c>
      <c r="U10" s="92">
        <f t="shared" si="9"/>
        <v>7080.3556523569778</v>
      </c>
      <c r="V10" s="58">
        <f t="shared" si="10"/>
        <v>3.6009551383243302E-3</v>
      </c>
      <c r="W10" s="58">
        <f t="shared" si="11"/>
        <v>8.5583672461656999E-4</v>
      </c>
      <c r="X10" s="92">
        <f>(F10)*0.9996</f>
        <v>21267.252095040003</v>
      </c>
      <c r="Y10" s="92">
        <f t="shared" si="12"/>
        <v>25647.348980025243</v>
      </c>
      <c r="Z10" s="92">
        <f>(T10)*0.9996</f>
        <v>6164.1922477307153</v>
      </c>
      <c r="AA10" s="92">
        <f t="shared" si="13"/>
        <v>7075.1076093124639</v>
      </c>
      <c r="AB10" s="58">
        <f t="shared" si="14"/>
        <v>3.5892072608792952E-3</v>
      </c>
      <c r="AC10" s="58">
        <f t="shared" si="15"/>
        <v>8.3968860555240087E-4</v>
      </c>
      <c r="AD10" s="93">
        <f>(F10)*0.9996</f>
        <v>21267.252095040003</v>
      </c>
      <c r="AE10" s="93">
        <f t="shared" si="16"/>
        <v>25647.075567694694</v>
      </c>
      <c r="AF10" s="92">
        <f>(Z10)*0.9996</f>
        <v>6161.7265708316236</v>
      </c>
      <c r="AG10" s="93">
        <f t="shared" si="17"/>
        <v>7069.5607568342421</v>
      </c>
      <c r="AH10" s="58">
        <f t="shared" si="18"/>
        <v>3.5774883744496607E-3</v>
      </c>
      <c r="AI10" s="58">
        <f t="shared" si="19"/>
        <v>8.2290164886543199E-4</v>
      </c>
      <c r="AJ10" s="59">
        <v>2</v>
      </c>
      <c r="AK10" s="60">
        <v>0</v>
      </c>
      <c r="AL10" s="60">
        <v>0</v>
      </c>
      <c r="AM10" s="60">
        <v>0</v>
      </c>
      <c r="AN10" s="60">
        <v>0</v>
      </c>
      <c r="AO10" s="60">
        <v>0</v>
      </c>
    </row>
    <row r="11" spans="1:53" s="48" customFormat="1" ht="24" customHeight="1">
      <c r="A11" s="54">
        <v>6</v>
      </c>
      <c r="B11" s="63" t="s">
        <v>114</v>
      </c>
      <c r="C11" s="214"/>
      <c r="D11" s="214"/>
      <c r="E11" s="56"/>
      <c r="F11" s="92">
        <v>57112.471573467032</v>
      </c>
      <c r="G11" s="92">
        <f t="shared" si="0"/>
        <v>68890.400735482413</v>
      </c>
      <c r="H11" s="92">
        <v>66528.663126994812</v>
      </c>
      <c r="I11" s="92">
        <f t="shared" si="1"/>
        <v>76429.827869666362</v>
      </c>
      <c r="J11" s="58">
        <f t="shared" si="2"/>
        <v>9.8414858193546298E-3</v>
      </c>
      <c r="K11" s="58">
        <f t="shared" si="3"/>
        <v>9.5537284837082948E-3</v>
      </c>
      <c r="L11" s="92">
        <f>(F11)</f>
        <v>57112.471573467032</v>
      </c>
      <c r="M11" s="92">
        <f t="shared" si="4"/>
        <v>68876.535594154178</v>
      </c>
      <c r="N11" s="92">
        <f>(H11)</f>
        <v>66528.663126994812</v>
      </c>
      <c r="O11" s="92">
        <f t="shared" si="5"/>
        <v>76409.211064858784</v>
      </c>
      <c r="P11" s="58">
        <f t="shared" si="6"/>
        <v>9.7018671592401292E-3</v>
      </c>
      <c r="Q11" s="58">
        <f t="shared" si="7"/>
        <v>9.3968179378019056E-3</v>
      </c>
      <c r="R11" s="92">
        <f>(F11)</f>
        <v>57112.471573467032</v>
      </c>
      <c r="S11" s="92">
        <f t="shared" si="8"/>
        <v>68875.80367981075</v>
      </c>
      <c r="T11" s="92">
        <f>(N11)</f>
        <v>66528.663126994812</v>
      </c>
      <c r="U11" s="92">
        <f t="shared" si="9"/>
        <v>76386.030554109762</v>
      </c>
      <c r="V11" s="58">
        <f t="shared" si="10"/>
        <v>9.6702407558728627E-3</v>
      </c>
      <c r="W11" s="58">
        <f t="shared" si="11"/>
        <v>9.2331477973324992E-3</v>
      </c>
      <c r="X11" s="92">
        <f>(F11)</f>
        <v>57112.471573467032</v>
      </c>
      <c r="Y11" s="92">
        <f t="shared" si="12"/>
        <v>68875.070602003179</v>
      </c>
      <c r="Z11" s="92">
        <f>(T11)</f>
        <v>66528.663126994812</v>
      </c>
      <c r="AA11" s="92">
        <f t="shared" si="13"/>
        <v>76359.956310653521</v>
      </c>
      <c r="AB11" s="58">
        <f t="shared" si="14"/>
        <v>9.6386922364106505E-3</v>
      </c>
      <c r="AC11" s="58">
        <f t="shared" si="15"/>
        <v>9.0625597199596158E-3</v>
      </c>
      <c r="AD11" s="93">
        <f>(F11)</f>
        <v>57112.471573467032</v>
      </c>
      <c r="AE11" s="93">
        <f t="shared" si="16"/>
        <v>68874.33636262489</v>
      </c>
      <c r="AF11" s="92">
        <f>(Z11)</f>
        <v>66528.663126994812</v>
      </c>
      <c r="AG11" s="93">
        <f t="shared" si="17"/>
        <v>76330.622698139196</v>
      </c>
      <c r="AH11" s="58">
        <f t="shared" si="18"/>
        <v>9.6072215713198239E-3</v>
      </c>
      <c r="AI11" s="58">
        <f t="shared" si="19"/>
        <v>8.8849360572369526E-3</v>
      </c>
      <c r="AJ11" s="59"/>
      <c r="AK11" s="60"/>
      <c r="AL11" s="60"/>
      <c r="AM11" s="60"/>
      <c r="AN11" s="60"/>
      <c r="AO11" s="60"/>
    </row>
    <row r="12" spans="1:53" s="48" customFormat="1" ht="24" customHeight="1">
      <c r="A12" s="54">
        <v>7</v>
      </c>
      <c r="B12" s="63" t="s">
        <v>115</v>
      </c>
      <c r="C12" s="214"/>
      <c r="D12" s="214"/>
      <c r="E12" s="56"/>
      <c r="F12" s="92">
        <v>3514.9237199999998</v>
      </c>
      <c r="G12" s="92">
        <f t="shared" si="0"/>
        <v>4239.7833074684613</v>
      </c>
      <c r="H12" s="92">
        <v>2458.6254000000004</v>
      </c>
      <c r="I12" s="92">
        <f t="shared" si="1"/>
        <v>2824.5316723002347</v>
      </c>
      <c r="J12" s="58">
        <f t="shared" si="2"/>
        <v>6.0568332963835164E-4</v>
      </c>
      <c r="K12" s="58">
        <f t="shared" si="3"/>
        <v>3.5306645903752937E-4</v>
      </c>
      <c r="L12" s="92">
        <f>(F12)</f>
        <v>3514.9237199999998</v>
      </c>
      <c r="M12" s="92">
        <f t="shared" si="4"/>
        <v>4238.929992723135</v>
      </c>
      <c r="N12" s="92">
        <f>(H12)</f>
        <v>2458.6254000000004</v>
      </c>
      <c r="O12" s="92">
        <f t="shared" si="5"/>
        <v>2823.7697601020295</v>
      </c>
      <c r="P12" s="58">
        <f t="shared" si="6"/>
        <v>5.9709065405155282E-4</v>
      </c>
      <c r="Q12" s="58">
        <f t="shared" si="7"/>
        <v>3.4726769147538998E-4</v>
      </c>
      <c r="R12" s="92">
        <f>(F12)</f>
        <v>3514.9237199999998</v>
      </c>
      <c r="S12" s="92">
        <f t="shared" si="8"/>
        <v>4238.884947866627</v>
      </c>
      <c r="T12" s="92">
        <f>(N12)</f>
        <v>2458.6254000000004</v>
      </c>
      <c r="U12" s="92">
        <f t="shared" si="9"/>
        <v>2822.9131038904998</v>
      </c>
      <c r="V12" s="58">
        <f t="shared" si="10"/>
        <v>5.9514424213290729E-4</v>
      </c>
      <c r="W12" s="58">
        <f t="shared" si="11"/>
        <v>3.4121911713666454E-4</v>
      </c>
      <c r="X12" s="92">
        <f>(F12)</f>
        <v>3514.9237199999998</v>
      </c>
      <c r="Y12" s="92">
        <f t="shared" si="12"/>
        <v>4238.8398314060114</v>
      </c>
      <c r="Z12" s="92">
        <f>(T12)</f>
        <v>2458.6254000000004</v>
      </c>
      <c r="AA12" s="92">
        <f t="shared" si="13"/>
        <v>2821.9495072355521</v>
      </c>
      <c r="AB12" s="58">
        <f t="shared" si="14"/>
        <v>5.9320262349281806E-4</v>
      </c>
      <c r="AC12" s="58">
        <f t="shared" si="15"/>
        <v>3.3491488434056081E-4</v>
      </c>
      <c r="AD12" s="93">
        <f>(F12)</f>
        <v>3514.9237199999998</v>
      </c>
      <c r="AE12" s="93">
        <f t="shared" si="16"/>
        <v>4238.7946434578143</v>
      </c>
      <c r="AF12" s="92">
        <f>(Z12)</f>
        <v>2458.6254000000004</v>
      </c>
      <c r="AG12" s="93">
        <f t="shared" si="17"/>
        <v>2820.8654577234825</v>
      </c>
      <c r="AH12" s="58">
        <f t="shared" si="18"/>
        <v>5.9126579631366811E-4</v>
      </c>
      <c r="AI12" s="58">
        <f t="shared" si="19"/>
        <v>3.283506452850225E-4</v>
      </c>
      <c r="AJ12" s="59">
        <v>1</v>
      </c>
      <c r="AK12" s="60">
        <v>0</v>
      </c>
      <c r="AL12" s="60">
        <v>0</v>
      </c>
      <c r="AM12" s="60">
        <v>0</v>
      </c>
      <c r="AN12" s="60">
        <v>0</v>
      </c>
      <c r="AO12" s="60">
        <v>0</v>
      </c>
    </row>
    <row r="13" spans="1:53" s="48" customFormat="1" ht="24" customHeight="1">
      <c r="A13" s="54">
        <v>8</v>
      </c>
      <c r="B13" s="63" t="s">
        <v>116</v>
      </c>
      <c r="C13" s="214"/>
      <c r="D13" s="214"/>
      <c r="E13" s="56"/>
      <c r="F13" s="92"/>
      <c r="G13" s="92">
        <f t="shared" si="0"/>
        <v>0</v>
      </c>
      <c r="H13" s="92"/>
      <c r="I13" s="92">
        <f t="shared" si="1"/>
        <v>0</v>
      </c>
      <c r="J13" s="58">
        <f t="shared" si="2"/>
        <v>0</v>
      </c>
      <c r="K13" s="58">
        <f t="shared" si="3"/>
        <v>0</v>
      </c>
      <c r="L13" s="92">
        <f t="shared" ref="L13:L18" si="20">(F13)*1.001</f>
        <v>0</v>
      </c>
      <c r="M13" s="92">
        <f t="shared" si="4"/>
        <v>0</v>
      </c>
      <c r="N13" s="92">
        <f t="shared" ref="N13:N18" si="21">(H13)*1.001</f>
        <v>0</v>
      </c>
      <c r="O13" s="92">
        <f t="shared" si="5"/>
        <v>0</v>
      </c>
      <c r="P13" s="58">
        <f t="shared" si="6"/>
        <v>0</v>
      </c>
      <c r="Q13" s="58">
        <f t="shared" si="7"/>
        <v>0</v>
      </c>
      <c r="R13" s="92">
        <f t="shared" ref="R13:R18" si="22">(F13)*1.001</f>
        <v>0</v>
      </c>
      <c r="S13" s="92">
        <f t="shared" si="8"/>
        <v>0</v>
      </c>
      <c r="T13" s="92">
        <f t="shared" ref="T13:T18" si="23">(N13)*1.001</f>
        <v>0</v>
      </c>
      <c r="U13" s="92">
        <f t="shared" si="9"/>
        <v>0</v>
      </c>
      <c r="V13" s="58">
        <f t="shared" si="10"/>
        <v>0</v>
      </c>
      <c r="W13" s="58">
        <f t="shared" si="11"/>
        <v>0</v>
      </c>
      <c r="X13" s="92">
        <f t="shared" ref="X13:X18" si="24">(F13)*1.001</f>
        <v>0</v>
      </c>
      <c r="Y13" s="92">
        <f t="shared" si="12"/>
        <v>0</v>
      </c>
      <c r="Z13" s="92">
        <f t="shared" ref="Z13:Z18" si="25">(T13)*1.001</f>
        <v>0</v>
      </c>
      <c r="AA13" s="92">
        <f t="shared" si="13"/>
        <v>0</v>
      </c>
      <c r="AB13" s="58">
        <f t="shared" si="14"/>
        <v>0</v>
      </c>
      <c r="AC13" s="58">
        <f t="shared" si="15"/>
        <v>0</v>
      </c>
      <c r="AD13" s="93">
        <f t="shared" ref="AD13:AD18" si="26">(F13)*1.001</f>
        <v>0</v>
      </c>
      <c r="AE13" s="93">
        <f t="shared" si="16"/>
        <v>0</v>
      </c>
      <c r="AF13" s="92">
        <f t="shared" ref="AF13:AF18" si="27">(Z13)*1.001</f>
        <v>0</v>
      </c>
      <c r="AG13" s="93">
        <f t="shared" si="17"/>
        <v>0</v>
      </c>
      <c r="AH13" s="58">
        <f t="shared" si="18"/>
        <v>0</v>
      </c>
      <c r="AI13" s="58">
        <f t="shared" si="19"/>
        <v>0</v>
      </c>
      <c r="AJ13" s="59">
        <v>1</v>
      </c>
      <c r="AK13" s="60">
        <v>0</v>
      </c>
      <c r="AL13" s="60">
        <v>0</v>
      </c>
      <c r="AM13" s="60">
        <v>0</v>
      </c>
      <c r="AN13" s="60">
        <v>0</v>
      </c>
      <c r="AO13" s="60">
        <v>0</v>
      </c>
    </row>
    <row r="14" spans="1:53" s="48" customFormat="1" ht="24" customHeight="1">
      <c r="A14" s="54">
        <v>9</v>
      </c>
      <c r="B14" s="63" t="s">
        <v>117</v>
      </c>
      <c r="C14" s="214"/>
      <c r="D14" s="214"/>
      <c r="E14" s="56"/>
      <c r="F14" s="92">
        <v>31.003830000000001</v>
      </c>
      <c r="G14" s="92">
        <f t="shared" si="0"/>
        <v>37.397545828274737</v>
      </c>
      <c r="H14" s="92">
        <v>59.622749999999996</v>
      </c>
      <c r="I14" s="92">
        <f t="shared" si="1"/>
        <v>68.496138437615912</v>
      </c>
      <c r="J14" s="58">
        <f t="shared" si="2"/>
        <v>5.3425065468963912E-6</v>
      </c>
      <c r="K14" s="58">
        <f t="shared" si="3"/>
        <v>8.5620173047019883E-6</v>
      </c>
      <c r="L14" s="92">
        <f>(F14)*1.1</f>
        <v>34.104213000000001</v>
      </c>
      <c r="M14" s="92">
        <f t="shared" si="4"/>
        <v>41.129020963196957</v>
      </c>
      <c r="N14" s="92">
        <f>(H14)*1.1</f>
        <v>65.585025000000002</v>
      </c>
      <c r="O14" s="92">
        <f t="shared" si="5"/>
        <v>75.325427903956239</v>
      </c>
      <c r="P14" s="58">
        <f t="shared" si="6"/>
        <v>5.7933851395453527E-6</v>
      </c>
      <c r="Q14" s="58">
        <f t="shared" si="7"/>
        <v>9.2635340979987169E-6</v>
      </c>
      <c r="R14" s="92">
        <f>(F14)*1.1</f>
        <v>34.104213000000001</v>
      </c>
      <c r="S14" s="92">
        <f t="shared" si="8"/>
        <v>41.128583906946737</v>
      </c>
      <c r="T14" s="92">
        <f>(N14)*1.1</f>
        <v>72.143527500000005</v>
      </c>
      <c r="U14" s="92">
        <f t="shared" si="9"/>
        <v>82.83283380243067</v>
      </c>
      <c r="V14" s="58">
        <f t="shared" si="10"/>
        <v>5.7744997093206469E-6</v>
      </c>
      <c r="W14" s="58">
        <f t="shared" si="11"/>
        <v>1.0012403988291457E-5</v>
      </c>
      <c r="X14" s="92">
        <f>(F14)*1.1</f>
        <v>34.104213000000001</v>
      </c>
      <c r="Y14" s="92">
        <f t="shared" si="12"/>
        <v>41.128146155944101</v>
      </c>
      <c r="Z14" s="92">
        <f>(T14)*1.1</f>
        <v>79.357880250000008</v>
      </c>
      <c r="AA14" s="92">
        <f t="shared" si="13"/>
        <v>91.085014848844168</v>
      </c>
      <c r="AB14" s="58">
        <f t="shared" si="14"/>
        <v>5.7556607867888169E-6</v>
      </c>
      <c r="AC14" s="58">
        <f t="shared" si="15"/>
        <v>1.0810160541512677E-5</v>
      </c>
      <c r="AD14" s="93">
        <f>(F14)*1.1</f>
        <v>34.104213000000001</v>
      </c>
      <c r="AE14" s="93">
        <f t="shared" si="16"/>
        <v>41.127707711319658</v>
      </c>
      <c r="AF14" s="92">
        <f>(Z14)*1.1</f>
        <v>87.293668275000016</v>
      </c>
      <c r="AG14" s="93">
        <f t="shared" si="17"/>
        <v>100.15502707932642</v>
      </c>
      <c r="AH14" s="58">
        <f t="shared" si="18"/>
        <v>5.7368683543140886E-6</v>
      </c>
      <c r="AI14" s="58">
        <f t="shared" si="19"/>
        <v>1.1658112824911412E-5</v>
      </c>
      <c r="AJ14" s="59">
        <v>1</v>
      </c>
      <c r="AK14" s="60">
        <v>0</v>
      </c>
      <c r="AL14" s="60">
        <v>0</v>
      </c>
      <c r="AM14" s="60">
        <v>0</v>
      </c>
      <c r="AN14" s="60">
        <v>0</v>
      </c>
      <c r="AO14" s="60">
        <v>0</v>
      </c>
    </row>
    <row r="15" spans="1:53" s="48" customFormat="1" ht="24" customHeight="1">
      <c r="A15" s="54">
        <v>10</v>
      </c>
      <c r="B15" s="63" t="s">
        <v>118</v>
      </c>
      <c r="C15" s="214"/>
      <c r="D15" s="214"/>
      <c r="E15" s="56"/>
      <c r="F15" s="92">
        <v>149057.24617</v>
      </c>
      <c r="G15" s="92">
        <f t="shared" si="0"/>
        <v>179796.34111911349</v>
      </c>
      <c r="H15" s="92">
        <v>223572.75224999999</v>
      </c>
      <c r="I15" s="92">
        <f t="shared" si="1"/>
        <v>256846.08960497135</v>
      </c>
      <c r="J15" s="58">
        <f t="shared" si="2"/>
        <v>2.5685191588444786E-2</v>
      </c>
      <c r="K15" s="58">
        <f t="shared" si="3"/>
        <v>3.2105761200621419E-2</v>
      </c>
      <c r="L15" s="92">
        <f>(F15)*1.1</f>
        <v>163962.970787</v>
      </c>
      <c r="M15" s="92">
        <f t="shared" si="4"/>
        <v>197736.17009389936</v>
      </c>
      <c r="N15" s="92">
        <f>(H15)*1.1</f>
        <v>245930.02747500001</v>
      </c>
      <c r="O15" s="92">
        <f t="shared" si="5"/>
        <v>282454.48643171357</v>
      </c>
      <c r="P15" s="58">
        <f t="shared" si="6"/>
        <v>2.7852882527830639E-2</v>
      </c>
      <c r="Q15" s="58">
        <f t="shared" si="7"/>
        <v>3.4736301392527091E-2</v>
      </c>
      <c r="R15" s="92">
        <f>(F15)*1.1</f>
        <v>163962.970787</v>
      </c>
      <c r="S15" s="92">
        <f t="shared" si="8"/>
        <v>197734.06885669482</v>
      </c>
      <c r="T15" s="92">
        <f>(N15)*1.1</f>
        <v>270523.03022250003</v>
      </c>
      <c r="U15" s="92">
        <f t="shared" si="9"/>
        <v>310605.67702556925</v>
      </c>
      <c r="V15" s="58">
        <f t="shared" si="10"/>
        <v>2.7762086964120275E-2</v>
      </c>
      <c r="W15" s="58">
        <f t="shared" si="11"/>
        <v>3.7544405722667908E-2</v>
      </c>
      <c r="X15" s="92">
        <f>(F15)*1.1</f>
        <v>163962.970787</v>
      </c>
      <c r="Y15" s="92">
        <f t="shared" si="12"/>
        <v>197731.96427932612</v>
      </c>
      <c r="Z15" s="92">
        <f>(T15)*1.1</f>
        <v>297575.33324475004</v>
      </c>
      <c r="AA15" s="92">
        <f t="shared" si="13"/>
        <v>341549.61752834631</v>
      </c>
      <c r="AB15" s="58">
        <f t="shared" si="14"/>
        <v>2.7671514995643975E-2</v>
      </c>
      <c r="AC15" s="58">
        <f t="shared" si="15"/>
        <v>4.0535824740226503E-2</v>
      </c>
      <c r="AD15" s="93">
        <f>(F15)*1.1</f>
        <v>163962.970787</v>
      </c>
      <c r="AE15" s="93">
        <f t="shared" si="16"/>
        <v>197729.85636722884</v>
      </c>
      <c r="AF15" s="92">
        <f>(Z15)*1.1</f>
        <v>327332.86656922509</v>
      </c>
      <c r="AG15" s="93">
        <f t="shared" si="17"/>
        <v>375560.25268539757</v>
      </c>
      <c r="AH15" s="58">
        <f t="shared" si="18"/>
        <v>2.7581166537614152E-2</v>
      </c>
      <c r="AI15" s="58">
        <f t="shared" si="19"/>
        <v>4.3715467171615986E-2</v>
      </c>
      <c r="AJ15" s="59"/>
      <c r="AK15" s="60"/>
      <c r="AL15" s="60"/>
      <c r="AM15" s="60"/>
      <c r="AN15" s="60"/>
      <c r="AO15" s="60"/>
    </row>
    <row r="16" spans="1:53" s="48" customFormat="1" ht="24" customHeight="1">
      <c r="A16" s="54">
        <v>11</v>
      </c>
      <c r="B16" s="63" t="s">
        <v>35</v>
      </c>
      <c r="C16" s="214" t="s">
        <v>119</v>
      </c>
      <c r="D16" s="214"/>
      <c r="E16" s="56" t="s">
        <v>22</v>
      </c>
      <c r="F16" s="92">
        <v>37484.320319999999</v>
      </c>
      <c r="G16" s="92">
        <f t="shared" si="0"/>
        <v>45214.465019609837</v>
      </c>
      <c r="H16" s="92">
        <v>1274.0544</v>
      </c>
      <c r="I16" s="92">
        <f t="shared" si="1"/>
        <v>1463.6662441677661</v>
      </c>
      <c r="J16" s="58">
        <f t="shared" si="2"/>
        <v>6.459209288515691E-3</v>
      </c>
      <c r="K16" s="58">
        <f t="shared" si="3"/>
        <v>1.8295828052097076E-4</v>
      </c>
      <c r="L16" s="92">
        <f>(F16)*1.03</f>
        <v>38608.849929600001</v>
      </c>
      <c r="M16" s="92">
        <f t="shared" si="4"/>
        <v>46561.525935796963</v>
      </c>
      <c r="N16" s="92">
        <f>(H16)*1.03</f>
        <v>1312.276032</v>
      </c>
      <c r="O16" s="92">
        <f t="shared" si="5"/>
        <v>1507.1695655907088</v>
      </c>
      <c r="P16" s="58">
        <f t="shared" si="6"/>
        <v>6.5586013504279157E-3</v>
      </c>
      <c r="Q16" s="58">
        <f t="shared" si="7"/>
        <v>1.8535197277760366E-4</v>
      </c>
      <c r="R16" s="92">
        <f>(F16)*1.03</f>
        <v>38608.849929600001</v>
      </c>
      <c r="S16" s="92">
        <f t="shared" si="8"/>
        <v>46561.031151203177</v>
      </c>
      <c r="T16" s="92">
        <f>(N16)*1.03</f>
        <v>1351.64431296</v>
      </c>
      <c r="U16" s="92">
        <f t="shared" si="9"/>
        <v>1551.913700579948</v>
      </c>
      <c r="V16" s="58">
        <f t="shared" si="10"/>
        <v>6.5372214481442424E-3</v>
      </c>
      <c r="W16" s="58">
        <f t="shared" si="11"/>
        <v>1.875872913177439E-4</v>
      </c>
      <c r="X16" s="92">
        <f>(F16)*1.03</f>
        <v>38608.849929600001</v>
      </c>
      <c r="Y16" s="92">
        <f t="shared" si="12"/>
        <v>46560.535580090967</v>
      </c>
      <c r="Z16" s="92">
        <f>(T16)*1.03</f>
        <v>1392.1936423488</v>
      </c>
      <c r="AA16" s="92">
        <f t="shared" si="13"/>
        <v>1597.9254761634952</v>
      </c>
      <c r="AB16" s="58">
        <f t="shared" si="14"/>
        <v>6.5158941964974498E-3</v>
      </c>
      <c r="AC16" s="58">
        <f t="shared" si="15"/>
        <v>1.8964514590425705E-4</v>
      </c>
      <c r="AD16" s="93">
        <f>(F16)*1.03</f>
        <v>38608.849929600001</v>
      </c>
      <c r="AE16" s="93">
        <f t="shared" si="16"/>
        <v>46560.039223740278</v>
      </c>
      <c r="AF16" s="92">
        <f>(Z16)*1.03</f>
        <v>1433.959451619264</v>
      </c>
      <c r="AG16" s="93">
        <f t="shared" si="17"/>
        <v>1645.2309834791786</v>
      </c>
      <c r="AH16" s="58">
        <f t="shared" si="18"/>
        <v>6.4946195755223538E-3</v>
      </c>
      <c r="AI16" s="58">
        <f t="shared" si="19"/>
        <v>1.9150599812876832E-4</v>
      </c>
      <c r="AJ16" s="59">
        <v>2</v>
      </c>
      <c r="AK16" s="60">
        <v>0</v>
      </c>
      <c r="AL16" s="60">
        <v>0</v>
      </c>
      <c r="AM16" s="60">
        <v>0</v>
      </c>
      <c r="AN16" s="60">
        <v>0</v>
      </c>
      <c r="AO16" s="60">
        <v>0</v>
      </c>
    </row>
    <row r="17" spans="1:41" s="48" customFormat="1" ht="24" customHeight="1">
      <c r="A17" s="54">
        <v>12</v>
      </c>
      <c r="B17" s="63" t="s">
        <v>120</v>
      </c>
      <c r="C17" s="214"/>
      <c r="D17" s="214"/>
      <c r="E17" s="56"/>
      <c r="F17" s="92">
        <v>125795.90396499567</v>
      </c>
      <c r="G17" s="92">
        <f t="shared" si="0"/>
        <v>151737.96539137821</v>
      </c>
      <c r="H17" s="92">
        <v>146536.00320689016</v>
      </c>
      <c r="I17" s="92">
        <f t="shared" si="1"/>
        <v>168344.30417506871</v>
      </c>
      <c r="J17" s="58">
        <f t="shared" si="2"/>
        <v>2.1676852198768318E-2</v>
      </c>
      <c r="K17" s="58">
        <f t="shared" si="3"/>
        <v>2.1043038021883589E-2</v>
      </c>
      <c r="L17" s="92">
        <f>(F17)*1.02</f>
        <v>128311.82204429558</v>
      </c>
      <c r="M17" s="92">
        <f t="shared" si="4"/>
        <v>154741.57455812953</v>
      </c>
      <c r="N17" s="92">
        <f>(H17)*1.02</f>
        <v>149466.72327102796</v>
      </c>
      <c r="O17" s="92">
        <f t="shared" si="5"/>
        <v>171664.87148236041</v>
      </c>
      <c r="P17" s="58">
        <f t="shared" si="6"/>
        <v>2.179671476539892E-2</v>
      </c>
      <c r="Q17" s="58">
        <f t="shared" si="7"/>
        <v>2.1111375463183948E-2</v>
      </c>
      <c r="R17" s="92">
        <f>(F17)*1.02</f>
        <v>128311.82204429558</v>
      </c>
      <c r="S17" s="92">
        <f t="shared" si="8"/>
        <v>154739.93020164483</v>
      </c>
      <c r="T17" s="92">
        <f>(N17)*1.02</f>
        <v>152456.05773644854</v>
      </c>
      <c r="U17" s="92">
        <f t="shared" si="9"/>
        <v>175045.04881130208</v>
      </c>
      <c r="V17" s="58">
        <f t="shared" si="10"/>
        <v>2.1725661257663016E-2</v>
      </c>
      <c r="W17" s="58">
        <f t="shared" si="11"/>
        <v>2.1158539004342555E-2</v>
      </c>
      <c r="X17" s="92">
        <f>(F17)*1.02</f>
        <v>128311.82204429558</v>
      </c>
      <c r="Y17" s="92">
        <f t="shared" si="12"/>
        <v>154738.28323126174</v>
      </c>
      <c r="Z17" s="92">
        <f>(T17)*1.02</f>
        <v>155505.17889117752</v>
      </c>
      <c r="AA17" s="92">
        <f t="shared" si="13"/>
        <v>178485.00342692903</v>
      </c>
      <c r="AB17" s="58">
        <f t="shared" si="14"/>
        <v>2.1654782727922116E-2</v>
      </c>
      <c r="AC17" s="58">
        <f t="shared" si="15"/>
        <v>2.1182974438764414E-2</v>
      </c>
      <c r="AD17" s="93">
        <f>(F17)*1.02</f>
        <v>128311.82204429558</v>
      </c>
      <c r="AE17" s="93">
        <f t="shared" si="16"/>
        <v>154736.63365123395</v>
      </c>
      <c r="AF17" s="92">
        <f>(Z17)*1.02</f>
        <v>158615.28246900107</v>
      </c>
      <c r="AG17" s="93">
        <f t="shared" si="17"/>
        <v>181984.76733538104</v>
      </c>
      <c r="AH17" s="58">
        <f t="shared" si="18"/>
        <v>2.1584079109824354E-2</v>
      </c>
      <c r="AI17" s="58">
        <f t="shared" si="19"/>
        <v>2.1183149881540561E-2</v>
      </c>
      <c r="AJ17" s="59"/>
      <c r="AK17" s="60"/>
      <c r="AL17" s="60"/>
      <c r="AM17" s="60"/>
      <c r="AN17" s="60"/>
      <c r="AO17" s="60"/>
    </row>
    <row r="18" spans="1:41" s="48" customFormat="1" ht="24" customHeight="1">
      <c r="A18" s="54">
        <v>13</v>
      </c>
      <c r="B18" s="63" t="s">
        <v>121</v>
      </c>
      <c r="C18" s="214"/>
      <c r="D18" s="214"/>
      <c r="E18" s="56"/>
      <c r="F18" s="98"/>
      <c r="G18" s="92">
        <f t="shared" si="0"/>
        <v>0</v>
      </c>
      <c r="H18" s="92"/>
      <c r="I18" s="92">
        <f t="shared" si="1"/>
        <v>0</v>
      </c>
      <c r="J18" s="58">
        <f t="shared" si="2"/>
        <v>0</v>
      </c>
      <c r="K18" s="58">
        <f t="shared" si="3"/>
        <v>0</v>
      </c>
      <c r="L18" s="92">
        <f t="shared" si="20"/>
        <v>0</v>
      </c>
      <c r="M18" s="92">
        <f t="shared" si="4"/>
        <v>0</v>
      </c>
      <c r="N18" s="92">
        <f t="shared" si="21"/>
        <v>0</v>
      </c>
      <c r="O18" s="92">
        <f t="shared" si="5"/>
        <v>0</v>
      </c>
      <c r="P18" s="58">
        <f t="shared" si="6"/>
        <v>0</v>
      </c>
      <c r="Q18" s="58">
        <f t="shared" si="7"/>
        <v>0</v>
      </c>
      <c r="R18" s="92">
        <f t="shared" si="22"/>
        <v>0</v>
      </c>
      <c r="S18" s="92">
        <f t="shared" si="8"/>
        <v>0</v>
      </c>
      <c r="T18" s="92">
        <f t="shared" si="23"/>
        <v>0</v>
      </c>
      <c r="U18" s="92">
        <f t="shared" si="9"/>
        <v>0</v>
      </c>
      <c r="V18" s="58">
        <f t="shared" si="10"/>
        <v>0</v>
      </c>
      <c r="W18" s="58">
        <f t="shared" si="11"/>
        <v>0</v>
      </c>
      <c r="X18" s="92">
        <f t="shared" si="24"/>
        <v>0</v>
      </c>
      <c r="Y18" s="92">
        <f t="shared" si="12"/>
        <v>0</v>
      </c>
      <c r="Z18" s="92">
        <f t="shared" si="25"/>
        <v>0</v>
      </c>
      <c r="AA18" s="92">
        <f t="shared" si="13"/>
        <v>0</v>
      </c>
      <c r="AB18" s="58">
        <f t="shared" si="14"/>
        <v>0</v>
      </c>
      <c r="AC18" s="58">
        <f t="shared" si="15"/>
        <v>0</v>
      </c>
      <c r="AD18" s="93">
        <f t="shared" si="26"/>
        <v>0</v>
      </c>
      <c r="AE18" s="93">
        <f t="shared" si="16"/>
        <v>0</v>
      </c>
      <c r="AF18" s="92">
        <f t="shared" si="27"/>
        <v>0</v>
      </c>
      <c r="AG18" s="93">
        <f t="shared" si="17"/>
        <v>0</v>
      </c>
      <c r="AH18" s="58">
        <f t="shared" si="18"/>
        <v>0</v>
      </c>
      <c r="AI18" s="58">
        <f t="shared" si="19"/>
        <v>0</v>
      </c>
      <c r="AJ18" s="59"/>
      <c r="AK18" s="60"/>
      <c r="AL18" s="60"/>
      <c r="AM18" s="60"/>
      <c r="AN18" s="60"/>
      <c r="AO18" s="60"/>
    </row>
    <row r="19" spans="1:41" s="48" customFormat="1" ht="24" customHeight="1">
      <c r="A19" s="54">
        <v>14</v>
      </c>
      <c r="B19" s="63" t="s">
        <v>122</v>
      </c>
      <c r="C19" s="214"/>
      <c r="D19" s="214"/>
      <c r="E19" s="56"/>
      <c r="F19" s="92">
        <v>289423.08107145596</v>
      </c>
      <c r="G19" s="92">
        <f t="shared" si="0"/>
        <v>349108.8984209451</v>
      </c>
      <c r="H19" s="92">
        <v>78933.567564942525</v>
      </c>
      <c r="I19" s="92">
        <f t="shared" si="1"/>
        <v>90680.899007563596</v>
      </c>
      <c r="J19" s="58">
        <f t="shared" si="2"/>
        <v>4.9872699774420728E-2</v>
      </c>
      <c r="K19" s="58">
        <f t="shared" si="3"/>
        <v>1.133511237594545E-2</v>
      </c>
      <c r="L19" s="92">
        <f>(F19)*1.005</f>
        <v>290870.19647681323</v>
      </c>
      <c r="M19" s="92">
        <f t="shared" si="4"/>
        <v>350783.82862739183</v>
      </c>
      <c r="N19" s="92">
        <f>(H19)*1.005</f>
        <v>79328.235402767226</v>
      </c>
      <c r="O19" s="92">
        <f t="shared" si="5"/>
        <v>91109.720192669163</v>
      </c>
      <c r="P19" s="58">
        <f t="shared" si="6"/>
        <v>4.9410994289925611E-2</v>
      </c>
      <c r="Q19" s="58">
        <f t="shared" si="7"/>
        <v>1.1204689082417871E-2</v>
      </c>
      <c r="R19" s="92">
        <f>(L19)*1.005</f>
        <v>292324.54745919729</v>
      </c>
      <c r="S19" s="92">
        <f t="shared" si="8"/>
        <v>352534.00153921836</v>
      </c>
      <c r="T19" s="92">
        <f>(N19)*1.005</f>
        <v>79724.876579781048</v>
      </c>
      <c r="U19" s="92">
        <f t="shared" si="9"/>
        <v>91537.490340381526</v>
      </c>
      <c r="V19" s="58">
        <f t="shared" si="10"/>
        <v>4.9496172637979494E-2</v>
      </c>
      <c r="W19" s="58">
        <f t="shared" si="11"/>
        <v>1.1064577792282804E-2</v>
      </c>
      <c r="X19" s="92">
        <f>(R19)*1.005</f>
        <v>293786.17019649327</v>
      </c>
      <c r="Y19" s="92">
        <f t="shared" si="12"/>
        <v>354292.9005995958</v>
      </c>
      <c r="Z19" s="92">
        <f>(T19)*1.005</f>
        <v>80123.500962679944</v>
      </c>
      <c r="AA19" s="92">
        <f t="shared" si="13"/>
        <v>91963.775392388736</v>
      </c>
      <c r="AB19" s="58">
        <f t="shared" si="14"/>
        <v>4.9581368128941185E-2</v>
      </c>
      <c r="AC19" s="58">
        <f t="shared" si="15"/>
        <v>1.0914453685330332E-2</v>
      </c>
      <c r="AD19" s="92">
        <f>(X19)*1.005</f>
        <v>295255.10104747571</v>
      </c>
      <c r="AE19" s="93">
        <f t="shared" si="16"/>
        <v>356060.56929555099</v>
      </c>
      <c r="AF19" s="92">
        <f>(Z19)*1.005</f>
        <v>80524.118467493332</v>
      </c>
      <c r="AG19" s="93">
        <f t="shared" si="17"/>
        <v>92388.089823925795</v>
      </c>
      <c r="AH19" s="58">
        <f t="shared" si="18"/>
        <v>4.966658065527188E-2</v>
      </c>
      <c r="AI19" s="58">
        <f t="shared" si="19"/>
        <v>1.0754036080408601E-2</v>
      </c>
      <c r="AJ19" s="59"/>
      <c r="AK19" s="60"/>
      <c r="AL19" s="60"/>
      <c r="AM19" s="60"/>
      <c r="AN19" s="60"/>
      <c r="AO19" s="60"/>
    </row>
    <row r="20" spans="1:41" s="48" customFormat="1" ht="24" customHeight="1">
      <c r="A20" s="54">
        <v>15</v>
      </c>
      <c r="B20" s="63" t="s">
        <v>123</v>
      </c>
      <c r="C20" s="214"/>
      <c r="D20" s="214"/>
      <c r="E20" s="56"/>
      <c r="F20" s="92">
        <v>276251</v>
      </c>
      <c r="G20" s="92">
        <f t="shared" si="0"/>
        <v>333220.42575406731</v>
      </c>
      <c r="H20" s="92">
        <v>414376.50000000006</v>
      </c>
      <c r="I20" s="92">
        <f t="shared" si="1"/>
        <v>476046.30966023466</v>
      </c>
      <c r="J20" s="58">
        <f t="shared" si="2"/>
        <v>4.7602917964866757E-2</v>
      </c>
      <c r="K20" s="58">
        <f t="shared" si="3"/>
        <v>5.9505788707529331E-2</v>
      </c>
      <c r="L20" s="92">
        <f>(F20)*1.1</f>
        <v>303876.10000000003</v>
      </c>
      <c r="M20" s="92">
        <f t="shared" si="4"/>
        <v>366468.6966127773</v>
      </c>
      <c r="N20" s="92">
        <f>(H20)*1.1</f>
        <v>455814.15000000008</v>
      </c>
      <c r="O20" s="92">
        <f t="shared" si="5"/>
        <v>523509.68675285409</v>
      </c>
      <c r="P20" s="58">
        <f t="shared" si="6"/>
        <v>5.1620346201890002E-2</v>
      </c>
      <c r="Q20" s="58">
        <f t="shared" si="7"/>
        <v>6.4381311448387837E-2</v>
      </c>
      <c r="R20" s="92">
        <f>(F20)*1.1</f>
        <v>303876.10000000003</v>
      </c>
      <c r="S20" s="92">
        <f t="shared" si="8"/>
        <v>366464.80234467628</v>
      </c>
      <c r="T20" s="92">
        <f>(N20)*1.1</f>
        <v>501395.56500000012</v>
      </c>
      <c r="U20" s="92">
        <f t="shared" si="9"/>
        <v>575685.95470911555</v>
      </c>
      <c r="V20" s="58">
        <f t="shared" si="10"/>
        <v>5.1452072830986954E-2</v>
      </c>
      <c r="W20" s="58">
        <f t="shared" si="11"/>
        <v>6.9585936932701958E-2</v>
      </c>
      <c r="X20" s="92">
        <f>(F20)*1.1</f>
        <v>303876.10000000003</v>
      </c>
      <c r="Y20" s="92">
        <f t="shared" si="12"/>
        <v>366460.90188617713</v>
      </c>
      <c r="Z20" s="92">
        <f>(T20)*1.1</f>
        <v>551535.12150000012</v>
      </c>
      <c r="AA20" s="92">
        <f t="shared" si="13"/>
        <v>633038.38980107568</v>
      </c>
      <c r="AB20" s="58">
        <f t="shared" si="14"/>
        <v>5.12842138539399E-2</v>
      </c>
      <c r="AC20" s="58">
        <f t="shared" si="15"/>
        <v>7.5130323402226987E-2</v>
      </c>
      <c r="AD20" s="93">
        <f>(F20)*1.1</f>
        <v>303876.10000000003</v>
      </c>
      <c r="AE20" s="93">
        <f t="shared" si="16"/>
        <v>366456.99524735386</v>
      </c>
      <c r="AF20" s="92">
        <f>(Z20)*1.1</f>
        <v>606688.63365000021</v>
      </c>
      <c r="AG20" s="93">
        <f t="shared" si="17"/>
        <v>696074.72950403183</v>
      </c>
      <c r="AH20" s="58">
        <f t="shared" si="18"/>
        <v>5.1116769113610204E-2</v>
      </c>
      <c r="AI20" s="58">
        <f t="shared" si="19"/>
        <v>8.1023568838939908E-2</v>
      </c>
      <c r="AJ20" s="59"/>
      <c r="AK20" s="60"/>
      <c r="AL20" s="60"/>
      <c r="AM20" s="60"/>
      <c r="AN20" s="60"/>
      <c r="AO20" s="60"/>
    </row>
    <row r="21" spans="1:41" s="68" customFormat="1" ht="24" customHeight="1">
      <c r="A21" s="156" t="s">
        <v>108</v>
      </c>
      <c r="B21" s="157"/>
      <c r="C21" s="64" t="s">
        <v>27</v>
      </c>
      <c r="D21" s="64">
        <v>7</v>
      </c>
      <c r="E21" s="64">
        <f>COUNTA(E6:E20)</f>
        <v>3</v>
      </c>
      <c r="F21" s="95">
        <f>SUM(F6:F20)</f>
        <v>5803236.6882191235</v>
      </c>
      <c r="G21" s="95">
        <v>7000000</v>
      </c>
      <c r="H21" s="95">
        <f>SUM(H6:H20)</f>
        <v>6963633.4380283337</v>
      </c>
      <c r="I21" s="96">
        <v>8000000</v>
      </c>
      <c r="J21" s="66">
        <f>SUM(J6:J20)</f>
        <v>0.99999999999999989</v>
      </c>
      <c r="K21" s="66">
        <f>SUM(K6:K20)</f>
        <v>0.99999999999999989</v>
      </c>
      <c r="L21" s="95">
        <f>SUM(L6:L20)</f>
        <v>5886750.5229725493</v>
      </c>
      <c r="M21" s="95">
        <f>G21*(1+((L21-F21)/L21))</f>
        <v>7099307.2223789077</v>
      </c>
      <c r="N21" s="95">
        <f>SUM(N6:N20)</f>
        <v>7079914.0269984985</v>
      </c>
      <c r="O21" s="96">
        <f>I21*(1+((N21-H21)/N21))</f>
        <v>8131392.0915160729</v>
      </c>
      <c r="P21" s="66">
        <f>SUM(P6:P20)</f>
        <v>0.99999999999999989</v>
      </c>
      <c r="Q21" s="66">
        <f>SUM(Q6:Q20)</f>
        <v>0.99999999999999967</v>
      </c>
      <c r="R21" s="95">
        <f>SUM(R6:R20)</f>
        <v>5906003.0681016799</v>
      </c>
      <c r="S21" s="95">
        <f>M21*(1+((R21-L21)/R21))</f>
        <v>7122449.7319760704</v>
      </c>
      <c r="T21" s="95">
        <f>SUM(T6:T20)</f>
        <v>7205415.1614702046</v>
      </c>
      <c r="U21" s="96">
        <f>O21*(1+((T21-N21)/T21))</f>
        <v>8273021.5340187727</v>
      </c>
      <c r="V21" s="66">
        <f>SUM(V6:V20)</f>
        <v>1</v>
      </c>
      <c r="W21" s="66">
        <f>SUM(W6:W20)</f>
        <v>0.99999999999999989</v>
      </c>
      <c r="X21" s="95">
        <f>SUM(X6:X20)</f>
        <v>5925334.0777623095</v>
      </c>
      <c r="Y21" s="95">
        <f>S21*(1+((X21-R21)/X21))</f>
        <v>7145686.2521062866</v>
      </c>
      <c r="Z21" s="95">
        <f>SUM(Z6:Z20)</f>
        <v>7341045.4863508781</v>
      </c>
      <c r="AA21" s="96">
        <f>U21*(1+((Z21-T21)/Z21))</f>
        <v>8425870.6888823453</v>
      </c>
      <c r="AB21" s="66">
        <f>SUM(AB6:AB20)</f>
        <v>0.99999999999999989</v>
      </c>
      <c r="AC21" s="66">
        <f>SUM(AC6:AC20)</f>
        <v>0.99999999999999989</v>
      </c>
      <c r="AD21" s="95">
        <f>SUM(AD6:AD20)</f>
        <v>5944743.8730843198</v>
      </c>
      <c r="AE21" s="95">
        <f>Y21*(1+((AD21-X21)/AD21))</f>
        <v>7169017.1660278523</v>
      </c>
      <c r="AF21" s="95">
        <f>SUM(AF6:AF20)</f>
        <v>7487804.3801796325</v>
      </c>
      <c r="AG21" s="96">
        <f>AA21*(1+((AF21-Z21)/AF21))</f>
        <v>8591015.4227802716</v>
      </c>
      <c r="AH21" s="66">
        <f t="shared" ref="AH21:AO21" si="28">SUM(AH6:AH20)</f>
        <v>1</v>
      </c>
      <c r="AI21" s="66">
        <f t="shared" si="28"/>
        <v>1</v>
      </c>
      <c r="AJ21" s="67">
        <f t="shared" si="28"/>
        <v>22</v>
      </c>
      <c r="AK21" s="67">
        <f t="shared" si="28"/>
        <v>0</v>
      </c>
      <c r="AL21" s="67">
        <f t="shared" si="28"/>
        <v>0</v>
      </c>
      <c r="AM21" s="67">
        <f t="shared" si="28"/>
        <v>0</v>
      </c>
      <c r="AN21" s="67">
        <f t="shared" si="28"/>
        <v>0</v>
      </c>
      <c r="AO21" s="67">
        <f t="shared" si="28"/>
        <v>0</v>
      </c>
    </row>
    <row r="22" spans="1:41" s="48" customFormat="1">
      <c r="A22" s="47"/>
      <c r="E22" s="47"/>
      <c r="F22" s="49"/>
      <c r="G22" s="6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</row>
  </sheetData>
  <mergeCells count="17">
    <mergeCell ref="C6:C9"/>
    <mergeCell ref="D6:D20"/>
    <mergeCell ref="C10:C15"/>
    <mergeCell ref="C16:C20"/>
    <mergeCell ref="A21:B21"/>
    <mergeCell ref="AD4:AI4"/>
    <mergeCell ref="AK4:AO4"/>
    <mergeCell ref="A2:AO3"/>
    <mergeCell ref="A4:A5"/>
    <mergeCell ref="B4:B5"/>
    <mergeCell ref="C4:C5"/>
    <mergeCell ref="D4:D5"/>
    <mergeCell ref="E4:E5"/>
    <mergeCell ref="F4:K4"/>
    <mergeCell ref="L4:Q4"/>
    <mergeCell ref="R4:W4"/>
    <mergeCell ref="X4:AC4"/>
  </mergeCells>
  <pageMargins left="0.7" right="0.7" top="0.75" bottom="0.75" header="0.3" footer="0.3"/>
  <pageSetup scale="1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4"/>
  <sheetViews>
    <sheetView zoomScale="60" zoomScaleNormal="60" zoomScaleSheetLayoutView="70" workbookViewId="0">
      <pane xSplit="2" ySplit="5" topLeftCell="J6" activePane="bottomRight" state="frozen"/>
      <selection activeCell="G23" sqref="G23"/>
      <selection pane="topRight" activeCell="G23" sqref="G23"/>
      <selection pane="bottomLeft" activeCell="G23" sqref="G23"/>
      <selection pane="bottomRight" activeCell="A2" sqref="A2:AO3"/>
    </sheetView>
  </sheetViews>
  <sheetFormatPr baseColWidth="10" defaultColWidth="11.42578125" defaultRowHeight="15"/>
  <cols>
    <col min="1" max="1" width="8.5703125" style="71" customWidth="1"/>
    <col min="2" max="2" width="72.28515625" style="75" customWidth="1"/>
    <col min="3" max="3" width="34.42578125" style="72" customWidth="1"/>
    <col min="4" max="4" width="28.85546875" style="71" customWidth="1"/>
    <col min="5" max="5" width="17.5703125" style="71" customWidth="1"/>
    <col min="6" max="35" width="28.85546875" style="73" customWidth="1"/>
    <col min="36" max="36" width="19.28515625" style="73" customWidth="1"/>
    <col min="37" max="37" width="9.5703125" style="74" customWidth="1"/>
    <col min="38" max="38" width="10.28515625" style="74" customWidth="1"/>
    <col min="39" max="39" width="11.42578125" style="74" customWidth="1"/>
    <col min="40" max="40" width="11" style="74" customWidth="1"/>
    <col min="41" max="41" width="10.28515625" style="74" customWidth="1"/>
    <col min="42" max="16384" width="11.42578125" style="75"/>
  </cols>
  <sheetData>
    <row r="1" spans="1:51" s="48" customFormat="1" ht="31.5" customHeight="1">
      <c r="A1" s="47"/>
      <c r="C1" s="47"/>
      <c r="D1" s="47"/>
      <c r="E1" s="47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</row>
    <row r="2" spans="1:51" s="48" customFormat="1" ht="35.25" customHeight="1">
      <c r="A2" s="165" t="s">
        <v>131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</row>
    <row r="3" spans="1:51" s="48" customFormat="1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</row>
    <row r="4" spans="1:51" s="48" customFormat="1" ht="47.45" customHeight="1">
      <c r="A4" s="142" t="s">
        <v>1</v>
      </c>
      <c r="B4" s="142" t="s">
        <v>2</v>
      </c>
      <c r="C4" s="142" t="s">
        <v>3</v>
      </c>
      <c r="D4" s="143" t="s">
        <v>4</v>
      </c>
      <c r="E4" s="143" t="s">
        <v>5</v>
      </c>
      <c r="F4" s="144" t="s">
        <v>124</v>
      </c>
      <c r="G4" s="145"/>
      <c r="H4" s="145"/>
      <c r="I4" s="145"/>
      <c r="J4" s="145"/>
      <c r="K4" s="164"/>
      <c r="L4" s="144" t="s">
        <v>125</v>
      </c>
      <c r="M4" s="145"/>
      <c r="N4" s="145"/>
      <c r="O4" s="145"/>
      <c r="P4" s="145"/>
      <c r="Q4" s="164"/>
      <c r="R4" s="144" t="s">
        <v>126</v>
      </c>
      <c r="S4" s="145"/>
      <c r="T4" s="145"/>
      <c r="U4" s="145"/>
      <c r="V4" s="145"/>
      <c r="W4" s="164"/>
      <c r="X4" s="144" t="s">
        <v>127</v>
      </c>
      <c r="Y4" s="145"/>
      <c r="Z4" s="145"/>
      <c r="AA4" s="145"/>
      <c r="AB4" s="145"/>
      <c r="AC4" s="164"/>
      <c r="AD4" s="144" t="s">
        <v>128</v>
      </c>
      <c r="AE4" s="145"/>
      <c r="AF4" s="145"/>
      <c r="AG4" s="145"/>
      <c r="AH4" s="145"/>
      <c r="AI4" s="164"/>
      <c r="AJ4" s="52" t="s">
        <v>11</v>
      </c>
      <c r="AK4" s="147" t="s">
        <v>12</v>
      </c>
      <c r="AL4" s="148"/>
      <c r="AM4" s="148"/>
      <c r="AN4" s="148"/>
      <c r="AO4" s="149"/>
    </row>
    <row r="5" spans="1:51" s="48" customFormat="1" ht="43.15" customHeight="1">
      <c r="A5" s="142"/>
      <c r="B5" s="142"/>
      <c r="C5" s="142"/>
      <c r="D5" s="143"/>
      <c r="E5" s="143"/>
      <c r="F5" s="52" t="s">
        <v>13</v>
      </c>
      <c r="G5" s="52" t="s">
        <v>14</v>
      </c>
      <c r="H5" s="52" t="s">
        <v>15</v>
      </c>
      <c r="I5" s="52" t="s">
        <v>16</v>
      </c>
      <c r="J5" s="53" t="s">
        <v>17</v>
      </c>
      <c r="K5" s="53" t="s">
        <v>18</v>
      </c>
      <c r="L5" s="52" t="s">
        <v>13</v>
      </c>
      <c r="M5" s="52" t="s">
        <v>14</v>
      </c>
      <c r="N5" s="52" t="s">
        <v>15</v>
      </c>
      <c r="O5" s="52" t="s">
        <v>16</v>
      </c>
      <c r="P5" s="53" t="s">
        <v>17</v>
      </c>
      <c r="Q5" s="53" t="s">
        <v>18</v>
      </c>
      <c r="R5" s="52" t="s">
        <v>13</v>
      </c>
      <c r="S5" s="52" t="s">
        <v>14</v>
      </c>
      <c r="T5" s="52" t="s">
        <v>15</v>
      </c>
      <c r="U5" s="52" t="s">
        <v>16</v>
      </c>
      <c r="V5" s="53" t="s">
        <v>17</v>
      </c>
      <c r="W5" s="53" t="s">
        <v>18</v>
      </c>
      <c r="X5" s="52" t="s">
        <v>13</v>
      </c>
      <c r="Y5" s="52" t="s">
        <v>14</v>
      </c>
      <c r="Z5" s="52" t="s">
        <v>15</v>
      </c>
      <c r="AA5" s="52" t="s">
        <v>16</v>
      </c>
      <c r="AB5" s="53" t="s">
        <v>17</v>
      </c>
      <c r="AC5" s="53" t="s">
        <v>18</v>
      </c>
      <c r="AD5" s="52" t="s">
        <v>13</v>
      </c>
      <c r="AE5" s="52" t="s">
        <v>14</v>
      </c>
      <c r="AF5" s="52" t="s">
        <v>15</v>
      </c>
      <c r="AG5" s="52" t="s">
        <v>16</v>
      </c>
      <c r="AH5" s="53" t="s">
        <v>17</v>
      </c>
      <c r="AI5" s="53" t="s">
        <v>18</v>
      </c>
      <c r="AJ5" s="52">
        <v>2018</v>
      </c>
      <c r="AK5" s="52">
        <v>2019</v>
      </c>
      <c r="AL5" s="52">
        <v>2020</v>
      </c>
      <c r="AM5" s="52">
        <v>2021</v>
      </c>
      <c r="AN5" s="52">
        <v>2022</v>
      </c>
      <c r="AO5" s="52">
        <v>2023</v>
      </c>
    </row>
    <row r="6" spans="1:51" s="48" customFormat="1" ht="24" customHeight="1">
      <c r="A6" s="54">
        <v>1</v>
      </c>
      <c r="B6" s="63" t="s">
        <v>77</v>
      </c>
      <c r="C6" s="214" t="s">
        <v>78</v>
      </c>
      <c r="D6" s="214" t="s">
        <v>79</v>
      </c>
      <c r="E6" s="56" t="s">
        <v>22</v>
      </c>
      <c r="F6" s="92">
        <v>6426.1191023999991</v>
      </c>
      <c r="G6" s="92">
        <f>J6*G$21</f>
        <v>6460.7178265020557</v>
      </c>
      <c r="H6" s="92">
        <v>13084.286399999999</v>
      </c>
      <c r="I6" s="92">
        <f>K6*I$21</f>
        <v>13217.257583425249</v>
      </c>
      <c r="J6" s="58">
        <f>F6/F$21</f>
        <v>6.1530645966686249E-3</v>
      </c>
      <c r="K6" s="58">
        <f>H6/H$21</f>
        <v>1.8485674941853495E-2</v>
      </c>
      <c r="L6" s="92">
        <f>(F6)*1.01</f>
        <v>6490.3802934239993</v>
      </c>
      <c r="M6" s="92">
        <f>P6*M$21</f>
        <v>6523.6039489529967</v>
      </c>
      <c r="N6" s="92">
        <f>(H6)*1.01</f>
        <v>13215.129263999999</v>
      </c>
      <c r="O6" s="92">
        <f>Q6*O$21</f>
        <v>13341.380771070955</v>
      </c>
      <c r="P6" s="58">
        <f>L6/L$21</f>
        <v>6.1136678039455643E-3</v>
      </c>
      <c r="Q6" s="58">
        <f>N6/N$21</f>
        <v>1.8212066087907996E-2</v>
      </c>
      <c r="R6" s="92">
        <f>(L6)*1.01</f>
        <v>6555.2840963582394</v>
      </c>
      <c r="S6" s="92">
        <f>V6*S$21</f>
        <v>6586.9804752892705</v>
      </c>
      <c r="T6" s="92">
        <f>(N6)*1.01</f>
        <v>13347.28055664</v>
      </c>
      <c r="U6" s="92">
        <f>W6*U$21</f>
        <v>13466.128535585685</v>
      </c>
      <c r="V6" s="58">
        <f>R6/R$21</f>
        <v>6.0710711428955955E-3</v>
      </c>
      <c r="W6" s="58">
        <f>T6/T$21</f>
        <v>1.7927710066569121E-2</v>
      </c>
      <c r="X6" s="92">
        <f>(R6)*1.01</f>
        <v>6620.836937321822</v>
      </c>
      <c r="Y6" s="92">
        <f>AB6*Y$21</f>
        <v>6650.8369998022226</v>
      </c>
      <c r="Z6" s="92">
        <f>(T6)*1.01</f>
        <v>13480.7533622064</v>
      </c>
      <c r="AA6" s="92">
        <f>AC6*AA$21</f>
        <v>13591.447806348953</v>
      </c>
      <c r="AB6" s="58">
        <f>X6/X$21</f>
        <v>6.0251136617153001E-3</v>
      </c>
      <c r="AC6" s="58">
        <f>Z6/Z$21</f>
        <v>1.7632434520646958E-2</v>
      </c>
      <c r="AD6" s="92">
        <f>(X6)*1.01</f>
        <v>6687.0453066950404</v>
      </c>
      <c r="AE6" s="93">
        <f>AH6*AE$21</f>
        <v>6715.1612412621453</v>
      </c>
      <c r="AF6" s="92">
        <f>(Z6)*1.01</f>
        <v>13615.560895828465</v>
      </c>
      <c r="AG6" s="93">
        <f>AI6*AG$21</f>
        <v>13717.279752031924</v>
      </c>
      <c r="AH6" s="58">
        <f>AD6/AD$21</f>
        <v>5.975634420231273E-3</v>
      </c>
      <c r="AI6" s="58">
        <f>AF6/AF$21</f>
        <v>1.7326117080859002E-2</v>
      </c>
      <c r="AJ6" s="59">
        <v>2</v>
      </c>
      <c r="AK6" s="60">
        <v>0</v>
      </c>
      <c r="AL6" s="60">
        <v>0</v>
      </c>
      <c r="AM6" s="60">
        <v>0</v>
      </c>
      <c r="AN6" s="60">
        <v>0</v>
      </c>
      <c r="AO6" s="60">
        <v>0</v>
      </c>
      <c r="AQ6" s="76"/>
      <c r="AR6" s="76"/>
      <c r="AS6" s="76"/>
      <c r="AT6" s="76"/>
      <c r="AU6" s="76"/>
      <c r="AV6" s="76"/>
      <c r="AW6" s="76"/>
      <c r="AX6" s="76"/>
      <c r="AY6" s="76"/>
    </row>
    <row r="7" spans="1:51" s="48" customFormat="1" ht="24" customHeight="1">
      <c r="A7" s="54">
        <v>2</v>
      </c>
      <c r="B7" s="63" t="s">
        <v>80</v>
      </c>
      <c r="C7" s="214"/>
      <c r="D7" s="214"/>
      <c r="E7" s="56"/>
      <c r="F7" s="92">
        <v>98871.621409730098</v>
      </c>
      <c r="G7" s="92">
        <f t="shared" ref="G7:G20" si="0">J7*G$21</f>
        <v>99403.953894728809</v>
      </c>
      <c r="H7" s="92">
        <v>115172.6866718823</v>
      </c>
      <c r="I7" s="92">
        <f t="shared" ref="I7:I20" si="1">K7*I$21</f>
        <v>116343.1477865997</v>
      </c>
      <c r="J7" s="58">
        <f t="shared" ref="J7:J20" si="2">F7/F$21</f>
        <v>9.4670432280694106E-2</v>
      </c>
      <c r="K7" s="58">
        <f t="shared" ref="K7:K20" si="3">H7/H$21</f>
        <v>0.16271768921202756</v>
      </c>
      <c r="L7" s="92">
        <f>(F7)*1.01</f>
        <v>99860.337623827407</v>
      </c>
      <c r="M7" s="92">
        <f>P7*M$21</f>
        <v>100371.51344222821</v>
      </c>
      <c r="N7" s="92">
        <f>(H7)*1.01</f>
        <v>116324.41353860112</v>
      </c>
      <c r="O7" s="92">
        <f>Q7*O$21</f>
        <v>117435.72559806019</v>
      </c>
      <c r="P7" s="58">
        <f>L7/L$21</f>
        <v>9.4064277195050394E-2</v>
      </c>
      <c r="Q7" s="58">
        <f>N7/N$21</f>
        <v>0.16030928375201578</v>
      </c>
      <c r="R7" s="92">
        <f>(L7)*1.01</f>
        <v>100858.94100006568</v>
      </c>
      <c r="S7" s="92">
        <f>V7*S$21</f>
        <v>101346.61829452444</v>
      </c>
      <c r="T7" s="92">
        <f>(N7)*1.01</f>
        <v>117487.65767398714</v>
      </c>
      <c r="U7" s="92">
        <f>W7*U$21</f>
        <v>118533.80116414324</v>
      </c>
      <c r="V7" s="58">
        <f>R7/R$21</f>
        <v>9.3408889257550407E-2</v>
      </c>
      <c r="W7" s="58">
        <f>T7/T$21</f>
        <v>0.15780627778380912</v>
      </c>
      <c r="X7" s="92">
        <f>(R7)*1.01</f>
        <v>101867.53041006633</v>
      </c>
      <c r="Y7" s="92">
        <f>AB7*Y$21</f>
        <v>102329.10835043201</v>
      </c>
      <c r="Z7" s="92">
        <f>(T7)*1.01</f>
        <v>118662.53425072701</v>
      </c>
      <c r="AA7" s="92">
        <f>AC7*AA$21</f>
        <v>119636.90733778724</v>
      </c>
      <c r="AB7" s="58">
        <f>X7/X$21</f>
        <v>9.2701792079954368E-2</v>
      </c>
      <c r="AC7" s="58">
        <f>Z7/Z$21</f>
        <v>0.15520715415622155</v>
      </c>
      <c r="AD7" s="92">
        <f>(X7)*1.01</f>
        <v>102886.20571416699</v>
      </c>
      <c r="AE7" s="93">
        <f>AH7*AE$21</f>
        <v>103318.79465218734</v>
      </c>
      <c r="AF7" s="92">
        <f>(Z7)*1.01</f>
        <v>119849.15959323428</v>
      </c>
      <c r="AG7" s="93">
        <f>AI7*AG$21</f>
        <v>120744.52626406343</v>
      </c>
      <c r="AH7" s="58">
        <f>AD7/AD$21</f>
        <v>9.1940509452960686E-2</v>
      </c>
      <c r="AI7" s="58">
        <f>AF7/AF$21</f>
        <v>0.15251083572995786</v>
      </c>
      <c r="AJ7" s="59"/>
      <c r="AK7" s="60"/>
      <c r="AL7" s="60"/>
      <c r="AM7" s="60"/>
      <c r="AN7" s="60"/>
      <c r="AO7" s="60"/>
    </row>
    <row r="8" spans="1:51" s="48" customFormat="1" ht="24" customHeight="1">
      <c r="A8" s="54">
        <v>3</v>
      </c>
      <c r="B8" s="63" t="s">
        <v>81</v>
      </c>
      <c r="C8" s="214"/>
      <c r="D8" s="214"/>
      <c r="E8" s="56"/>
      <c r="F8" s="92">
        <v>931.8</v>
      </c>
      <c r="G8" s="92">
        <f t="shared" si="0"/>
        <v>936.81688353492484</v>
      </c>
      <c r="H8" s="92">
        <v>1397.7</v>
      </c>
      <c r="I8" s="92">
        <f t="shared" si="1"/>
        <v>1411.9043530225288</v>
      </c>
      <c r="J8" s="58">
        <f t="shared" si="2"/>
        <v>8.9220655574754747E-4</v>
      </c>
      <c r="K8" s="58">
        <f t="shared" si="3"/>
        <v>1.9746914028287116E-3</v>
      </c>
      <c r="L8" s="92">
        <f>F8*1.1</f>
        <v>1024.98</v>
      </c>
      <c r="M8" s="92">
        <f>P8*M$21</f>
        <v>1030.2267776778219</v>
      </c>
      <c r="N8" s="92">
        <f>(H8)*1.1</f>
        <v>1537.4700000000003</v>
      </c>
      <c r="O8" s="92">
        <f>Q8*O$21</f>
        <v>1552.1583091870443</v>
      </c>
      <c r="P8" s="58">
        <f>L8/L$21</f>
        <v>9.6548845250827252E-4</v>
      </c>
      <c r="Q8" s="58">
        <f>N8/N$21</f>
        <v>2.118821896389126E-3</v>
      </c>
      <c r="R8" s="92">
        <f>L8*1.1</f>
        <v>1127.4780000000001</v>
      </c>
      <c r="S8" s="92">
        <f>V8*S$21</f>
        <v>1132.9296279384832</v>
      </c>
      <c r="T8" s="92">
        <f>(N8)*1.1</f>
        <v>1691.2170000000003</v>
      </c>
      <c r="U8" s="92">
        <f>W8*U$21</f>
        <v>1706.2760767576692</v>
      </c>
      <c r="V8" s="58">
        <f>R8/R$21</f>
        <v>1.0441956518486134E-3</v>
      </c>
      <c r="W8" s="58">
        <f>T8/T$21</f>
        <v>2.2715974169411931E-3</v>
      </c>
      <c r="X8" s="92">
        <f>R8*1.1</f>
        <v>1240.2258000000002</v>
      </c>
      <c r="Y8" s="92">
        <f>AB8*Y$21</f>
        <v>1245.84545984694</v>
      </c>
      <c r="Z8" s="92">
        <f>(T8)*1.1</f>
        <v>1860.3387000000005</v>
      </c>
      <c r="AA8" s="92">
        <f>AC8*AA$21</f>
        <v>1875.6144900675426</v>
      </c>
      <c r="AB8" s="58">
        <f>X8/X$21</f>
        <v>1.1286339600163104E-3</v>
      </c>
      <c r="AC8" s="58">
        <f>Z8/Z$21</f>
        <v>2.4332690787102068E-3</v>
      </c>
      <c r="AD8" s="92">
        <f>X8*1.1</f>
        <v>1364.2483800000002</v>
      </c>
      <c r="AE8" s="93">
        <f>AH8*AE$21</f>
        <v>1369.9844138424739</v>
      </c>
      <c r="AF8" s="92">
        <f>(Z8)*1.1</f>
        <v>2046.3725700000007</v>
      </c>
      <c r="AG8" s="93">
        <f>AI8*AG$21</f>
        <v>2061.6605686934886</v>
      </c>
      <c r="AH8" s="58">
        <f>AD8/AD$21</f>
        <v>1.2191108633750032E-3</v>
      </c>
      <c r="AI8" s="58">
        <f>AF8/AF$21</f>
        <v>2.6040565651424068E-3</v>
      </c>
      <c r="AJ8" s="59"/>
      <c r="AK8" s="60"/>
      <c r="AL8" s="60"/>
      <c r="AM8" s="60"/>
      <c r="AN8" s="60"/>
      <c r="AO8" s="60"/>
    </row>
    <row r="9" spans="1:51" s="48" customFormat="1" ht="24" customHeight="1">
      <c r="A9" s="54">
        <v>4</v>
      </c>
      <c r="B9" s="63" t="s">
        <v>82</v>
      </c>
      <c r="C9" s="214" t="s">
        <v>83</v>
      </c>
      <c r="D9" s="214"/>
      <c r="E9" s="56" t="s">
        <v>22</v>
      </c>
      <c r="F9" s="92">
        <v>44651.636337600001</v>
      </c>
      <c r="G9" s="92">
        <f t="shared" si="0"/>
        <v>44892.044213914181</v>
      </c>
      <c r="H9" s="92">
        <v>58190.542560000002</v>
      </c>
      <c r="I9" s="92">
        <f t="shared" si="1"/>
        <v>58781.913390002672</v>
      </c>
      <c r="J9" s="58">
        <f t="shared" si="2"/>
        <v>4.2754327822775412E-2</v>
      </c>
      <c r="K9" s="58">
        <f t="shared" si="3"/>
        <v>8.221246627972402E-2</v>
      </c>
      <c r="L9" s="92">
        <f>F9*1.02</f>
        <v>45544.669064352005</v>
      </c>
      <c r="M9" s="92">
        <f>P9*M$21</f>
        <v>45777.808006566127</v>
      </c>
      <c r="N9" s="92">
        <f>(H9)*1.02</f>
        <v>59354.353411200005</v>
      </c>
      <c r="O9" s="92">
        <f>Q9*O$21</f>
        <v>59921.398683303378</v>
      </c>
      <c r="P9" s="58">
        <f>L9/L$21</f>
        <v>4.290118056444283E-2</v>
      </c>
      <c r="Q9" s="58">
        <f>N9/N$21</f>
        <v>8.1797565906111439E-2</v>
      </c>
      <c r="R9" s="92">
        <f>L9*1.02</f>
        <v>46455.562445639043</v>
      </c>
      <c r="S9" s="92">
        <f>V9*S$21</f>
        <v>46680.186289409467</v>
      </c>
      <c r="T9" s="92">
        <f>(N9)*1.02</f>
        <v>60541.440479424004</v>
      </c>
      <c r="U9" s="92">
        <f>W9*U$21</f>
        <v>61080.518669389865</v>
      </c>
      <c r="V9" s="58">
        <f>R9/R$21</f>
        <v>4.3024073471870865E-2</v>
      </c>
      <c r="W9" s="58">
        <f>T9/T$21</f>
        <v>8.1317642745406732E-2</v>
      </c>
      <c r="X9" s="92">
        <f>R9*1.02</f>
        <v>47384.673694551828</v>
      </c>
      <c r="Y9" s="92">
        <f>AB9*Y$21</f>
        <v>47599.38116807933</v>
      </c>
      <c r="Z9" s="92">
        <f>(T9)*1.02</f>
        <v>61752.269289012482</v>
      </c>
      <c r="AA9" s="92">
        <f>AC9*AA$21</f>
        <v>62259.335395766742</v>
      </c>
      <c r="AB9" s="58">
        <f>X9/X$21</f>
        <v>4.3121141259892123E-2</v>
      </c>
      <c r="AC9" s="58">
        <f>Z9/Z$21</f>
        <v>8.0770177710725449E-2</v>
      </c>
      <c r="AD9" s="92">
        <f>X9*1.02</f>
        <v>48332.367168442863</v>
      </c>
      <c r="AE9" s="93">
        <f>AH9*AE$21</f>
        <v>48535.582431755145</v>
      </c>
      <c r="AF9" s="92">
        <f>(Z9)*1.02</f>
        <v>62987.314674792731</v>
      </c>
      <c r="AG9" s="93">
        <f>AI9*AG$21</f>
        <v>63457.879027819887</v>
      </c>
      <c r="AH9" s="58">
        <f>AD9/AD$21</f>
        <v>4.3190459106631322E-2</v>
      </c>
      <c r="AI9" s="58">
        <f>AF9/AF$21</f>
        <v>8.0152819043887324E-2</v>
      </c>
      <c r="AJ9" s="59">
        <v>4</v>
      </c>
      <c r="AK9" s="60">
        <v>0</v>
      </c>
      <c r="AL9" s="60">
        <v>0</v>
      </c>
      <c r="AM9" s="60">
        <v>0</v>
      </c>
      <c r="AN9" s="60">
        <v>0</v>
      </c>
      <c r="AO9" s="60">
        <v>0</v>
      </c>
    </row>
    <row r="10" spans="1:51" s="48" customFormat="1" ht="24" customHeight="1">
      <c r="A10" s="54">
        <v>5</v>
      </c>
      <c r="B10" s="63" t="s">
        <v>84</v>
      </c>
      <c r="C10" s="214"/>
      <c r="D10" s="214"/>
      <c r="E10" s="56"/>
      <c r="F10" s="92">
        <v>211953.60814184544</v>
      </c>
      <c r="G10" s="92">
        <f t="shared" si="0"/>
        <v>213094.78282187844</v>
      </c>
      <c r="H10" s="92">
        <v>246898.61611891535</v>
      </c>
      <c r="I10" s="92">
        <f t="shared" si="1"/>
        <v>249407.76336376541</v>
      </c>
      <c r="J10" s="58">
        <f t="shared" si="2"/>
        <v>0.20294741221131279</v>
      </c>
      <c r="K10" s="58">
        <f t="shared" si="3"/>
        <v>0.34882204666260896</v>
      </c>
      <c r="L10" s="92">
        <f>F10*1.02</f>
        <v>216192.68030468235</v>
      </c>
      <c r="M10" s="92">
        <f>P10*M$21</f>
        <v>217299.35060959667</v>
      </c>
      <c r="N10" s="92">
        <f>(H10)*1.02</f>
        <v>251836.58844129366</v>
      </c>
      <c r="O10" s="92">
        <f>Q10*O$21</f>
        <v>254242.52395589623</v>
      </c>
      <c r="P10" s="58">
        <f>L10/L$21</f>
        <v>0.20364449682040961</v>
      </c>
      <c r="Q10" s="58">
        <f>N10/N$21</f>
        <v>0.34706165187050775</v>
      </c>
      <c r="R10" s="92">
        <f>L10*1.02</f>
        <v>220516.53391077599</v>
      </c>
      <c r="S10" s="92">
        <f>V10*S$21</f>
        <v>221582.78451359525</v>
      </c>
      <c r="T10" s="92">
        <f>(N10)*1.02</f>
        <v>256873.32021011953</v>
      </c>
      <c r="U10" s="92">
        <f>W10*U$21</f>
        <v>259160.59324843541</v>
      </c>
      <c r="V10" s="58">
        <f>R10/R$21</f>
        <v>0.2042278482332778</v>
      </c>
      <c r="W10" s="58">
        <f>T10/T$21</f>
        <v>0.34502536970147263</v>
      </c>
      <c r="X10" s="92">
        <f>R10*1.02</f>
        <v>224926.86458899151</v>
      </c>
      <c r="Y10" s="92">
        <f>AB10*Y$21</f>
        <v>225946.04389442838</v>
      </c>
      <c r="Z10" s="92">
        <f>(T10)*1.02</f>
        <v>262010.78661432193</v>
      </c>
      <c r="AA10" s="92">
        <f>AC10*AA$21</f>
        <v>264162.23450483347</v>
      </c>
      <c r="AB10" s="58">
        <f>X10/X$21</f>
        <v>0.20468861226328777</v>
      </c>
      <c r="AC10" s="58">
        <f>Z10/Z$21</f>
        <v>0.34270251183677874</v>
      </c>
      <c r="AD10" s="92">
        <f>X10*1.02</f>
        <v>229425.40188077133</v>
      </c>
      <c r="AE10" s="93">
        <f>AH10*AE$21</f>
        <v>230390.02964856185</v>
      </c>
      <c r="AF10" s="92">
        <f>(Z10)*1.02</f>
        <v>267251.00234660838</v>
      </c>
      <c r="AG10" s="93">
        <f>AI10*AG$21</f>
        <v>269247.57571482367</v>
      </c>
      <c r="AH10" s="58">
        <f>AD10/AD$21</f>
        <v>0.20501765211333745</v>
      </c>
      <c r="AI10" s="58">
        <f>AF10/AF$21</f>
        <v>0.34008309992230501</v>
      </c>
      <c r="AJ10" s="59"/>
      <c r="AK10" s="60"/>
      <c r="AL10" s="60"/>
      <c r="AM10" s="60"/>
      <c r="AN10" s="60"/>
      <c r="AO10" s="60"/>
    </row>
    <row r="11" spans="1:51" s="48" customFormat="1" ht="37.5" customHeight="1">
      <c r="A11" s="54">
        <v>6</v>
      </c>
      <c r="B11" s="63" t="s">
        <v>85</v>
      </c>
      <c r="C11" s="214"/>
      <c r="D11" s="214"/>
      <c r="E11" s="56" t="s">
        <v>22</v>
      </c>
      <c r="F11" s="92">
        <v>27375</v>
      </c>
      <c r="G11" s="92">
        <f t="shared" si="0"/>
        <v>27522.389125100417</v>
      </c>
      <c r="H11" s="92">
        <v>22995.000000000004</v>
      </c>
      <c r="I11" s="92">
        <f t="shared" si="1"/>
        <v>23228.690418368074</v>
      </c>
      <c r="J11" s="58">
        <f t="shared" si="2"/>
        <v>2.6211799166762303E-2</v>
      </c>
      <c r="K11" s="58">
        <f t="shared" si="3"/>
        <v>3.2487678906808495E-2</v>
      </c>
      <c r="L11" s="92">
        <f t="shared" ref="L11" si="4">F11*1.02</f>
        <v>27922.5</v>
      </c>
      <c r="M11" s="92">
        <f t="shared" ref="M11:M20" si="5">P11*M$21</f>
        <v>28065.432691085662</v>
      </c>
      <c r="N11" s="92">
        <f t="shared" ref="N11" si="6">(H11)*1.02</f>
        <v>23454.900000000005</v>
      </c>
      <c r="O11" s="92">
        <f t="shared" ref="O11:O20" si="7">Q11*O$21</f>
        <v>23678.977753160194</v>
      </c>
      <c r="P11" s="58">
        <f t="shared" ref="P11:P20" si="8">L11/L$21</f>
        <v>2.6301831562725361E-2</v>
      </c>
      <c r="Q11" s="58">
        <f t="shared" ref="Q11:Q20" si="9">N11/N$21</f>
        <v>3.232372384346837E-2</v>
      </c>
      <c r="R11" s="92">
        <f t="shared" ref="R11" si="10">L11*1.02</f>
        <v>28480.95</v>
      </c>
      <c r="S11" s="92">
        <f t="shared" ref="S11:S20" si="11">V11*S$21</f>
        <v>28618.662259338576</v>
      </c>
      <c r="T11" s="92">
        <f t="shared" ref="T11" si="12">(N11)*1.02</f>
        <v>23923.998000000007</v>
      </c>
      <c r="U11" s="92">
        <f t="shared" ref="U11:U20" si="13">W11*U$21</f>
        <v>24137.024076625486</v>
      </c>
      <c r="V11" s="58">
        <f t="shared" ref="V11:V20" si="14">R11/R$21</f>
        <v>2.6377174677038279E-2</v>
      </c>
      <c r="W11" s="58">
        <f t="shared" ref="W11:W20" si="15">T11/T$21</f>
        <v>3.2134073900455279E-2</v>
      </c>
      <c r="X11" s="92">
        <f t="shared" ref="X11" si="16">R11*1.02</f>
        <v>29050.569</v>
      </c>
      <c r="Y11" s="92">
        <f t="shared" ref="Y11:Y20" si="17">AB11*Y$21</f>
        <v>29182.201736667837</v>
      </c>
      <c r="Z11" s="92">
        <f t="shared" ref="Z11" si="18">(T11)*1.02</f>
        <v>24402.477960000007</v>
      </c>
      <c r="AA11" s="92">
        <f t="shared" ref="AA11:AA20" si="19">AC11*AA$21</f>
        <v>24602.853907909266</v>
      </c>
      <c r="AB11" s="58">
        <f t="shared" ref="AB11:AB20" si="20">X11/X$21</f>
        <v>2.6436684941723566E-2</v>
      </c>
      <c r="AC11" s="58">
        <f t="shared" ref="AC11:AC20" si="21">Z11/Z$21</f>
        <v>3.1917733616988846E-2</v>
      </c>
      <c r="AD11" s="92">
        <f t="shared" ref="AD11" si="22">X11*1.02</f>
        <v>29631.580379999999</v>
      </c>
      <c r="AE11" s="93">
        <f t="shared" ref="AE11:AE20" si="23">AH11*AE$21</f>
        <v>29756.167478916446</v>
      </c>
      <c r="AF11" s="92">
        <f t="shared" ref="AF11" si="24">(Z11)*1.02</f>
        <v>24890.527519200008</v>
      </c>
      <c r="AG11" s="93">
        <f t="shared" ref="AG11:AG20" si="25">AI11*AG$21</f>
        <v>25076.479167385834</v>
      </c>
      <c r="AH11" s="58">
        <f t="shared" ref="AH11:AH20" si="26">AD11/AD$21</f>
        <v>2.64791822880725E-2</v>
      </c>
      <c r="AI11" s="58">
        <f t="shared" ref="AI11:AI20" si="27">AF11/AF$21</f>
        <v>3.1673773655122105E-2</v>
      </c>
      <c r="AJ11" s="59">
        <v>1</v>
      </c>
      <c r="AK11" s="60"/>
      <c r="AL11" s="60"/>
      <c r="AM11" s="60"/>
      <c r="AN11" s="60"/>
      <c r="AO11" s="60"/>
    </row>
    <row r="12" spans="1:51" s="48" customFormat="1" ht="24" customHeight="1">
      <c r="A12" s="54">
        <v>7</v>
      </c>
      <c r="B12" s="63" t="s">
        <v>86</v>
      </c>
      <c r="C12" s="214"/>
      <c r="D12" s="214"/>
      <c r="E12" s="56"/>
      <c r="F12" s="92">
        <v>19263.418704000003</v>
      </c>
      <c r="G12" s="92">
        <f t="shared" si="0"/>
        <v>19367.134445706874</v>
      </c>
      <c r="H12" s="92">
        <v>6750.7538399999994</v>
      </c>
      <c r="I12" s="92">
        <f t="shared" si="1"/>
        <v>6819.3594711880596</v>
      </c>
      <c r="J12" s="58">
        <f t="shared" si="2"/>
        <v>1.844488994829226E-2</v>
      </c>
      <c r="K12" s="58">
        <f t="shared" si="3"/>
        <v>9.5375656939693139E-3</v>
      </c>
      <c r="L12" s="92">
        <f>F12*1.1</f>
        <v>21189.760574400007</v>
      </c>
      <c r="M12" s="92">
        <f t="shared" si="5"/>
        <v>21298.228996008384</v>
      </c>
      <c r="N12" s="92">
        <f>(H12)*1.1</f>
        <v>7425.8292240000001</v>
      </c>
      <c r="O12" s="92">
        <f t="shared" si="7"/>
        <v>7496.7723159707693</v>
      </c>
      <c r="P12" s="58">
        <f t="shared" si="8"/>
        <v>1.9959871554565228E-2</v>
      </c>
      <c r="Q12" s="58">
        <f t="shared" si="9"/>
        <v>1.0233701833959342E-2</v>
      </c>
      <c r="R12" s="92">
        <f>L12*1.1</f>
        <v>23308.736631840009</v>
      </c>
      <c r="S12" s="92">
        <f t="shared" si="11"/>
        <v>23421.439992644282</v>
      </c>
      <c r="T12" s="92">
        <f>(N12)*1.1</f>
        <v>8168.4121464000009</v>
      </c>
      <c r="U12" s="92">
        <f t="shared" si="13"/>
        <v>8241.1460093524856</v>
      </c>
      <c r="V12" s="58">
        <f t="shared" si="14"/>
        <v>2.1587012288534081E-2</v>
      </c>
      <c r="W12" s="58">
        <f t="shared" si="15"/>
        <v>1.0971592605959677E-2</v>
      </c>
      <c r="X12" s="92">
        <f>R12*1.1</f>
        <v>25639.610295024013</v>
      </c>
      <c r="Y12" s="92">
        <f t="shared" si="17"/>
        <v>25755.787436691389</v>
      </c>
      <c r="Z12" s="92">
        <f>(T12)*1.1</f>
        <v>8985.2533610400023</v>
      </c>
      <c r="AA12" s="92">
        <f t="shared" si="19"/>
        <v>9059.0339280125245</v>
      </c>
      <c r="AB12" s="58">
        <f t="shared" si="20"/>
        <v>2.3332634186893957E-2</v>
      </c>
      <c r="AC12" s="58">
        <f t="shared" si="21"/>
        <v>1.1752450867035982E-2</v>
      </c>
      <c r="AD12" s="92">
        <f>X12*1.1</f>
        <v>28203.571324526416</v>
      </c>
      <c r="AE12" s="93">
        <f t="shared" si="23"/>
        <v>28322.154305432068</v>
      </c>
      <c r="AF12" s="92">
        <f>(Z12)*1.1</f>
        <v>9883.7786971440037</v>
      </c>
      <c r="AG12" s="93">
        <f t="shared" si="25"/>
        <v>9957.6182305817802</v>
      </c>
      <c r="AH12" s="58">
        <f t="shared" si="26"/>
        <v>2.5203094019948098E-2</v>
      </c>
      <c r="AI12" s="58">
        <f t="shared" si="27"/>
        <v>1.2577337666675478E-2</v>
      </c>
      <c r="AJ12" s="59">
        <v>1</v>
      </c>
      <c r="AK12" s="60"/>
      <c r="AL12" s="60"/>
      <c r="AM12" s="60"/>
      <c r="AN12" s="60"/>
      <c r="AO12" s="60"/>
    </row>
    <row r="13" spans="1:51" s="48" customFormat="1" ht="24" customHeight="1">
      <c r="A13" s="54">
        <v>8</v>
      </c>
      <c r="B13" s="63" t="s">
        <v>87</v>
      </c>
      <c r="C13" s="214"/>
      <c r="D13" s="214"/>
      <c r="E13" s="56"/>
      <c r="F13" s="92">
        <v>696.3148799999999</v>
      </c>
      <c r="G13" s="92">
        <f t="shared" si="0"/>
        <v>700.0638933683141</v>
      </c>
      <c r="H13" s="92">
        <v>2175.9839999999999</v>
      </c>
      <c r="I13" s="92">
        <f t="shared" si="1"/>
        <v>2198.0977904467154</v>
      </c>
      <c r="J13" s="58">
        <f t="shared" si="2"/>
        <v>6.6672751749363246E-4</v>
      </c>
      <c r="K13" s="58">
        <f t="shared" si="3"/>
        <v>3.0742626439814202E-3</v>
      </c>
      <c r="L13" s="92">
        <f>F13*1.02</f>
        <v>710.2411775999999</v>
      </c>
      <c r="M13" s="92">
        <f t="shared" si="5"/>
        <v>713.87683639968532</v>
      </c>
      <c r="N13" s="92">
        <f>(H13)*1.02</f>
        <v>2219.5036799999998</v>
      </c>
      <c r="O13" s="92">
        <f t="shared" si="7"/>
        <v>2240.7078376704726</v>
      </c>
      <c r="P13" s="58">
        <f t="shared" si="8"/>
        <v>6.6901759592253218E-4</v>
      </c>
      <c r="Q13" s="58">
        <f t="shared" si="9"/>
        <v>3.0587478105590631E-3</v>
      </c>
      <c r="R13" s="92">
        <f>L13*1.02</f>
        <v>724.44600115199989</v>
      </c>
      <c r="S13" s="92">
        <f t="shared" si="11"/>
        <v>727.94887221449744</v>
      </c>
      <c r="T13" s="92">
        <f>(N13)*1.02</f>
        <v>2263.8937535999999</v>
      </c>
      <c r="U13" s="92">
        <f t="shared" si="13"/>
        <v>2284.0521069081028</v>
      </c>
      <c r="V13" s="58">
        <f t="shared" si="14"/>
        <v>6.7093403543309383E-4</v>
      </c>
      <c r="W13" s="58">
        <f t="shared" si="15"/>
        <v>3.0408015073802243E-3</v>
      </c>
      <c r="X13" s="92">
        <f>R13*1.02</f>
        <v>738.9349211750399</v>
      </c>
      <c r="Y13" s="92">
        <f t="shared" si="17"/>
        <v>742.28315252616096</v>
      </c>
      <c r="Z13" s="92">
        <f>(T13)*1.02</f>
        <v>2309.1716286719998</v>
      </c>
      <c r="AA13" s="92">
        <f t="shared" si="19"/>
        <v>2328.1329183712992</v>
      </c>
      <c r="AB13" s="58">
        <f t="shared" si="20"/>
        <v>6.7244774804727122E-4</v>
      </c>
      <c r="AC13" s="58">
        <f t="shared" si="21"/>
        <v>3.0203295354133434E-3</v>
      </c>
      <c r="AD13" s="92">
        <f>X13*1.02</f>
        <v>753.71361959854073</v>
      </c>
      <c r="AE13" s="93">
        <f t="shared" si="23"/>
        <v>756.88263698051526</v>
      </c>
      <c r="AF13" s="92">
        <f>(Z13)*1.02</f>
        <v>2355.3550612454396</v>
      </c>
      <c r="AG13" s="93">
        <f t="shared" si="25"/>
        <v>2372.9514000680524</v>
      </c>
      <c r="AH13" s="58">
        <f t="shared" si="26"/>
        <v>6.7352871734857817E-4</v>
      </c>
      <c r="AI13" s="58">
        <f t="shared" si="27"/>
        <v>2.9972439527361245E-3</v>
      </c>
      <c r="AJ13" s="59">
        <v>1</v>
      </c>
      <c r="AK13" s="60"/>
      <c r="AL13" s="60"/>
      <c r="AM13" s="60"/>
      <c r="AN13" s="60"/>
      <c r="AO13" s="60"/>
    </row>
    <row r="14" spans="1:51" s="48" customFormat="1" ht="24" customHeight="1">
      <c r="A14" s="54">
        <v>9</v>
      </c>
      <c r="B14" s="63" t="s">
        <v>88</v>
      </c>
      <c r="C14" s="214"/>
      <c r="D14" s="214"/>
      <c r="E14" s="56"/>
      <c r="F14" s="92">
        <v>737.94240000000002</v>
      </c>
      <c r="G14" s="92">
        <f t="shared" si="0"/>
        <v>741.91553916750695</v>
      </c>
      <c r="H14" s="92">
        <v>368.97120000000001</v>
      </c>
      <c r="I14" s="92">
        <f t="shared" si="1"/>
        <v>372.72092968444309</v>
      </c>
      <c r="J14" s="58">
        <f t="shared" si="2"/>
        <v>7.0658622777857805E-4</v>
      </c>
      <c r="K14" s="58">
        <f t="shared" si="3"/>
        <v>5.2128801354467565E-4</v>
      </c>
      <c r="L14" s="92">
        <f>F14*1.02</f>
        <v>752.70124800000008</v>
      </c>
      <c r="M14" s="92">
        <f t="shared" si="5"/>
        <v>756.554255967058</v>
      </c>
      <c r="N14" s="92">
        <f>(H14)*1.02</f>
        <v>376.35062400000004</v>
      </c>
      <c r="O14" s="92">
        <f t="shared" si="7"/>
        <v>379.94611160499323</v>
      </c>
      <c r="P14" s="58">
        <f t="shared" si="8"/>
        <v>7.0901321307007502E-4</v>
      </c>
      <c r="Q14" s="58">
        <f t="shared" si="9"/>
        <v>5.1865723744262378E-4</v>
      </c>
      <c r="R14" s="92">
        <f>L14*1.02</f>
        <v>767.75527296000007</v>
      </c>
      <c r="S14" s="92">
        <f t="shared" si="11"/>
        <v>771.46755479253818</v>
      </c>
      <c r="T14" s="92">
        <f>(N14)*1.02</f>
        <v>383.87763648000004</v>
      </c>
      <c r="U14" s="92">
        <f t="shared" si="13"/>
        <v>387.2957920409392</v>
      </c>
      <c r="V14" s="58">
        <f t="shared" si="14"/>
        <v>7.1104422233398551E-4</v>
      </c>
      <c r="W14" s="58">
        <f t="shared" si="15"/>
        <v>5.1561416864273374E-4</v>
      </c>
      <c r="X14" s="92">
        <f>R14*1.02</f>
        <v>783.11037841920006</v>
      </c>
      <c r="Y14" s="92">
        <f t="shared" si="17"/>
        <v>786.65877577500771</v>
      </c>
      <c r="Z14" s="92">
        <f>(T14)*1.02</f>
        <v>391.55518920960003</v>
      </c>
      <c r="AA14" s="92">
        <f t="shared" si="19"/>
        <v>394.77036441948121</v>
      </c>
      <c r="AB14" s="58">
        <f t="shared" si="20"/>
        <v>7.1264842863705388E-4</v>
      </c>
      <c r="AC14" s="58">
        <f t="shared" si="21"/>
        <v>5.1214283426574095E-4</v>
      </c>
      <c r="AD14" s="92">
        <f>X14*1.02</f>
        <v>798.77258598758408</v>
      </c>
      <c r="AE14" s="93">
        <f t="shared" si="23"/>
        <v>802.131055495655</v>
      </c>
      <c r="AF14" s="92">
        <f>(Z14)*1.02</f>
        <v>399.38629299379204</v>
      </c>
      <c r="AG14" s="93">
        <f t="shared" si="25"/>
        <v>402.3700200115394</v>
      </c>
      <c r="AH14" s="58">
        <f t="shared" si="26"/>
        <v>7.1379402110311287E-4</v>
      </c>
      <c r="AI14" s="58">
        <f t="shared" si="27"/>
        <v>5.0822832242047335E-4</v>
      </c>
      <c r="AJ14" s="59">
        <v>1</v>
      </c>
      <c r="AK14" s="60"/>
      <c r="AL14" s="60"/>
      <c r="AM14" s="60"/>
      <c r="AN14" s="60"/>
      <c r="AO14" s="60"/>
    </row>
    <row r="15" spans="1:51" s="48" customFormat="1" ht="24" customHeight="1">
      <c r="A15" s="54">
        <v>10</v>
      </c>
      <c r="B15" s="63" t="s">
        <v>89</v>
      </c>
      <c r="C15" s="214"/>
      <c r="D15" s="214"/>
      <c r="E15" s="56"/>
      <c r="F15" s="92">
        <v>2232.7487999999998</v>
      </c>
      <c r="G15" s="92">
        <f t="shared" si="0"/>
        <v>2244.77009286579</v>
      </c>
      <c r="H15" s="92">
        <v>3245.0543999999995</v>
      </c>
      <c r="I15" s="92">
        <f t="shared" si="1"/>
        <v>3278.0327918401013</v>
      </c>
      <c r="J15" s="58">
        <f t="shared" si="2"/>
        <v>2.1378762789197999E-3</v>
      </c>
      <c r="K15" s="58">
        <f t="shared" si="3"/>
        <v>4.5846612473288131E-3</v>
      </c>
      <c r="L15" s="92">
        <f t="shared" ref="L15:L20" si="28">F15*1.1</f>
        <v>2456.0236800000002</v>
      </c>
      <c r="M15" s="92">
        <f t="shared" si="5"/>
        <v>2468.5958377205666</v>
      </c>
      <c r="N15" s="92">
        <f t="shared" ref="N15:N20" si="29">(H15)*1.1</f>
        <v>3569.5598399999999</v>
      </c>
      <c r="O15" s="92">
        <f t="shared" si="7"/>
        <v>3603.6618378221197</v>
      </c>
      <c r="P15" s="58">
        <f t="shared" si="8"/>
        <v>2.3134719722598227E-3</v>
      </c>
      <c r="Q15" s="58">
        <f t="shared" si="9"/>
        <v>4.9192904898718434E-3</v>
      </c>
      <c r="R15" s="92">
        <f t="shared" ref="R15:R20" si="30">L15*1.1</f>
        <v>2701.6260480000005</v>
      </c>
      <c r="S15" s="92">
        <f t="shared" si="11"/>
        <v>2714.6890612407119</v>
      </c>
      <c r="T15" s="92">
        <f t="shared" ref="T15:T20" si="31">(N15)*1.1</f>
        <v>3926.5158240000001</v>
      </c>
      <c r="U15" s="92">
        <f t="shared" si="13"/>
        <v>3961.4786366868507</v>
      </c>
      <c r="V15" s="58">
        <f t="shared" si="14"/>
        <v>2.5020675988733738E-3</v>
      </c>
      <c r="W15" s="58">
        <f t="shared" si="15"/>
        <v>5.2739909800913302E-3</v>
      </c>
      <c r="X15" s="92">
        <f t="shared" ref="X15:X20" si="32">R15*1.1</f>
        <v>2971.7886528000008</v>
      </c>
      <c r="Y15" s="92">
        <f t="shared" si="17"/>
        <v>2985.2542986249241</v>
      </c>
      <c r="Z15" s="92">
        <f t="shared" ref="Z15:Z20" si="33">(T15)*1.1</f>
        <v>4319.1674064000008</v>
      </c>
      <c r="AA15" s="92">
        <f t="shared" si="19"/>
        <v>4354.633364597149</v>
      </c>
      <c r="AB15" s="58">
        <f t="shared" si="20"/>
        <v>2.7043959217274796E-3</v>
      </c>
      <c r="AC15" s="58">
        <f t="shared" si="21"/>
        <v>5.649345732455107E-3</v>
      </c>
      <c r="AD15" s="92">
        <f t="shared" ref="AD15:AD20" si="34">X15*1.1</f>
        <v>3268.9675180800014</v>
      </c>
      <c r="AE15" s="93">
        <f t="shared" si="23"/>
        <v>3282.7120154813133</v>
      </c>
      <c r="AF15" s="92">
        <f t="shared" ref="AF15:AF20" si="35">(Z15)*1.1</f>
        <v>4751.084147040001</v>
      </c>
      <c r="AG15" s="93">
        <f t="shared" si="25"/>
        <v>4786.5784501290027</v>
      </c>
      <c r="AH15" s="58">
        <f t="shared" si="26"/>
        <v>2.9211937296281425E-3</v>
      </c>
      <c r="AI15" s="58">
        <f t="shared" si="27"/>
        <v>6.0458647882694807E-3</v>
      </c>
      <c r="AJ15" s="59">
        <v>1</v>
      </c>
      <c r="AK15" s="60"/>
      <c r="AL15" s="60"/>
      <c r="AM15" s="60"/>
      <c r="AN15" s="60"/>
      <c r="AO15" s="60"/>
    </row>
    <row r="16" spans="1:51" s="48" customFormat="1" ht="24" customHeight="1">
      <c r="A16" s="54">
        <v>11</v>
      </c>
      <c r="B16" s="63" t="s">
        <v>90</v>
      </c>
      <c r="C16" s="214"/>
      <c r="D16" s="214"/>
      <c r="E16" s="56"/>
      <c r="F16" s="92"/>
      <c r="G16" s="92">
        <f t="shared" si="0"/>
        <v>0</v>
      </c>
      <c r="H16" s="92"/>
      <c r="I16" s="92">
        <f t="shared" si="1"/>
        <v>0</v>
      </c>
      <c r="J16" s="58">
        <f t="shared" si="2"/>
        <v>0</v>
      </c>
      <c r="K16" s="58">
        <f t="shared" si="3"/>
        <v>0</v>
      </c>
      <c r="L16" s="92">
        <f>F16*1.02</f>
        <v>0</v>
      </c>
      <c r="M16" s="92">
        <f t="shared" si="5"/>
        <v>0</v>
      </c>
      <c r="N16" s="92">
        <f>(H16)*1.02</f>
        <v>0</v>
      </c>
      <c r="O16" s="92">
        <f t="shared" si="7"/>
        <v>0</v>
      </c>
      <c r="P16" s="58">
        <f t="shared" si="8"/>
        <v>0</v>
      </c>
      <c r="Q16" s="58">
        <f t="shared" si="9"/>
        <v>0</v>
      </c>
      <c r="R16" s="92">
        <f>L16*1.02</f>
        <v>0</v>
      </c>
      <c r="S16" s="92">
        <f t="shared" si="11"/>
        <v>0</v>
      </c>
      <c r="T16" s="92">
        <f>(N16)*1.02</f>
        <v>0</v>
      </c>
      <c r="U16" s="92">
        <f t="shared" si="13"/>
        <v>0</v>
      </c>
      <c r="V16" s="58">
        <f t="shared" si="14"/>
        <v>0</v>
      </c>
      <c r="W16" s="58">
        <f t="shared" si="15"/>
        <v>0</v>
      </c>
      <c r="X16" s="92">
        <f>R16*1.02</f>
        <v>0</v>
      </c>
      <c r="Y16" s="92">
        <f t="shared" si="17"/>
        <v>0</v>
      </c>
      <c r="Z16" s="92">
        <f>(T16)*1.02</f>
        <v>0</v>
      </c>
      <c r="AA16" s="92">
        <f t="shared" si="19"/>
        <v>0</v>
      </c>
      <c r="AB16" s="58">
        <f t="shared" si="20"/>
        <v>0</v>
      </c>
      <c r="AC16" s="58">
        <f t="shared" si="21"/>
        <v>0</v>
      </c>
      <c r="AD16" s="92">
        <f>X16*1.02</f>
        <v>0</v>
      </c>
      <c r="AE16" s="93">
        <f t="shared" si="23"/>
        <v>0</v>
      </c>
      <c r="AF16" s="92">
        <f>(Z16)*1.02</f>
        <v>0</v>
      </c>
      <c r="AG16" s="93">
        <f t="shared" si="25"/>
        <v>0</v>
      </c>
      <c r="AH16" s="58">
        <f t="shared" si="26"/>
        <v>0</v>
      </c>
      <c r="AI16" s="58">
        <f t="shared" si="27"/>
        <v>0</v>
      </c>
      <c r="AJ16" s="59"/>
      <c r="AK16" s="60"/>
      <c r="AL16" s="60"/>
      <c r="AM16" s="60"/>
      <c r="AN16" s="60"/>
      <c r="AO16" s="60"/>
    </row>
    <row r="17" spans="1:41" s="48" customFormat="1" ht="24" customHeight="1">
      <c r="A17" s="54">
        <v>12</v>
      </c>
      <c r="B17" s="63" t="s">
        <v>91</v>
      </c>
      <c r="C17" s="214"/>
      <c r="D17" s="214"/>
      <c r="E17" s="56"/>
      <c r="F17" s="92"/>
      <c r="G17" s="92">
        <f t="shared" si="0"/>
        <v>0</v>
      </c>
      <c r="H17" s="92"/>
      <c r="I17" s="92">
        <f t="shared" si="1"/>
        <v>0</v>
      </c>
      <c r="J17" s="58">
        <f t="shared" si="2"/>
        <v>0</v>
      </c>
      <c r="K17" s="58">
        <f t="shared" si="3"/>
        <v>0</v>
      </c>
      <c r="L17" s="92">
        <f>F17*1.02</f>
        <v>0</v>
      </c>
      <c r="M17" s="92">
        <f t="shared" si="5"/>
        <v>0</v>
      </c>
      <c r="N17" s="92">
        <f>(H17)*1.02</f>
        <v>0</v>
      </c>
      <c r="O17" s="92">
        <f t="shared" si="7"/>
        <v>0</v>
      </c>
      <c r="P17" s="58">
        <f t="shared" si="8"/>
        <v>0</v>
      </c>
      <c r="Q17" s="58">
        <f t="shared" si="9"/>
        <v>0</v>
      </c>
      <c r="R17" s="92">
        <f>L17*1.02</f>
        <v>0</v>
      </c>
      <c r="S17" s="92">
        <f t="shared" si="11"/>
        <v>0</v>
      </c>
      <c r="T17" s="92">
        <f>(N17)*1.02</f>
        <v>0</v>
      </c>
      <c r="U17" s="92">
        <f t="shared" si="13"/>
        <v>0</v>
      </c>
      <c r="V17" s="58">
        <f t="shared" si="14"/>
        <v>0</v>
      </c>
      <c r="W17" s="58">
        <f t="shared" si="15"/>
        <v>0</v>
      </c>
      <c r="X17" s="92">
        <f>R17*1.02</f>
        <v>0</v>
      </c>
      <c r="Y17" s="92">
        <f t="shared" si="17"/>
        <v>0</v>
      </c>
      <c r="Z17" s="92">
        <f>(T17)*1.02</f>
        <v>0</v>
      </c>
      <c r="AA17" s="92">
        <f t="shared" si="19"/>
        <v>0</v>
      </c>
      <c r="AB17" s="58">
        <f t="shared" si="20"/>
        <v>0</v>
      </c>
      <c r="AC17" s="58">
        <f t="shared" si="21"/>
        <v>0</v>
      </c>
      <c r="AD17" s="92">
        <f>X17*1.02</f>
        <v>0</v>
      </c>
      <c r="AE17" s="93">
        <f t="shared" si="23"/>
        <v>0</v>
      </c>
      <c r="AF17" s="92">
        <f>(Z17)*1.02</f>
        <v>0</v>
      </c>
      <c r="AG17" s="93">
        <f t="shared" si="25"/>
        <v>0</v>
      </c>
      <c r="AH17" s="58">
        <f t="shared" si="26"/>
        <v>0</v>
      </c>
      <c r="AI17" s="58">
        <f t="shared" si="27"/>
        <v>0</v>
      </c>
      <c r="AJ17" s="59"/>
      <c r="AK17" s="60"/>
      <c r="AL17" s="60"/>
      <c r="AM17" s="60"/>
      <c r="AN17" s="60"/>
      <c r="AO17" s="60"/>
    </row>
    <row r="18" spans="1:41" s="48" customFormat="1" ht="24" customHeight="1">
      <c r="A18" s="54">
        <v>13</v>
      </c>
      <c r="B18" s="63" t="s">
        <v>92</v>
      </c>
      <c r="C18" s="214"/>
      <c r="D18" s="214"/>
      <c r="E18" s="56"/>
      <c r="F18" s="92">
        <v>182.5429824</v>
      </c>
      <c r="G18" s="92">
        <f t="shared" si="0"/>
        <v>183.52580798791439</v>
      </c>
      <c r="H18" s="92">
        <v>7.8650783999999989</v>
      </c>
      <c r="I18" s="92">
        <f t="shared" si="1"/>
        <v>7.9450085353247948</v>
      </c>
      <c r="J18" s="58">
        <f t="shared" si="2"/>
        <v>1.7478648379801371E-4</v>
      </c>
      <c r="K18" s="58">
        <f t="shared" si="3"/>
        <v>1.1111900049405307E-5</v>
      </c>
      <c r="L18" s="92">
        <f t="shared" si="28"/>
        <v>200.79728064000003</v>
      </c>
      <c r="M18" s="92">
        <f t="shared" si="5"/>
        <v>201.82514332008088</v>
      </c>
      <c r="N18" s="92">
        <f t="shared" si="29"/>
        <v>8.6515862400000003</v>
      </c>
      <c r="O18" s="92">
        <f t="shared" si="7"/>
        <v>8.7342396730110483</v>
      </c>
      <c r="P18" s="58">
        <f t="shared" si="8"/>
        <v>1.8914267181114063E-4</v>
      </c>
      <c r="Q18" s="58">
        <f t="shared" si="9"/>
        <v>1.1922945074577628E-5</v>
      </c>
      <c r="R18" s="92">
        <f t="shared" si="30"/>
        <v>220.87700870400005</v>
      </c>
      <c r="S18" s="92">
        <f t="shared" si="11"/>
        <v>221.94500228934655</v>
      </c>
      <c r="T18" s="92">
        <f t="shared" si="31"/>
        <v>9.5167448640000014</v>
      </c>
      <c r="U18" s="92">
        <f t="shared" si="13"/>
        <v>9.6014846646229426</v>
      </c>
      <c r="V18" s="58">
        <f t="shared" si="14"/>
        <v>2.045616961768169E-4</v>
      </c>
      <c r="W18" s="58">
        <f t="shared" si="15"/>
        <v>1.2782637030464314E-5</v>
      </c>
      <c r="X18" s="92">
        <f t="shared" si="32"/>
        <v>242.96470957440008</v>
      </c>
      <c r="Y18" s="92">
        <f t="shared" si="17"/>
        <v>244.06562121695637</v>
      </c>
      <c r="Z18" s="92">
        <f t="shared" si="33"/>
        <v>10.468419350400003</v>
      </c>
      <c r="AA18" s="92">
        <f t="shared" si="19"/>
        <v>10.554378631006113</v>
      </c>
      <c r="AB18" s="58">
        <f t="shared" si="20"/>
        <v>2.2110346544247661E-4</v>
      </c>
      <c r="AC18" s="58">
        <f t="shared" si="21"/>
        <v>1.3692388976426664E-5</v>
      </c>
      <c r="AD18" s="92">
        <f t="shared" si="34"/>
        <v>267.26118053184013</v>
      </c>
      <c r="AE18" s="93">
        <f t="shared" si="23"/>
        <v>268.38489026005698</v>
      </c>
      <c r="AF18" s="92">
        <f t="shared" si="35"/>
        <v>11.515261285440005</v>
      </c>
      <c r="AG18" s="93">
        <f t="shared" si="25"/>
        <v>11.601289265910337</v>
      </c>
      <c r="AH18" s="58">
        <f t="shared" si="26"/>
        <v>2.3882821729632119E-4</v>
      </c>
      <c r="AI18" s="58">
        <f t="shared" si="27"/>
        <v>1.465343710587375E-5</v>
      </c>
      <c r="AJ18" s="59">
        <v>1</v>
      </c>
      <c r="AK18" s="60"/>
      <c r="AL18" s="60"/>
      <c r="AM18" s="60"/>
      <c r="AN18" s="60"/>
      <c r="AO18" s="60"/>
    </row>
    <row r="19" spans="1:41" s="48" customFormat="1" ht="24" customHeight="1">
      <c r="A19" s="54">
        <v>14</v>
      </c>
      <c r="B19" s="63" t="s">
        <v>93</v>
      </c>
      <c r="C19" s="214"/>
      <c r="D19" s="214"/>
      <c r="E19" s="56"/>
      <c r="F19" s="92">
        <v>577754.24043647433</v>
      </c>
      <c r="G19" s="92">
        <f t="shared" si="0"/>
        <v>580864.91411760624</v>
      </c>
      <c r="H19" s="92">
        <v>157569.33830085659</v>
      </c>
      <c r="I19" s="92">
        <f t="shared" si="1"/>
        <v>159170.66226647986</v>
      </c>
      <c r="J19" s="58">
        <f t="shared" si="2"/>
        <v>0.55320468011200596</v>
      </c>
      <c r="K19" s="58">
        <f t="shared" si="3"/>
        <v>0.22261631086220959</v>
      </c>
      <c r="L19" s="92">
        <f>F19*1.005</f>
        <v>580643.01163865661</v>
      </c>
      <c r="M19" s="92">
        <f t="shared" si="5"/>
        <v>583615.26943124668</v>
      </c>
      <c r="N19" s="92">
        <f>(H19)*1.005</f>
        <v>158357.18499236085</v>
      </c>
      <c r="O19" s="92">
        <f t="shared" si="7"/>
        <v>159870.05958188631</v>
      </c>
      <c r="P19" s="58">
        <f t="shared" si="8"/>
        <v>0.54694152350948255</v>
      </c>
      <c r="Q19" s="58">
        <f t="shared" si="9"/>
        <v>0.21823558899513981</v>
      </c>
      <c r="R19" s="92">
        <f>L19*1.005</f>
        <v>583546.2266968498</v>
      </c>
      <c r="S19" s="92">
        <f t="shared" si="11"/>
        <v>586367.81338222814</v>
      </c>
      <c r="T19" s="92">
        <f>(N19)*1.005</f>
        <v>159148.97091732264</v>
      </c>
      <c r="U19" s="92">
        <f t="shared" si="13"/>
        <v>160566.07857940739</v>
      </c>
      <c r="V19" s="58">
        <f t="shared" si="14"/>
        <v>0.54044197099146574</v>
      </c>
      <c r="W19" s="58">
        <f t="shared" si="15"/>
        <v>0.21376463886339786</v>
      </c>
      <c r="X19" s="92">
        <f>R19*1.005</f>
        <v>586463.95783033397</v>
      </c>
      <c r="Y19" s="92">
        <f t="shared" si="17"/>
        <v>589121.31905882689</v>
      </c>
      <c r="Z19" s="92">
        <f>(T19)*1.005</f>
        <v>159944.71577190925</v>
      </c>
      <c r="AA19" s="92">
        <f t="shared" si="19"/>
        <v>161258.06903416433</v>
      </c>
      <c r="AB19" s="58">
        <f t="shared" si="20"/>
        <v>0.53369566987953987</v>
      </c>
      <c r="AC19" s="58">
        <f t="shared" si="21"/>
        <v>0.20920305060088221</v>
      </c>
      <c r="AD19" s="92">
        <f>X19*1.005</f>
        <v>589396.27761948563</v>
      </c>
      <c r="AE19" s="93">
        <f t="shared" si="23"/>
        <v>591874.41653071053</v>
      </c>
      <c r="AF19" s="92">
        <f>(Z19)*1.005</f>
        <v>160744.43935076878</v>
      </c>
      <c r="AG19" s="93">
        <f t="shared" si="25"/>
        <v>161945.32564821365</v>
      </c>
      <c r="AH19" s="58">
        <f t="shared" si="26"/>
        <v>0.52669251099180647</v>
      </c>
      <c r="AI19" s="58">
        <f t="shared" si="27"/>
        <v>0.20455102787148127</v>
      </c>
      <c r="AJ19" s="59"/>
      <c r="AK19" s="60"/>
      <c r="AL19" s="60"/>
      <c r="AM19" s="60"/>
      <c r="AN19" s="60"/>
      <c r="AO19" s="60"/>
    </row>
    <row r="20" spans="1:41" s="48" customFormat="1" ht="24" customHeight="1">
      <c r="A20" s="54">
        <v>15</v>
      </c>
      <c r="B20" s="63" t="s">
        <v>94</v>
      </c>
      <c r="C20" s="214"/>
      <c r="D20" s="214"/>
      <c r="E20" s="56"/>
      <c r="F20" s="92">
        <v>53300</v>
      </c>
      <c r="G20" s="92">
        <f t="shared" si="0"/>
        <v>53586.971337638432</v>
      </c>
      <c r="H20" s="92">
        <v>79950</v>
      </c>
      <c r="I20" s="92">
        <f t="shared" si="1"/>
        <v>80762.504846641765</v>
      </c>
      <c r="J20" s="58">
        <f t="shared" si="2"/>
        <v>5.1035210797750891E-2</v>
      </c>
      <c r="K20" s="58">
        <f t="shared" si="3"/>
        <v>0.1129545522330654</v>
      </c>
      <c r="L20" s="92">
        <f t="shared" si="28"/>
        <v>58630.000000000007</v>
      </c>
      <c r="M20" s="92">
        <f t="shared" si="5"/>
        <v>58930.121539201449</v>
      </c>
      <c r="N20" s="92">
        <f t="shared" si="29"/>
        <v>87945</v>
      </c>
      <c r="O20" s="92">
        <f t="shared" si="7"/>
        <v>88785.187679404844</v>
      </c>
      <c r="P20" s="58">
        <f t="shared" si="8"/>
        <v>5.5227017083806534E-2</v>
      </c>
      <c r="Q20" s="58">
        <f t="shared" si="9"/>
        <v>0.12119897733155226</v>
      </c>
      <c r="R20" s="92">
        <f t="shared" si="30"/>
        <v>64493.000000000015</v>
      </c>
      <c r="S20" s="92">
        <f t="shared" si="11"/>
        <v>64804.839202748619</v>
      </c>
      <c r="T20" s="92">
        <f t="shared" si="31"/>
        <v>96739.500000000015</v>
      </c>
      <c r="U20" s="92">
        <f t="shared" si="13"/>
        <v>97600.895998265478</v>
      </c>
      <c r="V20" s="58">
        <f t="shared" si="14"/>
        <v>5.9729156732701336E-2</v>
      </c>
      <c r="W20" s="58">
        <f t="shared" si="15"/>
        <v>0.12993790762284352</v>
      </c>
      <c r="X20" s="92">
        <f t="shared" si="32"/>
        <v>70942.300000000017</v>
      </c>
      <c r="Y20" s="92">
        <f t="shared" si="17"/>
        <v>71263.75081545602</v>
      </c>
      <c r="Z20" s="92">
        <f t="shared" si="33"/>
        <v>106413.45000000003</v>
      </c>
      <c r="AA20" s="92">
        <f t="shared" si="19"/>
        <v>107287.24224146815</v>
      </c>
      <c r="AB20" s="58">
        <f t="shared" si="20"/>
        <v>6.4559122203122293E-2</v>
      </c>
      <c r="AC20" s="58">
        <f t="shared" si="21"/>
        <v>0.13918570712089937</v>
      </c>
      <c r="AD20" s="92">
        <f t="shared" si="34"/>
        <v>78036.530000000028</v>
      </c>
      <c r="AE20" s="93">
        <f t="shared" si="23"/>
        <v>78364.637537887829</v>
      </c>
      <c r="AF20" s="92">
        <f t="shared" si="35"/>
        <v>117054.79500000004</v>
      </c>
      <c r="AG20" s="93">
        <f t="shared" si="25"/>
        <v>117929.28558849855</v>
      </c>
      <c r="AH20" s="58">
        <f t="shared" si="26"/>
        <v>6.9734502058261094E-2</v>
      </c>
      <c r="AI20" s="58">
        <f t="shared" si="27"/>
        <v>0.14895494196403766</v>
      </c>
      <c r="AJ20" s="59"/>
      <c r="AK20" s="60"/>
      <c r="AL20" s="60"/>
      <c r="AM20" s="60"/>
      <c r="AN20" s="60"/>
      <c r="AO20" s="60"/>
    </row>
    <row r="21" spans="1:41" s="68" customFormat="1" ht="24" customHeight="1">
      <c r="A21" s="156" t="s">
        <v>79</v>
      </c>
      <c r="B21" s="157"/>
      <c r="C21" s="64" t="s">
        <v>27</v>
      </c>
      <c r="D21" s="64">
        <v>2</v>
      </c>
      <c r="E21" s="64">
        <f>COUNTA(E6:E19)</f>
        <v>3</v>
      </c>
      <c r="F21" s="95">
        <f>SUM(F6:F20)</f>
        <v>1044376.9931944499</v>
      </c>
      <c r="G21" s="95">
        <v>1050000</v>
      </c>
      <c r="H21" s="95">
        <f>SUM(H6:H20)</f>
        <v>707806.79857005435</v>
      </c>
      <c r="I21" s="96">
        <v>715000</v>
      </c>
      <c r="J21" s="66">
        <f>SUM(J6:J20)</f>
        <v>0.99999999999999989</v>
      </c>
      <c r="K21" s="66">
        <f>SUM(K6:K20)</f>
        <v>0.99999999999999989</v>
      </c>
      <c r="L21" s="95">
        <f>SUM(L6:L20)</f>
        <v>1061618.0828855825</v>
      </c>
      <c r="M21" s="95">
        <f>G21*(1+((L21-F21)/L21))</f>
        <v>1067052.4075159715</v>
      </c>
      <c r="N21" s="95">
        <f>SUM(N6:N20)</f>
        <v>725624.93460169563</v>
      </c>
      <c r="O21" s="96">
        <f>I21*(1+((N21-H21)/N21))</f>
        <v>732557.23467471055</v>
      </c>
      <c r="P21" s="97">
        <f>SUM(P6:P20)</f>
        <v>1</v>
      </c>
      <c r="Q21" s="97">
        <f>SUM(Q6:Q20)</f>
        <v>1</v>
      </c>
      <c r="R21" s="95">
        <f>SUM(R6:R20)</f>
        <v>1079757.4171123449</v>
      </c>
      <c r="S21" s="95">
        <f>M21*(1+((R21-L21)/R21))</f>
        <v>1084978.3045282536</v>
      </c>
      <c r="T21" s="95">
        <f>SUM(T6:T20)</f>
        <v>744505.60094283742</v>
      </c>
      <c r="U21" s="96">
        <f>O21*(1+((T21-N21)/T21))</f>
        <v>751134.89037826331</v>
      </c>
      <c r="V21" s="66">
        <f>SUM(V6:V20)</f>
        <v>1</v>
      </c>
      <c r="W21" s="66">
        <f>SUM(W6:W20)</f>
        <v>0.99999999999999978</v>
      </c>
      <c r="X21" s="95">
        <f>SUM(X6:X20)</f>
        <v>1098873.3672182583</v>
      </c>
      <c r="Y21" s="95">
        <f>S21*(1+((X21-R21)/X21))</f>
        <v>1103852.5367683743</v>
      </c>
      <c r="Z21" s="95">
        <f>SUM(Z6:Z20)</f>
        <v>764542.94195284916</v>
      </c>
      <c r="AA21" s="96">
        <f>U21*(1+((Z21-T21)/Z21))</f>
        <v>770820.82967237721</v>
      </c>
      <c r="AB21" s="66">
        <f>SUM(AB6:AB20)</f>
        <v>0.99999999999999989</v>
      </c>
      <c r="AC21" s="66">
        <f>SUM(AC6:AC20)</f>
        <v>0.99999999999999989</v>
      </c>
      <c r="AD21" s="95">
        <f>SUM(AD6:AD20)</f>
        <v>1119051.9426782862</v>
      </c>
      <c r="AE21" s="95">
        <f>Y21*(1+((AD21-X21)/AD21))</f>
        <v>1123757.0388387733</v>
      </c>
      <c r="AF21" s="95">
        <f>SUM(AF6:AF20)</f>
        <v>785840.29141014128</v>
      </c>
      <c r="AG21" s="96">
        <f>AA21*(1+((AF21-Z21)/AF21))</f>
        <v>791711.13112158666</v>
      </c>
      <c r="AH21" s="66">
        <f>SUM(AH6:AH20)</f>
        <v>1</v>
      </c>
      <c r="AI21" s="66">
        <f>SUM(AI6:AI20)</f>
        <v>1</v>
      </c>
      <c r="AJ21" s="67">
        <f t="shared" ref="AJ21:AO21" si="36">SUM(AJ6:AJ19)</f>
        <v>12</v>
      </c>
      <c r="AK21" s="67">
        <f t="shared" si="36"/>
        <v>0</v>
      </c>
      <c r="AL21" s="67">
        <f t="shared" si="36"/>
        <v>0</v>
      </c>
      <c r="AM21" s="67">
        <f t="shared" si="36"/>
        <v>0</v>
      </c>
      <c r="AN21" s="67">
        <f t="shared" si="36"/>
        <v>0</v>
      </c>
      <c r="AO21" s="67">
        <f t="shared" si="36"/>
        <v>0</v>
      </c>
    </row>
    <row r="22" spans="1:41" s="48" customFormat="1">
      <c r="A22" s="47"/>
      <c r="E22" s="47"/>
      <c r="F22" s="49"/>
      <c r="G22" s="6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</row>
    <row r="23" spans="1:41">
      <c r="F23" s="73">
        <f>F21/365</f>
        <v>2861.306830669726</v>
      </c>
      <c r="H23" s="73">
        <f>H21/365</f>
        <v>1939.1967084111079</v>
      </c>
    </row>
    <row r="24" spans="1:41">
      <c r="G24" s="73">
        <f>G21/365</f>
        <v>2876.7123287671234</v>
      </c>
    </row>
  </sheetData>
  <mergeCells count="16">
    <mergeCell ref="C6:C8"/>
    <mergeCell ref="D6:D20"/>
    <mergeCell ref="C9:C20"/>
    <mergeCell ref="A21:B21"/>
    <mergeCell ref="AD4:AI4"/>
    <mergeCell ref="AK4:AO4"/>
    <mergeCell ref="A2:AO3"/>
    <mergeCell ref="A4:A5"/>
    <mergeCell ref="B4:B5"/>
    <mergeCell ref="C4:C5"/>
    <mergeCell ref="D4:D5"/>
    <mergeCell ref="E4:E5"/>
    <mergeCell ref="F4:K4"/>
    <mergeCell ref="L4:Q4"/>
    <mergeCell ref="R4:W4"/>
    <mergeCell ref="X4:AC4"/>
  </mergeCells>
  <pageMargins left="0.7" right="0.7" top="0.75" bottom="0.75" header="0.3" footer="0.3"/>
  <pageSetup scale="1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5"/>
  <sheetViews>
    <sheetView topLeftCell="R1" zoomScale="60" zoomScaleNormal="60" zoomScaleSheetLayoutView="70" workbookViewId="0">
      <selection activeCell="X17" sqref="X17"/>
    </sheetView>
  </sheetViews>
  <sheetFormatPr baseColWidth="10" defaultColWidth="11.42578125" defaultRowHeight="15"/>
  <cols>
    <col min="1" max="1" width="8.5703125" style="71" customWidth="1"/>
    <col min="2" max="2" width="72.28515625" style="75" customWidth="1"/>
    <col min="3" max="3" width="34.42578125" style="72" customWidth="1"/>
    <col min="4" max="4" width="28.85546875" style="71" customWidth="1"/>
    <col min="5" max="5" width="17.5703125" style="71" customWidth="1"/>
    <col min="6" max="35" width="28.85546875" style="73" customWidth="1"/>
    <col min="36" max="36" width="19.28515625" style="73" customWidth="1"/>
    <col min="37" max="37" width="9.5703125" style="74" customWidth="1"/>
    <col min="38" max="38" width="10.28515625" style="74" customWidth="1"/>
    <col min="39" max="39" width="11.42578125" style="74" customWidth="1"/>
    <col min="40" max="40" width="11" style="74" customWidth="1"/>
    <col min="41" max="41" width="10.28515625" style="74" customWidth="1"/>
    <col min="42" max="42" width="11.42578125" style="75"/>
    <col min="43" max="60" width="11.42578125" style="119"/>
    <col min="61" max="16384" width="11.42578125" style="75"/>
  </cols>
  <sheetData>
    <row r="1" spans="1:60" s="48" customFormat="1" ht="31.5" customHeight="1">
      <c r="A1" s="47"/>
      <c r="C1" s="47"/>
      <c r="D1" s="47"/>
      <c r="E1" s="47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</row>
    <row r="2" spans="1:60" s="48" customFormat="1" ht="35.25" customHeight="1">
      <c r="A2" s="165" t="s">
        <v>131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</row>
    <row r="3" spans="1:60" s="48" customFormat="1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</row>
    <row r="4" spans="1:60" s="48" customFormat="1" ht="47.45" customHeight="1">
      <c r="A4" s="142" t="s">
        <v>1</v>
      </c>
      <c r="B4" s="142" t="s">
        <v>2</v>
      </c>
      <c r="C4" s="142" t="s">
        <v>3</v>
      </c>
      <c r="D4" s="143" t="s">
        <v>4</v>
      </c>
      <c r="E4" s="143" t="s">
        <v>5</v>
      </c>
      <c r="F4" s="144" t="s">
        <v>124</v>
      </c>
      <c r="G4" s="145"/>
      <c r="H4" s="145"/>
      <c r="I4" s="145"/>
      <c r="J4" s="145"/>
      <c r="K4" s="164"/>
      <c r="L4" s="144" t="s">
        <v>125</v>
      </c>
      <c r="M4" s="145"/>
      <c r="N4" s="145"/>
      <c r="O4" s="145"/>
      <c r="P4" s="145"/>
      <c r="Q4" s="164"/>
      <c r="R4" s="144" t="s">
        <v>126</v>
      </c>
      <c r="S4" s="145"/>
      <c r="T4" s="145"/>
      <c r="U4" s="145"/>
      <c r="V4" s="145"/>
      <c r="W4" s="164"/>
      <c r="X4" s="144" t="s">
        <v>127</v>
      </c>
      <c r="Y4" s="145"/>
      <c r="Z4" s="145"/>
      <c r="AA4" s="145"/>
      <c r="AB4" s="145"/>
      <c r="AC4" s="164"/>
      <c r="AD4" s="144" t="s">
        <v>128</v>
      </c>
      <c r="AE4" s="145"/>
      <c r="AF4" s="145"/>
      <c r="AG4" s="145"/>
      <c r="AH4" s="145"/>
      <c r="AI4" s="164"/>
      <c r="AJ4" s="52" t="s">
        <v>11</v>
      </c>
      <c r="AK4" s="147" t="s">
        <v>12</v>
      </c>
      <c r="AL4" s="148"/>
      <c r="AM4" s="148"/>
      <c r="AN4" s="148"/>
      <c r="AO4" s="149"/>
    </row>
    <row r="5" spans="1:60" s="48" customFormat="1" ht="43.15" customHeight="1">
      <c r="A5" s="142"/>
      <c r="B5" s="142"/>
      <c r="C5" s="142"/>
      <c r="D5" s="143"/>
      <c r="E5" s="143"/>
      <c r="F5" s="52" t="s">
        <v>13</v>
      </c>
      <c r="G5" s="52" t="s">
        <v>14</v>
      </c>
      <c r="H5" s="52" t="s">
        <v>15</v>
      </c>
      <c r="I5" s="52" t="s">
        <v>16</v>
      </c>
      <c r="J5" s="53" t="s">
        <v>17</v>
      </c>
      <c r="K5" s="53" t="s">
        <v>18</v>
      </c>
      <c r="L5" s="52" t="s">
        <v>13</v>
      </c>
      <c r="M5" s="52" t="s">
        <v>14</v>
      </c>
      <c r="N5" s="52" t="s">
        <v>15</v>
      </c>
      <c r="O5" s="52" t="s">
        <v>16</v>
      </c>
      <c r="P5" s="53" t="s">
        <v>17</v>
      </c>
      <c r="Q5" s="53" t="s">
        <v>18</v>
      </c>
      <c r="R5" s="52" t="s">
        <v>13</v>
      </c>
      <c r="S5" s="52" t="s">
        <v>14</v>
      </c>
      <c r="T5" s="52" t="s">
        <v>15</v>
      </c>
      <c r="U5" s="52" t="s">
        <v>16</v>
      </c>
      <c r="V5" s="53" t="s">
        <v>17</v>
      </c>
      <c r="W5" s="53" t="s">
        <v>18</v>
      </c>
      <c r="X5" s="52" t="s">
        <v>13</v>
      </c>
      <c r="Y5" s="52" t="s">
        <v>14</v>
      </c>
      <c r="Z5" s="52" t="s">
        <v>15</v>
      </c>
      <c r="AA5" s="52" t="s">
        <v>16</v>
      </c>
      <c r="AB5" s="53" t="s">
        <v>17</v>
      </c>
      <c r="AC5" s="53" t="s">
        <v>18</v>
      </c>
      <c r="AD5" s="52" t="s">
        <v>13</v>
      </c>
      <c r="AE5" s="52" t="s">
        <v>14</v>
      </c>
      <c r="AF5" s="52" t="s">
        <v>15</v>
      </c>
      <c r="AG5" s="52" t="s">
        <v>16</v>
      </c>
      <c r="AH5" s="53" t="s">
        <v>17</v>
      </c>
      <c r="AI5" s="53" t="s">
        <v>18</v>
      </c>
      <c r="AJ5" s="52">
        <v>2018</v>
      </c>
      <c r="AK5" s="52">
        <v>2019</v>
      </c>
      <c r="AL5" s="52">
        <v>2020</v>
      </c>
      <c r="AM5" s="52">
        <v>2021</v>
      </c>
      <c r="AN5" s="52">
        <v>2022</v>
      </c>
      <c r="AO5" s="52">
        <v>2023</v>
      </c>
    </row>
    <row r="6" spans="1:60" s="48" customFormat="1" ht="24" customHeight="1">
      <c r="A6" s="54">
        <v>1</v>
      </c>
      <c r="B6" s="131" t="s">
        <v>185</v>
      </c>
      <c r="C6" s="215" t="s">
        <v>186</v>
      </c>
      <c r="D6" s="215" t="s">
        <v>148</v>
      </c>
      <c r="E6" s="56" t="s">
        <v>22</v>
      </c>
      <c r="F6" s="92">
        <v>7444.3881599999995</v>
      </c>
      <c r="G6" s="92">
        <v>8212.329955290179</v>
      </c>
      <c r="H6" s="92">
        <v>1755.9244799999999</v>
      </c>
      <c r="I6" s="92">
        <v>2518.5437582309969</v>
      </c>
      <c r="J6" s="58">
        <v>1.1731899936128828E-2</v>
      </c>
      <c r="K6" s="58">
        <v>5.0370875164619938E-3</v>
      </c>
      <c r="L6" s="92">
        <v>7518.8320415999997</v>
      </c>
      <c r="M6" s="92">
        <v>8293.5884228339619</v>
      </c>
      <c r="N6" s="92">
        <v>1773.4837247999999</v>
      </c>
      <c r="O6" s="92">
        <v>2539.518529143068</v>
      </c>
      <c r="P6" s="58">
        <v>1.1728225524698587E-2</v>
      </c>
      <c r="Q6" s="58">
        <v>4.8804724428965175E-3</v>
      </c>
      <c r="R6" s="92">
        <v>7594.020362016</v>
      </c>
      <c r="S6" s="92">
        <v>8372.2229263322715</v>
      </c>
      <c r="T6" s="92">
        <v>1791.218562048</v>
      </c>
      <c r="U6" s="92">
        <v>2564.4179378818367</v>
      </c>
      <c r="V6" s="58">
        <v>1.1577081088546E-2</v>
      </c>
      <c r="W6" s="58">
        <v>4.8607457284167502E-3</v>
      </c>
      <c r="X6" s="92">
        <v>7669.96056563616</v>
      </c>
      <c r="Y6" s="92">
        <v>8451.1586852331166</v>
      </c>
      <c r="Z6" s="92">
        <v>1809.1307476684799</v>
      </c>
      <c r="AA6" s="92">
        <v>2589.3132546137349</v>
      </c>
      <c r="AB6" s="58">
        <v>1.1414658348941923E-2</v>
      </c>
      <c r="AC6" s="58">
        <v>4.9928308466041663E-3</v>
      </c>
      <c r="AD6" s="93">
        <v>7746.6601712925221</v>
      </c>
      <c r="AE6" s="93">
        <v>7740.8400608007287</v>
      </c>
      <c r="AF6" s="93">
        <v>1827.2220551451646</v>
      </c>
      <c r="AG6" s="93">
        <v>2505.543355483318</v>
      </c>
      <c r="AH6" s="58">
        <v>1.5046860209337579E-2</v>
      </c>
      <c r="AI6" s="58">
        <v>6.0753906490576045E-3</v>
      </c>
      <c r="AJ6" s="59">
        <v>1</v>
      </c>
      <c r="AK6" s="60">
        <v>0</v>
      </c>
      <c r="AL6" s="60">
        <v>0</v>
      </c>
      <c r="AM6" s="60">
        <v>0</v>
      </c>
      <c r="AN6" s="60">
        <v>0</v>
      </c>
      <c r="AO6" s="60">
        <v>0</v>
      </c>
      <c r="AQ6" s="76"/>
      <c r="AR6" s="76"/>
      <c r="AS6" s="76"/>
      <c r="AT6" s="76"/>
      <c r="AU6" s="76"/>
      <c r="AV6" s="76"/>
      <c r="AW6" s="76"/>
      <c r="AX6" s="76"/>
      <c r="AY6" s="76"/>
      <c r="AZ6" s="76"/>
    </row>
    <row r="7" spans="1:60" s="48" customFormat="1" ht="24" customHeight="1">
      <c r="A7" s="54">
        <v>2</v>
      </c>
      <c r="B7" s="131" t="s">
        <v>32</v>
      </c>
      <c r="C7" s="215"/>
      <c r="D7" s="215"/>
      <c r="E7" s="56"/>
      <c r="F7" s="92">
        <v>53601.12093825078</v>
      </c>
      <c r="G7" s="92">
        <v>59130.459301349561</v>
      </c>
      <c r="H7" s="92">
        <v>62438.392524179777</v>
      </c>
      <c r="I7" s="92">
        <v>89556.142964502622</v>
      </c>
      <c r="J7" s="58">
        <v>8.4472084716213661E-2</v>
      </c>
      <c r="K7" s="58">
        <v>0.17911228592900524</v>
      </c>
      <c r="L7" s="92">
        <v>54137.132147633289</v>
      </c>
      <c r="M7" s="92">
        <v>59715.536926596775</v>
      </c>
      <c r="N7" s="92">
        <v>63062.776449421573</v>
      </c>
      <c r="O7" s="92">
        <v>90301.978559500785</v>
      </c>
      <c r="P7" s="58">
        <v>8.4445628200618808E-2</v>
      </c>
      <c r="Q7" s="58">
        <v>0.17354325744864341</v>
      </c>
      <c r="R7" s="92">
        <v>54678.503469109623</v>
      </c>
      <c r="S7" s="92">
        <v>60281.721472773388</v>
      </c>
      <c r="T7" s="92">
        <v>63062.776449421573</v>
      </c>
      <c r="U7" s="92">
        <v>90284.52393583185</v>
      </c>
      <c r="V7" s="58">
        <v>8.3357357273950924E-2</v>
      </c>
      <c r="W7" s="58">
        <v>0.17113049615684595</v>
      </c>
      <c r="X7" s="92">
        <v>55225.288503800723</v>
      </c>
      <c r="Y7" s="92">
        <v>60850.075119609137</v>
      </c>
      <c r="Z7" s="92">
        <v>63062.776449421573</v>
      </c>
      <c r="AA7" s="92">
        <v>90258.420041597041</v>
      </c>
      <c r="AB7" s="58">
        <v>8.2187880250248813E-2</v>
      </c>
      <c r="AC7" s="58">
        <v>0.17404036492937472</v>
      </c>
      <c r="AD7" s="93">
        <v>54137.132147633289</v>
      </c>
      <c r="AE7" s="93">
        <v>54096.45860783149</v>
      </c>
      <c r="AF7" s="93">
        <v>63062.776449421573</v>
      </c>
      <c r="AG7" s="93">
        <v>86473.628131981575</v>
      </c>
      <c r="AH7" s="58">
        <v>0.10515420084884909</v>
      </c>
      <c r="AI7" s="58">
        <v>0.20967949750036699</v>
      </c>
      <c r="AJ7" s="59"/>
      <c r="AK7" s="60"/>
      <c r="AL7" s="60"/>
      <c r="AM7" s="60"/>
      <c r="AN7" s="60"/>
      <c r="AO7" s="60"/>
    </row>
    <row r="8" spans="1:60" s="48" customFormat="1" ht="24" customHeight="1">
      <c r="A8" s="54">
        <v>3</v>
      </c>
      <c r="B8" s="131" t="s">
        <v>140</v>
      </c>
      <c r="C8" s="215"/>
      <c r="D8" s="215"/>
      <c r="E8" s="56"/>
      <c r="F8" s="92">
        <v>16431</v>
      </c>
      <c r="G8" s="92">
        <v>18125.974975406571</v>
      </c>
      <c r="H8" s="92">
        <v>24647</v>
      </c>
      <c r="I8" s="92">
        <v>35351.490748121119</v>
      </c>
      <c r="J8" s="58">
        <v>2.5894249964866528E-2</v>
      </c>
      <c r="K8" s="58">
        <v>7.070298149624224E-2</v>
      </c>
      <c r="L8" s="92">
        <v>18074.100000000002</v>
      </c>
      <c r="M8" s="92">
        <v>19936.493551629457</v>
      </c>
      <c r="N8" s="92">
        <v>27111.7</v>
      </c>
      <c r="O8" s="92">
        <v>38822.270282932863</v>
      </c>
      <c r="P8" s="58">
        <v>2.8192825665360421E-2</v>
      </c>
      <c r="Q8" s="58">
        <v>7.4609032425713026E-2</v>
      </c>
      <c r="R8" s="92">
        <v>19881.510000000006</v>
      </c>
      <c r="S8" s="92">
        <v>21918.88168547337</v>
      </c>
      <c r="T8" s="92">
        <v>29822.870000000003</v>
      </c>
      <c r="U8" s="92">
        <v>42696.242886002809</v>
      </c>
      <c r="V8" s="58">
        <v>3.0309354262994706E-2</v>
      </c>
      <c r="W8" s="58">
        <v>8.0928922373317544E-2</v>
      </c>
      <c r="X8" s="92">
        <v>21869.661000000007</v>
      </c>
      <c r="Y8" s="92">
        <v>24097.122002337757</v>
      </c>
      <c r="Z8" s="92">
        <v>32805.157000000007</v>
      </c>
      <c r="AA8" s="92">
        <v>46952.287969929632</v>
      </c>
      <c r="AB8" s="58">
        <v>3.2547065449152611E-2</v>
      </c>
      <c r="AC8" s="58">
        <v>9.0535523763762241E-2</v>
      </c>
      <c r="AD8" s="93">
        <v>24056.627100000009</v>
      </c>
      <c r="AE8" s="93">
        <v>24038.5532172317</v>
      </c>
      <c r="AF8" s="93">
        <v>36085.67270000001</v>
      </c>
      <c r="AG8" s="93">
        <v>49481.789696571817</v>
      </c>
      <c r="AH8" s="58">
        <v>4.6726808337775164E-2</v>
      </c>
      <c r="AI8" s="58">
        <v>0.11998243884436703</v>
      </c>
      <c r="AJ8" s="59"/>
      <c r="AK8" s="60"/>
      <c r="AL8" s="60"/>
      <c r="AM8" s="60"/>
      <c r="AN8" s="60"/>
      <c r="AO8" s="60"/>
    </row>
    <row r="9" spans="1:60" s="48" customFormat="1" ht="24" customHeight="1">
      <c r="A9" s="54">
        <v>4</v>
      </c>
      <c r="B9" s="131" t="s">
        <v>187</v>
      </c>
      <c r="C9" s="215"/>
      <c r="D9" s="215"/>
      <c r="E9" s="56"/>
      <c r="F9" s="92">
        <v>2688.75936</v>
      </c>
      <c r="G9" s="92">
        <v>2966.1240870458391</v>
      </c>
      <c r="H9" s="92">
        <v>649.01087999999993</v>
      </c>
      <c r="I9" s="92">
        <v>930.88416925994818</v>
      </c>
      <c r="J9" s="58">
        <v>4.2373201243511988E-3</v>
      </c>
      <c r="K9" s="58">
        <v>1.8617683385198963E-3</v>
      </c>
      <c r="L9" s="92">
        <v>2715.6469536</v>
      </c>
      <c r="M9" s="92">
        <v>2995.4729684437161</v>
      </c>
      <c r="N9" s="92">
        <v>655.50098879999996</v>
      </c>
      <c r="O9" s="92">
        <v>938.63669773283652</v>
      </c>
      <c r="P9" s="58">
        <v>4.2359930027781141E-3</v>
      </c>
      <c r="Q9" s="58">
        <v>1.8038815171481739E-3</v>
      </c>
      <c r="R9" s="92">
        <v>2742.8034231359998</v>
      </c>
      <c r="S9" s="92">
        <v>3023.8741281838911</v>
      </c>
      <c r="T9" s="92">
        <v>662.05599868799993</v>
      </c>
      <c r="U9" s="92">
        <v>947.83981971279104</v>
      </c>
      <c r="V9" s="58">
        <v>4.181402751882707E-3</v>
      </c>
      <c r="W9" s="58">
        <v>1.7965902853954152E-3</v>
      </c>
      <c r="X9" s="92">
        <v>2770.2314573673598</v>
      </c>
      <c r="Y9" s="92">
        <v>3052.3840951579068</v>
      </c>
      <c r="Z9" s="92">
        <v>668.67655867487997</v>
      </c>
      <c r="AA9" s="92">
        <v>957.0414292376197</v>
      </c>
      <c r="AB9" s="58">
        <v>4.1227390105515052E-3</v>
      </c>
      <c r="AC9" s="58">
        <v>1.8454105392082208E-3</v>
      </c>
      <c r="AD9" s="93">
        <v>2797.9337719410332</v>
      </c>
      <c r="AE9" s="93">
        <v>2795.8316681516139</v>
      </c>
      <c r="AF9" s="93">
        <v>675.3633242616288</v>
      </c>
      <c r="AG9" s="93">
        <v>926.07906350299379</v>
      </c>
      <c r="AH9" s="58">
        <v>5.4346153581636943E-3</v>
      </c>
      <c r="AI9" s="58">
        <v>2.2455377075719382E-3</v>
      </c>
      <c r="AJ9" s="59"/>
      <c r="AK9" s="60"/>
      <c r="AL9" s="60"/>
      <c r="AM9" s="60"/>
      <c r="AN9" s="60"/>
      <c r="AO9" s="60"/>
    </row>
    <row r="10" spans="1:60" s="48" customFormat="1" ht="24" customHeight="1">
      <c r="A10" s="54">
        <v>5</v>
      </c>
      <c r="B10" s="132" t="s">
        <v>30</v>
      </c>
      <c r="C10" s="215" t="s">
        <v>188</v>
      </c>
      <c r="D10" s="215"/>
      <c r="E10" s="56" t="s">
        <v>22</v>
      </c>
      <c r="F10" s="92">
        <v>195649.34399999998</v>
      </c>
      <c r="G10" s="92">
        <v>215831.97086596745</v>
      </c>
      <c r="H10" s="92">
        <v>80826.767999999996</v>
      </c>
      <c r="I10" s="92">
        <v>115930.81272173215</v>
      </c>
      <c r="J10" s="58">
        <v>0.30833138695138207</v>
      </c>
      <c r="K10" s="58">
        <v>0.23186162544346428</v>
      </c>
      <c r="L10" s="92">
        <v>197605.83743999997</v>
      </c>
      <c r="M10" s="92">
        <v>217967.56153207616</v>
      </c>
      <c r="N10" s="92">
        <v>81635.035680000001</v>
      </c>
      <c r="O10" s="92">
        <v>116896.30011123714</v>
      </c>
      <c r="P10" s="58">
        <v>0.30823481807688735</v>
      </c>
      <c r="Q10" s="58">
        <v>0.22465249409381779</v>
      </c>
      <c r="R10" s="92">
        <v>199581.89581439996</v>
      </c>
      <c r="S10" s="92">
        <v>220034.19060817335</v>
      </c>
      <c r="T10" s="92">
        <v>82451.386036800002</v>
      </c>
      <c r="U10" s="92">
        <v>118042.44207599046</v>
      </c>
      <c r="V10" s="58">
        <v>0.3042625225507895</v>
      </c>
      <c r="W10" s="58">
        <v>0.22374445585366617</v>
      </c>
      <c r="X10" s="92">
        <v>201577.71477254396</v>
      </c>
      <c r="Y10" s="92">
        <v>222108.73711423471</v>
      </c>
      <c r="Z10" s="92">
        <v>83275.899897167998</v>
      </c>
      <c r="AA10" s="92">
        <v>119188.39568202232</v>
      </c>
      <c r="AB10" s="58">
        <v>0.29999381681282589</v>
      </c>
      <c r="AC10" s="58">
        <v>0.22982445150586348</v>
      </c>
      <c r="AD10" s="93">
        <v>40718.698384053881</v>
      </c>
      <c r="AE10" s="93">
        <v>40688.106190974926</v>
      </c>
      <c r="AF10" s="93">
        <v>16821.731779227935</v>
      </c>
      <c r="AG10" s="93">
        <v>23066.478520487588</v>
      </c>
      <c r="AH10" s="58">
        <v>7.9090672488969171E-2</v>
      </c>
      <c r="AI10" s="58">
        <v>5.5931128712408913E-2</v>
      </c>
      <c r="AJ10" s="59">
        <v>1</v>
      </c>
      <c r="AK10" s="60">
        <v>0</v>
      </c>
      <c r="AL10" s="60">
        <v>0</v>
      </c>
      <c r="AM10" s="60">
        <v>0</v>
      </c>
      <c r="AN10" s="60">
        <v>0</v>
      </c>
      <c r="AO10" s="60">
        <v>0</v>
      </c>
    </row>
    <row r="11" spans="1:60" s="48" customFormat="1" ht="24" customHeight="1">
      <c r="A11" s="54">
        <v>6</v>
      </c>
      <c r="B11" s="131" t="s">
        <v>32</v>
      </c>
      <c r="C11" s="215"/>
      <c r="D11" s="215"/>
      <c r="E11" s="56"/>
      <c r="F11" s="92">
        <v>89162.383411682487</v>
      </c>
      <c r="G11" s="92">
        <v>98360.119923788108</v>
      </c>
      <c r="H11" s="92">
        <v>103862.67668289038</v>
      </c>
      <c r="I11" s="92">
        <v>148971.49567210185</v>
      </c>
      <c r="J11" s="58">
        <v>0.14051445703398302</v>
      </c>
      <c r="K11" s="58">
        <v>0.29794299134420371</v>
      </c>
      <c r="L11" s="92">
        <v>90054.007245799308</v>
      </c>
      <c r="M11" s="92">
        <v>99333.362920105006</v>
      </c>
      <c r="N11" s="92">
        <v>114248.94435117942</v>
      </c>
      <c r="O11" s="92">
        <v>163597.39142662552</v>
      </c>
      <c r="P11" s="58">
        <v>0.14047044814114804</v>
      </c>
      <c r="Q11" s="58">
        <v>0.31440312461780812</v>
      </c>
      <c r="R11" s="92">
        <v>99059.407970379252</v>
      </c>
      <c r="S11" s="92">
        <v>109210.59029901553</v>
      </c>
      <c r="T11" s="92">
        <v>115391.43379469121</v>
      </c>
      <c r="U11" s="92">
        <v>165201.42710149119</v>
      </c>
      <c r="V11" s="58">
        <v>0.1510160289262106</v>
      </c>
      <c r="W11" s="58">
        <v>0.31313231718196055</v>
      </c>
      <c r="X11" s="92">
        <v>108965.34876741719</v>
      </c>
      <c r="Y11" s="92">
        <v>120063.64905591062</v>
      </c>
      <c r="Z11" s="92">
        <v>104901.30344971929</v>
      </c>
      <c r="AA11" s="92">
        <v>150139.69321933718</v>
      </c>
      <c r="AB11" s="58">
        <v>0.16216540064443005</v>
      </c>
      <c r="AC11" s="58">
        <v>0.2895061423215165</v>
      </c>
      <c r="AD11" s="93">
        <v>110055.00225509137</v>
      </c>
      <c r="AE11" s="93">
        <v>109972.31729678213</v>
      </c>
      <c r="AF11" s="93">
        <v>105950.31648421648</v>
      </c>
      <c r="AG11" s="93">
        <v>145282.34854153695</v>
      </c>
      <c r="AH11" s="58">
        <v>0.21376724906656039</v>
      </c>
      <c r="AI11" s="58">
        <v>0.35227768853838859</v>
      </c>
      <c r="AJ11" s="59"/>
      <c r="AK11" s="60"/>
      <c r="AL11" s="60"/>
      <c r="AM11" s="60"/>
      <c r="AN11" s="60"/>
      <c r="AO11" s="60"/>
    </row>
    <row r="12" spans="1:60" s="48" customFormat="1" ht="24" customHeight="1">
      <c r="A12" s="54">
        <v>7</v>
      </c>
      <c r="B12" s="131" t="s">
        <v>140</v>
      </c>
      <c r="C12" s="215"/>
      <c r="D12" s="215"/>
      <c r="E12" s="56"/>
      <c r="F12" s="92">
        <v>735</v>
      </c>
      <c r="G12" s="92">
        <v>810.82049826083789</v>
      </c>
      <c r="H12" s="92">
        <v>1102</v>
      </c>
      <c r="I12" s="92">
        <v>1580.6119529528735</v>
      </c>
      <c r="J12" s="133">
        <v>1.1583149975154827E-3</v>
      </c>
      <c r="K12" s="58">
        <v>3.161223905905747E-3</v>
      </c>
      <c r="L12" s="92">
        <v>808.50000000000011</v>
      </c>
      <c r="M12" s="92">
        <v>891.8095527020663</v>
      </c>
      <c r="N12" s="92">
        <v>1212.2</v>
      </c>
      <c r="O12" s="92">
        <v>1735.7951008963369</v>
      </c>
      <c r="P12" s="58">
        <v>1.2611360759564184E-3</v>
      </c>
      <c r="Q12" s="58">
        <v>3.3358686141573318E-3</v>
      </c>
      <c r="R12" s="92">
        <v>889.35000000000025</v>
      </c>
      <c r="S12" s="92">
        <v>980.48676518915033</v>
      </c>
      <c r="T12" s="92">
        <v>1272.8100000000002</v>
      </c>
      <c r="U12" s="92">
        <v>1822.2325654014264</v>
      </c>
      <c r="V12" s="58">
        <v>1.3558137291279355E-3</v>
      </c>
      <c r="W12" s="58">
        <v>3.4539647487308333E-3</v>
      </c>
      <c r="X12" s="92">
        <v>978.28500000000031</v>
      </c>
      <c r="Y12" s="92">
        <v>1077.9249389397023</v>
      </c>
      <c r="Z12" s="92">
        <v>1400.0910000000003</v>
      </c>
      <c r="AA12" s="92">
        <v>2003.8762751876709</v>
      </c>
      <c r="AB12" s="58">
        <v>1.4559121845978435E-3</v>
      </c>
      <c r="AC12" s="58">
        <v>3.8639648029097878E-3</v>
      </c>
      <c r="AD12" s="93">
        <v>1076.1135000000004</v>
      </c>
      <c r="AE12" s="93">
        <v>1075.3050097173209</v>
      </c>
      <c r="AF12" s="93">
        <v>1540.1001000000006</v>
      </c>
      <c r="AG12" s="93">
        <v>2111.832856586022</v>
      </c>
      <c r="AH12" s="58">
        <v>2.0902077857869118E-3</v>
      </c>
      <c r="AI12" s="58">
        <v>5.1207294262926003E-3</v>
      </c>
      <c r="AJ12" s="59"/>
      <c r="AK12" s="60"/>
      <c r="AL12" s="60"/>
      <c r="AM12" s="60"/>
      <c r="AN12" s="60"/>
      <c r="AO12" s="60"/>
    </row>
    <row r="13" spans="1:60" s="48" customFormat="1" ht="24" customHeight="1">
      <c r="A13" s="54">
        <v>8</v>
      </c>
      <c r="B13" s="134" t="s">
        <v>122</v>
      </c>
      <c r="C13" s="136"/>
      <c r="D13" s="136"/>
      <c r="E13" s="56"/>
      <c r="F13" s="92">
        <v>268830.42270923703</v>
      </c>
      <c r="G13" s="92">
        <v>296562.20039289148</v>
      </c>
      <c r="H13" s="92">
        <v>73317.388011610019</v>
      </c>
      <c r="I13" s="92">
        <v>105160.01801309847</v>
      </c>
      <c r="J13" s="58">
        <v>0.42366028627555929</v>
      </c>
      <c r="K13" s="58">
        <v>0.21032003602619692</v>
      </c>
      <c r="L13" s="92">
        <v>270174.57482278318</v>
      </c>
      <c r="M13" s="92">
        <v>298013.93534221046</v>
      </c>
      <c r="N13" s="92">
        <v>73683.97495166806</v>
      </c>
      <c r="O13" s="92">
        <v>105510.87505005265</v>
      </c>
      <c r="P13" s="58">
        <v>0.42143092531255222</v>
      </c>
      <c r="Q13" s="58">
        <v>0.2027718688398156</v>
      </c>
      <c r="R13" s="92">
        <v>271525.44769689708</v>
      </c>
      <c r="S13" s="92">
        <v>299350.2084430948</v>
      </c>
      <c r="T13" s="92">
        <v>74052.394826426389</v>
      </c>
      <c r="U13" s="92">
        <v>106017.93307616869</v>
      </c>
      <c r="V13" s="58">
        <v>0.41394043941649761</v>
      </c>
      <c r="W13" s="58">
        <v>0.20095250767166684</v>
      </c>
      <c r="X13" s="92">
        <v>272883.07493538153</v>
      </c>
      <c r="Y13" s="92">
        <v>300676.66568269907</v>
      </c>
      <c r="Z13" s="92">
        <v>74422.656800558514</v>
      </c>
      <c r="AA13" s="92">
        <v>106517.21659454532</v>
      </c>
      <c r="AB13" s="58">
        <v>0.40611252729925146</v>
      </c>
      <c r="AC13" s="58">
        <v>0.20539131129076096</v>
      </c>
      <c r="AD13" s="93">
        <v>274247.49031005841</v>
      </c>
      <c r="AE13" s="93">
        <v>274041.44658793719</v>
      </c>
      <c r="AF13" s="93">
        <v>74794.7700845613</v>
      </c>
      <c r="AG13" s="93">
        <v>102560.90040210618</v>
      </c>
      <c r="AH13" s="58">
        <v>0.53268938590455794</v>
      </c>
      <c r="AI13" s="58">
        <v>0.24868758862154636</v>
      </c>
      <c r="AJ13" s="59"/>
      <c r="AK13" s="60"/>
      <c r="AL13" s="60"/>
      <c r="AM13" s="60"/>
      <c r="AN13" s="60"/>
      <c r="AO13" s="60"/>
    </row>
    <row r="14" spans="1:60" s="68" customFormat="1" ht="24" customHeight="1">
      <c r="A14" s="156" t="s">
        <v>148</v>
      </c>
      <c r="B14" s="157"/>
      <c r="C14" s="64" t="s">
        <v>27</v>
      </c>
      <c r="D14" s="64">
        <v>3</v>
      </c>
      <c r="E14" s="64">
        <f>COUNTA(E6:E13)</f>
        <v>2</v>
      </c>
      <c r="F14" s="95">
        <v>634542.41857917025</v>
      </c>
      <c r="G14" s="95">
        <v>700000</v>
      </c>
      <c r="H14" s="95">
        <v>348599.16057868017</v>
      </c>
      <c r="I14" s="96">
        <v>500000</v>
      </c>
      <c r="J14" s="66">
        <v>1</v>
      </c>
      <c r="K14" s="66">
        <v>1</v>
      </c>
      <c r="L14" s="95">
        <v>641088.63065141579</v>
      </c>
      <c r="M14" s="95">
        <v>707147.76121659763</v>
      </c>
      <c r="N14" s="95">
        <v>363383.61614586908</v>
      </c>
      <c r="O14" s="96">
        <v>520342.76575812121</v>
      </c>
      <c r="P14" s="66">
        <v>1</v>
      </c>
      <c r="Q14" s="66">
        <v>0.99999999999999989</v>
      </c>
      <c r="R14" s="95">
        <v>655952.93873593793</v>
      </c>
      <c r="S14" s="95">
        <v>723172.17632823577</v>
      </c>
      <c r="T14" s="95">
        <v>368506.94566807518</v>
      </c>
      <c r="U14" s="96">
        <v>527577.05939848104</v>
      </c>
      <c r="V14" s="66">
        <v>1</v>
      </c>
      <c r="W14" s="66">
        <v>1</v>
      </c>
      <c r="X14" s="95">
        <v>671939.56500214688</v>
      </c>
      <c r="Y14" s="95">
        <v>740377.71669412195</v>
      </c>
      <c r="Z14" s="95">
        <v>362345.69190321071</v>
      </c>
      <c r="AA14" s="96">
        <v>518606.2444664705</v>
      </c>
      <c r="AB14" s="66">
        <v>1.0000000000000002</v>
      </c>
      <c r="AC14" s="66">
        <v>1</v>
      </c>
      <c r="AD14" s="137">
        <v>514835.65764007054</v>
      </c>
      <c r="AE14" s="137">
        <v>514448.85863942711</v>
      </c>
      <c r="AF14" s="137">
        <v>300757.95297683409</v>
      </c>
      <c r="AG14" s="137">
        <v>412408.60056825646</v>
      </c>
      <c r="AH14" s="66">
        <v>1</v>
      </c>
      <c r="AI14" s="66">
        <v>1</v>
      </c>
      <c r="AJ14" s="67">
        <f t="shared" ref="AJ14:AO14" si="0">SUM(AJ6:AJ13)</f>
        <v>2</v>
      </c>
      <c r="AK14" s="67">
        <f t="shared" si="0"/>
        <v>0</v>
      </c>
      <c r="AL14" s="67">
        <f t="shared" si="0"/>
        <v>0</v>
      </c>
      <c r="AM14" s="67">
        <f t="shared" si="0"/>
        <v>0</v>
      </c>
      <c r="AN14" s="67">
        <f t="shared" si="0"/>
        <v>0</v>
      </c>
      <c r="AO14" s="67">
        <f t="shared" si="0"/>
        <v>0</v>
      </c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</row>
    <row r="15" spans="1:60" s="48" customFormat="1">
      <c r="A15" s="47"/>
      <c r="E15" s="47"/>
      <c r="F15" s="49"/>
      <c r="G15" s="6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</row>
  </sheetData>
  <mergeCells count="16">
    <mergeCell ref="C6:C9"/>
    <mergeCell ref="D6:D12"/>
    <mergeCell ref="C10:C12"/>
    <mergeCell ref="A14:B14"/>
    <mergeCell ref="AD4:AI4"/>
    <mergeCell ref="AK4:AO4"/>
    <mergeCell ref="A2:AO3"/>
    <mergeCell ref="A4:A5"/>
    <mergeCell ref="B4:B5"/>
    <mergeCell ref="C4:C5"/>
    <mergeCell ref="D4:D5"/>
    <mergeCell ref="E4:E5"/>
    <mergeCell ref="F4:K4"/>
    <mergeCell ref="L4:Q4"/>
    <mergeCell ref="R4:W4"/>
    <mergeCell ref="X4:AC4"/>
  </mergeCells>
  <pageMargins left="0.7" right="0.7" top="0.75" bottom="0.75" header="0.3" footer="0.3"/>
  <pageSetup scale="1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"/>
  <sheetViews>
    <sheetView topLeftCell="A2" zoomScale="70" zoomScaleNormal="70" workbookViewId="0">
      <selection activeCell="G25" sqref="G25"/>
    </sheetView>
  </sheetViews>
  <sheetFormatPr baseColWidth="10" defaultColWidth="11.42578125" defaultRowHeight="15"/>
  <cols>
    <col min="1" max="1" width="8.5703125" style="71" customWidth="1"/>
    <col min="2" max="2" width="72.28515625" style="75" customWidth="1"/>
    <col min="3" max="3" width="34.42578125" style="72" customWidth="1"/>
    <col min="4" max="4" width="28.85546875" style="71" customWidth="1"/>
    <col min="5" max="5" width="17.5703125" style="71" customWidth="1"/>
    <col min="6" max="35" width="28.85546875" style="73" customWidth="1"/>
    <col min="36" max="36" width="19.28515625" style="73" customWidth="1"/>
    <col min="37" max="37" width="9.5703125" style="74" customWidth="1"/>
    <col min="38" max="38" width="10.28515625" style="74" customWidth="1"/>
    <col min="39" max="39" width="11.42578125" style="74"/>
    <col min="40" max="40" width="11" style="74" customWidth="1"/>
    <col min="41" max="41" width="10.28515625" style="74" customWidth="1"/>
    <col min="42" max="16384" width="11.42578125" style="75"/>
  </cols>
  <sheetData>
    <row r="1" spans="1:41" s="48" customFormat="1">
      <c r="A1" s="47"/>
      <c r="C1" s="47"/>
      <c r="D1" s="47"/>
      <c r="E1" s="47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</row>
    <row r="2" spans="1:41" s="48" customFormat="1">
      <c r="A2" s="165" t="s">
        <v>129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</row>
    <row r="3" spans="1:41" s="48" customFormat="1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</row>
    <row r="4" spans="1:41" s="48" customFormat="1" ht="48.75" customHeight="1">
      <c r="A4" s="142" t="s">
        <v>1</v>
      </c>
      <c r="B4" s="142" t="s">
        <v>2</v>
      </c>
      <c r="C4" s="142" t="s">
        <v>3</v>
      </c>
      <c r="D4" s="143" t="s">
        <v>4</v>
      </c>
      <c r="E4" s="143" t="s">
        <v>5</v>
      </c>
      <c r="F4" s="144" t="s">
        <v>124</v>
      </c>
      <c r="G4" s="145"/>
      <c r="H4" s="145"/>
      <c r="I4" s="145"/>
      <c r="J4" s="145"/>
      <c r="K4" s="164"/>
      <c r="L4" s="144" t="s">
        <v>125</v>
      </c>
      <c r="M4" s="145"/>
      <c r="N4" s="145"/>
      <c r="O4" s="145"/>
      <c r="P4" s="145"/>
      <c r="Q4" s="164"/>
      <c r="R4" s="144" t="s">
        <v>126</v>
      </c>
      <c r="S4" s="145"/>
      <c r="T4" s="145"/>
      <c r="U4" s="145"/>
      <c r="V4" s="145"/>
      <c r="W4" s="164"/>
      <c r="X4" s="144" t="s">
        <v>127</v>
      </c>
      <c r="Y4" s="145"/>
      <c r="Z4" s="145"/>
      <c r="AA4" s="145"/>
      <c r="AB4" s="145"/>
      <c r="AC4" s="164"/>
      <c r="AD4" s="144" t="s">
        <v>128</v>
      </c>
      <c r="AE4" s="145"/>
      <c r="AF4" s="145"/>
      <c r="AG4" s="145"/>
      <c r="AH4" s="145"/>
      <c r="AI4" s="164"/>
      <c r="AJ4" s="52" t="s">
        <v>11</v>
      </c>
      <c r="AK4" s="147" t="s">
        <v>12</v>
      </c>
      <c r="AL4" s="148"/>
      <c r="AM4" s="148"/>
      <c r="AN4" s="148"/>
      <c r="AO4" s="149"/>
    </row>
    <row r="5" spans="1:41" s="48" customFormat="1" ht="31.5">
      <c r="A5" s="142"/>
      <c r="B5" s="142"/>
      <c r="C5" s="142"/>
      <c r="D5" s="143"/>
      <c r="E5" s="143"/>
      <c r="F5" s="52" t="s">
        <v>13</v>
      </c>
      <c r="G5" s="52" t="s">
        <v>14</v>
      </c>
      <c r="H5" s="52" t="s">
        <v>15</v>
      </c>
      <c r="I5" s="52" t="s">
        <v>16</v>
      </c>
      <c r="J5" s="53" t="s">
        <v>17</v>
      </c>
      <c r="K5" s="53" t="s">
        <v>18</v>
      </c>
      <c r="L5" s="52" t="s">
        <v>13</v>
      </c>
      <c r="M5" s="52" t="s">
        <v>14</v>
      </c>
      <c r="N5" s="52" t="s">
        <v>15</v>
      </c>
      <c r="O5" s="52" t="s">
        <v>16</v>
      </c>
      <c r="P5" s="53" t="s">
        <v>17</v>
      </c>
      <c r="Q5" s="53" t="s">
        <v>18</v>
      </c>
      <c r="R5" s="52" t="s">
        <v>13</v>
      </c>
      <c r="S5" s="52" t="s">
        <v>14</v>
      </c>
      <c r="T5" s="52" t="s">
        <v>15</v>
      </c>
      <c r="U5" s="52" t="s">
        <v>16</v>
      </c>
      <c r="V5" s="53" t="s">
        <v>17</v>
      </c>
      <c r="W5" s="53" t="s">
        <v>18</v>
      </c>
      <c r="X5" s="52" t="s">
        <v>13</v>
      </c>
      <c r="Y5" s="52" t="s">
        <v>14</v>
      </c>
      <c r="Z5" s="52" t="s">
        <v>15</v>
      </c>
      <c r="AA5" s="52" t="s">
        <v>16</v>
      </c>
      <c r="AB5" s="53" t="s">
        <v>17</v>
      </c>
      <c r="AC5" s="53" t="s">
        <v>18</v>
      </c>
      <c r="AD5" s="52" t="s">
        <v>13</v>
      </c>
      <c r="AE5" s="52" t="s">
        <v>14</v>
      </c>
      <c r="AF5" s="52" t="s">
        <v>15</v>
      </c>
      <c r="AG5" s="52" t="s">
        <v>16</v>
      </c>
      <c r="AH5" s="53" t="s">
        <v>17</v>
      </c>
      <c r="AI5" s="53" t="s">
        <v>18</v>
      </c>
      <c r="AJ5" s="52">
        <v>2018</v>
      </c>
      <c r="AK5" s="52">
        <v>2019</v>
      </c>
      <c r="AL5" s="52">
        <v>2020</v>
      </c>
      <c r="AM5" s="52">
        <v>2021</v>
      </c>
      <c r="AN5" s="52">
        <v>2022</v>
      </c>
      <c r="AO5" s="52">
        <v>2023</v>
      </c>
    </row>
    <row r="6" spans="1:41" s="48" customFormat="1" ht="18">
      <c r="A6" s="54">
        <v>1</v>
      </c>
      <c r="B6" s="78" t="s">
        <v>71</v>
      </c>
      <c r="C6" s="188" t="s">
        <v>72</v>
      </c>
      <c r="D6" s="188" t="s">
        <v>73</v>
      </c>
      <c r="E6" s="56" t="s">
        <v>22</v>
      </c>
      <c r="F6" s="57">
        <v>79006.749753599986</v>
      </c>
      <c r="G6" s="57">
        <v>129540.09628958852</v>
      </c>
      <c r="H6" s="57">
        <v>38443.645439999993</v>
      </c>
      <c r="I6" s="57">
        <v>101469.62183919513</v>
      </c>
      <c r="J6" s="58">
        <v>0.25908019257917703</v>
      </c>
      <c r="K6" s="58">
        <v>0.18449022152580932</v>
      </c>
      <c r="L6" s="57">
        <v>86907.424728959988</v>
      </c>
      <c r="M6" s="57">
        <v>142200.31405968496</v>
      </c>
      <c r="N6" s="57">
        <v>38828.081894399991</v>
      </c>
      <c r="O6" s="57">
        <v>102475.15546858749</v>
      </c>
      <c r="P6" s="58">
        <v>0.27204779325735073</v>
      </c>
      <c r="Q6" s="58">
        <v>0.18457324862681185</v>
      </c>
      <c r="R6" s="57">
        <v>87776.498976249582</v>
      </c>
      <c r="S6" s="57">
        <v>143612.20048122754</v>
      </c>
      <c r="T6" s="57">
        <v>39216.362713343995</v>
      </c>
      <c r="U6" s="57">
        <v>103490.60797190058</v>
      </c>
      <c r="V6" s="58">
        <v>0.27246218539114081</v>
      </c>
      <c r="W6" s="58">
        <v>0.18465196921570537</v>
      </c>
      <c r="X6" s="57">
        <v>88654.263966012077</v>
      </c>
      <c r="Y6" s="57">
        <v>145038.06777307199</v>
      </c>
      <c r="Z6" s="57">
        <v>39608.526340477438</v>
      </c>
      <c r="AA6" s="57">
        <v>104516.07302565276</v>
      </c>
      <c r="AB6" s="58">
        <v>0.27287296892791224</v>
      </c>
      <c r="AC6" s="58">
        <v>0.18472603986871847</v>
      </c>
      <c r="AD6" s="57">
        <v>89540.806605672202</v>
      </c>
      <c r="AE6" s="57">
        <v>146413.05922047672</v>
      </c>
      <c r="AF6" s="57">
        <v>40004.611603882215</v>
      </c>
      <c r="AG6" s="57">
        <v>105551.64475757403</v>
      </c>
      <c r="AH6" s="58">
        <v>0.26934946992553382</v>
      </c>
      <c r="AI6" s="58">
        <v>0.18479508683441939</v>
      </c>
      <c r="AJ6" s="59">
        <v>1</v>
      </c>
      <c r="AK6" s="60">
        <v>0</v>
      </c>
      <c r="AL6" s="60">
        <v>0</v>
      </c>
      <c r="AM6" s="60">
        <v>0</v>
      </c>
      <c r="AN6" s="60">
        <v>0</v>
      </c>
      <c r="AO6" s="60">
        <v>0</v>
      </c>
    </row>
    <row r="7" spans="1:41" s="48" customFormat="1" ht="18">
      <c r="A7" s="54">
        <v>2</v>
      </c>
      <c r="B7" s="78" t="s">
        <v>61</v>
      </c>
      <c r="C7" s="188"/>
      <c r="D7" s="188"/>
      <c r="E7" s="56"/>
      <c r="F7" s="57">
        <v>120917.71885432611</v>
      </c>
      <c r="G7" s="57">
        <v>198257.65510361438</v>
      </c>
      <c r="H7" s="57">
        <v>140853.5467318384</v>
      </c>
      <c r="I7" s="57">
        <v>371774.21542646096</v>
      </c>
      <c r="J7" s="58">
        <v>0.39651531020722874</v>
      </c>
      <c r="K7" s="58">
        <v>0.67595311895720178</v>
      </c>
      <c r="L7" s="57">
        <v>126963.60479704243</v>
      </c>
      <c r="M7" s="57">
        <v>207741.33547962524</v>
      </c>
      <c r="N7" s="57">
        <v>142262.08219915678</v>
      </c>
      <c r="O7" s="57">
        <v>375458.38680087193</v>
      </c>
      <c r="P7" s="58">
        <v>0.39743633661628947</v>
      </c>
      <c r="Q7" s="58">
        <v>0.67625732168088259</v>
      </c>
      <c r="R7" s="57">
        <v>128233.24084501286</v>
      </c>
      <c r="S7" s="57">
        <v>209803.96925576238</v>
      </c>
      <c r="T7" s="57">
        <v>143684.70302114834</v>
      </c>
      <c r="U7" s="57">
        <v>379178.89990498434</v>
      </c>
      <c r="V7" s="58">
        <v>0.3980417246975681</v>
      </c>
      <c r="W7" s="58">
        <v>0.676545745788939</v>
      </c>
      <c r="X7" s="57">
        <v>129515.57325346299</v>
      </c>
      <c r="Y7" s="57">
        <v>211887.02777348235</v>
      </c>
      <c r="Z7" s="57">
        <v>145121.55005135981</v>
      </c>
      <c r="AA7" s="57">
        <v>382936.09795988729</v>
      </c>
      <c r="AB7" s="58">
        <v>0.39864184095670746</v>
      </c>
      <c r="AC7" s="58">
        <v>0.67681713301213864</v>
      </c>
      <c r="AD7" s="57">
        <v>130810.72898599763</v>
      </c>
      <c r="AE7" s="57">
        <v>213895.76144925345</v>
      </c>
      <c r="AF7" s="57">
        <v>146572.7655518734</v>
      </c>
      <c r="AG7" s="57">
        <v>386730.32583986281</v>
      </c>
      <c r="AH7" s="58">
        <v>0.39349433904607178</v>
      </c>
      <c r="AI7" s="58">
        <v>0.67707011396383388</v>
      </c>
      <c r="AJ7" s="59">
        <v>0</v>
      </c>
      <c r="AK7" s="60">
        <v>0</v>
      </c>
      <c r="AL7" s="60">
        <v>0</v>
      </c>
      <c r="AM7" s="60">
        <v>0</v>
      </c>
      <c r="AN7" s="60">
        <v>0</v>
      </c>
      <c r="AO7" s="60">
        <v>0</v>
      </c>
    </row>
    <row r="8" spans="1:41" s="48" customFormat="1" ht="18">
      <c r="A8" s="54">
        <v>3</v>
      </c>
      <c r="B8" s="79" t="s">
        <v>57</v>
      </c>
      <c r="C8" s="188"/>
      <c r="D8" s="188"/>
      <c r="E8" s="56"/>
      <c r="F8" s="57">
        <v>104670.47714781662</v>
      </c>
      <c r="G8" s="57">
        <v>171618.54817078478</v>
      </c>
      <c r="H8" s="57">
        <v>28546.493767586348</v>
      </c>
      <c r="I8" s="57">
        <v>75346.702797806473</v>
      </c>
      <c r="J8" s="58">
        <v>0.34323709634156957</v>
      </c>
      <c r="K8" s="58">
        <v>0.13699400508692086</v>
      </c>
      <c r="L8" s="57">
        <v>105193.82953355569</v>
      </c>
      <c r="M8" s="57">
        <v>172121.0315857853</v>
      </c>
      <c r="N8" s="57">
        <v>28689.226236424278</v>
      </c>
      <c r="O8" s="57">
        <v>75716.666273825671</v>
      </c>
      <c r="P8" s="58">
        <v>0.32929003797022555</v>
      </c>
      <c r="Q8" s="58">
        <v>0.1363771638642316</v>
      </c>
      <c r="R8" s="57">
        <v>105719.79868122346</v>
      </c>
      <c r="S8" s="57">
        <v>172969.45196174865</v>
      </c>
      <c r="T8" s="57">
        <v>28832.672367606396</v>
      </c>
      <c r="U8" s="57">
        <v>76088.412752335164</v>
      </c>
      <c r="V8" s="58">
        <v>0.32815899157235134</v>
      </c>
      <c r="W8" s="58">
        <v>0.13575990637750288</v>
      </c>
      <c r="X8" s="57">
        <v>106248.39767462957</v>
      </c>
      <c r="Y8" s="57">
        <v>173822.00938040699</v>
      </c>
      <c r="Z8" s="57">
        <v>28976.835729444425</v>
      </c>
      <c r="AA8" s="57">
        <v>76461.947943162275</v>
      </c>
      <c r="AB8" s="58">
        <v>0.32702674885919325</v>
      </c>
      <c r="AC8" s="58">
        <v>0.13514201629754788</v>
      </c>
      <c r="AD8" s="57">
        <v>111560.81755836104</v>
      </c>
      <c r="AE8" s="57">
        <v>182419.18078524873</v>
      </c>
      <c r="AF8" s="57">
        <v>29121.719908091643</v>
      </c>
      <c r="AG8" s="57">
        <v>76837.277284555923</v>
      </c>
      <c r="AH8" s="58">
        <v>0.33558830004888751</v>
      </c>
      <c r="AI8" s="58">
        <v>0.13452325977990967</v>
      </c>
      <c r="AJ8" s="59">
        <v>0</v>
      </c>
      <c r="AK8" s="60"/>
      <c r="AL8" s="60">
        <v>0</v>
      </c>
      <c r="AM8" s="60">
        <v>0</v>
      </c>
      <c r="AN8" s="60">
        <v>0</v>
      </c>
      <c r="AO8" s="60">
        <v>0</v>
      </c>
    </row>
    <row r="9" spans="1:41" s="48" customFormat="1" ht="18">
      <c r="A9" s="80">
        <v>4</v>
      </c>
      <c r="B9" s="79" t="s">
        <v>56</v>
      </c>
      <c r="C9" s="189"/>
      <c r="D9" s="189"/>
      <c r="E9" s="56"/>
      <c r="F9" s="57">
        <v>356</v>
      </c>
      <c r="G9" s="57">
        <v>583.70043601233181</v>
      </c>
      <c r="H9" s="57">
        <v>534</v>
      </c>
      <c r="I9" s="57">
        <v>1409.459936537439</v>
      </c>
      <c r="J9" s="58">
        <v>1.1674008720246637E-3</v>
      </c>
      <c r="K9" s="58">
        <v>2.5626544300680711E-3</v>
      </c>
      <c r="L9" s="57">
        <v>391.6</v>
      </c>
      <c r="M9" s="57">
        <v>640.74666991273307</v>
      </c>
      <c r="N9" s="57">
        <v>587.40000000000009</v>
      </c>
      <c r="O9" s="57">
        <v>1550.2673164735911</v>
      </c>
      <c r="P9" s="58">
        <v>1.2258321561342785E-3</v>
      </c>
      <c r="Q9" s="58">
        <v>2.7922658280739336E-3</v>
      </c>
      <c r="R9" s="57">
        <v>430.76000000000005</v>
      </c>
      <c r="S9" s="57">
        <v>704.77168947046084</v>
      </c>
      <c r="T9" s="57">
        <v>646.1400000000001</v>
      </c>
      <c r="U9" s="57">
        <v>1705.1408342928871</v>
      </c>
      <c r="V9" s="58">
        <v>1.3370983389397256E-3</v>
      </c>
      <c r="W9" s="58">
        <v>3.0423786178527565E-3</v>
      </c>
      <c r="X9" s="57">
        <v>473.83600000000007</v>
      </c>
      <c r="Y9" s="57">
        <v>775.19404941051209</v>
      </c>
      <c r="Z9" s="57">
        <v>710.75400000000013</v>
      </c>
      <c r="AA9" s="57">
        <v>1875.4855035179626</v>
      </c>
      <c r="AB9" s="58">
        <v>1.4584412561870191E-3</v>
      </c>
      <c r="AC9" s="58">
        <v>3.3148108215951496E-3</v>
      </c>
      <c r="AD9" s="57">
        <v>521.21960000000013</v>
      </c>
      <c r="AE9" s="57">
        <v>852.27461148243572</v>
      </c>
      <c r="AF9" s="57">
        <v>781.82940000000019</v>
      </c>
      <c r="AG9" s="57">
        <v>2062.846651455025</v>
      </c>
      <c r="AH9" s="58">
        <v>1.5678909795068274E-3</v>
      </c>
      <c r="AI9" s="58">
        <v>3.6115394218370887E-3</v>
      </c>
      <c r="AJ9" s="59">
        <v>0</v>
      </c>
      <c r="AK9" s="60">
        <v>0</v>
      </c>
      <c r="AL9" s="60">
        <v>0</v>
      </c>
      <c r="AM9" s="60">
        <v>0</v>
      </c>
      <c r="AN9" s="60">
        <v>0</v>
      </c>
      <c r="AO9" s="60">
        <v>0</v>
      </c>
    </row>
    <row r="10" spans="1:41" s="68" customFormat="1" ht="20.25">
      <c r="A10" s="156" t="s">
        <v>73</v>
      </c>
      <c r="B10" s="157"/>
      <c r="C10" s="64" t="s">
        <v>27</v>
      </c>
      <c r="D10" s="64">
        <v>1</v>
      </c>
      <c r="E10" s="64">
        <f>COUNTA(E6:E8)</f>
        <v>1</v>
      </c>
      <c r="F10" s="65">
        <v>304950.94575574272</v>
      </c>
      <c r="G10" s="65">
        <v>500000</v>
      </c>
      <c r="H10" s="65">
        <v>208377.68593942473</v>
      </c>
      <c r="I10" s="65">
        <v>550000</v>
      </c>
      <c r="J10" s="66">
        <v>1</v>
      </c>
      <c r="K10" s="66">
        <v>0.99743734556993191</v>
      </c>
      <c r="L10" s="65">
        <v>319456.45905955811</v>
      </c>
      <c r="M10" s="65">
        <v>522703.42779500823</v>
      </c>
      <c r="N10" s="65">
        <v>210366.79032998104</v>
      </c>
      <c r="O10" s="65">
        <v>555200.47585975868</v>
      </c>
      <c r="P10" s="66">
        <v>1</v>
      </c>
      <c r="Q10" s="66">
        <v>0.99999999999999989</v>
      </c>
      <c r="R10" s="65">
        <v>322160.29850248591</v>
      </c>
      <c r="S10" s="65">
        <v>527090.39338820905</v>
      </c>
      <c r="T10" s="65">
        <v>212379.87810209874</v>
      </c>
      <c r="U10" s="65">
        <v>560463.06146351295</v>
      </c>
      <c r="V10" s="66">
        <v>0.99999999999999989</v>
      </c>
      <c r="W10" s="66">
        <v>1</v>
      </c>
      <c r="X10" s="65">
        <v>324892.07089410466</v>
      </c>
      <c r="Y10" s="65">
        <v>531522.29897637188</v>
      </c>
      <c r="Z10" s="65">
        <v>214417.66612128165</v>
      </c>
      <c r="AA10" s="65">
        <v>565789.60443222022</v>
      </c>
      <c r="AB10" s="66">
        <v>1</v>
      </c>
      <c r="AC10" s="66">
        <v>1.0000000000000002</v>
      </c>
      <c r="AD10" s="65">
        <v>332433.5727500309</v>
      </c>
      <c r="AE10" s="65">
        <v>543580.27606646135</v>
      </c>
      <c r="AF10" s="65">
        <v>216480.92646384725</v>
      </c>
      <c r="AG10" s="65">
        <v>571182.09453344776</v>
      </c>
      <c r="AH10" s="66">
        <v>0.99999999999999989</v>
      </c>
      <c r="AI10" s="66">
        <v>1</v>
      </c>
      <c r="AJ10" s="67">
        <v>1</v>
      </c>
      <c r="AK10" s="67">
        <v>0</v>
      </c>
      <c r="AL10" s="67">
        <v>0</v>
      </c>
      <c r="AM10" s="67">
        <v>0</v>
      </c>
      <c r="AN10" s="67">
        <v>0</v>
      </c>
      <c r="AO10" s="67">
        <v>0</v>
      </c>
    </row>
    <row r="11" spans="1:41" s="48" customFormat="1">
      <c r="A11" s="47"/>
      <c r="E11" s="47"/>
      <c r="F11" s="49"/>
      <c r="G11" s="6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</row>
  </sheetData>
  <mergeCells count="15">
    <mergeCell ref="C6:C9"/>
    <mergeCell ref="D6:D9"/>
    <mergeCell ref="A10:B10"/>
    <mergeCell ref="A2:AO3"/>
    <mergeCell ref="A4:A5"/>
    <mergeCell ref="B4:B5"/>
    <mergeCell ref="C4:C5"/>
    <mergeCell ref="D4:D5"/>
    <mergeCell ref="E4:E5"/>
    <mergeCell ref="F4:K4"/>
    <mergeCell ref="L4:Q4"/>
    <mergeCell ref="R4:W4"/>
    <mergeCell ref="X4:AC4"/>
    <mergeCell ref="AD4:AI4"/>
    <mergeCell ref="AK4:AO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1"/>
  <sheetViews>
    <sheetView zoomScale="59" zoomScaleNormal="59" workbookViewId="0">
      <selection activeCell="B27" sqref="B27"/>
    </sheetView>
  </sheetViews>
  <sheetFormatPr baseColWidth="10" defaultColWidth="11.42578125" defaultRowHeight="15"/>
  <cols>
    <col min="1" max="1" width="8.5703125" style="71" customWidth="1"/>
    <col min="2" max="2" width="56.28515625" style="75" customWidth="1"/>
    <col min="3" max="3" width="35.42578125" style="72" customWidth="1"/>
    <col min="4" max="4" width="24" style="71" customWidth="1"/>
    <col min="5" max="5" width="17.5703125" style="71" customWidth="1"/>
    <col min="6" max="6" width="22.7109375" style="73" customWidth="1"/>
    <col min="7" max="7" width="21.5703125" style="73" customWidth="1"/>
    <col min="8" max="8" width="24" style="73" customWidth="1"/>
    <col min="9" max="9" width="21.28515625" style="73" customWidth="1"/>
    <col min="10" max="10" width="20.28515625" style="73" customWidth="1"/>
    <col min="11" max="11" width="21.28515625" style="73" customWidth="1"/>
    <col min="12" max="12" width="22.42578125" style="73" customWidth="1"/>
    <col min="13" max="13" width="23.7109375" style="73" customWidth="1"/>
    <col min="14" max="14" width="23.42578125" style="73" customWidth="1"/>
    <col min="15" max="15" width="22.140625" style="73" customWidth="1"/>
    <col min="16" max="16" width="19.140625" style="73" customWidth="1"/>
    <col min="17" max="17" width="17.140625" style="73" customWidth="1"/>
    <col min="18" max="18" width="23.42578125" style="73" customWidth="1"/>
    <col min="19" max="19" width="21.28515625" style="73" customWidth="1"/>
    <col min="20" max="20" width="21.85546875" style="73" customWidth="1"/>
    <col min="21" max="21" width="21" style="73" customWidth="1"/>
    <col min="22" max="22" width="17.28515625" style="73" customWidth="1"/>
    <col min="23" max="23" width="20" style="73" customWidth="1"/>
    <col min="24" max="24" width="20.5703125" style="73" customWidth="1"/>
    <col min="25" max="25" width="24" style="73" customWidth="1"/>
    <col min="26" max="26" width="20.7109375" style="73" customWidth="1"/>
    <col min="27" max="27" width="19.7109375" style="73" customWidth="1"/>
    <col min="28" max="28" width="18.7109375" style="73" customWidth="1"/>
    <col min="29" max="29" width="17.5703125" style="73" customWidth="1"/>
    <col min="30" max="30" width="22.140625" style="73" customWidth="1"/>
    <col min="31" max="31" width="21.85546875" style="73" customWidth="1"/>
    <col min="32" max="33" width="21" style="73" customWidth="1"/>
    <col min="34" max="34" width="18" style="73" customWidth="1"/>
    <col min="35" max="35" width="18.85546875" style="73" customWidth="1"/>
    <col min="36" max="36" width="19.28515625" style="73" customWidth="1"/>
    <col min="37" max="37" width="9.5703125" style="74" customWidth="1"/>
    <col min="38" max="38" width="10.28515625" style="74" customWidth="1"/>
    <col min="39" max="39" width="11.42578125" style="74" customWidth="1"/>
    <col min="40" max="40" width="11" style="74" customWidth="1"/>
    <col min="41" max="41" width="10.28515625" style="74" customWidth="1"/>
    <col min="42" max="16384" width="11.42578125" style="75"/>
  </cols>
  <sheetData>
    <row r="1" spans="1:41" s="48" customFormat="1" ht="31.5" customHeight="1">
      <c r="A1" s="47"/>
      <c r="C1" s="47"/>
      <c r="D1" s="47"/>
      <c r="E1" s="47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</row>
    <row r="2" spans="1:41" s="48" customFormat="1" ht="35.25" customHeight="1">
      <c r="A2" s="165" t="s">
        <v>131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</row>
    <row r="3" spans="1:41" s="48" customFormat="1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</row>
    <row r="4" spans="1:41" s="48" customFormat="1" ht="47.45" customHeight="1">
      <c r="A4" s="142" t="s">
        <v>1</v>
      </c>
      <c r="B4" s="142" t="s">
        <v>2</v>
      </c>
      <c r="C4" s="142" t="s">
        <v>3</v>
      </c>
      <c r="D4" s="143" t="s">
        <v>4</v>
      </c>
      <c r="E4" s="143" t="s">
        <v>5</v>
      </c>
      <c r="F4" s="144" t="s">
        <v>124</v>
      </c>
      <c r="G4" s="145"/>
      <c r="H4" s="145"/>
      <c r="I4" s="145"/>
      <c r="J4" s="145"/>
      <c r="K4" s="164"/>
      <c r="L4" s="144" t="s">
        <v>125</v>
      </c>
      <c r="M4" s="145"/>
      <c r="N4" s="145"/>
      <c r="O4" s="145"/>
      <c r="P4" s="145"/>
      <c r="Q4" s="164"/>
      <c r="R4" s="144" t="s">
        <v>126</v>
      </c>
      <c r="S4" s="145"/>
      <c r="T4" s="145"/>
      <c r="U4" s="145"/>
      <c r="V4" s="145"/>
      <c r="W4" s="164"/>
      <c r="X4" s="144" t="s">
        <v>127</v>
      </c>
      <c r="Y4" s="145"/>
      <c r="Z4" s="145"/>
      <c r="AA4" s="145"/>
      <c r="AB4" s="145"/>
      <c r="AC4" s="164"/>
      <c r="AD4" s="144" t="s">
        <v>128</v>
      </c>
      <c r="AE4" s="145"/>
      <c r="AF4" s="145"/>
      <c r="AG4" s="145"/>
      <c r="AH4" s="145"/>
      <c r="AI4" s="164"/>
      <c r="AJ4" s="52" t="s">
        <v>11</v>
      </c>
      <c r="AK4" s="147" t="s">
        <v>12</v>
      </c>
      <c r="AL4" s="148"/>
      <c r="AM4" s="148"/>
      <c r="AN4" s="148"/>
      <c r="AO4" s="149"/>
    </row>
    <row r="5" spans="1:41" s="48" customFormat="1" ht="43.15" customHeight="1">
      <c r="A5" s="142"/>
      <c r="B5" s="142"/>
      <c r="C5" s="142"/>
      <c r="D5" s="143"/>
      <c r="E5" s="143"/>
      <c r="F5" s="52" t="s">
        <v>13</v>
      </c>
      <c r="G5" s="52" t="s">
        <v>14</v>
      </c>
      <c r="H5" s="52" t="s">
        <v>15</v>
      </c>
      <c r="I5" s="52" t="s">
        <v>16</v>
      </c>
      <c r="J5" s="52" t="s">
        <v>17</v>
      </c>
      <c r="K5" s="52" t="s">
        <v>18</v>
      </c>
      <c r="L5" s="52" t="s">
        <v>13</v>
      </c>
      <c r="M5" s="52" t="s">
        <v>14</v>
      </c>
      <c r="N5" s="52" t="s">
        <v>15</v>
      </c>
      <c r="O5" s="52" t="s">
        <v>16</v>
      </c>
      <c r="P5" s="52" t="s">
        <v>17</v>
      </c>
      <c r="Q5" s="52" t="s">
        <v>18</v>
      </c>
      <c r="R5" s="52" t="s">
        <v>13</v>
      </c>
      <c r="S5" s="52" t="s">
        <v>14</v>
      </c>
      <c r="T5" s="52" t="s">
        <v>15</v>
      </c>
      <c r="U5" s="52" t="s">
        <v>16</v>
      </c>
      <c r="V5" s="52" t="s">
        <v>17</v>
      </c>
      <c r="W5" s="52" t="s">
        <v>18</v>
      </c>
      <c r="X5" s="52" t="s">
        <v>13</v>
      </c>
      <c r="Y5" s="52" t="s">
        <v>14</v>
      </c>
      <c r="Z5" s="52" t="s">
        <v>15</v>
      </c>
      <c r="AA5" s="52" t="s">
        <v>16</v>
      </c>
      <c r="AB5" s="52" t="s">
        <v>17</v>
      </c>
      <c r="AC5" s="52" t="s">
        <v>18</v>
      </c>
      <c r="AD5" s="52" t="s">
        <v>13</v>
      </c>
      <c r="AE5" s="52" t="s">
        <v>14</v>
      </c>
      <c r="AF5" s="52" t="s">
        <v>15</v>
      </c>
      <c r="AG5" s="52" t="s">
        <v>16</v>
      </c>
      <c r="AH5" s="52" t="s">
        <v>17</v>
      </c>
      <c r="AI5" s="52" t="s">
        <v>18</v>
      </c>
      <c r="AJ5" s="52">
        <v>2018</v>
      </c>
      <c r="AK5" s="52">
        <v>2019</v>
      </c>
      <c r="AL5" s="52">
        <v>2020</v>
      </c>
      <c r="AM5" s="52">
        <v>2021</v>
      </c>
      <c r="AN5" s="52">
        <v>2022</v>
      </c>
      <c r="AO5" s="52">
        <v>2023</v>
      </c>
    </row>
    <row r="6" spans="1:41" s="48" customFormat="1" ht="26.25" customHeight="1">
      <c r="A6" s="56">
        <v>1</v>
      </c>
      <c r="B6" s="63" t="s">
        <v>166</v>
      </c>
      <c r="C6" s="158" t="s">
        <v>154</v>
      </c>
      <c r="D6" s="161" t="s">
        <v>155</v>
      </c>
      <c r="E6" s="82" t="s">
        <v>22</v>
      </c>
      <c r="F6" s="128">
        <v>274797.6178608</v>
      </c>
      <c r="G6" s="128">
        <v>393400.05425682681</v>
      </c>
      <c r="H6" s="128">
        <v>1608692.0414399998</v>
      </c>
      <c r="I6" s="92">
        <v>2505891.6965826238</v>
      </c>
      <c r="J6" s="58">
        <v>7.7966461793035499E-2</v>
      </c>
      <c r="K6" s="58">
        <v>0.49663315270298697</v>
      </c>
      <c r="L6" s="92">
        <v>280293.57021801599</v>
      </c>
      <c r="M6" s="92">
        <v>401205.54999969236</v>
      </c>
      <c r="N6" s="92">
        <v>1640865.8822687999</v>
      </c>
      <c r="O6" s="92">
        <v>2555266.8786688247</v>
      </c>
      <c r="P6" s="58">
        <v>7.8533248161335639E-2</v>
      </c>
      <c r="Q6" s="58">
        <v>0.49793111528231293</v>
      </c>
      <c r="R6" s="92">
        <v>285899.44162237633</v>
      </c>
      <c r="S6" s="92">
        <v>403615.67223861685</v>
      </c>
      <c r="T6" s="92">
        <v>1673683.199914176</v>
      </c>
      <c r="U6" s="92">
        <v>2602186.7811957779</v>
      </c>
      <c r="V6" s="58">
        <v>8.9486140411588699E-2</v>
      </c>
      <c r="W6" s="58">
        <v>0.52824241373386971</v>
      </c>
      <c r="X6" s="92">
        <v>291617.43045482383</v>
      </c>
      <c r="Y6" s="92">
        <v>394834.41545646812</v>
      </c>
      <c r="Z6" s="92">
        <v>1707156.8639124595</v>
      </c>
      <c r="AA6" s="92">
        <v>2646616.8380621425</v>
      </c>
      <c r="AB6" s="58">
        <v>0.10974377578815987</v>
      </c>
      <c r="AC6" s="58">
        <v>0.56766494084854324</v>
      </c>
      <c r="AD6" s="57">
        <v>297449.77906392032</v>
      </c>
      <c r="AE6" s="57">
        <v>373348.4333783295</v>
      </c>
      <c r="AF6" s="57">
        <v>1741300.0011907087</v>
      </c>
      <c r="AG6" s="57">
        <v>2694763.4425566392</v>
      </c>
      <c r="AH6" s="58">
        <v>0.14217421817885312</v>
      </c>
      <c r="AI6" s="58">
        <v>0.603397516703291</v>
      </c>
      <c r="AJ6" s="52">
        <v>5</v>
      </c>
      <c r="AK6" s="52">
        <v>0</v>
      </c>
      <c r="AL6" s="52">
        <v>0</v>
      </c>
      <c r="AM6" s="52">
        <v>0</v>
      </c>
      <c r="AN6" s="52">
        <v>0</v>
      </c>
      <c r="AO6" s="52">
        <v>0</v>
      </c>
    </row>
    <row r="7" spans="1:41" s="48" customFormat="1" ht="24" customHeight="1">
      <c r="A7" s="56">
        <v>2</v>
      </c>
      <c r="B7" s="63" t="s">
        <v>156</v>
      </c>
      <c r="C7" s="159"/>
      <c r="D7" s="162"/>
      <c r="E7" s="82"/>
      <c r="F7" s="128">
        <v>654619.4492955507</v>
      </c>
      <c r="G7" s="128">
        <v>937152.6903151517</v>
      </c>
      <c r="H7" s="128">
        <v>762547.22687916725</v>
      </c>
      <c r="I7" s="92">
        <v>1187835.0329738245</v>
      </c>
      <c r="J7" s="58">
        <v>0.18573073041824259</v>
      </c>
      <c r="K7" s="58">
        <v>0.23541251129142576</v>
      </c>
      <c r="L7" s="92">
        <v>667711.83828146174</v>
      </c>
      <c r="M7" s="92">
        <v>955746.84467664175</v>
      </c>
      <c r="N7" s="92">
        <v>777798.17141675064</v>
      </c>
      <c r="O7" s="92">
        <v>1211239.7041020435</v>
      </c>
      <c r="P7" s="58">
        <v>0.18708092181791047</v>
      </c>
      <c r="Q7" s="58">
        <v>0.23602776749955121</v>
      </c>
      <c r="R7" s="92">
        <v>681066.075047091</v>
      </c>
      <c r="S7" s="92">
        <v>961488.20773888961</v>
      </c>
      <c r="T7" s="92">
        <v>793354.13484508567</v>
      </c>
      <c r="U7" s="92">
        <v>1233480.5312061191</v>
      </c>
      <c r="V7" s="58">
        <v>0.21317276478536351</v>
      </c>
      <c r="W7" s="58">
        <v>0.25039583545906657</v>
      </c>
      <c r="X7" s="92">
        <v>694687.39654803288</v>
      </c>
      <c r="Y7" s="92">
        <v>940569.60763019125</v>
      </c>
      <c r="Z7" s="92">
        <v>809221.21754198743</v>
      </c>
      <c r="AA7" s="92">
        <v>1254541.1293695825</v>
      </c>
      <c r="AB7" s="58">
        <v>0.26143025048510687</v>
      </c>
      <c r="AC7" s="58">
        <v>0.26908277985456058</v>
      </c>
      <c r="AD7" s="57">
        <v>708581.14447899349</v>
      </c>
      <c r="AE7" s="57">
        <v>889385.96977678745</v>
      </c>
      <c r="AF7" s="57">
        <v>825405.64189282723</v>
      </c>
      <c r="AG7" s="57">
        <v>1277363.4339469476</v>
      </c>
      <c r="AH7" s="58">
        <v>0.33868564484940822</v>
      </c>
      <c r="AI7" s="58">
        <v>0.28602062496436603</v>
      </c>
      <c r="AJ7" s="52">
        <v>0</v>
      </c>
      <c r="AK7" s="52">
        <v>0</v>
      </c>
      <c r="AL7" s="52">
        <v>0</v>
      </c>
      <c r="AM7" s="52">
        <v>0</v>
      </c>
      <c r="AN7" s="52">
        <v>0</v>
      </c>
      <c r="AO7" s="52">
        <v>0</v>
      </c>
    </row>
    <row r="8" spans="1:41" s="48" customFormat="1" ht="18" customHeight="1">
      <c r="A8" s="56">
        <v>3</v>
      </c>
      <c r="B8" s="63" t="s">
        <v>157</v>
      </c>
      <c r="C8" s="159"/>
      <c r="D8" s="162"/>
      <c r="E8" s="82"/>
      <c r="F8" s="128">
        <v>13101.441983999999</v>
      </c>
      <c r="G8" s="128">
        <v>18756.014071268641</v>
      </c>
      <c r="H8" s="128">
        <v>6996.9553919999989</v>
      </c>
      <c r="I8" s="92">
        <v>10899.297047853128</v>
      </c>
      <c r="J8" s="58">
        <v>3.7171831540280635E-3</v>
      </c>
      <c r="K8" s="58">
        <v>2.1600902634792635E-3</v>
      </c>
      <c r="L8" s="92">
        <v>13232.456403839999</v>
      </c>
      <c r="M8" s="92">
        <v>18940.623380051919</v>
      </c>
      <c r="N8" s="92">
        <v>7066.9249459199991</v>
      </c>
      <c r="O8" s="92">
        <v>11005.091545556115</v>
      </c>
      <c r="P8" s="58">
        <v>3.7074977557941405E-3</v>
      </c>
      <c r="Q8" s="58">
        <v>2.1445030078100567E-3</v>
      </c>
      <c r="R8" s="92">
        <v>11247.587943263998</v>
      </c>
      <c r="S8" s="92">
        <v>15878.669587538483</v>
      </c>
      <c r="T8" s="92">
        <v>5653.539956736</v>
      </c>
      <c r="U8" s="92">
        <v>8789.9352417082027</v>
      </c>
      <c r="V8" s="58">
        <v>3.5204798871626719E-3</v>
      </c>
      <c r="W8" s="58">
        <v>1.7843517775886393E-3</v>
      </c>
      <c r="X8" s="92">
        <v>8435.6909574479978</v>
      </c>
      <c r="Y8" s="92">
        <v>11421.474714185071</v>
      </c>
      <c r="Z8" s="92">
        <v>3957.4779697151998</v>
      </c>
      <c r="AA8" s="92">
        <v>6135.3048757945389</v>
      </c>
      <c r="AB8" s="58">
        <v>3.1745858798923761E-3</v>
      </c>
      <c r="AC8" s="58">
        <v>1.3159432182694782E-3</v>
      </c>
      <c r="AD8" s="57">
        <v>5483.1991223411987</v>
      </c>
      <c r="AE8" s="57">
        <v>6882.3174408463674</v>
      </c>
      <c r="AF8" s="57">
        <v>2572.36068031488</v>
      </c>
      <c r="AG8" s="57">
        <v>3980.8783768693497</v>
      </c>
      <c r="AH8" s="58">
        <v>2.6208442675303124E-3</v>
      </c>
      <c r="AI8" s="58">
        <v>8.9137773244461933E-4</v>
      </c>
      <c r="AJ8" s="52">
        <v>1</v>
      </c>
      <c r="AK8" s="52">
        <v>0</v>
      </c>
      <c r="AL8" s="52">
        <v>0</v>
      </c>
      <c r="AM8" s="52">
        <v>0</v>
      </c>
      <c r="AN8" s="52">
        <v>0</v>
      </c>
      <c r="AO8" s="52">
        <v>0</v>
      </c>
    </row>
    <row r="9" spans="1:41" s="48" customFormat="1" ht="22.5" customHeight="1">
      <c r="A9" s="56">
        <v>4</v>
      </c>
      <c r="B9" s="63" t="s">
        <v>158</v>
      </c>
      <c r="C9" s="159"/>
      <c r="D9" s="162"/>
      <c r="E9" s="82"/>
      <c r="F9" s="128">
        <v>31.536000000000001</v>
      </c>
      <c r="G9" s="128">
        <v>45.146912872176856</v>
      </c>
      <c r="H9" s="128">
        <v>63.072000000000003</v>
      </c>
      <c r="I9" s="92">
        <v>98.248513087303778</v>
      </c>
      <c r="J9" s="58">
        <v>8.9474950992866999E-6</v>
      </c>
      <c r="K9" s="58">
        <v>1.9471499454453595E-5</v>
      </c>
      <c r="L9" s="92">
        <v>34.689600000000006</v>
      </c>
      <c r="M9" s="92">
        <v>49.653868393927105</v>
      </c>
      <c r="N9" s="92">
        <v>69.379200000000012</v>
      </c>
      <c r="O9" s="92">
        <v>108.0419635414776</v>
      </c>
      <c r="P9" s="58">
        <v>9.7194058475850289E-6</v>
      </c>
      <c r="Q9" s="58">
        <v>2.1053556422069271E-5</v>
      </c>
      <c r="R9" s="92">
        <v>29.486160000000005</v>
      </c>
      <c r="S9" s="92">
        <v>41.626790953494336</v>
      </c>
      <c r="T9" s="92">
        <v>55.503360000000015</v>
      </c>
      <c r="U9" s="92">
        <v>86.294771741364627</v>
      </c>
      <c r="V9" s="58">
        <v>9.2291283920858721E-6</v>
      </c>
      <c r="W9" s="58">
        <v>1.7517788825414136E-5</v>
      </c>
      <c r="X9" s="92">
        <v>22.114620000000002</v>
      </c>
      <c r="Y9" s="92">
        <v>29.942013572794938</v>
      </c>
      <c r="Z9" s="92">
        <v>38.85235200000001</v>
      </c>
      <c r="AA9" s="92">
        <v>60.233064210548264</v>
      </c>
      <c r="AB9" s="58">
        <v>8.3223485480108431E-6</v>
      </c>
      <c r="AC9" s="58">
        <v>1.2919210042222423E-5</v>
      </c>
      <c r="AD9" s="57">
        <v>14.374503000000002</v>
      </c>
      <c r="AE9" s="57">
        <v>18.0423673284653</v>
      </c>
      <c r="AF9" s="57">
        <v>25.254028800000007</v>
      </c>
      <c r="AG9" s="57">
        <v>39.082084385790594</v>
      </c>
      <c r="AH9" s="58">
        <v>6.8706849679501782E-6</v>
      </c>
      <c r="AI9" s="58">
        <v>8.7510585506537846E-6</v>
      </c>
      <c r="AJ9" s="52">
        <v>1</v>
      </c>
      <c r="AK9" s="52">
        <v>0</v>
      </c>
      <c r="AL9" s="52">
        <v>0</v>
      </c>
      <c r="AM9" s="52">
        <v>0</v>
      </c>
      <c r="AN9" s="52">
        <v>0</v>
      </c>
      <c r="AO9" s="52">
        <v>0</v>
      </c>
    </row>
    <row r="10" spans="1:41" s="48" customFormat="1" ht="21.75" customHeight="1">
      <c r="A10" s="56">
        <v>5</v>
      </c>
      <c r="B10" s="63" t="s">
        <v>159</v>
      </c>
      <c r="C10" s="159"/>
      <c r="D10" s="162"/>
      <c r="E10" s="82"/>
      <c r="F10" s="128">
        <v>13.907376000000001</v>
      </c>
      <c r="G10" s="128">
        <v>19.909788576629992</v>
      </c>
      <c r="H10" s="128">
        <v>667.55404799999985</v>
      </c>
      <c r="I10" s="92">
        <v>1039.8622625160228</v>
      </c>
      <c r="J10" s="58">
        <v>3.9458453387854345E-6</v>
      </c>
      <c r="K10" s="58">
        <v>2.0608635022593678E-4</v>
      </c>
      <c r="L10" s="92">
        <v>15.298113600000002</v>
      </c>
      <c r="M10" s="92">
        <v>21.897355961721853</v>
      </c>
      <c r="N10" s="92">
        <v>734.30945279999992</v>
      </c>
      <c r="O10" s="92">
        <v>1143.5161421229984</v>
      </c>
      <c r="P10" s="58">
        <v>4.2862579787849977E-6</v>
      </c>
      <c r="Q10" s="58">
        <v>2.2283084117118108E-4</v>
      </c>
      <c r="R10" s="92">
        <v>13.003396560000002</v>
      </c>
      <c r="S10" s="92">
        <v>18.357414810491004</v>
      </c>
      <c r="T10" s="92">
        <v>587.44756223999991</v>
      </c>
      <c r="U10" s="92">
        <v>913.34386411060279</v>
      </c>
      <c r="V10" s="58">
        <v>4.07004562090987E-6</v>
      </c>
      <c r="W10" s="58">
        <v>1.8540827692818313E-4</v>
      </c>
      <c r="X10" s="92">
        <v>9.7525474200000026</v>
      </c>
      <c r="Y10" s="92">
        <v>13.204427985602569</v>
      </c>
      <c r="Z10" s="92">
        <v>411.21329356799993</v>
      </c>
      <c r="AA10" s="92">
        <v>637.50675160444246</v>
      </c>
      <c r="AB10" s="58">
        <v>3.6701557096727824E-6</v>
      </c>
      <c r="AC10" s="58">
        <v>1.3673691908688205E-4</v>
      </c>
      <c r="AD10" s="57">
        <v>6.3391558230000022</v>
      </c>
      <c r="AE10" s="57">
        <v>7.9566839918531995</v>
      </c>
      <c r="AF10" s="57">
        <v>267.28864081919994</v>
      </c>
      <c r="AG10" s="57">
        <v>413.6447811392074</v>
      </c>
      <c r="AH10" s="58">
        <v>3.0299720708660293E-6</v>
      </c>
      <c r="AI10" s="58">
        <v>9.2621203700119604E-5</v>
      </c>
      <c r="AJ10" s="52">
        <v>1</v>
      </c>
      <c r="AK10" s="52">
        <v>0</v>
      </c>
      <c r="AL10" s="52">
        <v>0</v>
      </c>
      <c r="AM10" s="52">
        <v>0</v>
      </c>
      <c r="AN10" s="52">
        <v>0</v>
      </c>
      <c r="AO10" s="52">
        <v>0</v>
      </c>
    </row>
    <row r="11" spans="1:41" s="48" customFormat="1" ht="24" customHeight="1">
      <c r="A11" s="56">
        <v>6</v>
      </c>
      <c r="B11" s="63" t="s">
        <v>160</v>
      </c>
      <c r="C11" s="159"/>
      <c r="D11" s="162"/>
      <c r="E11" s="82"/>
      <c r="F11" s="128">
        <v>14.60369088</v>
      </c>
      <c r="G11" s="128">
        <v>20.90663241284766</v>
      </c>
      <c r="H11" s="128">
        <v>14.317344</v>
      </c>
      <c r="I11" s="92">
        <v>22.302412470817956</v>
      </c>
      <c r="J11" s="58">
        <v>4.143406030577685E-6</v>
      </c>
      <c r="K11" s="58">
        <v>4.420030376160966E-6</v>
      </c>
      <c r="L11" s="92">
        <v>16.064059968000002</v>
      </c>
      <c r="M11" s="92">
        <v>22.993713375859762</v>
      </c>
      <c r="N11" s="92">
        <v>15.749078400000002</v>
      </c>
      <c r="O11" s="92">
        <v>24.525525723915411</v>
      </c>
      <c r="P11" s="58">
        <v>4.500862459899675E-6</v>
      </c>
      <c r="Q11" s="58">
        <v>4.7791573078097238E-6</v>
      </c>
      <c r="R11" s="92">
        <v>13.654450972800001</v>
      </c>
      <c r="S11" s="92">
        <v>19.276534354744154</v>
      </c>
      <c r="T11" s="92">
        <v>12.599262720000002</v>
      </c>
      <c r="U11" s="92">
        <v>19.588913185289766</v>
      </c>
      <c r="V11" s="58">
        <v>4.2738247758071252E-6</v>
      </c>
      <c r="W11" s="58">
        <v>3.9765380633690079E-6</v>
      </c>
      <c r="X11" s="92">
        <v>10.240838229600001</v>
      </c>
      <c r="Y11" s="92">
        <v>13.86554764528988</v>
      </c>
      <c r="Z11" s="92">
        <v>8.8194839040000002</v>
      </c>
      <c r="AA11" s="92">
        <v>13.672905575794452</v>
      </c>
      <c r="AB11" s="58">
        <v>3.8539131656128612E-6</v>
      </c>
      <c r="AC11" s="58">
        <v>2.9326606795844892E-6</v>
      </c>
      <c r="AD11" s="57">
        <v>6.6565448492400012</v>
      </c>
      <c r="AE11" s="57">
        <v>8.3550594624657109</v>
      </c>
      <c r="AF11" s="57">
        <v>5.7326645376000007</v>
      </c>
      <c r="AG11" s="57">
        <v>8.8716331555744627</v>
      </c>
      <c r="AH11" s="58">
        <v>3.1816767949583685E-6</v>
      </c>
      <c r="AI11" s="58">
        <v>1.9864902909984088E-6</v>
      </c>
      <c r="AJ11" s="52">
        <v>1</v>
      </c>
      <c r="AK11" s="52">
        <v>0</v>
      </c>
      <c r="AL11" s="52">
        <v>0</v>
      </c>
      <c r="AM11" s="52">
        <v>0</v>
      </c>
      <c r="AN11" s="52">
        <v>0</v>
      </c>
      <c r="AO11" s="52">
        <v>0</v>
      </c>
    </row>
    <row r="12" spans="1:41" s="48" customFormat="1" ht="24" customHeight="1">
      <c r="A12" s="56">
        <v>7</v>
      </c>
      <c r="B12" s="63" t="s">
        <v>57</v>
      </c>
      <c r="C12" s="159"/>
      <c r="D12" s="162"/>
      <c r="E12" s="56"/>
      <c r="F12" s="128">
        <v>2396091.5322034652</v>
      </c>
      <c r="G12" s="128">
        <v>3430242.7586932583</v>
      </c>
      <c r="H12" s="128">
        <v>653479.50878276327</v>
      </c>
      <c r="I12" s="92">
        <v>1017938.0719008141</v>
      </c>
      <c r="J12" s="58">
        <v>0.6798267770748625</v>
      </c>
      <c r="K12" s="58">
        <v>0.20174127820205759</v>
      </c>
      <c r="L12" s="92">
        <v>2420052.4475254999</v>
      </c>
      <c r="M12" s="92">
        <v>3464005.5156540386</v>
      </c>
      <c r="N12" s="92">
        <v>660014.30387059087</v>
      </c>
      <c r="O12" s="92">
        <v>1027818.7317760953</v>
      </c>
      <c r="P12" s="58">
        <v>0.67805543765110587</v>
      </c>
      <c r="Q12" s="58">
        <v>0.20028550899855077</v>
      </c>
      <c r="R12" s="92">
        <v>2057044.5803966748</v>
      </c>
      <c r="S12" s="92">
        <v>2904012.0765196569</v>
      </c>
      <c r="T12" s="92">
        <v>528011.44309647277</v>
      </c>
      <c r="U12" s="92">
        <v>820934.56970602565</v>
      </c>
      <c r="V12" s="58">
        <v>0.64385218491405183</v>
      </c>
      <c r="W12" s="58">
        <v>0.16664924353347579</v>
      </c>
      <c r="X12" s="92">
        <v>1542783.4352975062</v>
      </c>
      <c r="Y12" s="92">
        <v>2088846.3179363303</v>
      </c>
      <c r="Z12" s="92">
        <v>369608.01016753091</v>
      </c>
      <c r="AA12" s="92">
        <v>573005.79921529221</v>
      </c>
      <c r="AB12" s="58">
        <v>0.58059245343774302</v>
      </c>
      <c r="AC12" s="58">
        <v>0.12290230245628916</v>
      </c>
      <c r="AD12" s="57">
        <v>1002809.2329433791</v>
      </c>
      <c r="AE12" s="57">
        <v>1258690.6511578849</v>
      </c>
      <c r="AF12" s="57">
        <v>240245.2066088951</v>
      </c>
      <c r="AG12" s="57">
        <v>371793.48738093354</v>
      </c>
      <c r="AH12" s="58">
        <v>0.47931996831512869</v>
      </c>
      <c r="AI12" s="58">
        <v>8.3250078084505713E-2</v>
      </c>
      <c r="AJ12" s="59">
        <v>0</v>
      </c>
      <c r="AK12" s="52">
        <v>0</v>
      </c>
      <c r="AL12" s="52">
        <v>0</v>
      </c>
      <c r="AM12" s="52">
        <v>0</v>
      </c>
      <c r="AN12" s="52">
        <v>0</v>
      </c>
      <c r="AO12" s="52">
        <v>0</v>
      </c>
    </row>
    <row r="13" spans="1:41" s="48" customFormat="1" ht="24" customHeight="1">
      <c r="A13" s="56">
        <v>8</v>
      </c>
      <c r="B13" s="63" t="s">
        <v>56</v>
      </c>
      <c r="C13" s="160"/>
      <c r="D13" s="162"/>
      <c r="E13" s="56"/>
      <c r="F13" s="128">
        <v>12854.775000000001</v>
      </c>
      <c r="G13" s="128">
        <v>18402.885810389311</v>
      </c>
      <c r="H13" s="128">
        <v>19282.162500000002</v>
      </c>
      <c r="I13" s="92">
        <v>30036.209327954846</v>
      </c>
      <c r="J13" s="58">
        <v>3.6471980059276129E-3</v>
      </c>
      <c r="K13" s="58">
        <v>5.9527621860641106E-3</v>
      </c>
      <c r="L13" s="92">
        <v>12983.322750000001</v>
      </c>
      <c r="M13" s="92">
        <v>18584.019393258488</v>
      </c>
      <c r="N13" s="92">
        <v>19474.984125000003</v>
      </c>
      <c r="O13" s="92">
        <v>30327.757091521737</v>
      </c>
      <c r="P13" s="58">
        <v>3.6376949592221799E-3</v>
      </c>
      <c r="Q13" s="58">
        <v>5.9098069319708331E-3</v>
      </c>
      <c r="R13" s="92">
        <v>11035.8243375</v>
      </c>
      <c r="S13" s="92">
        <v>15579.714438794254</v>
      </c>
      <c r="T13" s="92">
        <v>15579.987300000003</v>
      </c>
      <c r="U13" s="92">
        <v>24223.244282631887</v>
      </c>
      <c r="V13" s="58">
        <v>3.4541981635890701E-3</v>
      </c>
      <c r="W13" s="58">
        <v>4.9173045996500769E-3</v>
      </c>
      <c r="X13" s="92">
        <v>8276.8682531249997</v>
      </c>
      <c r="Y13" s="92">
        <v>11206.437260748964</v>
      </c>
      <c r="Z13" s="92">
        <v>10905.991110000001</v>
      </c>
      <c r="AA13" s="92">
        <v>16907.631816171601</v>
      </c>
      <c r="AB13" s="58">
        <v>3.1148164647853719E-3</v>
      </c>
      <c r="AC13" s="58">
        <v>3.6264674496076952E-3</v>
      </c>
      <c r="AD13" s="57">
        <v>5379.9643645312499</v>
      </c>
      <c r="AE13" s="57">
        <v>6752.7408272081602</v>
      </c>
      <c r="AF13" s="57">
        <v>7088.8942215000006</v>
      </c>
      <c r="AG13" s="57">
        <v>10970.477794283906</v>
      </c>
      <c r="AH13" s="58">
        <v>2.5715004050917436E-3</v>
      </c>
      <c r="AI13" s="58">
        <v>2.4564527459372252E-3</v>
      </c>
      <c r="AJ13" s="59">
        <v>0</v>
      </c>
      <c r="AK13" s="52">
        <v>0</v>
      </c>
      <c r="AL13" s="52">
        <v>0</v>
      </c>
      <c r="AM13" s="52">
        <v>0</v>
      </c>
      <c r="AN13" s="52">
        <v>0</v>
      </c>
      <c r="AO13" s="52">
        <v>0</v>
      </c>
    </row>
    <row r="14" spans="1:41" s="48" customFormat="1" ht="24" customHeight="1">
      <c r="A14" s="139">
        <v>9</v>
      </c>
      <c r="B14" s="63" t="s">
        <v>190</v>
      </c>
      <c r="C14" s="158" t="s">
        <v>189</v>
      </c>
      <c r="D14" s="162"/>
      <c r="E14" s="56" t="s">
        <v>22</v>
      </c>
      <c r="F14" s="140">
        <v>50211</v>
      </c>
      <c r="G14" s="128">
        <v>71882.02822884552</v>
      </c>
      <c r="H14" s="128">
        <v>42177</v>
      </c>
      <c r="I14" s="92">
        <v>65699.954599239136</v>
      </c>
      <c r="J14" s="58">
        <v>1.4246026015673659E-2</v>
      </c>
      <c r="K14" s="58">
        <v>1.3020824335529065E-2</v>
      </c>
      <c r="L14" s="92">
        <v>50713.11</v>
      </c>
      <c r="M14" s="92">
        <v>72589.539510018803</v>
      </c>
      <c r="N14" s="92">
        <v>42598.77</v>
      </c>
      <c r="O14" s="92">
        <v>66337.674047146516</v>
      </c>
      <c r="P14" s="58">
        <v>1.4208906931276888E-2</v>
      </c>
      <c r="Q14" s="58">
        <v>1.2926865799919161E-2</v>
      </c>
      <c r="R14" s="92">
        <v>51220.241099999999</v>
      </c>
      <c r="S14" s="92">
        <v>28665.370943060829</v>
      </c>
      <c r="T14" s="92">
        <v>43024.757699999995</v>
      </c>
      <c r="U14" s="92">
        <v>26546.001318584164</v>
      </c>
      <c r="V14" s="58">
        <v>1.5991253510086786E-2</v>
      </c>
      <c r="W14" s="58">
        <v>1.3541100916334588E-2</v>
      </c>
      <c r="X14" s="92">
        <v>28952.024652491436</v>
      </c>
      <c r="Y14" s="92">
        <v>23386</v>
      </c>
      <c r="Z14" s="92">
        <v>26811.461331770006</v>
      </c>
      <c r="AA14" s="92">
        <v>21625</v>
      </c>
      <c r="AB14" s="58">
        <v>1.0909321302061677E-2</v>
      </c>
      <c r="AC14" s="58">
        <v>8.9066100047887516E-3</v>
      </c>
      <c r="AD14" s="57">
        <v>29241.54489901635</v>
      </c>
      <c r="AE14" s="57">
        <v>36634.715912586056</v>
      </c>
      <c r="AF14" s="57">
        <v>27079.575945087705</v>
      </c>
      <c r="AG14" s="57">
        <v>33052.162083791562</v>
      </c>
      <c r="AH14" s="58">
        <v>1.3922044399270516E-2</v>
      </c>
      <c r="AI14" s="58">
        <v>9.3461666297072702E-3</v>
      </c>
      <c r="AJ14" s="59">
        <v>2</v>
      </c>
      <c r="AK14" s="52">
        <v>0</v>
      </c>
      <c r="AL14" s="52">
        <v>0</v>
      </c>
      <c r="AM14" s="52">
        <v>0</v>
      </c>
      <c r="AN14" s="52">
        <v>0</v>
      </c>
      <c r="AO14" s="52">
        <v>0</v>
      </c>
    </row>
    <row r="15" spans="1:41" s="48" customFormat="1" ht="18">
      <c r="A15" s="139">
        <v>10</v>
      </c>
      <c r="B15" s="63" t="s">
        <v>156</v>
      </c>
      <c r="C15" s="159"/>
      <c r="D15" s="162"/>
      <c r="E15" s="56"/>
      <c r="F15" s="128">
        <v>116263</v>
      </c>
      <c r="G15" s="128">
        <v>166442.01963653913</v>
      </c>
      <c r="H15" s="128">
        <v>135432</v>
      </c>
      <c r="I15" s="92">
        <v>210965.12912924471</v>
      </c>
      <c r="J15" s="58">
        <v>3.2986511375201977E-2</v>
      </c>
      <c r="K15" s="58">
        <v>4.1810377253227407E-2</v>
      </c>
      <c r="L15" s="92">
        <v>117425.63</v>
      </c>
      <c r="M15" s="92">
        <v>168080.25396931579</v>
      </c>
      <c r="N15" s="92">
        <v>136786.32</v>
      </c>
      <c r="O15" s="92">
        <v>213012.87126996109</v>
      </c>
      <c r="P15" s="58">
        <v>3.2900562557030229E-2</v>
      </c>
      <c r="Q15" s="58">
        <v>4.1508672712963275E-2</v>
      </c>
      <c r="R15" s="92">
        <v>99811.785499999998</v>
      </c>
      <c r="S15" s="92">
        <v>140908.28814954258</v>
      </c>
      <c r="T15" s="92">
        <v>109429.05600000001</v>
      </c>
      <c r="U15" s="92">
        <v>170136.64414898492</v>
      </c>
      <c r="V15" s="58">
        <v>3.1240954516384461E-2</v>
      </c>
      <c r="W15" s="58">
        <v>3.4537640502708612E-2</v>
      </c>
      <c r="X15" s="92">
        <v>74858.839124999999</v>
      </c>
      <c r="Y15" s="92">
        <v>101354.86737391024</v>
      </c>
      <c r="Z15" s="92">
        <v>76600.339200000002</v>
      </c>
      <c r="AA15" s="92">
        <v>118754.02419867337</v>
      </c>
      <c r="AB15" s="58">
        <v>2.8171469873672757E-2</v>
      </c>
      <c r="AC15" s="58">
        <v>2.5471195963381668E-2</v>
      </c>
      <c r="AD15" s="57">
        <v>48658.245431249998</v>
      </c>
      <c r="AE15" s="57">
        <v>61074.107232036527</v>
      </c>
      <c r="AF15" s="57">
        <v>49790.220480000004</v>
      </c>
      <c r="AG15" s="57">
        <v>77053.273907190553</v>
      </c>
      <c r="AH15" s="58">
        <v>2.3257532830966033E-2</v>
      </c>
      <c r="AI15" s="58">
        <v>1.7253371258943093E-2</v>
      </c>
      <c r="AJ15" s="59">
        <v>0</v>
      </c>
      <c r="AK15" s="52">
        <v>0</v>
      </c>
      <c r="AL15" s="52">
        <v>0</v>
      </c>
      <c r="AM15" s="52">
        <v>0</v>
      </c>
      <c r="AN15" s="52">
        <v>0</v>
      </c>
      <c r="AO15" s="52">
        <v>0</v>
      </c>
    </row>
    <row r="16" spans="1:41" s="48" customFormat="1" ht="18">
      <c r="A16" s="139">
        <v>11</v>
      </c>
      <c r="B16" s="63" t="s">
        <v>56</v>
      </c>
      <c r="C16" s="160"/>
      <c r="D16" s="163"/>
      <c r="E16" s="56"/>
      <c r="F16" s="128">
        <v>6563</v>
      </c>
      <c r="G16" s="128">
        <v>9395.5856538589778</v>
      </c>
      <c r="H16" s="128">
        <v>9844</v>
      </c>
      <c r="I16" s="92">
        <v>15334.195250371293</v>
      </c>
      <c r="J16" s="58">
        <v>1.8620754165594436E-3</v>
      </c>
      <c r="K16" s="58">
        <v>3.0390258851731538E-3</v>
      </c>
      <c r="L16" s="92">
        <v>6628.63</v>
      </c>
      <c r="M16" s="92">
        <v>9488.0633288373738</v>
      </c>
      <c r="N16" s="92">
        <v>9942.44</v>
      </c>
      <c r="O16" s="92">
        <v>15483.037279088378</v>
      </c>
      <c r="P16" s="58">
        <v>1.857223640038442E-3</v>
      </c>
      <c r="Q16" s="58">
        <v>3.0170962120208704E-3</v>
      </c>
      <c r="R16" s="92">
        <v>5634.3355000000001</v>
      </c>
      <c r="S16" s="92">
        <v>7954.2166908255258</v>
      </c>
      <c r="T16" s="92">
        <v>7953.9520000000011</v>
      </c>
      <c r="U16" s="92">
        <v>12366.539111898281</v>
      </c>
      <c r="V16" s="58">
        <v>1.7635394277717867E-3</v>
      </c>
      <c r="W16" s="58">
        <v>2.5104002976302766E-3</v>
      </c>
      <c r="X16" s="92">
        <v>4225.7516249999999</v>
      </c>
      <c r="Y16" s="92">
        <v>5721.44185660935</v>
      </c>
      <c r="Z16" s="92">
        <v>5567.7664000000004</v>
      </c>
      <c r="AA16" s="92">
        <v>8631.745925717265</v>
      </c>
      <c r="AB16" s="58">
        <v>1.590268243387099E-3</v>
      </c>
      <c r="AC16" s="58">
        <v>1.8513974028555227E-3</v>
      </c>
      <c r="AD16" s="57">
        <v>2746.7385562499999</v>
      </c>
      <c r="AE16" s="57">
        <v>3447.6090051336687</v>
      </c>
      <c r="AF16" s="57">
        <v>3619.0481600000003</v>
      </c>
      <c r="AG16" s="57">
        <v>5600.688377505935</v>
      </c>
      <c r="AH16" s="58">
        <v>1.312878456341485E-3</v>
      </c>
      <c r="AI16" s="58">
        <v>1.2540772245336095E-3</v>
      </c>
      <c r="AJ16" s="59">
        <v>1</v>
      </c>
      <c r="AK16" s="52">
        <v>0</v>
      </c>
      <c r="AL16" s="52">
        <v>0</v>
      </c>
      <c r="AM16" s="52">
        <v>0</v>
      </c>
      <c r="AN16" s="52">
        <v>0</v>
      </c>
      <c r="AO16" s="52">
        <v>0</v>
      </c>
    </row>
    <row r="17" spans="1:41" s="68" customFormat="1" ht="20.25">
      <c r="A17" s="156" t="s">
        <v>155</v>
      </c>
      <c r="B17" s="157"/>
      <c r="C17" s="64" t="s">
        <v>27</v>
      </c>
      <c r="D17" s="64">
        <v>6</v>
      </c>
      <c r="E17" s="64">
        <v>2</v>
      </c>
      <c r="F17" s="95">
        <v>3524561.8634106959</v>
      </c>
      <c r="G17" s="95">
        <v>5045760</v>
      </c>
      <c r="H17" s="95">
        <v>3239195.8383859308</v>
      </c>
      <c r="I17" s="96">
        <v>5045760</v>
      </c>
      <c r="J17" s="66">
        <v>1</v>
      </c>
      <c r="K17" s="66">
        <v>0.99999999999999989</v>
      </c>
      <c r="L17" s="95">
        <v>3569107.0569523852</v>
      </c>
      <c r="M17" s="95">
        <v>5108734.9548495859</v>
      </c>
      <c r="N17" s="95">
        <v>3295367.2343582609</v>
      </c>
      <c r="O17" s="96">
        <v>5131767.8294116249</v>
      </c>
      <c r="P17" s="66">
        <v>1.0000000000000002</v>
      </c>
      <c r="Q17" s="66">
        <v>1.0000000000000004</v>
      </c>
      <c r="R17" s="95">
        <v>3203016.0154544394</v>
      </c>
      <c r="S17" s="95">
        <v>4481414</v>
      </c>
      <c r="T17" s="95">
        <v>3177345.6209974303</v>
      </c>
      <c r="U17" s="96">
        <v>4901005</v>
      </c>
      <c r="V17" s="66">
        <v>0.99999999999999967</v>
      </c>
      <c r="W17" s="66">
        <v>1.0000000000000002</v>
      </c>
      <c r="X17" s="95">
        <v>2653879.5449190768</v>
      </c>
      <c r="Y17" s="95">
        <v>3572991</v>
      </c>
      <c r="Z17" s="95">
        <v>3010288.0127629349</v>
      </c>
      <c r="AA17" s="96">
        <v>3643380</v>
      </c>
      <c r="AB17" s="66">
        <v>1</v>
      </c>
      <c r="AC17" s="66">
        <v>1</v>
      </c>
      <c r="AD17" s="67">
        <v>2100377.2190633542</v>
      </c>
      <c r="AE17" s="104">
        <v>2631417.8336125431</v>
      </c>
      <c r="AF17" s="67">
        <v>2897399.2245134902</v>
      </c>
      <c r="AG17" s="104">
        <v>3501426.2264735634</v>
      </c>
      <c r="AH17" s="66">
        <v>0.99999999999999978</v>
      </c>
      <c r="AI17" s="66">
        <v>1</v>
      </c>
      <c r="AJ17" s="67">
        <v>12</v>
      </c>
      <c r="AK17" s="67">
        <v>0</v>
      </c>
      <c r="AL17" s="67">
        <v>0</v>
      </c>
      <c r="AM17" s="67">
        <v>0</v>
      </c>
      <c r="AN17" s="67">
        <v>0</v>
      </c>
      <c r="AO17" s="67">
        <v>0</v>
      </c>
    </row>
    <row r="18" spans="1:41" s="48" customFormat="1">
      <c r="A18" s="47"/>
      <c r="C18" s="105"/>
      <c r="E18" s="47"/>
      <c r="F18" s="49"/>
      <c r="G18" s="6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</row>
    <row r="19" spans="1:41">
      <c r="C19" s="48"/>
    </row>
    <row r="20" spans="1:41">
      <c r="C20" s="48"/>
    </row>
    <row r="21" spans="1:41">
      <c r="C21" s="48"/>
    </row>
    <row r="22" spans="1:41">
      <c r="C22" s="48"/>
    </row>
    <row r="23" spans="1:41">
      <c r="C23" s="48"/>
    </row>
    <row r="24" spans="1:41">
      <c r="C24" s="48"/>
    </row>
    <row r="25" spans="1:41">
      <c r="C25" s="48"/>
    </row>
    <row r="26" spans="1:41">
      <c r="C26" s="48"/>
    </row>
    <row r="27" spans="1:41">
      <c r="C27" s="48"/>
    </row>
    <row r="28" spans="1:41">
      <c r="C28" s="48"/>
    </row>
    <row r="29" spans="1:41">
      <c r="C29" s="48"/>
    </row>
    <row r="30" spans="1:41">
      <c r="C30" s="48"/>
    </row>
    <row r="31" spans="1:41">
      <c r="C31" s="48"/>
    </row>
    <row r="32" spans="1:41">
      <c r="C32" s="48"/>
    </row>
    <row r="33" spans="3:3">
      <c r="C33" s="48"/>
    </row>
    <row r="34" spans="3:3">
      <c r="C34" s="48"/>
    </row>
    <row r="35" spans="3:3">
      <c r="C35" s="48"/>
    </row>
    <row r="36" spans="3:3">
      <c r="C36" s="48"/>
    </row>
    <row r="37" spans="3:3">
      <c r="C37" s="48"/>
    </row>
    <row r="38" spans="3:3">
      <c r="C38" s="48"/>
    </row>
    <row r="39" spans="3:3">
      <c r="C39" s="48"/>
    </row>
    <row r="40" spans="3:3">
      <c r="C40" s="48"/>
    </row>
    <row r="41" spans="3:3">
      <c r="C41" s="48"/>
    </row>
  </sheetData>
  <mergeCells count="16">
    <mergeCell ref="AK4:AO4"/>
    <mergeCell ref="A2:AO3"/>
    <mergeCell ref="A4:A5"/>
    <mergeCell ref="B4:B5"/>
    <mergeCell ref="C4:C5"/>
    <mergeCell ref="D4:D5"/>
    <mergeCell ref="E4:E5"/>
    <mergeCell ref="F4:K4"/>
    <mergeCell ref="L4:Q4"/>
    <mergeCell ref="R4:W4"/>
    <mergeCell ref="X4:AC4"/>
    <mergeCell ref="C6:C13"/>
    <mergeCell ref="D6:D16"/>
    <mergeCell ref="C14:C16"/>
    <mergeCell ref="A17:B17"/>
    <mergeCell ref="AD4:A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zoomScale="60" zoomScaleNormal="60" workbookViewId="0">
      <selection activeCell="E16" sqref="E16"/>
    </sheetView>
  </sheetViews>
  <sheetFormatPr baseColWidth="10" defaultColWidth="11.42578125" defaultRowHeight="15"/>
  <cols>
    <col min="1" max="1" width="8.5703125" style="71" customWidth="1"/>
    <col min="2" max="2" width="72.28515625" style="75" customWidth="1"/>
    <col min="3" max="3" width="38.42578125" style="72" customWidth="1"/>
    <col min="4" max="4" width="25.42578125" style="71" customWidth="1"/>
    <col min="5" max="5" width="17.5703125" style="71" customWidth="1"/>
    <col min="6" max="9" width="28.85546875" style="73" customWidth="1"/>
    <col min="10" max="10" width="23.7109375" style="73" customWidth="1"/>
    <col min="11" max="11" width="24" style="73" customWidth="1"/>
    <col min="12" max="12" width="22.140625" style="73" customWidth="1"/>
    <col min="13" max="25" width="28.85546875" style="73" customWidth="1"/>
    <col min="26" max="26" width="19.28515625" style="73" customWidth="1"/>
    <col min="27" max="27" width="9.5703125" style="74" customWidth="1"/>
    <col min="28" max="28" width="10.28515625" style="74" customWidth="1"/>
    <col min="29" max="29" width="11.42578125" style="74" customWidth="1"/>
    <col min="30" max="30" width="11" style="74" customWidth="1"/>
    <col min="31" max="31" width="10.28515625" style="74" customWidth="1"/>
    <col min="32" max="16384" width="11.42578125" style="75"/>
  </cols>
  <sheetData>
    <row r="1" spans="1:31" s="48" customFormat="1" ht="31.5" customHeight="1">
      <c r="A1" s="47"/>
      <c r="C1" s="47"/>
      <c r="D1" s="47"/>
      <c r="E1" s="47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31" s="48" customFormat="1" ht="35.25" customHeight="1">
      <c r="A2" s="165" t="s">
        <v>131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</row>
    <row r="3" spans="1:31" s="48" customFormat="1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</row>
    <row r="4" spans="1:31" s="48" customFormat="1" ht="47.45" customHeight="1">
      <c r="A4" s="142" t="s">
        <v>1</v>
      </c>
      <c r="B4" s="142" t="s">
        <v>2</v>
      </c>
      <c r="C4" s="142" t="s">
        <v>3</v>
      </c>
      <c r="D4" s="143" t="s">
        <v>4</v>
      </c>
      <c r="E4" s="143" t="s">
        <v>5</v>
      </c>
      <c r="F4" s="144" t="s">
        <v>124</v>
      </c>
      <c r="G4" s="145"/>
      <c r="H4" s="145"/>
      <c r="I4" s="145"/>
      <c r="J4" s="144" t="s">
        <v>125</v>
      </c>
      <c r="K4" s="145"/>
      <c r="L4" s="145"/>
      <c r="M4" s="145"/>
      <c r="N4" s="144" t="s">
        <v>126</v>
      </c>
      <c r="O4" s="145"/>
      <c r="P4" s="145"/>
      <c r="Q4" s="145"/>
      <c r="R4" s="144" t="s">
        <v>127</v>
      </c>
      <c r="S4" s="145"/>
      <c r="T4" s="145"/>
      <c r="U4" s="145"/>
      <c r="V4" s="144" t="s">
        <v>128</v>
      </c>
      <c r="W4" s="145"/>
      <c r="X4" s="145"/>
      <c r="Y4" s="145"/>
      <c r="Z4" s="52" t="s">
        <v>11</v>
      </c>
      <c r="AA4" s="147" t="s">
        <v>12</v>
      </c>
      <c r="AB4" s="148"/>
      <c r="AC4" s="148"/>
      <c r="AD4" s="148"/>
      <c r="AE4" s="149"/>
    </row>
    <row r="5" spans="1:31" s="48" customFormat="1" ht="43.15" customHeight="1">
      <c r="A5" s="142"/>
      <c r="B5" s="142"/>
      <c r="C5" s="142"/>
      <c r="D5" s="143"/>
      <c r="E5" s="143"/>
      <c r="F5" s="52" t="s">
        <v>13</v>
      </c>
      <c r="G5" s="52" t="s">
        <v>14</v>
      </c>
      <c r="H5" s="52" t="s">
        <v>15</v>
      </c>
      <c r="I5" s="52" t="s">
        <v>16</v>
      </c>
      <c r="J5" s="52" t="s">
        <v>13</v>
      </c>
      <c r="K5" s="52" t="s">
        <v>14</v>
      </c>
      <c r="L5" s="52" t="s">
        <v>15</v>
      </c>
      <c r="M5" s="52" t="s">
        <v>16</v>
      </c>
      <c r="N5" s="52" t="s">
        <v>13</v>
      </c>
      <c r="O5" s="52" t="s">
        <v>14</v>
      </c>
      <c r="P5" s="52" t="s">
        <v>15</v>
      </c>
      <c r="Q5" s="52" t="s">
        <v>16</v>
      </c>
      <c r="R5" s="52" t="s">
        <v>13</v>
      </c>
      <c r="S5" s="52" t="s">
        <v>14</v>
      </c>
      <c r="T5" s="52" t="s">
        <v>15</v>
      </c>
      <c r="U5" s="52" t="s">
        <v>16</v>
      </c>
      <c r="V5" s="52" t="s">
        <v>13</v>
      </c>
      <c r="W5" s="52" t="s">
        <v>14</v>
      </c>
      <c r="X5" s="52" t="s">
        <v>15</v>
      </c>
      <c r="Y5" s="52" t="s">
        <v>16</v>
      </c>
      <c r="Z5" s="52">
        <v>2018</v>
      </c>
      <c r="AA5" s="52">
        <v>2019</v>
      </c>
      <c r="AB5" s="52">
        <v>2020</v>
      </c>
      <c r="AC5" s="52">
        <v>2021</v>
      </c>
      <c r="AD5" s="52">
        <v>2022</v>
      </c>
      <c r="AE5" s="52">
        <v>2023</v>
      </c>
    </row>
    <row r="6" spans="1:31" s="48" customFormat="1" ht="26.25" customHeight="1">
      <c r="A6" s="50">
        <v>1</v>
      </c>
      <c r="B6" s="63" t="s">
        <v>161</v>
      </c>
      <c r="C6" s="167" t="s">
        <v>162</v>
      </c>
      <c r="D6" s="170" t="s">
        <v>163</v>
      </c>
      <c r="E6" s="51" t="s">
        <v>22</v>
      </c>
      <c r="F6" s="60">
        <v>22700</v>
      </c>
      <c r="G6" s="92">
        <v>28445.819423181434</v>
      </c>
      <c r="H6" s="60">
        <v>11361</v>
      </c>
      <c r="I6" s="92">
        <v>16300.932342737111</v>
      </c>
      <c r="J6" s="92">
        <v>22473</v>
      </c>
      <c r="K6" s="92">
        <v>28160.864309136654</v>
      </c>
      <c r="L6" s="92">
        <v>11247.39</v>
      </c>
      <c r="M6" s="92">
        <v>16136.851296014724</v>
      </c>
      <c r="N6" s="92">
        <v>22248.27</v>
      </c>
      <c r="O6" s="92">
        <v>27866.520842346774</v>
      </c>
      <c r="P6" s="92">
        <v>11134.916099999999</v>
      </c>
      <c r="Q6" s="92">
        <v>15975.482645473166</v>
      </c>
      <c r="R6" s="92">
        <v>22025.7873</v>
      </c>
      <c r="S6" s="92">
        <v>27587.488302911555</v>
      </c>
      <c r="T6" s="92">
        <v>11023.566938999998</v>
      </c>
      <c r="U6" s="92">
        <v>15814.740465684021</v>
      </c>
      <c r="V6" s="57">
        <v>21805.529427000001</v>
      </c>
      <c r="W6" s="57">
        <v>27311.269903285927</v>
      </c>
      <c r="X6" s="57">
        <v>10913.331269609998</v>
      </c>
      <c r="Y6" s="57">
        <v>15655.629325637947</v>
      </c>
      <c r="Z6" s="52">
        <v>3</v>
      </c>
      <c r="AA6" s="52">
        <v>0</v>
      </c>
      <c r="AB6" s="52">
        <v>0</v>
      </c>
      <c r="AC6" s="52">
        <v>0</v>
      </c>
      <c r="AD6" s="52">
        <v>0</v>
      </c>
      <c r="AE6" s="52">
        <v>0</v>
      </c>
    </row>
    <row r="7" spans="1:31" s="48" customFormat="1" ht="24" customHeight="1">
      <c r="A7" s="54">
        <v>2</v>
      </c>
      <c r="B7" s="63" t="s">
        <v>61</v>
      </c>
      <c r="C7" s="168"/>
      <c r="D7" s="171"/>
      <c r="E7" s="56"/>
      <c r="F7" s="92">
        <v>262479</v>
      </c>
      <c r="G7" s="92">
        <v>328917.63155846874</v>
      </c>
      <c r="H7" s="92">
        <v>305755</v>
      </c>
      <c r="I7" s="92">
        <v>438701.83685006469</v>
      </c>
      <c r="J7" s="92">
        <v>259854.21</v>
      </c>
      <c r="K7" s="92">
        <v>325622.70938316645</v>
      </c>
      <c r="L7" s="92">
        <v>302697.45</v>
      </c>
      <c r="M7" s="92">
        <v>434285.97553146578</v>
      </c>
      <c r="N7" s="92">
        <v>257255.6679</v>
      </c>
      <c r="O7" s="92">
        <v>322219.23014001496</v>
      </c>
      <c r="P7" s="92">
        <v>299670.4755</v>
      </c>
      <c r="Q7" s="92">
        <v>429943.11207346607</v>
      </c>
      <c r="R7" s="92">
        <v>254683.111221</v>
      </c>
      <c r="S7" s="92">
        <v>318992.79040792608</v>
      </c>
      <c r="T7" s="92">
        <v>296673.77074499999</v>
      </c>
      <c r="U7" s="92">
        <v>425617.10862470011</v>
      </c>
      <c r="V7" s="57">
        <v>252136.28010879</v>
      </c>
      <c r="W7" s="57">
        <v>315798.89043808746</v>
      </c>
      <c r="X7" s="57">
        <v>293707.03303754999</v>
      </c>
      <c r="Y7" s="57">
        <v>421335.00083271111</v>
      </c>
      <c r="Z7" s="59">
        <v>1</v>
      </c>
      <c r="AA7" s="60">
        <v>0</v>
      </c>
      <c r="AB7" s="60">
        <v>0</v>
      </c>
      <c r="AC7" s="60">
        <v>0</v>
      </c>
      <c r="AD7" s="60">
        <v>0</v>
      </c>
      <c r="AE7" s="60">
        <v>0</v>
      </c>
    </row>
    <row r="8" spans="1:31" s="48" customFormat="1" ht="24" customHeight="1">
      <c r="A8" s="50">
        <v>3</v>
      </c>
      <c r="B8" s="63" t="s">
        <v>57</v>
      </c>
      <c r="C8" s="168"/>
      <c r="D8" s="171"/>
      <c r="E8" s="56"/>
      <c r="F8" s="92">
        <v>113331</v>
      </c>
      <c r="G8" s="92">
        <v>142017.31986998129</v>
      </c>
      <c r="H8" s="92">
        <v>30909</v>
      </c>
      <c r="I8" s="92">
        <v>44348.694461901359</v>
      </c>
      <c r="J8" s="92">
        <v>114464.31</v>
      </c>
      <c r="K8" s="92">
        <v>143434.96204996901</v>
      </c>
      <c r="L8" s="92">
        <v>31218.09</v>
      </c>
      <c r="M8" s="92">
        <v>44789.206747130171</v>
      </c>
      <c r="N8" s="92">
        <v>125910.74100000001</v>
      </c>
      <c r="O8" s="92">
        <v>157706.38743380166</v>
      </c>
      <c r="P8" s="92">
        <v>34339.899000000005</v>
      </c>
      <c r="Q8" s="92">
        <v>49268.126997544365</v>
      </c>
      <c r="R8" s="92">
        <v>127169.84841000001</v>
      </c>
      <c r="S8" s="92">
        <v>159281.33045641053</v>
      </c>
      <c r="T8" s="92">
        <v>34683.297990000006</v>
      </c>
      <c r="U8" s="92">
        <v>49757.701771218904</v>
      </c>
      <c r="V8" s="57">
        <v>128441.5468941</v>
      </c>
      <c r="W8" s="57">
        <v>160872.12033828328</v>
      </c>
      <c r="X8" s="57">
        <v>35030.130969900005</v>
      </c>
      <c r="Y8" s="57">
        <v>50252.185345135505</v>
      </c>
      <c r="Z8" s="59">
        <v>0</v>
      </c>
      <c r="AA8" s="52">
        <v>0</v>
      </c>
      <c r="AB8" s="52">
        <v>0</v>
      </c>
      <c r="AC8" s="52">
        <v>0</v>
      </c>
      <c r="AD8" s="52">
        <v>0</v>
      </c>
      <c r="AE8" s="52">
        <v>0</v>
      </c>
    </row>
    <row r="9" spans="1:31" s="48" customFormat="1" ht="24" customHeight="1">
      <c r="A9" s="54">
        <v>4</v>
      </c>
      <c r="B9" s="63" t="s">
        <v>56</v>
      </c>
      <c r="C9" s="168"/>
      <c r="D9" s="171"/>
      <c r="E9" s="56"/>
      <c r="F9" s="101">
        <v>9.15</v>
      </c>
      <c r="G9" s="92">
        <v>11.466046155159036</v>
      </c>
      <c r="H9" s="101">
        <v>175</v>
      </c>
      <c r="I9" s="101">
        <v>251.09261156403434</v>
      </c>
      <c r="J9" s="101">
        <v>10.065000000000001</v>
      </c>
      <c r="K9" s="101">
        <v>12.612428214811571</v>
      </c>
      <c r="L9" s="101">
        <v>192.50000000000003</v>
      </c>
      <c r="M9" s="101">
        <v>276.18353008856593</v>
      </c>
      <c r="N9" s="101">
        <v>11.071500000000002</v>
      </c>
      <c r="O9" s="101">
        <v>13.867333752513897</v>
      </c>
      <c r="P9" s="101">
        <v>211.75000000000006</v>
      </c>
      <c r="Q9" s="92">
        <v>303.80188048107016</v>
      </c>
      <c r="R9" s="101">
        <v>12.178650000000003</v>
      </c>
      <c r="S9" s="101">
        <v>15.253864020572554</v>
      </c>
      <c r="T9" s="101">
        <v>232.92500000000007</v>
      </c>
      <c r="U9" s="101">
        <v>334.1612060191847</v>
      </c>
      <c r="V9" s="57">
        <v>13.396515000000004</v>
      </c>
      <c r="W9" s="57">
        <v>16.779039378671747</v>
      </c>
      <c r="X9" s="57">
        <v>256.21750000000009</v>
      </c>
      <c r="Y9" s="57">
        <v>367.5547005442445</v>
      </c>
      <c r="Z9" s="59">
        <v>0</v>
      </c>
      <c r="AA9" s="60">
        <v>0</v>
      </c>
      <c r="AB9" s="60">
        <v>0</v>
      </c>
      <c r="AC9" s="60">
        <v>0</v>
      </c>
      <c r="AD9" s="60">
        <v>0</v>
      </c>
      <c r="AE9" s="60">
        <v>0</v>
      </c>
    </row>
    <row r="10" spans="1:31" s="48" customFormat="1" ht="24" customHeight="1">
      <c r="A10" s="50">
        <v>5</v>
      </c>
      <c r="B10" s="129" t="s">
        <v>164</v>
      </c>
      <c r="C10" s="168"/>
      <c r="D10" s="171"/>
      <c r="E10" s="56"/>
      <c r="F10" s="92">
        <v>149</v>
      </c>
      <c r="G10" s="92">
        <v>186.71484995832751</v>
      </c>
      <c r="H10" s="92">
        <v>215</v>
      </c>
      <c r="I10" s="92">
        <v>308.48520849295653</v>
      </c>
      <c r="J10" s="92">
        <v>163.9</v>
      </c>
      <c r="K10" s="92">
        <v>205.38271082042885</v>
      </c>
      <c r="L10" s="92">
        <v>236.50000000000003</v>
      </c>
      <c r="M10" s="92">
        <v>339.31119410880956</v>
      </c>
      <c r="N10" s="92">
        <v>180.29000000000002</v>
      </c>
      <c r="O10" s="92">
        <v>225.81778460377819</v>
      </c>
      <c r="P10" s="92">
        <v>260.15000000000003</v>
      </c>
      <c r="Q10" s="92">
        <v>373.24231030531473</v>
      </c>
      <c r="R10" s="92">
        <v>198.31900000000005</v>
      </c>
      <c r="S10" s="92">
        <v>248.39625563555302</v>
      </c>
      <c r="T10" s="92">
        <v>286.16500000000008</v>
      </c>
      <c r="U10" s="92">
        <v>410.5409102521412</v>
      </c>
      <c r="V10" s="57">
        <v>218.15090000000006</v>
      </c>
      <c r="W10" s="57">
        <v>273.23244452700436</v>
      </c>
      <c r="X10" s="57">
        <v>314.78150000000011</v>
      </c>
      <c r="Y10" s="57">
        <v>451.56720352578606</v>
      </c>
      <c r="Z10" s="59">
        <v>1</v>
      </c>
      <c r="AA10" s="52">
        <v>0</v>
      </c>
      <c r="AB10" s="52">
        <v>0</v>
      </c>
      <c r="AC10" s="52">
        <v>0</v>
      </c>
      <c r="AD10" s="52">
        <v>0</v>
      </c>
      <c r="AE10" s="52">
        <v>0</v>
      </c>
    </row>
    <row r="11" spans="1:31" s="48" customFormat="1" ht="24" customHeight="1">
      <c r="A11" s="54">
        <v>6</v>
      </c>
      <c r="B11" s="129" t="s">
        <v>165</v>
      </c>
      <c r="C11" s="169"/>
      <c r="D11" s="172"/>
      <c r="E11" s="56"/>
      <c r="F11" s="92">
        <v>336</v>
      </c>
      <c r="G11" s="92">
        <v>421.04825225502043</v>
      </c>
      <c r="H11" s="101">
        <v>62</v>
      </c>
      <c r="I11" s="101">
        <v>88.958525239829314</v>
      </c>
      <c r="J11" s="92">
        <v>369.6</v>
      </c>
      <c r="K11" s="92">
        <v>463.14490493734291</v>
      </c>
      <c r="L11" s="101">
        <v>68.2</v>
      </c>
      <c r="M11" s="101">
        <v>97.847879231377632</v>
      </c>
      <c r="N11" s="92">
        <v>406.56000000000006</v>
      </c>
      <c r="O11" s="92">
        <v>509.22668205952664</v>
      </c>
      <c r="P11" s="101">
        <v>75.02000000000001</v>
      </c>
      <c r="Q11" s="101">
        <v>107.63266622757912</v>
      </c>
      <c r="R11" s="92">
        <v>447.21600000000012</v>
      </c>
      <c r="S11" s="92">
        <v>560.14189190299214</v>
      </c>
      <c r="T11" s="101">
        <v>82.52200000000002</v>
      </c>
      <c r="U11" s="101">
        <v>118.38854156108258</v>
      </c>
      <c r="V11" s="57">
        <v>491.93760000000015</v>
      </c>
      <c r="W11" s="57">
        <v>616.14833128237228</v>
      </c>
      <c r="X11" s="57">
        <v>90.774200000000036</v>
      </c>
      <c r="Y11" s="57">
        <v>130.21937962138946</v>
      </c>
      <c r="Z11" s="59">
        <v>1</v>
      </c>
      <c r="AA11" s="60">
        <v>0</v>
      </c>
      <c r="AB11" s="60">
        <v>0</v>
      </c>
      <c r="AC11" s="60">
        <v>0</v>
      </c>
      <c r="AD11" s="60">
        <v>0</v>
      </c>
      <c r="AE11" s="60">
        <v>0</v>
      </c>
    </row>
    <row r="12" spans="1:31" s="68" customFormat="1" ht="24" customHeight="1">
      <c r="A12" s="156" t="s">
        <v>163</v>
      </c>
      <c r="B12" s="157"/>
      <c r="C12" s="130" t="s">
        <v>27</v>
      </c>
      <c r="D12" s="64">
        <v>1</v>
      </c>
      <c r="E12" s="64">
        <v>1</v>
      </c>
      <c r="F12" s="95">
        <v>399004.15</v>
      </c>
      <c r="G12" s="95">
        <v>500000</v>
      </c>
      <c r="H12" s="95">
        <v>348477</v>
      </c>
      <c r="I12" s="96">
        <v>500000</v>
      </c>
      <c r="J12" s="95">
        <v>397335.08499999996</v>
      </c>
      <c r="K12" s="95">
        <v>497899.67578624468</v>
      </c>
      <c r="L12" s="95">
        <v>345660.13000000006</v>
      </c>
      <c r="M12" s="96">
        <v>495925.37617803953</v>
      </c>
      <c r="N12" s="95">
        <v>406012.60040000005</v>
      </c>
      <c r="O12" s="95">
        <v>508541.05021657923</v>
      </c>
      <c r="P12" s="95">
        <v>345692.21059999999</v>
      </c>
      <c r="Q12" s="96">
        <v>495971.39857349754</v>
      </c>
      <c r="R12" s="95">
        <v>404536.46058100008</v>
      </c>
      <c r="S12" s="95">
        <v>506685.40117880737</v>
      </c>
      <c r="T12" s="95">
        <v>342982.24767399993</v>
      </c>
      <c r="U12" s="96">
        <v>492052.64151943539</v>
      </c>
      <c r="V12" s="65">
        <v>403106.84144489001</v>
      </c>
      <c r="W12" s="65">
        <v>504888.44049484475</v>
      </c>
      <c r="X12" s="65">
        <v>340312.26847705996</v>
      </c>
      <c r="Y12" s="65">
        <v>488192.15678717598</v>
      </c>
      <c r="Z12" s="67">
        <f>SUM(Z6:Z11)</f>
        <v>6</v>
      </c>
      <c r="AA12" s="67">
        <f t="shared" ref="AA12:AE12" si="0">SUM(AA7:AA8)</f>
        <v>0</v>
      </c>
      <c r="AB12" s="67">
        <f t="shared" si="0"/>
        <v>0</v>
      </c>
      <c r="AC12" s="67">
        <f t="shared" si="0"/>
        <v>0</v>
      </c>
      <c r="AD12" s="67">
        <f t="shared" si="0"/>
        <v>0</v>
      </c>
      <c r="AE12" s="67">
        <f t="shared" si="0"/>
        <v>0</v>
      </c>
    </row>
    <row r="13" spans="1:31" s="48" customFormat="1">
      <c r="A13" s="47"/>
      <c r="E13" s="47"/>
      <c r="F13" s="49"/>
      <c r="G13" s="6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</row>
  </sheetData>
  <mergeCells count="15">
    <mergeCell ref="C6:C11"/>
    <mergeCell ref="D6:D11"/>
    <mergeCell ref="A12:B12"/>
    <mergeCell ref="A2:AE3"/>
    <mergeCell ref="A4:A5"/>
    <mergeCell ref="B4:B5"/>
    <mergeCell ref="C4:C5"/>
    <mergeCell ref="D4:D5"/>
    <mergeCell ref="E4:E5"/>
    <mergeCell ref="F4:I4"/>
    <mergeCell ref="J4:M4"/>
    <mergeCell ref="N4:Q4"/>
    <mergeCell ref="R4:U4"/>
    <mergeCell ref="V4:Y4"/>
    <mergeCell ref="AA4:AE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19"/>
  <sheetViews>
    <sheetView zoomScale="70" zoomScaleNormal="70" workbookViewId="0">
      <selection activeCell="AJ11" sqref="AJ11"/>
    </sheetView>
  </sheetViews>
  <sheetFormatPr baseColWidth="10" defaultRowHeight="15"/>
  <cols>
    <col min="2" max="2" width="43.7109375" customWidth="1"/>
    <col min="3" max="3" width="26.5703125" customWidth="1"/>
    <col min="4" max="4" width="24.28515625" customWidth="1"/>
    <col min="5" max="5" width="16.28515625" customWidth="1"/>
    <col min="6" max="6" width="21.42578125" hidden="1" customWidth="1"/>
    <col min="7" max="7" width="22.28515625" hidden="1" customWidth="1"/>
    <col min="8" max="8" width="20.140625" hidden="1" customWidth="1"/>
    <col min="9" max="9" width="18.42578125" hidden="1" customWidth="1"/>
    <col min="10" max="10" width="22.5703125" hidden="1" customWidth="1"/>
    <col min="11" max="11" width="20.140625" hidden="1" customWidth="1"/>
    <col min="12" max="12" width="22.140625" hidden="1" customWidth="1"/>
    <col min="13" max="13" width="20.28515625" hidden="1" customWidth="1"/>
    <col min="14" max="14" width="22.5703125" hidden="1" customWidth="1"/>
    <col min="15" max="15" width="20.140625" hidden="1" customWidth="1"/>
    <col min="16" max="16" width="24.140625" hidden="1" customWidth="1"/>
    <col min="17" max="17" width="19.85546875" hidden="1" customWidth="1"/>
    <col min="18" max="18" width="23.7109375" hidden="1" customWidth="1"/>
    <col min="19" max="19" width="22.85546875" hidden="1" customWidth="1"/>
    <col min="20" max="20" width="22.7109375" hidden="1" customWidth="1"/>
    <col min="21" max="21" width="18.85546875" hidden="1" customWidth="1"/>
    <col min="22" max="22" width="23" hidden="1" customWidth="1"/>
    <col min="23" max="23" width="22.28515625" hidden="1" customWidth="1"/>
    <col min="24" max="24" width="17.42578125" hidden="1" customWidth="1"/>
    <col min="25" max="25" width="17.5703125" hidden="1" customWidth="1"/>
    <col min="26" max="26" width="16.7109375" hidden="1" customWidth="1"/>
    <col min="27" max="27" width="18.5703125" hidden="1" customWidth="1"/>
    <col min="28" max="28" width="21.7109375" hidden="1" customWidth="1"/>
    <col min="29" max="29" width="18.7109375" hidden="1" customWidth="1"/>
    <col min="30" max="30" width="21.5703125" hidden="1" customWidth="1"/>
    <col min="31" max="31" width="19.7109375" hidden="1" customWidth="1"/>
    <col min="32" max="32" width="20.140625" hidden="1" customWidth="1"/>
    <col min="33" max="33" width="21.5703125" hidden="1" customWidth="1"/>
    <col min="34" max="34" width="22" hidden="1" customWidth="1"/>
    <col min="35" max="35" width="24.85546875" hidden="1" customWidth="1"/>
    <col min="36" max="36" width="25.28515625" customWidth="1"/>
  </cols>
  <sheetData>
    <row r="2" spans="1:41" s="24" customFormat="1" ht="15" customHeight="1">
      <c r="A2" s="173" t="s">
        <v>130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</row>
    <row r="3" spans="1:41" s="24" customFormat="1" ht="34.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</row>
    <row r="4" spans="1:41" s="25" customFormat="1" ht="42" customHeight="1">
      <c r="A4" s="174" t="s">
        <v>1</v>
      </c>
      <c r="B4" s="174" t="s">
        <v>2</v>
      </c>
      <c r="C4" s="174" t="s">
        <v>3</v>
      </c>
      <c r="D4" s="174" t="s">
        <v>4</v>
      </c>
      <c r="E4" s="174" t="s">
        <v>5</v>
      </c>
      <c r="F4" s="176" t="s">
        <v>124</v>
      </c>
      <c r="G4" s="176"/>
      <c r="H4" s="176"/>
      <c r="I4" s="176"/>
      <c r="J4" s="176"/>
      <c r="K4" s="176"/>
      <c r="L4" s="176" t="s">
        <v>125</v>
      </c>
      <c r="M4" s="176"/>
      <c r="N4" s="176"/>
      <c r="O4" s="176"/>
      <c r="P4" s="176"/>
      <c r="Q4" s="176"/>
      <c r="R4" s="176" t="s">
        <v>126</v>
      </c>
      <c r="S4" s="176"/>
      <c r="T4" s="176"/>
      <c r="U4" s="176"/>
      <c r="V4" s="176"/>
      <c r="W4" s="176"/>
      <c r="X4" s="176" t="s">
        <v>127</v>
      </c>
      <c r="Y4" s="176"/>
      <c r="Z4" s="176"/>
      <c r="AA4" s="176"/>
      <c r="AB4" s="176"/>
      <c r="AC4" s="176"/>
      <c r="AD4" s="176" t="s">
        <v>128</v>
      </c>
      <c r="AE4" s="176"/>
      <c r="AF4" s="176"/>
      <c r="AG4" s="176"/>
      <c r="AH4" s="176"/>
      <c r="AI4" s="176"/>
      <c r="AJ4" s="2" t="s">
        <v>11</v>
      </c>
      <c r="AK4" s="176" t="s">
        <v>12</v>
      </c>
      <c r="AL4" s="176"/>
      <c r="AM4" s="176"/>
      <c r="AN4" s="176"/>
      <c r="AO4" s="176"/>
    </row>
    <row r="5" spans="1:41" s="25" customFormat="1" ht="54">
      <c r="A5" s="175"/>
      <c r="B5" s="175"/>
      <c r="C5" s="175"/>
      <c r="D5" s="175"/>
      <c r="E5" s="175"/>
      <c r="F5" s="2" t="s">
        <v>13</v>
      </c>
      <c r="G5" s="2" t="s">
        <v>14</v>
      </c>
      <c r="H5" s="2" t="s">
        <v>15</v>
      </c>
      <c r="I5" s="2" t="s">
        <v>16</v>
      </c>
      <c r="J5" s="2" t="s">
        <v>17</v>
      </c>
      <c r="K5" s="2" t="s">
        <v>18</v>
      </c>
      <c r="L5" s="2" t="s">
        <v>13</v>
      </c>
      <c r="M5" s="2" t="s">
        <v>14</v>
      </c>
      <c r="N5" s="2" t="s">
        <v>15</v>
      </c>
      <c r="O5" s="2" t="s">
        <v>16</v>
      </c>
      <c r="P5" s="2" t="s">
        <v>17</v>
      </c>
      <c r="Q5" s="2" t="s">
        <v>18</v>
      </c>
      <c r="R5" s="2" t="s">
        <v>13</v>
      </c>
      <c r="S5" s="2" t="s">
        <v>14</v>
      </c>
      <c r="T5" s="2" t="s">
        <v>15</v>
      </c>
      <c r="U5" s="2" t="s">
        <v>16</v>
      </c>
      <c r="V5" s="2" t="s">
        <v>17</v>
      </c>
      <c r="W5" s="2" t="s">
        <v>18</v>
      </c>
      <c r="X5" s="2" t="s">
        <v>13</v>
      </c>
      <c r="Y5" s="2" t="s">
        <v>14</v>
      </c>
      <c r="Z5" s="2" t="s">
        <v>15</v>
      </c>
      <c r="AA5" s="2" t="s">
        <v>16</v>
      </c>
      <c r="AB5" s="2" t="s">
        <v>17</v>
      </c>
      <c r="AC5" s="2" t="s">
        <v>18</v>
      </c>
      <c r="AD5" s="2" t="s">
        <v>13</v>
      </c>
      <c r="AE5" s="2" t="s">
        <v>14</v>
      </c>
      <c r="AF5" s="2" t="s">
        <v>15</v>
      </c>
      <c r="AG5" s="2" t="s">
        <v>16</v>
      </c>
      <c r="AH5" s="2" t="s">
        <v>17</v>
      </c>
      <c r="AI5" s="2" t="s">
        <v>18</v>
      </c>
      <c r="AJ5" s="2">
        <v>2018</v>
      </c>
      <c r="AK5" s="2">
        <v>2019</v>
      </c>
      <c r="AL5" s="2">
        <v>2020</v>
      </c>
      <c r="AM5" s="2">
        <v>2021</v>
      </c>
      <c r="AN5" s="2">
        <v>2022</v>
      </c>
      <c r="AO5" s="2">
        <v>2023</v>
      </c>
    </row>
    <row r="6" spans="1:41" s="18" customFormat="1">
      <c r="A6" s="17">
        <v>1</v>
      </c>
      <c r="B6" s="17" t="s">
        <v>19</v>
      </c>
      <c r="C6" s="179" t="s">
        <v>36</v>
      </c>
      <c r="D6" s="180" t="s">
        <v>37</v>
      </c>
      <c r="E6" s="33" t="s">
        <v>22</v>
      </c>
      <c r="F6" s="34">
        <v>64498</v>
      </c>
      <c r="G6" s="34">
        <v>93918.261101750264</v>
      </c>
      <c r="H6" s="34">
        <v>23788</v>
      </c>
      <c r="I6" s="34">
        <v>35291.20286507361</v>
      </c>
      <c r="J6" s="35">
        <v>4.6959130550875132E-2</v>
      </c>
      <c r="K6" s="35">
        <v>3.5291202865073611E-2</v>
      </c>
      <c r="L6" s="34">
        <v>13028.596000000001</v>
      </c>
      <c r="M6" s="34">
        <v>18950.452922636439</v>
      </c>
      <c r="N6" s="34">
        <v>4805.1760000000004</v>
      </c>
      <c r="O6" s="34">
        <v>7125.3970383721326</v>
      </c>
      <c r="P6" s="35">
        <v>9.8016085908189405E-3</v>
      </c>
      <c r="Q6" s="35">
        <v>7.2851013280226E-3</v>
      </c>
      <c r="R6" s="34">
        <v>13158.881960000001</v>
      </c>
      <c r="S6" s="34">
        <v>19139.437371068736</v>
      </c>
      <c r="T6" s="34">
        <v>4853.2277600000007</v>
      </c>
      <c r="U6" s="34">
        <v>7195.9979813895225</v>
      </c>
      <c r="V6" s="35">
        <v>9.8480206426187419E-3</v>
      </c>
      <c r="W6" s="35">
        <v>7.2878621185939281E-3</v>
      </c>
      <c r="X6" s="34">
        <v>13290.4707796</v>
      </c>
      <c r="Y6" s="34">
        <v>19329.880844795072</v>
      </c>
      <c r="Z6" s="34">
        <v>4901.7600376000009</v>
      </c>
      <c r="AA6" s="34">
        <v>7267.2784199065054</v>
      </c>
      <c r="AB6" s="35">
        <v>9.8767398849689131E-3</v>
      </c>
      <c r="AC6" s="35">
        <v>7.2895664331002301E-3</v>
      </c>
      <c r="AD6" s="34">
        <v>13423.375487396001</v>
      </c>
      <c r="AE6" s="34">
        <v>19522.203418815046</v>
      </c>
      <c r="AF6" s="34">
        <v>4950.7776379760007</v>
      </c>
      <c r="AG6" s="34">
        <v>2926.9848735202627</v>
      </c>
      <c r="AH6" s="35">
        <v>9.9049670695611977E-3</v>
      </c>
      <c r="AI6" s="35">
        <v>1.6537020021279024E-3</v>
      </c>
      <c r="AJ6" s="33">
        <v>1</v>
      </c>
      <c r="AK6" s="33">
        <v>0</v>
      </c>
      <c r="AL6" s="33">
        <v>0</v>
      </c>
      <c r="AM6" s="33">
        <v>0</v>
      </c>
      <c r="AN6" s="33">
        <v>0</v>
      </c>
      <c r="AO6" s="33">
        <v>0</v>
      </c>
    </row>
    <row r="7" spans="1:41" s="18" customFormat="1">
      <c r="A7" s="17">
        <v>2</v>
      </c>
      <c r="B7" s="17" t="s">
        <v>194</v>
      </c>
      <c r="C7" s="179"/>
      <c r="D7" s="181"/>
      <c r="E7" s="33"/>
      <c r="F7" s="34">
        <v>105694</v>
      </c>
      <c r="G7" s="34">
        <v>153905.4961221804</v>
      </c>
      <c r="H7" s="34">
        <v>123120</v>
      </c>
      <c r="I7" s="34">
        <v>182657.3439022979</v>
      </c>
      <c r="J7" s="35">
        <v>7.6952748061090204E-2</v>
      </c>
      <c r="K7" s="35">
        <v>0.1826573439022979</v>
      </c>
      <c r="L7" s="34">
        <v>106750.94</v>
      </c>
      <c r="M7" s="34">
        <v>155272.19225442153</v>
      </c>
      <c r="N7" s="34">
        <v>124351.2</v>
      </c>
      <c r="O7" s="34">
        <v>184395.25882049289</v>
      </c>
      <c r="P7" s="35">
        <v>8.0310336630439474E-2</v>
      </c>
      <c r="Q7" s="35">
        <v>0.18852818133221425</v>
      </c>
      <c r="R7" s="34">
        <v>107818.4494</v>
      </c>
      <c r="S7" s="34">
        <v>156823.52760661667</v>
      </c>
      <c r="T7" s="34">
        <v>125594.712</v>
      </c>
      <c r="U7" s="34">
        <v>186237.28272328214</v>
      </c>
      <c r="V7" s="35">
        <v>8.1354628301636436E-2</v>
      </c>
      <c r="W7" s="35">
        <v>0.18980069978674308</v>
      </c>
      <c r="X7" s="34">
        <v>108896.633894</v>
      </c>
      <c r="Y7" s="34">
        <v>158387.23277368475</v>
      </c>
      <c r="Z7" s="34">
        <v>126850.65912</v>
      </c>
      <c r="AA7" s="34">
        <v>188086.36836097628</v>
      </c>
      <c r="AB7" s="35">
        <v>8.172874259586467E-2</v>
      </c>
      <c r="AC7" s="35">
        <v>0.19008753536993364</v>
      </c>
      <c r="AD7" s="34">
        <v>109985.60023293999</v>
      </c>
      <c r="AE7" s="34">
        <v>159963.89442115754</v>
      </c>
      <c r="AF7" s="34">
        <v>128119.1657112</v>
      </c>
      <c r="AG7" s="34">
        <v>75368.289125876952</v>
      </c>
      <c r="AH7" s="35">
        <v>8.1991833829150859E-2</v>
      </c>
      <c r="AI7" s="35">
        <v>4.287181787630219E-2</v>
      </c>
      <c r="AJ7" s="33"/>
      <c r="AK7" s="33"/>
      <c r="AL7" s="33"/>
      <c r="AM7" s="33"/>
      <c r="AN7" s="33"/>
      <c r="AO7" s="33"/>
    </row>
    <row r="8" spans="1:41" s="18" customFormat="1">
      <c r="A8" s="17">
        <v>3</v>
      </c>
      <c r="B8" s="17" t="s">
        <v>41</v>
      </c>
      <c r="C8" s="179"/>
      <c r="D8" s="181"/>
      <c r="E8" s="33"/>
      <c r="F8" s="34">
        <v>3310</v>
      </c>
      <c r="G8" s="34">
        <v>4819.830758268371</v>
      </c>
      <c r="H8" s="34">
        <v>4965</v>
      </c>
      <c r="I8" s="34">
        <v>7365.9333371906196</v>
      </c>
      <c r="J8" s="35">
        <v>2.4099153791341853E-3</v>
      </c>
      <c r="K8" s="35">
        <v>7.3659333371906199E-3</v>
      </c>
      <c r="L8" s="34">
        <v>3641.0000000000005</v>
      </c>
      <c r="M8" s="34">
        <v>5295.9351177455565</v>
      </c>
      <c r="N8" s="34">
        <v>5461.5</v>
      </c>
      <c r="O8" s="34">
        <v>8098.6327920287204</v>
      </c>
      <c r="P8" s="35">
        <v>2.7391790242917782E-3</v>
      </c>
      <c r="Q8" s="35">
        <v>8.2801505924019071E-3</v>
      </c>
      <c r="R8" s="34">
        <v>4005.1000000000008</v>
      </c>
      <c r="S8" s="34">
        <v>5825.4771230021097</v>
      </c>
      <c r="T8" s="34">
        <v>6007.6500000000005</v>
      </c>
      <c r="U8" s="34">
        <v>8908.4038152221419</v>
      </c>
      <c r="V8" s="35">
        <v>3.0220562772337936E-3</v>
      </c>
      <c r="W8" s="35">
        <v>9.0788549606597071E-3</v>
      </c>
      <c r="X8" s="34">
        <v>4405.6100000000015</v>
      </c>
      <c r="Y8" s="34">
        <v>6407.8415615610729</v>
      </c>
      <c r="Z8" s="34">
        <v>6608.4150000000009</v>
      </c>
      <c r="AA8" s="34">
        <v>9798.5519869973632</v>
      </c>
      <c r="AB8" s="35">
        <v>3.306483890202288E-3</v>
      </c>
      <c r="AC8" s="35">
        <v>9.902804831809062E-3</v>
      </c>
      <c r="AD8" s="34">
        <v>4846.1710000000021</v>
      </c>
      <c r="AE8" s="34">
        <v>7048.3080016751564</v>
      </c>
      <c r="AF8" s="34">
        <v>7269.2565000000013</v>
      </c>
      <c r="AG8" s="34">
        <v>4276.2643869937892</v>
      </c>
      <c r="AH8" s="35">
        <v>3.6127133597316794E-3</v>
      </c>
      <c r="AI8" s="35">
        <v>2.4324716683421415E-3</v>
      </c>
      <c r="AJ8" s="33"/>
      <c r="AK8" s="33"/>
      <c r="AL8" s="33"/>
      <c r="AM8" s="33"/>
      <c r="AN8" s="33"/>
      <c r="AO8" s="33"/>
    </row>
    <row r="9" spans="1:41" s="18" customFormat="1">
      <c r="A9" s="17">
        <v>4</v>
      </c>
      <c r="B9" s="17" t="s">
        <v>30</v>
      </c>
      <c r="C9" s="179" t="s">
        <v>38</v>
      </c>
      <c r="D9" s="181"/>
      <c r="E9" s="33" t="s">
        <v>22</v>
      </c>
      <c r="F9" s="34">
        <v>91430</v>
      </c>
      <c r="G9" s="34">
        <v>133135.08345271213</v>
      </c>
      <c r="H9" s="34">
        <v>54452</v>
      </c>
      <c r="I9" s="34">
        <v>80783.444527029933</v>
      </c>
      <c r="J9" s="35">
        <v>6.6567541726356066E-2</v>
      </c>
      <c r="K9" s="35">
        <v>8.078344452702993E-2</v>
      </c>
      <c r="L9" s="34">
        <v>92344.3</v>
      </c>
      <c r="M9" s="34">
        <v>134317.33625202716</v>
      </c>
      <c r="N9" s="34">
        <v>54996.520000000004</v>
      </c>
      <c r="O9" s="34">
        <v>81552.068171649444</v>
      </c>
      <c r="P9" s="35">
        <v>6.9472004826395831E-2</v>
      </c>
      <c r="Q9" s="35">
        <v>8.3379926331235629E-2</v>
      </c>
      <c r="R9" s="34">
        <v>93267.743000000002</v>
      </c>
      <c r="S9" s="34">
        <v>135659.31016966869</v>
      </c>
      <c r="T9" s="34">
        <v>55546.485200000003</v>
      </c>
      <c r="U9" s="34">
        <v>82366.735858090964</v>
      </c>
      <c r="V9" s="35">
        <v>7.0375363460732115E-2</v>
      </c>
      <c r="W9" s="35">
        <v>8.3942720149348074E-2</v>
      </c>
      <c r="X9" s="34">
        <v>94200.420429999998</v>
      </c>
      <c r="Y9" s="34">
        <v>137011.98452606576</v>
      </c>
      <c r="Z9" s="34">
        <v>56101.950052</v>
      </c>
      <c r="AA9" s="34">
        <v>83184.526721831397</v>
      </c>
      <c r="AB9" s="35">
        <v>7.0698988925955178E-2</v>
      </c>
      <c r="AC9" s="35">
        <v>8.406957826481179E-2</v>
      </c>
      <c r="AD9" s="34">
        <v>95142.424634299998</v>
      </c>
      <c r="AE9" s="34">
        <v>138375.8668129358</v>
      </c>
      <c r="AF9" s="34">
        <v>56662.96955252</v>
      </c>
      <c r="AG9" s="34">
        <v>33332.960359667413</v>
      </c>
      <c r="AH9" s="35">
        <v>7.0926574516994939E-2</v>
      </c>
      <c r="AI9" s="35">
        <v>1.8960820557183292E-2</v>
      </c>
      <c r="AJ9" s="33">
        <v>3</v>
      </c>
      <c r="AK9" s="33">
        <v>2</v>
      </c>
      <c r="AL9" s="33">
        <v>0</v>
      </c>
      <c r="AM9" s="33">
        <v>0</v>
      </c>
      <c r="AN9" s="33">
        <v>0</v>
      </c>
      <c r="AO9" s="33">
        <v>1</v>
      </c>
    </row>
    <row r="10" spans="1:41" s="18" customFormat="1">
      <c r="A10" s="17">
        <v>5</v>
      </c>
      <c r="B10" s="17" t="s">
        <v>32</v>
      </c>
      <c r="C10" s="179"/>
      <c r="D10" s="181"/>
      <c r="E10" s="33"/>
      <c r="F10" s="34">
        <v>123840</v>
      </c>
      <c r="G10" s="34">
        <v>180328.652901497</v>
      </c>
      <c r="H10" s="34">
        <v>144258</v>
      </c>
      <c r="I10" s="34">
        <v>214017.08184419826</v>
      </c>
      <c r="J10" s="35">
        <v>9.0164326450748497E-2</v>
      </c>
      <c r="K10" s="35">
        <v>0.21401708184419826</v>
      </c>
      <c r="L10" s="34">
        <v>125078.39999999999</v>
      </c>
      <c r="M10" s="34">
        <v>181929.989297288</v>
      </c>
      <c r="N10" s="34">
        <v>145700.57999999999</v>
      </c>
      <c r="O10" s="34">
        <v>216053.3727008338</v>
      </c>
      <c r="P10" s="35">
        <v>9.4098360250474231E-2</v>
      </c>
      <c r="Q10" s="35">
        <v>0.22089586080752566</v>
      </c>
      <c r="R10" s="34">
        <v>126329.18399999999</v>
      </c>
      <c r="S10" s="34">
        <v>183747.66456755734</v>
      </c>
      <c r="T10" s="34">
        <v>147157.5858</v>
      </c>
      <c r="U10" s="34">
        <v>218211.64661383393</v>
      </c>
      <c r="V10" s="35">
        <v>9.5321940402242844E-2</v>
      </c>
      <c r="W10" s="35">
        <v>0.22238685306884326</v>
      </c>
      <c r="X10" s="34">
        <v>127592.47584</v>
      </c>
      <c r="Y10" s="34">
        <v>185579.83335565991</v>
      </c>
      <c r="Z10" s="34">
        <v>148629.161658</v>
      </c>
      <c r="AA10" s="34">
        <v>220378.19466388659</v>
      </c>
      <c r="AB10" s="35">
        <v>9.5760284245764951E-2</v>
      </c>
      <c r="AC10" s="35">
        <v>0.22272293435181845</v>
      </c>
      <c r="AD10" s="34">
        <v>128868.4005984</v>
      </c>
      <c r="AE10" s="34">
        <v>187427.18304838642</v>
      </c>
      <c r="AF10" s="34">
        <v>150115.45327458001</v>
      </c>
      <c r="AG10" s="34">
        <v>88307.981259915177</v>
      </c>
      <c r="AH10" s="35">
        <v>9.6068544112267895E-2</v>
      </c>
      <c r="AI10" s="35">
        <v>5.0232315653018209E-2</v>
      </c>
      <c r="AJ10" s="33"/>
      <c r="AK10" s="33"/>
      <c r="AL10" s="33"/>
      <c r="AM10" s="33"/>
      <c r="AN10" s="33"/>
      <c r="AO10" s="33"/>
    </row>
    <row r="11" spans="1:41" s="18" customFormat="1">
      <c r="A11" s="17">
        <v>6</v>
      </c>
      <c r="B11" s="17" t="s">
        <v>192</v>
      </c>
      <c r="C11" s="179"/>
      <c r="D11" s="181"/>
      <c r="E11" s="33"/>
      <c r="F11" s="34">
        <v>163.21</v>
      </c>
      <c r="G11" s="34">
        <v>237.65697222265283</v>
      </c>
      <c r="H11" s="34">
        <v>244</v>
      </c>
      <c r="I11" s="34">
        <v>361.99148726576254</v>
      </c>
      <c r="J11" s="35">
        <v>1.1882848611132641E-4</v>
      </c>
      <c r="K11" s="35">
        <v>3.6199148726576255E-4</v>
      </c>
      <c r="L11" s="34">
        <v>179.53100000000003</v>
      </c>
      <c r="M11" s="34">
        <v>261.13280077560489</v>
      </c>
      <c r="N11" s="34">
        <v>268.40000000000003</v>
      </c>
      <c r="O11" s="34">
        <v>397.99927517724234</v>
      </c>
      <c r="P11" s="35">
        <v>1.3506386965397616E-4</v>
      </c>
      <c r="Q11" s="35">
        <v>4.0691978742116126E-4</v>
      </c>
      <c r="R11" s="34">
        <v>197.48410000000004</v>
      </c>
      <c r="S11" s="34">
        <v>287.24354116168411</v>
      </c>
      <c r="T11" s="34">
        <v>295.24000000000007</v>
      </c>
      <c r="U11" s="34">
        <v>437.79466886489479</v>
      </c>
      <c r="V11" s="35">
        <v>1.4901202568197205E-4</v>
      </c>
      <c r="W11" s="35">
        <v>4.4617132132950021E-4</v>
      </c>
      <c r="X11" s="34">
        <v>217.23251000000008</v>
      </c>
      <c r="Y11" s="34">
        <v>315.9588583874268</v>
      </c>
      <c r="Z11" s="34">
        <v>324.76400000000012</v>
      </c>
      <c r="AA11" s="34">
        <v>481.54011779000149</v>
      </c>
      <c r="AB11" s="35">
        <v>1.6303662710571464E-4</v>
      </c>
      <c r="AC11" s="35">
        <v>4.8666352043532962E-4</v>
      </c>
      <c r="AD11" s="34">
        <v>238.95576100000011</v>
      </c>
      <c r="AE11" s="34">
        <v>347.53907823365631</v>
      </c>
      <c r="AF11" s="34">
        <v>357.24040000000019</v>
      </c>
      <c r="AG11" s="34">
        <v>210.15277148569689</v>
      </c>
      <c r="AH11" s="35">
        <v>1.7813623789782702E-4</v>
      </c>
      <c r="AI11" s="35">
        <v>1.1954140726595826E-4</v>
      </c>
      <c r="AJ11" s="33"/>
      <c r="AK11" s="33"/>
      <c r="AL11" s="33"/>
      <c r="AM11" s="33"/>
      <c r="AN11" s="33"/>
      <c r="AO11" s="33"/>
    </row>
    <row r="12" spans="1:41" s="18" customFormat="1">
      <c r="A12" s="17">
        <v>7</v>
      </c>
      <c r="B12" s="17" t="s">
        <v>30</v>
      </c>
      <c r="C12" s="179" t="s">
        <v>39</v>
      </c>
      <c r="D12" s="181"/>
      <c r="E12" s="33" t="s">
        <v>22</v>
      </c>
      <c r="F12" s="34">
        <v>2321</v>
      </c>
      <c r="G12" s="34">
        <v>3379.7060996800265</v>
      </c>
      <c r="H12" s="34">
        <v>2031</v>
      </c>
      <c r="I12" s="34">
        <v>3013.1340599867367</v>
      </c>
      <c r="J12" s="35">
        <v>1.6898530498400133E-3</v>
      </c>
      <c r="K12" s="35">
        <v>3.0131340599867367E-3</v>
      </c>
      <c r="L12" s="34">
        <v>468.84200000000004</v>
      </c>
      <c r="M12" s="34">
        <v>681.94364528263156</v>
      </c>
      <c r="N12" s="34">
        <v>410.262</v>
      </c>
      <c r="O12" s="34">
        <v>608.36057612803938</v>
      </c>
      <c r="P12" s="35">
        <v>3.5271688330321496E-4</v>
      </c>
      <c r="Q12" s="35">
        <v>6.2199599786505379E-4</v>
      </c>
      <c r="R12" s="34">
        <v>473.53042000000005</v>
      </c>
      <c r="S12" s="34">
        <v>688.74436630981631</v>
      </c>
      <c r="T12" s="34">
        <v>414.36462</v>
      </c>
      <c r="U12" s="34">
        <v>614.38842694644859</v>
      </c>
      <c r="V12" s="35">
        <v>3.5438704938940897E-4</v>
      </c>
      <c r="W12" s="35">
        <v>6.2223171190786393E-4</v>
      </c>
      <c r="X12" s="34">
        <v>478.26572420000008</v>
      </c>
      <c r="Y12" s="34">
        <v>695.59759125506775</v>
      </c>
      <c r="Z12" s="34">
        <v>418.50826619999998</v>
      </c>
      <c r="AA12" s="34">
        <v>620.47429253531652</v>
      </c>
      <c r="AB12" s="35">
        <v>3.5542052890032014E-4</v>
      </c>
      <c r="AC12" s="35">
        <v>6.2237722488761409E-4</v>
      </c>
      <c r="AD12" s="34">
        <v>483.04838144200011</v>
      </c>
      <c r="AE12" s="34">
        <v>702.5184367743143</v>
      </c>
      <c r="AF12" s="34">
        <v>422.69334886199999</v>
      </c>
      <c r="AG12" s="34">
        <v>249.90357651419424</v>
      </c>
      <c r="AH12" s="35">
        <v>3.5643630141169558E-4</v>
      </c>
      <c r="AI12" s="35">
        <v>1.4119172550537118E-4</v>
      </c>
      <c r="AJ12" s="33">
        <v>1</v>
      </c>
      <c r="AK12" s="33">
        <v>0</v>
      </c>
      <c r="AL12" s="33">
        <v>0</v>
      </c>
      <c r="AM12" s="33">
        <v>0</v>
      </c>
      <c r="AN12" s="33">
        <v>0</v>
      </c>
      <c r="AO12" s="33">
        <v>0</v>
      </c>
    </row>
    <row r="13" spans="1:41" s="18" customFormat="1">
      <c r="A13" s="17">
        <v>8</v>
      </c>
      <c r="B13" s="17" t="s">
        <v>32</v>
      </c>
      <c r="C13" s="179"/>
      <c r="D13" s="181"/>
      <c r="E13" s="33"/>
      <c r="F13" s="34">
        <v>33982</v>
      </c>
      <c r="G13" s="34">
        <v>49482.625023406581</v>
      </c>
      <c r="H13" s="34">
        <v>39585</v>
      </c>
      <c r="I13" s="34">
        <v>58727.184522193493</v>
      </c>
      <c r="J13" s="35">
        <v>2.4741312511703289E-2</v>
      </c>
      <c r="K13" s="35">
        <v>5.8727184522193492E-2</v>
      </c>
      <c r="L13" s="34">
        <v>34321.82</v>
      </c>
      <c r="M13" s="34">
        <v>49922.035661340771</v>
      </c>
      <c r="N13" s="34">
        <v>39980.85</v>
      </c>
      <c r="O13" s="34">
        <v>59285.951270380203</v>
      </c>
      <c r="P13" s="35">
        <v>2.5820821043536946E-2</v>
      </c>
      <c r="Q13" s="35">
        <v>6.0614750308931938E-2</v>
      </c>
      <c r="R13" s="34">
        <v>34665.038200000003</v>
      </c>
      <c r="S13" s="34">
        <v>50420.810217496241</v>
      </c>
      <c r="T13" s="34">
        <v>40380.658499999998</v>
      </c>
      <c r="U13" s="34">
        <v>59878.190680645901</v>
      </c>
      <c r="V13" s="35">
        <v>2.6156574440802785E-2</v>
      </c>
      <c r="W13" s="35">
        <v>6.1023884836405327E-2</v>
      </c>
      <c r="X13" s="34">
        <v>35011.688582000002</v>
      </c>
      <c r="Y13" s="34">
        <v>50923.561830523533</v>
      </c>
      <c r="Z13" s="34">
        <v>40784.465084999996</v>
      </c>
      <c r="AA13" s="34">
        <v>60472.700548808032</v>
      </c>
      <c r="AB13" s="35">
        <v>2.6276857067503104E-2</v>
      </c>
      <c r="AC13" s="35">
        <v>6.1116106949470617E-2</v>
      </c>
      <c r="AD13" s="34">
        <v>35361.805467820006</v>
      </c>
      <c r="AE13" s="34">
        <v>51430.47912104545</v>
      </c>
      <c r="AF13" s="34">
        <v>41192.309735849994</v>
      </c>
      <c r="AG13" s="34">
        <v>24232.080287912919</v>
      </c>
      <c r="AH13" s="35">
        <v>2.6361444331581788E-2</v>
      </c>
      <c r="AI13" s="35">
        <v>1.3783958013591797E-2</v>
      </c>
      <c r="AJ13" s="33"/>
      <c r="AK13" s="33"/>
      <c r="AL13" s="33"/>
      <c r="AM13" s="33"/>
      <c r="AN13" s="33"/>
      <c r="AO13" s="33"/>
    </row>
    <row r="14" spans="1:41" s="18" customFormat="1">
      <c r="A14" s="17">
        <v>9</v>
      </c>
      <c r="B14" s="17" t="s">
        <v>193</v>
      </c>
      <c r="C14" s="179"/>
      <c r="D14" s="181"/>
      <c r="E14" s="33"/>
      <c r="F14" s="34">
        <v>249</v>
      </c>
      <c r="G14" s="34">
        <v>362.57941353740915</v>
      </c>
      <c r="H14" s="34">
        <v>373</v>
      </c>
      <c r="I14" s="34">
        <v>553.37223258249776</v>
      </c>
      <c r="J14" s="35">
        <v>1.8128970676870457E-4</v>
      </c>
      <c r="K14" s="35">
        <v>5.5337223258249775E-4</v>
      </c>
      <c r="L14" s="34">
        <v>273.90000000000003</v>
      </c>
      <c r="M14" s="34">
        <v>398.39511912949956</v>
      </c>
      <c r="N14" s="34">
        <v>410.3</v>
      </c>
      <c r="O14" s="34">
        <v>608.41692475865318</v>
      </c>
      <c r="P14" s="35">
        <v>2.0605908672164736E-4</v>
      </c>
      <c r="Q14" s="35">
        <v>6.2205360945939811E-4</v>
      </c>
      <c r="R14" s="34">
        <v>301.29000000000008</v>
      </c>
      <c r="S14" s="34">
        <v>438.23075638293818</v>
      </c>
      <c r="T14" s="34">
        <v>451.33000000000004</v>
      </c>
      <c r="U14" s="34">
        <v>669.2516864205154</v>
      </c>
      <c r="V14" s="35">
        <v>2.2733897674659053E-4</v>
      </c>
      <c r="W14" s="35">
        <v>6.820569789176376E-4</v>
      </c>
      <c r="X14" s="34">
        <v>331.4190000000001</v>
      </c>
      <c r="Y14" s="34">
        <v>482.04004496335557</v>
      </c>
      <c r="Z14" s="34">
        <v>496.46300000000008</v>
      </c>
      <c r="AA14" s="34">
        <v>736.12485219537098</v>
      </c>
      <c r="AB14" s="35">
        <v>2.4873549506355578E-4</v>
      </c>
      <c r="AC14" s="35">
        <v>7.4395693902613901E-4</v>
      </c>
      <c r="AD14" s="34">
        <v>364.56090000000012</v>
      </c>
      <c r="AE14" s="34">
        <v>530.22014876649962</v>
      </c>
      <c r="AF14" s="34">
        <v>546.10930000000008</v>
      </c>
      <c r="AG14" s="34">
        <v>321.25813018100371</v>
      </c>
      <c r="AH14" s="35">
        <v>2.7177209262029852E-4</v>
      </c>
      <c r="AI14" s="35">
        <v>1.8274157750082956E-4</v>
      </c>
      <c r="AJ14" s="33"/>
      <c r="AK14" s="33"/>
      <c r="AL14" s="33"/>
      <c r="AM14" s="33"/>
      <c r="AN14" s="33"/>
      <c r="AO14" s="33"/>
    </row>
    <row r="15" spans="1:41" s="18" customFormat="1">
      <c r="A15" s="17">
        <v>10</v>
      </c>
      <c r="B15" s="17" t="s">
        <v>30</v>
      </c>
      <c r="C15" s="179" t="s">
        <v>40</v>
      </c>
      <c r="D15" s="181"/>
      <c r="E15" s="33" t="s">
        <v>22</v>
      </c>
      <c r="F15" s="34">
        <v>2890</v>
      </c>
      <c r="G15" s="34">
        <v>4208.2510245908134</v>
      </c>
      <c r="H15" s="34">
        <v>3931</v>
      </c>
      <c r="I15" s="34">
        <v>5831.9202313184951</v>
      </c>
      <c r="J15" s="35">
        <v>2.1041255122954067E-3</v>
      </c>
      <c r="K15" s="35">
        <v>5.8319202313184947E-3</v>
      </c>
      <c r="L15" s="34">
        <v>2918.9</v>
      </c>
      <c r="M15" s="34">
        <v>4245.6207127677844</v>
      </c>
      <c r="N15" s="34">
        <v>3970.31</v>
      </c>
      <c r="O15" s="34">
        <v>5887.4087266354572</v>
      </c>
      <c r="P15" s="35">
        <v>2.1959323411165259E-3</v>
      </c>
      <c r="Q15" s="35">
        <v>6.019365503711291E-3</v>
      </c>
      <c r="R15" s="34">
        <v>589.61779999999999</v>
      </c>
      <c r="S15" s="34">
        <v>857.60780135697792</v>
      </c>
      <c r="T15" s="34">
        <v>4010.0131000000001</v>
      </c>
      <c r="U15" s="34">
        <v>5946.221234447873</v>
      </c>
      <c r="V15" s="35">
        <v>4.4489729935801329E-4</v>
      </c>
      <c r="W15" s="35">
        <v>6.0599947275965481E-3</v>
      </c>
      <c r="X15" s="34">
        <v>595.51397799999995</v>
      </c>
      <c r="Y15" s="34">
        <v>866.1591059396917</v>
      </c>
      <c r="Z15" s="34">
        <v>4050.1132310000003</v>
      </c>
      <c r="AA15" s="34">
        <v>6005.2592107455966</v>
      </c>
      <c r="AB15" s="35">
        <v>4.4694318712897398E-4</v>
      </c>
      <c r="AC15" s="35">
        <v>6.0691528715010497E-3</v>
      </c>
      <c r="AD15" s="34">
        <v>601.46911777999992</v>
      </c>
      <c r="AE15" s="34">
        <v>874.78126455076983</v>
      </c>
      <c r="AF15" s="34">
        <v>4090.6143633100005</v>
      </c>
      <c r="AG15" s="34">
        <v>2406.3738186632745</v>
      </c>
      <c r="AH15" s="35">
        <v>4.4838193230693508E-4</v>
      </c>
      <c r="AI15" s="35">
        <v>1.3688199810895382E-3</v>
      </c>
      <c r="AJ15" s="33">
        <v>1</v>
      </c>
      <c r="AK15" s="33">
        <v>0</v>
      </c>
      <c r="AL15" s="33">
        <v>0</v>
      </c>
      <c r="AM15" s="33">
        <v>0</v>
      </c>
      <c r="AN15" s="33">
        <v>0</v>
      </c>
      <c r="AO15" s="33">
        <v>1</v>
      </c>
    </row>
    <row r="16" spans="1:41" s="18" customFormat="1">
      <c r="A16" s="17">
        <v>11</v>
      </c>
      <c r="B16" s="17" t="s">
        <v>32</v>
      </c>
      <c r="C16" s="179"/>
      <c r="D16" s="181"/>
      <c r="E16" s="33"/>
      <c r="F16" s="34">
        <v>17627</v>
      </c>
      <c r="G16" s="34">
        <v>25667.418965557878</v>
      </c>
      <c r="H16" s="34">
        <v>20534</v>
      </c>
      <c r="I16" s="34">
        <v>30463.660653750692</v>
      </c>
      <c r="J16" s="35">
        <v>1.2833709482778939E-2</v>
      </c>
      <c r="K16" s="35">
        <v>3.0463660653750693E-2</v>
      </c>
      <c r="L16" s="34">
        <v>17803.27</v>
      </c>
      <c r="M16" s="34">
        <v>25895.348202061497</v>
      </c>
      <c r="N16" s="34">
        <v>20739.34</v>
      </c>
      <c r="O16" s="34">
        <v>30753.510758771939</v>
      </c>
      <c r="P16" s="35">
        <v>1.3393667604450172E-2</v>
      </c>
      <c r="Q16" s="35">
        <v>3.1442801132843465E-2</v>
      </c>
      <c r="R16" s="34">
        <v>17981.3027</v>
      </c>
      <c r="S16" s="34">
        <v>26154.070440345069</v>
      </c>
      <c r="T16" s="34">
        <v>20946.733400000001</v>
      </c>
      <c r="U16" s="34">
        <v>31060.724199479177</v>
      </c>
      <c r="V16" s="35">
        <v>1.3567828193397406E-2</v>
      </c>
      <c r="W16" s="35">
        <v>3.1655032240261394E-2</v>
      </c>
      <c r="X16" s="34">
        <v>18161.115727</v>
      </c>
      <c r="Y16" s="34">
        <v>26414.855640828628</v>
      </c>
      <c r="Z16" s="34">
        <v>21156.200734000002</v>
      </c>
      <c r="AA16" s="34">
        <v>31369.115398995185</v>
      </c>
      <c r="AB16" s="35">
        <v>1.3630220691215267E-2</v>
      </c>
      <c r="AC16" s="35">
        <v>3.1702870786925096E-2</v>
      </c>
      <c r="AD16" s="34">
        <v>18342.72688427</v>
      </c>
      <c r="AE16" s="34">
        <v>26677.80164400765</v>
      </c>
      <c r="AF16" s="34">
        <v>21367.762741340001</v>
      </c>
      <c r="AG16" s="34">
        <v>12569.951664317392</v>
      </c>
      <c r="AH16" s="35">
        <v>1.3674097440786065E-2</v>
      </c>
      <c r="AI16" s="35">
        <v>7.1501779424300617E-3</v>
      </c>
      <c r="AJ16" s="33"/>
      <c r="AK16" s="33"/>
      <c r="AL16" s="33"/>
      <c r="AM16" s="33"/>
      <c r="AN16" s="33"/>
      <c r="AO16" s="33"/>
    </row>
    <row r="17" spans="1:41" s="18" customFormat="1" ht="30">
      <c r="A17" s="17">
        <v>12</v>
      </c>
      <c r="B17" s="81" t="s">
        <v>191</v>
      </c>
      <c r="C17" s="179"/>
      <c r="D17" s="181"/>
      <c r="E17" s="33"/>
      <c r="F17" s="34">
        <v>924378</v>
      </c>
      <c r="G17" s="34">
        <v>1346025.8358509366</v>
      </c>
      <c r="H17" s="34">
        <v>252103</v>
      </c>
      <c r="I17" s="34">
        <v>374012.86850065796</v>
      </c>
      <c r="J17" s="35">
        <v>0.67301291792546825</v>
      </c>
      <c r="K17" s="35">
        <v>0.37401286850065796</v>
      </c>
      <c r="L17" s="34">
        <v>928999.8899999999</v>
      </c>
      <c r="M17" s="34">
        <v>1351256.0125879587</v>
      </c>
      <c r="N17" s="34">
        <v>253363.51499999998</v>
      </c>
      <c r="O17" s="34">
        <v>375702.29257212498</v>
      </c>
      <c r="P17" s="35">
        <v>0.69890058013110923</v>
      </c>
      <c r="Q17" s="35">
        <v>0.38412305389000811</v>
      </c>
      <c r="R17" s="34">
        <v>933644.88944999978</v>
      </c>
      <c r="S17" s="34">
        <v>1358000.285760357</v>
      </c>
      <c r="T17" s="34">
        <v>254630.33257499995</v>
      </c>
      <c r="U17" s="34">
        <v>377576.89382410963</v>
      </c>
      <c r="V17" s="35">
        <v>0.70448363308522199</v>
      </c>
      <c r="W17" s="35">
        <v>0.38480135461169823</v>
      </c>
      <c r="X17" s="34">
        <v>938313.11389724968</v>
      </c>
      <c r="Y17" s="34">
        <v>1364751.2532858294</v>
      </c>
      <c r="Z17" s="34">
        <v>255903.48423787492</v>
      </c>
      <c r="AA17" s="34">
        <v>379437.97324450372</v>
      </c>
      <c r="AB17" s="35">
        <v>0.70421966426143023</v>
      </c>
      <c r="AC17" s="35">
        <v>0.38347504812993755</v>
      </c>
      <c r="AD17" s="34">
        <v>943004.6794667358</v>
      </c>
      <c r="AE17" s="34">
        <v>1371513.1859570178</v>
      </c>
      <c r="AF17" s="34">
        <v>2571830.0165906432</v>
      </c>
      <c r="AG17" s="34">
        <v>1512922.9666539093</v>
      </c>
      <c r="AH17" s="35">
        <v>0.70298914417154601</v>
      </c>
      <c r="AI17" s="35">
        <v>0.86059745603262705</v>
      </c>
      <c r="AJ17" s="33"/>
      <c r="AK17" s="33"/>
      <c r="AL17" s="33"/>
      <c r="AM17" s="33"/>
      <c r="AN17" s="33"/>
      <c r="AO17" s="33"/>
    </row>
    <row r="18" spans="1:41" s="18" customFormat="1">
      <c r="A18" s="17">
        <v>13</v>
      </c>
      <c r="B18" s="17" t="s">
        <v>193</v>
      </c>
      <c r="C18" s="179"/>
      <c r="D18" s="182"/>
      <c r="E18" s="33"/>
      <c r="F18" s="34">
        <v>3110</v>
      </c>
      <c r="G18" s="34">
        <v>4528.6023136600097</v>
      </c>
      <c r="H18" s="34">
        <v>4665</v>
      </c>
      <c r="I18" s="34">
        <v>6920.8618364540262</v>
      </c>
      <c r="J18" s="35">
        <v>2.264301156830005E-3</v>
      </c>
      <c r="K18" s="35">
        <v>6.9208618364540262E-3</v>
      </c>
      <c r="L18" s="34">
        <v>3421.0000000000005</v>
      </c>
      <c r="M18" s="34">
        <v>4975.939038123468</v>
      </c>
      <c r="N18" s="34">
        <v>5131.5</v>
      </c>
      <c r="O18" s="34">
        <v>7609.2894209091601</v>
      </c>
      <c r="P18" s="35">
        <v>2.5736697176880451E-3</v>
      </c>
      <c r="Q18" s="35">
        <v>7.7798393783594958E-3</v>
      </c>
      <c r="R18" s="34">
        <v>3763.1000000000008</v>
      </c>
      <c r="S18" s="34">
        <v>5473.4845475941265</v>
      </c>
      <c r="T18" s="34">
        <v>5644.6500000000005</v>
      </c>
      <c r="U18" s="34">
        <v>8370.1316813718622</v>
      </c>
      <c r="V18" s="35">
        <v>2.8394546894855281E-3</v>
      </c>
      <c r="W18" s="35">
        <v>8.5302836639431084E-3</v>
      </c>
      <c r="X18" s="34">
        <v>4139.4100000000017</v>
      </c>
      <c r="Y18" s="34">
        <v>6020.6608025543628</v>
      </c>
      <c r="Z18" s="34">
        <v>6209.1150000000007</v>
      </c>
      <c r="AA18" s="34">
        <v>9206.4944651244114</v>
      </c>
      <c r="AB18" s="35">
        <v>3.1066963439665006E-3</v>
      </c>
      <c r="AC18" s="35">
        <v>9.3044480443885743E-3</v>
      </c>
      <c r="AD18" s="34">
        <v>4553.3510000000024</v>
      </c>
      <c r="AE18" s="34">
        <v>6622.4283641117036</v>
      </c>
      <c r="AF18" s="34">
        <v>6830.0265000000018</v>
      </c>
      <c r="AG18" s="34">
        <v>4017.8798318884251</v>
      </c>
      <c r="AH18" s="35">
        <v>3.3944225222856568E-3</v>
      </c>
      <c r="AI18" s="35">
        <v>2.2854945282610455E-3</v>
      </c>
      <c r="AJ18" s="33"/>
      <c r="AK18" s="33"/>
      <c r="AL18" s="33"/>
      <c r="AM18" s="33"/>
      <c r="AN18" s="33"/>
      <c r="AO18" s="33"/>
    </row>
    <row r="19" spans="1:41" s="19" customFormat="1">
      <c r="A19" s="177" t="s">
        <v>37</v>
      </c>
      <c r="B19" s="178"/>
      <c r="C19" s="9" t="s">
        <v>27</v>
      </c>
      <c r="D19" s="9">
        <v>4</v>
      </c>
      <c r="E19" s="9">
        <v>4</v>
      </c>
      <c r="F19" s="30">
        <v>1373492.21</v>
      </c>
      <c r="G19" s="30">
        <v>2000000</v>
      </c>
      <c r="H19" s="30">
        <v>674049</v>
      </c>
      <c r="I19" s="30">
        <v>1000000</v>
      </c>
      <c r="J19" s="32">
        <v>0.99773569884317004</v>
      </c>
      <c r="K19" s="32">
        <v>0.99307913816354598</v>
      </c>
      <c r="L19" s="30">
        <v>1329230.389</v>
      </c>
      <c r="M19" s="30">
        <v>1933402.3336115587</v>
      </c>
      <c r="N19" s="30">
        <v>659589.45299999998</v>
      </c>
      <c r="O19" s="30">
        <v>978077.95904826268</v>
      </c>
      <c r="P19" s="36">
        <v>0.99742633028231198</v>
      </c>
      <c r="Q19" s="36">
        <v>0.99222016062164053</v>
      </c>
      <c r="R19" s="30">
        <v>1336195.6110299998</v>
      </c>
      <c r="S19" s="30">
        <v>1943480.6308427132</v>
      </c>
      <c r="T19" s="30">
        <v>665932.98295500001</v>
      </c>
      <c r="U19" s="30">
        <v>987394.9128414453</v>
      </c>
      <c r="V19" s="32">
        <v>0.9971837207300065</v>
      </c>
      <c r="W19" s="32">
        <v>0.99152369661140272</v>
      </c>
      <c r="X19" s="30">
        <v>1345633.3703620497</v>
      </c>
      <c r="Y19" s="30">
        <v>1957111.4628838797</v>
      </c>
      <c r="Z19" s="30">
        <v>672435.05942167505</v>
      </c>
      <c r="AA19" s="30">
        <v>996942.47752616392</v>
      </c>
      <c r="AB19" s="32">
        <v>0.99692382034276816</v>
      </c>
      <c r="AC19" s="32">
        <v>0.99076622357355926</v>
      </c>
      <c r="AD19" s="30">
        <v>1355216.5689320837</v>
      </c>
      <c r="AE19" s="30">
        <v>1970950.8655317421</v>
      </c>
      <c r="AF19" s="30">
        <v>2993754.3956562812</v>
      </c>
      <c r="AG19" s="30">
        <v>1769959.0795403055</v>
      </c>
      <c r="AH19" s="32">
        <v>0.99664013036411747</v>
      </c>
      <c r="AI19" s="32">
        <v>0.99771857487377391</v>
      </c>
      <c r="AJ19" s="9">
        <v>6</v>
      </c>
      <c r="AK19" s="9">
        <v>0</v>
      </c>
      <c r="AL19" s="9">
        <v>0</v>
      </c>
      <c r="AM19" s="9">
        <v>0</v>
      </c>
      <c r="AN19" s="9">
        <v>0</v>
      </c>
      <c r="AO19" s="9">
        <v>1</v>
      </c>
    </row>
  </sheetData>
  <mergeCells count="18">
    <mergeCell ref="A19:B19"/>
    <mergeCell ref="X4:AC4"/>
    <mergeCell ref="AD4:AI4"/>
    <mergeCell ref="AK4:AO4"/>
    <mergeCell ref="C6:C8"/>
    <mergeCell ref="D6:D18"/>
    <mergeCell ref="C9:C11"/>
    <mergeCell ref="C12:C14"/>
    <mergeCell ref="C15:C18"/>
    <mergeCell ref="A2:AO3"/>
    <mergeCell ref="A4:A5"/>
    <mergeCell ref="B4:B5"/>
    <mergeCell ref="C4:C5"/>
    <mergeCell ref="D4:D5"/>
    <mergeCell ref="E4:E5"/>
    <mergeCell ref="F4:K4"/>
    <mergeCell ref="L4:Q4"/>
    <mergeCell ref="R4:W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10"/>
  <sheetViews>
    <sheetView zoomScale="70" zoomScaleNormal="70" workbookViewId="0">
      <selection activeCell="A2" sqref="A2:AO3"/>
    </sheetView>
  </sheetViews>
  <sheetFormatPr baseColWidth="10" defaultRowHeight="15"/>
  <cols>
    <col min="1" max="1" width="11.140625" style="1" customWidth="1"/>
    <col min="2" max="2" width="44.28515625" style="1" customWidth="1"/>
    <col min="3" max="3" width="27.85546875" style="1" customWidth="1"/>
    <col min="4" max="4" width="23.140625" style="1" customWidth="1"/>
    <col min="5" max="5" width="11.42578125" style="1"/>
    <col min="6" max="6" width="22.7109375" style="1" customWidth="1"/>
    <col min="7" max="7" width="21.140625" style="1" customWidth="1"/>
    <col min="8" max="8" width="24.42578125" style="1" customWidth="1"/>
    <col min="9" max="9" width="21.28515625" style="1" customWidth="1"/>
    <col min="10" max="10" width="22.7109375" style="1" customWidth="1"/>
    <col min="11" max="11" width="24.5703125" style="1" customWidth="1"/>
    <col min="12" max="12" width="22.28515625" style="1" customWidth="1"/>
    <col min="13" max="13" width="21.5703125" style="1" customWidth="1"/>
    <col min="14" max="14" width="18.85546875" style="1" customWidth="1"/>
    <col min="15" max="15" width="19.28515625" style="1" customWidth="1"/>
    <col min="16" max="16" width="22.7109375" style="1" customWidth="1"/>
    <col min="17" max="17" width="22.42578125" style="1" customWidth="1"/>
    <col min="18" max="18" width="21.85546875" style="1" customWidth="1"/>
    <col min="19" max="19" width="20.7109375" style="1" customWidth="1"/>
    <col min="20" max="20" width="21.140625" style="1" customWidth="1"/>
    <col min="21" max="21" width="19.5703125" style="1" customWidth="1"/>
    <col min="22" max="22" width="22.7109375" style="1" customWidth="1"/>
    <col min="23" max="23" width="23.7109375" style="1" customWidth="1"/>
    <col min="24" max="24" width="21.42578125" style="1" customWidth="1"/>
    <col min="25" max="25" width="22.85546875" style="1" customWidth="1"/>
    <col min="26" max="26" width="18.28515625" style="1" customWidth="1"/>
    <col min="27" max="27" width="19.140625" style="1" customWidth="1"/>
    <col min="28" max="28" width="24.5703125" style="1" customWidth="1"/>
    <col min="29" max="29" width="21.85546875" style="1" customWidth="1"/>
    <col min="30" max="30" width="22.42578125" style="1" customWidth="1"/>
    <col min="31" max="31" width="22.85546875" style="1" customWidth="1"/>
    <col min="32" max="32" width="17.7109375" style="1" customWidth="1"/>
    <col min="33" max="33" width="18.28515625" style="1" customWidth="1"/>
    <col min="34" max="34" width="23" style="1" customWidth="1"/>
    <col min="35" max="35" width="21.85546875" style="1" customWidth="1"/>
    <col min="36" max="36" width="23.42578125" style="1" customWidth="1"/>
    <col min="37" max="41" width="11.42578125" style="1"/>
  </cols>
  <sheetData>
    <row r="2" spans="1:43" s="7" customFormat="1" ht="15" customHeight="1">
      <c r="A2" s="173" t="s">
        <v>129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</row>
    <row r="3" spans="1:43" s="7" customFormat="1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</row>
    <row r="4" spans="1:43" s="4" customFormat="1" ht="61.5" customHeight="1">
      <c r="A4" s="176" t="s">
        <v>1</v>
      </c>
      <c r="B4" s="176" t="s">
        <v>2</v>
      </c>
      <c r="C4" s="176" t="s">
        <v>3</v>
      </c>
      <c r="D4" s="176" t="s">
        <v>4</v>
      </c>
      <c r="E4" s="176" t="s">
        <v>5</v>
      </c>
      <c r="F4" s="176" t="s">
        <v>124</v>
      </c>
      <c r="G4" s="176"/>
      <c r="H4" s="176"/>
      <c r="I4" s="176"/>
      <c r="J4" s="176"/>
      <c r="K4" s="176"/>
      <c r="L4" s="176" t="s">
        <v>125</v>
      </c>
      <c r="M4" s="176"/>
      <c r="N4" s="176"/>
      <c r="O4" s="176"/>
      <c r="P4" s="176"/>
      <c r="Q4" s="176"/>
      <c r="R4" s="176" t="s">
        <v>126</v>
      </c>
      <c r="S4" s="176"/>
      <c r="T4" s="176"/>
      <c r="U4" s="176"/>
      <c r="V4" s="176"/>
      <c r="W4" s="176"/>
      <c r="X4" s="176" t="s">
        <v>127</v>
      </c>
      <c r="Y4" s="176"/>
      <c r="Z4" s="176"/>
      <c r="AA4" s="176"/>
      <c r="AB4" s="176"/>
      <c r="AC4" s="176"/>
      <c r="AD4" s="176" t="s">
        <v>128</v>
      </c>
      <c r="AE4" s="176"/>
      <c r="AF4" s="176"/>
      <c r="AG4" s="176"/>
      <c r="AH4" s="176"/>
      <c r="AI4" s="176"/>
      <c r="AJ4" s="2" t="s">
        <v>11</v>
      </c>
      <c r="AK4" s="176" t="s">
        <v>12</v>
      </c>
      <c r="AL4" s="176"/>
      <c r="AM4" s="176"/>
      <c r="AN4" s="176"/>
      <c r="AO4" s="176"/>
      <c r="AP4" s="3"/>
      <c r="AQ4" s="3"/>
    </row>
    <row r="5" spans="1:43" s="6" customFormat="1" ht="42.75" customHeight="1">
      <c r="A5" s="176"/>
      <c r="B5" s="176"/>
      <c r="C5" s="176"/>
      <c r="D5" s="176"/>
      <c r="E5" s="176"/>
      <c r="F5" s="2" t="s">
        <v>13</v>
      </c>
      <c r="G5" s="2" t="s">
        <v>14</v>
      </c>
      <c r="H5" s="2" t="s">
        <v>15</v>
      </c>
      <c r="I5" s="2" t="s">
        <v>16</v>
      </c>
      <c r="J5" s="2" t="s">
        <v>17</v>
      </c>
      <c r="K5" s="2" t="s">
        <v>18</v>
      </c>
      <c r="L5" s="2" t="s">
        <v>13</v>
      </c>
      <c r="M5" s="2" t="s">
        <v>14</v>
      </c>
      <c r="N5" s="2" t="s">
        <v>15</v>
      </c>
      <c r="O5" s="2" t="s">
        <v>16</v>
      </c>
      <c r="P5" s="2" t="s">
        <v>17</v>
      </c>
      <c r="Q5" s="2" t="s">
        <v>18</v>
      </c>
      <c r="R5" s="2" t="s">
        <v>13</v>
      </c>
      <c r="S5" s="2" t="s">
        <v>14</v>
      </c>
      <c r="T5" s="2" t="s">
        <v>15</v>
      </c>
      <c r="U5" s="2" t="s">
        <v>16</v>
      </c>
      <c r="V5" s="2" t="s">
        <v>17</v>
      </c>
      <c r="W5" s="2" t="s">
        <v>18</v>
      </c>
      <c r="X5" s="2" t="s">
        <v>13</v>
      </c>
      <c r="Y5" s="2" t="s">
        <v>14</v>
      </c>
      <c r="Z5" s="2" t="s">
        <v>15</v>
      </c>
      <c r="AA5" s="2" t="s">
        <v>16</v>
      </c>
      <c r="AB5" s="2" t="s">
        <v>17</v>
      </c>
      <c r="AC5" s="2" t="s">
        <v>18</v>
      </c>
      <c r="AD5" s="2" t="s">
        <v>13</v>
      </c>
      <c r="AE5" s="2" t="s">
        <v>14</v>
      </c>
      <c r="AF5" s="2" t="s">
        <v>15</v>
      </c>
      <c r="AG5" s="2" t="s">
        <v>16</v>
      </c>
      <c r="AH5" s="2" t="s">
        <v>17</v>
      </c>
      <c r="AI5" s="2" t="s">
        <v>18</v>
      </c>
      <c r="AJ5" s="2">
        <v>2018</v>
      </c>
      <c r="AK5" s="2">
        <v>2019</v>
      </c>
      <c r="AL5" s="2">
        <v>2020</v>
      </c>
      <c r="AM5" s="2">
        <v>2021</v>
      </c>
      <c r="AN5" s="2">
        <v>2022</v>
      </c>
      <c r="AO5" s="2">
        <v>2023</v>
      </c>
      <c r="AP5" s="5"/>
      <c r="AQ5" s="5"/>
    </row>
    <row r="6" spans="1:43" s="16" customFormat="1" ht="23.25" customHeight="1">
      <c r="A6" s="14">
        <v>1</v>
      </c>
      <c r="B6" s="14" t="s">
        <v>19</v>
      </c>
      <c r="C6" s="183" t="s">
        <v>20</v>
      </c>
      <c r="D6" s="183" t="s">
        <v>21</v>
      </c>
      <c r="E6" s="37" t="s">
        <v>22</v>
      </c>
      <c r="F6" s="40">
        <v>3678</v>
      </c>
      <c r="G6" s="40">
        <v>3690.6959942201174</v>
      </c>
      <c r="H6" s="40">
        <v>5535</v>
      </c>
      <c r="I6" s="40">
        <v>6369.9215412102858</v>
      </c>
      <c r="J6" s="41">
        <v>4.9209279922934899E-3</v>
      </c>
      <c r="K6" s="41">
        <v>1.5924803853025714E-2</v>
      </c>
      <c r="L6" s="40">
        <v>3714.78</v>
      </c>
      <c r="M6" s="40">
        <v>3727.4603803034856</v>
      </c>
      <c r="N6" s="40">
        <v>5590.35</v>
      </c>
      <c r="O6" s="40">
        <v>6433.1940439930058</v>
      </c>
      <c r="P6" s="41">
        <v>4.9393994204192304E-3</v>
      </c>
      <c r="Q6" s="41">
        <v>1.5953062692823962E-2</v>
      </c>
      <c r="R6" s="40">
        <v>3751.9278000000004</v>
      </c>
      <c r="S6" s="40">
        <v>3764.5900395785666</v>
      </c>
      <c r="T6" s="40">
        <v>5646.2535000000007</v>
      </c>
      <c r="U6" s="40">
        <v>6497.0890418571025</v>
      </c>
      <c r="V6" s="41">
        <v>4.9578385273037952E-3</v>
      </c>
      <c r="W6" s="41">
        <v>1.5980462656355936E-2</v>
      </c>
      <c r="X6" s="40">
        <v>3789.4470780000006</v>
      </c>
      <c r="Y6" s="40">
        <v>3802.0885163038579</v>
      </c>
      <c r="Z6" s="40">
        <v>5702.7160350000004</v>
      </c>
      <c r="AA6" s="40">
        <v>6561.6120659674216</v>
      </c>
      <c r="AB6" s="41">
        <v>4.9762367891177679E-3</v>
      </c>
      <c r="AC6" s="41">
        <v>1.6006925940668246E-2</v>
      </c>
      <c r="AD6" s="42">
        <v>3827.3415487800007</v>
      </c>
      <c r="AE6" s="42">
        <v>3839.9593800256835</v>
      </c>
      <c r="AF6" s="42">
        <v>5759.7431953500009</v>
      </c>
      <c r="AG6" s="42">
        <v>6626.7686295298099</v>
      </c>
      <c r="AH6" s="41">
        <v>4.99458486477743E-3</v>
      </c>
      <c r="AI6" s="41">
        <v>1.6032367915551345E-2</v>
      </c>
      <c r="AJ6" s="38"/>
      <c r="AK6" s="39">
        <v>0</v>
      </c>
      <c r="AL6" s="39">
        <v>0</v>
      </c>
      <c r="AM6" s="39">
        <v>0</v>
      </c>
      <c r="AN6" s="39">
        <v>0</v>
      </c>
      <c r="AO6" s="39">
        <v>0</v>
      </c>
      <c r="AP6" s="15"/>
      <c r="AQ6" s="15"/>
    </row>
    <row r="7" spans="1:43" s="16" customFormat="1" ht="20.25" customHeight="1">
      <c r="A7" s="13">
        <v>2</v>
      </c>
      <c r="B7" s="13" t="s">
        <v>23</v>
      </c>
      <c r="C7" s="183"/>
      <c r="D7" s="183"/>
      <c r="E7" s="13"/>
      <c r="F7" s="43">
        <v>152331</v>
      </c>
      <c r="G7" s="43">
        <v>152856.82748655375</v>
      </c>
      <c r="H7" s="43">
        <v>177446</v>
      </c>
      <c r="I7" s="43">
        <v>204212.6644628004</v>
      </c>
      <c r="J7" s="44">
        <v>0.203809103315405</v>
      </c>
      <c r="K7" s="44">
        <v>0.51053166115700099</v>
      </c>
      <c r="L7" s="43">
        <v>153854.31</v>
      </c>
      <c r="M7" s="43">
        <v>154384.61983941335</v>
      </c>
      <c r="N7" s="43">
        <v>179220.46</v>
      </c>
      <c r="O7" s="43">
        <v>206250.2772765476</v>
      </c>
      <c r="P7" s="45">
        <v>0.20538571647916737</v>
      </c>
      <c r="Q7" s="45">
        <v>0.51804918532263067</v>
      </c>
      <c r="R7" s="43">
        <v>155392.85310000001</v>
      </c>
      <c r="S7" s="43">
        <v>155923.92244266992</v>
      </c>
      <c r="T7" s="43">
        <v>181012.66459999999</v>
      </c>
      <c r="U7" s="43">
        <v>208306.24044422113</v>
      </c>
      <c r="V7" s="45">
        <v>0.20631980392006835</v>
      </c>
      <c r="W7" s="45">
        <v>0.52029804031879268</v>
      </c>
      <c r="X7" s="43">
        <v>156946.78163100002</v>
      </c>
      <c r="Y7" s="43">
        <v>157477.39716962748</v>
      </c>
      <c r="Z7" s="43">
        <v>182822.79124599998</v>
      </c>
      <c r="AA7" s="43">
        <v>210376.76521477522</v>
      </c>
      <c r="AB7" s="45">
        <v>0.20712226073448151</v>
      </c>
      <c r="AC7" s="45">
        <v>0.52144435213976592</v>
      </c>
      <c r="AD7" s="46">
        <v>158516.24944731002</v>
      </c>
      <c r="AE7" s="46">
        <v>159046.05667347874</v>
      </c>
      <c r="AF7" s="46">
        <v>184651.01915845997</v>
      </c>
      <c r="AG7" s="46">
        <v>212466.25108245958</v>
      </c>
      <c r="AH7" s="45">
        <v>0.20789643045877737</v>
      </c>
      <c r="AI7" s="45">
        <v>0.52234101073793249</v>
      </c>
      <c r="AJ7" s="13"/>
      <c r="AK7" s="13">
        <v>0</v>
      </c>
      <c r="AL7" s="13">
        <v>0</v>
      </c>
      <c r="AM7" s="13">
        <v>0</v>
      </c>
      <c r="AN7" s="13">
        <v>0</v>
      </c>
      <c r="AO7" s="13">
        <v>0</v>
      </c>
      <c r="AP7" s="15"/>
      <c r="AQ7" s="15"/>
    </row>
    <row r="8" spans="1:43" s="16" customFormat="1" ht="18.75" customHeight="1">
      <c r="A8" s="13">
        <v>3</v>
      </c>
      <c r="B8" s="13" t="s">
        <v>24</v>
      </c>
      <c r="C8" s="183"/>
      <c r="D8" s="183"/>
      <c r="E8" s="13"/>
      <c r="F8" s="43">
        <v>590000</v>
      </c>
      <c r="G8" s="43">
        <v>592036.6059243799</v>
      </c>
      <c r="H8" s="43">
        <v>162473</v>
      </c>
      <c r="I8" s="43">
        <v>186981.07724752641</v>
      </c>
      <c r="J8" s="44">
        <v>0.7893821412325065</v>
      </c>
      <c r="K8" s="44">
        <v>0.46745269311881599</v>
      </c>
      <c r="L8" s="43">
        <v>592949.99999999988</v>
      </c>
      <c r="M8" s="43">
        <v>594993.79857333947</v>
      </c>
      <c r="N8" s="43">
        <v>163285.36499999999</v>
      </c>
      <c r="O8" s="43">
        <v>187911.87014279663</v>
      </c>
      <c r="P8" s="45">
        <v>0.79155052975975959</v>
      </c>
      <c r="Q8" s="45">
        <v>0.4719876866366618</v>
      </c>
      <c r="R8" s="43">
        <v>595914.74999999977</v>
      </c>
      <c r="S8" s="43">
        <v>597951.34337129304</v>
      </c>
      <c r="T8" s="43">
        <v>164101.79182499996</v>
      </c>
      <c r="U8" s="43">
        <v>188845.50084251931</v>
      </c>
      <c r="V8" s="45">
        <v>0.79121408687924077</v>
      </c>
      <c r="W8" s="45">
        <v>0.4716898725734241</v>
      </c>
      <c r="X8" s="43">
        <v>598894.32374999975</v>
      </c>
      <c r="Y8" s="43">
        <v>600919.10330186528</v>
      </c>
      <c r="Z8" s="43">
        <v>164922.30078412493</v>
      </c>
      <c r="AA8" s="43">
        <v>189778.41829390352</v>
      </c>
      <c r="AB8" s="45">
        <v>0.79035928603997119</v>
      </c>
      <c r="AC8" s="45">
        <v>0.47038884867511943</v>
      </c>
      <c r="AD8" s="46">
        <v>601888.79536874965</v>
      </c>
      <c r="AE8" s="46">
        <v>603900.4820838226</v>
      </c>
      <c r="AF8" s="46">
        <v>165746.91228804554</v>
      </c>
      <c r="AG8" s="46">
        <v>190714.4907340786</v>
      </c>
      <c r="AH8" s="45">
        <v>0.78938615142978941</v>
      </c>
      <c r="AI8" s="45">
        <v>0.46886505195475148</v>
      </c>
      <c r="AJ8" s="13"/>
      <c r="AK8" s="14">
        <v>0</v>
      </c>
      <c r="AL8" s="14">
        <v>0</v>
      </c>
      <c r="AM8" s="14">
        <v>0</v>
      </c>
      <c r="AN8" s="14">
        <v>0</v>
      </c>
      <c r="AO8" s="14">
        <v>0</v>
      </c>
      <c r="AP8" s="15"/>
      <c r="AQ8" s="15"/>
    </row>
    <row r="9" spans="1:43" s="16" customFormat="1" ht="19.5" customHeight="1">
      <c r="A9" s="13">
        <v>4</v>
      </c>
      <c r="B9" s="13" t="s">
        <v>25</v>
      </c>
      <c r="C9" s="183"/>
      <c r="D9" s="183"/>
      <c r="E9" s="13"/>
      <c r="F9" s="43">
        <v>1411</v>
      </c>
      <c r="G9" s="43">
        <v>1415.8705948462712</v>
      </c>
      <c r="H9" s="43">
        <v>2117</v>
      </c>
      <c r="I9" s="43">
        <v>2436.3367484629039</v>
      </c>
      <c r="J9" s="44">
        <v>1.8878274597950281E-3</v>
      </c>
      <c r="K9" s="44">
        <v>6.0908418711572597E-3</v>
      </c>
      <c r="L9" s="43">
        <v>1552.1000000000001</v>
      </c>
      <c r="M9" s="43">
        <v>1557.449826740333</v>
      </c>
      <c r="N9" s="43">
        <v>2328.7000000000003</v>
      </c>
      <c r="O9" s="43">
        <v>2679.9117728740148</v>
      </c>
      <c r="P9" s="45">
        <v>2.0719547638757452E-3</v>
      </c>
      <c r="Q9" s="45">
        <v>6.7312690630344889E-3</v>
      </c>
      <c r="R9" s="43">
        <v>1707.3100000000004</v>
      </c>
      <c r="S9" s="43">
        <v>1713.1448886795349</v>
      </c>
      <c r="T9" s="43">
        <v>2561.5700000000006</v>
      </c>
      <c r="U9" s="43">
        <v>2947.8104060499181</v>
      </c>
      <c r="V9" s="45">
        <v>2.2668472674485696E-3</v>
      </c>
      <c r="W9" s="45">
        <v>7.3629094079387973E-3</v>
      </c>
      <c r="X9" s="43">
        <v>1878.0410000000006</v>
      </c>
      <c r="Y9" s="43">
        <v>1884.3903989900507</v>
      </c>
      <c r="Z9" s="43">
        <v>2817.7270000000008</v>
      </c>
      <c r="AA9" s="43">
        <v>3242.3982123798951</v>
      </c>
      <c r="AB9" s="45">
        <v>2.4784458376890645E-3</v>
      </c>
      <c r="AC9" s="45">
        <v>8.0366775936852649E-3</v>
      </c>
      <c r="AD9" s="46">
        <v>2065.8451000000009</v>
      </c>
      <c r="AE9" s="46">
        <v>2072.7497527781316</v>
      </c>
      <c r="AF9" s="46">
        <v>3099.4997000000012</v>
      </c>
      <c r="AG9" s="46">
        <v>3566.3983036295995</v>
      </c>
      <c r="AH9" s="45">
        <v>2.7093867263968648E-3</v>
      </c>
      <c r="AI9" s="45">
        <v>8.7678682384664391E-3</v>
      </c>
      <c r="AJ9" s="13"/>
      <c r="AK9" s="14">
        <v>0</v>
      </c>
      <c r="AL9" s="14">
        <v>0</v>
      </c>
      <c r="AM9" s="14">
        <v>0</v>
      </c>
      <c r="AN9" s="14">
        <v>0</v>
      </c>
      <c r="AO9" s="14">
        <v>0</v>
      </c>
      <c r="AP9" s="15"/>
      <c r="AQ9" s="15"/>
    </row>
    <row r="10" spans="1:43" s="12" customFormat="1" ht="20.25" customHeight="1">
      <c r="A10" s="184" t="s">
        <v>26</v>
      </c>
      <c r="B10" s="185"/>
      <c r="C10" s="9" t="s">
        <v>27</v>
      </c>
      <c r="D10" s="10">
        <v>5</v>
      </c>
      <c r="E10" s="10">
        <v>1</v>
      </c>
      <c r="F10" s="27">
        <v>747420</v>
      </c>
      <c r="G10" s="27">
        <v>750000</v>
      </c>
      <c r="H10" s="27">
        <v>347571</v>
      </c>
      <c r="I10" s="27">
        <v>400000</v>
      </c>
      <c r="J10" s="28">
        <v>1</v>
      </c>
      <c r="K10" s="28">
        <v>1</v>
      </c>
      <c r="L10" s="27">
        <v>752071.18999999983</v>
      </c>
      <c r="M10" s="27">
        <v>754638.38070967712</v>
      </c>
      <c r="N10" s="27">
        <v>350424.875</v>
      </c>
      <c r="O10" s="27">
        <v>403257.6169143244</v>
      </c>
      <c r="P10" s="28">
        <v>1.0000000000000002</v>
      </c>
      <c r="Q10" s="28">
        <v>0.99999999999999989</v>
      </c>
      <c r="R10" s="27">
        <v>756766.84089999984</v>
      </c>
      <c r="S10" s="27">
        <v>759320.82475986786</v>
      </c>
      <c r="T10" s="27">
        <v>353322.27992499998</v>
      </c>
      <c r="U10" s="27">
        <v>406564.51453068567</v>
      </c>
      <c r="V10" s="28">
        <v>1</v>
      </c>
      <c r="W10" s="28">
        <v>0.99999999999999989</v>
      </c>
      <c r="X10" s="27">
        <v>761508.59345899976</v>
      </c>
      <c r="Y10" s="27">
        <v>764048.95454702154</v>
      </c>
      <c r="Z10" s="27">
        <v>356265.53506512492</v>
      </c>
      <c r="AA10" s="27">
        <v>409923.31009020034</v>
      </c>
      <c r="AB10" s="28">
        <v>1</v>
      </c>
      <c r="AC10" s="28">
        <v>1</v>
      </c>
      <c r="AD10" s="27">
        <v>766298.23146483977</v>
      </c>
      <c r="AE10" s="27">
        <v>768824.53376769298</v>
      </c>
      <c r="AF10" s="27">
        <v>359257.17434185551</v>
      </c>
      <c r="AG10" s="27">
        <v>413336.86105730309</v>
      </c>
      <c r="AH10" s="28">
        <v>0.99999999999999989</v>
      </c>
      <c r="AI10" s="28">
        <v>1</v>
      </c>
      <c r="AJ10" s="10">
        <v>1</v>
      </c>
      <c r="AK10" s="10">
        <v>0</v>
      </c>
      <c r="AL10" s="10">
        <v>0</v>
      </c>
      <c r="AM10" s="10">
        <v>0</v>
      </c>
      <c r="AN10" s="10">
        <v>0</v>
      </c>
      <c r="AO10" s="10">
        <v>0</v>
      </c>
      <c r="AP10" s="11"/>
      <c r="AQ10" s="11"/>
    </row>
  </sheetData>
  <mergeCells count="15">
    <mergeCell ref="D6:D9"/>
    <mergeCell ref="A10:B10"/>
    <mergeCell ref="AD4:AI4"/>
    <mergeCell ref="AK4:AO4"/>
    <mergeCell ref="C6:C9"/>
    <mergeCell ref="A2:AO3"/>
    <mergeCell ref="A4:A5"/>
    <mergeCell ref="B4:B5"/>
    <mergeCell ref="C4:C5"/>
    <mergeCell ref="D4:D5"/>
    <mergeCell ref="E4:E5"/>
    <mergeCell ref="F4:K4"/>
    <mergeCell ref="L4:Q4"/>
    <mergeCell ref="R4:W4"/>
    <mergeCell ref="X4:AC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2"/>
  <sheetViews>
    <sheetView zoomScale="60" zoomScaleNormal="60" zoomScaleSheetLayoutView="70" workbookViewId="0">
      <selection activeCell="D11" sqref="D11"/>
    </sheetView>
  </sheetViews>
  <sheetFormatPr baseColWidth="10" defaultColWidth="11.42578125" defaultRowHeight="15"/>
  <cols>
    <col min="1" max="1" width="8.5703125" style="71" customWidth="1"/>
    <col min="2" max="2" width="72.28515625" style="75" customWidth="1"/>
    <col min="3" max="3" width="34.42578125" style="72" customWidth="1"/>
    <col min="4" max="4" width="28.85546875" style="71" customWidth="1"/>
    <col min="5" max="5" width="17.5703125" style="71" customWidth="1"/>
    <col min="6" max="35" width="28.85546875" style="73" customWidth="1"/>
    <col min="36" max="36" width="19.28515625" style="73" customWidth="1"/>
    <col min="37" max="37" width="9.5703125" style="74" customWidth="1"/>
    <col min="38" max="38" width="10.28515625" style="74" customWidth="1"/>
    <col min="39" max="39" width="11.42578125" style="74" customWidth="1"/>
    <col min="40" max="40" width="11" style="74" customWidth="1"/>
    <col min="41" max="41" width="10.28515625" style="74" customWidth="1"/>
    <col min="42" max="49" width="11.42578125" style="75"/>
    <col min="50" max="50" width="12.7109375" style="75" bestFit="1" customWidth="1"/>
    <col min="51" max="53" width="11.42578125" style="75"/>
    <col min="54" max="54" width="12.7109375" style="75" bestFit="1" customWidth="1"/>
    <col min="55" max="55" width="20" style="75" customWidth="1"/>
    <col min="56" max="16384" width="11.42578125" style="75"/>
  </cols>
  <sheetData>
    <row r="1" spans="1:66" s="48" customFormat="1" ht="31.5" customHeight="1">
      <c r="A1" s="47"/>
      <c r="C1" s="47"/>
      <c r="D1" s="47"/>
      <c r="E1" s="47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</row>
    <row r="2" spans="1:66" s="48" customFormat="1" ht="35.25" customHeight="1">
      <c r="A2" s="165" t="s">
        <v>131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</row>
    <row r="3" spans="1:66" s="48" customFormat="1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BC3" s="88">
        <f>BC5/86400</f>
        <v>71.111111089189293</v>
      </c>
    </row>
    <row r="4" spans="1:66" s="48" customFormat="1" ht="47.45" customHeight="1">
      <c r="A4" s="142" t="s">
        <v>1</v>
      </c>
      <c r="B4" s="142" t="s">
        <v>2</v>
      </c>
      <c r="C4" s="142" t="s">
        <v>3</v>
      </c>
      <c r="D4" s="143" t="s">
        <v>4</v>
      </c>
      <c r="E4" s="143" t="s">
        <v>5</v>
      </c>
      <c r="F4" s="144" t="s">
        <v>124</v>
      </c>
      <c r="G4" s="145"/>
      <c r="H4" s="145"/>
      <c r="I4" s="145"/>
      <c r="J4" s="145"/>
      <c r="K4" s="164"/>
      <c r="L4" s="144" t="s">
        <v>125</v>
      </c>
      <c r="M4" s="145"/>
      <c r="N4" s="145"/>
      <c r="O4" s="145"/>
      <c r="P4" s="145"/>
      <c r="Q4" s="164"/>
      <c r="R4" s="144" t="s">
        <v>126</v>
      </c>
      <c r="S4" s="145"/>
      <c r="T4" s="145"/>
      <c r="U4" s="145"/>
      <c r="V4" s="145"/>
      <c r="W4" s="164"/>
      <c r="X4" s="144" t="s">
        <v>127</v>
      </c>
      <c r="Y4" s="145"/>
      <c r="Z4" s="145"/>
      <c r="AA4" s="145"/>
      <c r="AB4" s="145"/>
      <c r="AC4" s="164"/>
      <c r="AD4" s="144" t="s">
        <v>128</v>
      </c>
      <c r="AE4" s="145"/>
      <c r="AF4" s="145"/>
      <c r="AG4" s="145"/>
      <c r="AH4" s="145"/>
      <c r="AI4" s="164"/>
      <c r="AJ4" s="52" t="s">
        <v>11</v>
      </c>
      <c r="AK4" s="147" t="s">
        <v>12</v>
      </c>
      <c r="AL4" s="148"/>
      <c r="AM4" s="148"/>
      <c r="AN4" s="148"/>
      <c r="AO4" s="149"/>
      <c r="AQ4" s="186">
        <v>2019</v>
      </c>
      <c r="AR4" s="186"/>
      <c r="AS4" s="186">
        <v>2020</v>
      </c>
      <c r="AT4" s="186"/>
      <c r="AU4" s="186">
        <v>2021</v>
      </c>
      <c r="AV4" s="186"/>
      <c r="AW4" s="186">
        <v>2022</v>
      </c>
      <c r="AX4" s="186"/>
      <c r="AY4" s="186">
        <v>2023</v>
      </c>
      <c r="AZ4" s="186"/>
      <c r="BC4" s="89">
        <f>BC5/1000</f>
        <v>6143.9999981059555</v>
      </c>
    </row>
    <row r="5" spans="1:66" s="48" customFormat="1" ht="43.15" customHeight="1">
      <c r="A5" s="142"/>
      <c r="B5" s="142"/>
      <c r="C5" s="142"/>
      <c r="D5" s="143"/>
      <c r="E5" s="143"/>
      <c r="F5" s="52" t="s">
        <v>13</v>
      </c>
      <c r="G5" s="52" t="s">
        <v>14</v>
      </c>
      <c r="H5" s="52" t="s">
        <v>15</v>
      </c>
      <c r="I5" s="52" t="s">
        <v>16</v>
      </c>
      <c r="J5" s="53" t="s">
        <v>17</v>
      </c>
      <c r="K5" s="53" t="s">
        <v>18</v>
      </c>
      <c r="L5" s="52" t="s">
        <v>13</v>
      </c>
      <c r="M5" s="52" t="s">
        <v>14</v>
      </c>
      <c r="N5" s="52" t="s">
        <v>15</v>
      </c>
      <c r="O5" s="52" t="s">
        <v>16</v>
      </c>
      <c r="P5" s="53" t="s">
        <v>17</v>
      </c>
      <c r="Q5" s="53" t="s">
        <v>18</v>
      </c>
      <c r="R5" s="52" t="s">
        <v>13</v>
      </c>
      <c r="S5" s="52" t="s">
        <v>14</v>
      </c>
      <c r="T5" s="52" t="s">
        <v>15</v>
      </c>
      <c r="U5" s="52" t="s">
        <v>16</v>
      </c>
      <c r="V5" s="53" t="s">
        <v>17</v>
      </c>
      <c r="W5" s="53" t="s">
        <v>18</v>
      </c>
      <c r="X5" s="52" t="s">
        <v>13</v>
      </c>
      <c r="Y5" s="52" t="s">
        <v>14</v>
      </c>
      <c r="Z5" s="52" t="s">
        <v>15</v>
      </c>
      <c r="AA5" s="52" t="s">
        <v>16</v>
      </c>
      <c r="AB5" s="53" t="s">
        <v>17</v>
      </c>
      <c r="AC5" s="53" t="s">
        <v>18</v>
      </c>
      <c r="AD5" s="52" t="s">
        <v>13</v>
      </c>
      <c r="AE5" s="52" t="s">
        <v>14</v>
      </c>
      <c r="AF5" s="52" t="s">
        <v>15</v>
      </c>
      <c r="AG5" s="52" t="s">
        <v>16</v>
      </c>
      <c r="AH5" s="53" t="s">
        <v>17</v>
      </c>
      <c r="AI5" s="53" t="s">
        <v>18</v>
      </c>
      <c r="AJ5" s="52">
        <v>2018</v>
      </c>
      <c r="AK5" s="52">
        <v>2019</v>
      </c>
      <c r="AL5" s="52">
        <v>2020</v>
      </c>
      <c r="AM5" s="52">
        <v>2021</v>
      </c>
      <c r="AN5" s="52">
        <v>2022</v>
      </c>
      <c r="AO5" s="52">
        <v>2023</v>
      </c>
      <c r="AQ5" s="90" t="s">
        <v>75</v>
      </c>
      <c r="AR5" s="90" t="s">
        <v>76</v>
      </c>
      <c r="AS5" s="90" t="s">
        <v>75</v>
      </c>
      <c r="AT5" s="90" t="s">
        <v>76</v>
      </c>
      <c r="AU5" s="90" t="s">
        <v>75</v>
      </c>
      <c r="AV5" s="90" t="s">
        <v>76</v>
      </c>
      <c r="AW5" s="90" t="s">
        <v>75</v>
      </c>
      <c r="AX5" s="90" t="s">
        <v>76</v>
      </c>
      <c r="AY5" s="90" t="s">
        <v>75</v>
      </c>
      <c r="AZ5" s="90" t="s">
        <v>76</v>
      </c>
      <c r="BC5" s="91">
        <v>6143999.9981059553</v>
      </c>
    </row>
    <row r="6" spans="1:66" s="48" customFormat="1" ht="24" customHeight="1">
      <c r="A6" s="54">
        <v>1</v>
      </c>
      <c r="B6" s="63" t="s">
        <v>167</v>
      </c>
      <c r="C6" s="187" t="s">
        <v>168</v>
      </c>
      <c r="D6" s="187" t="s">
        <v>169</v>
      </c>
      <c r="E6" s="56"/>
      <c r="F6" s="92">
        <v>6307.2000000000007</v>
      </c>
      <c r="G6" s="92">
        <v>9047.6088896080164</v>
      </c>
      <c r="H6" s="92">
        <v>7884.0000000000009</v>
      </c>
      <c r="I6" s="92">
        <v>12824.598365794567</v>
      </c>
      <c r="J6" s="58">
        <v>2.5850311113165759E-2</v>
      </c>
      <c r="K6" s="58">
        <v>3.6641709616555905E-2</v>
      </c>
      <c r="L6" s="92">
        <v>6370.2720000000008</v>
      </c>
      <c r="M6" s="92">
        <v>9137.4480647832061</v>
      </c>
      <c r="N6" s="92">
        <v>7962.8400000000011</v>
      </c>
      <c r="O6" s="92">
        <v>12951.694617432151</v>
      </c>
      <c r="P6" s="58">
        <v>2.5890842653309584E-2</v>
      </c>
      <c r="Q6" s="58">
        <v>3.6659458109131814E-2</v>
      </c>
      <c r="R6" s="92">
        <v>6433.9747200000011</v>
      </c>
      <c r="S6" s="92">
        <v>9219.2550449150094</v>
      </c>
      <c r="T6" s="92">
        <v>8042.4684000000016</v>
      </c>
      <c r="U6" s="92">
        <v>13080.049908797466</v>
      </c>
      <c r="V6" s="58">
        <v>2.530778681624047E-2</v>
      </c>
      <c r="W6" s="58">
        <v>3.6677135812656733E-2</v>
      </c>
      <c r="X6" s="92">
        <v>6498.3144672000008</v>
      </c>
      <c r="Y6" s="92">
        <v>9310.7911668481065</v>
      </c>
      <c r="Z6" s="92">
        <v>8122.8930840000021</v>
      </c>
      <c r="AA6" s="92">
        <v>13209.676708948695</v>
      </c>
      <c r="AB6" s="58">
        <v>2.5346249394615147E-2</v>
      </c>
      <c r="AC6" s="58">
        <v>3.6694742933401858E-2</v>
      </c>
      <c r="AD6" s="93">
        <v>6563.2976118720007</v>
      </c>
      <c r="AE6" s="93">
        <v>9403.2353139675652</v>
      </c>
      <c r="AF6" s="93">
        <v>8204.1220148400025</v>
      </c>
      <c r="AG6" s="93">
        <v>13340.587610416023</v>
      </c>
      <c r="AH6" s="58">
        <v>2.5384637783485264E-2</v>
      </c>
      <c r="AI6" s="58">
        <v>3.6712279677725966E-2</v>
      </c>
      <c r="AJ6" s="59">
        <v>1</v>
      </c>
      <c r="AK6" s="60">
        <v>0</v>
      </c>
      <c r="AL6" s="60">
        <v>0</v>
      </c>
      <c r="AM6" s="60">
        <v>0</v>
      </c>
      <c r="AN6" s="60">
        <v>0</v>
      </c>
      <c r="AO6" s="60">
        <v>0</v>
      </c>
      <c r="AQ6" s="94">
        <f t="shared" ref="AQ6:AQ11" si="0">F6/G6</f>
        <v>0.69711236161461188</v>
      </c>
      <c r="AR6" s="94">
        <f t="shared" ref="AR6:AR11" si="1">H6/I6</f>
        <v>0.61475609411893939</v>
      </c>
      <c r="AS6" s="94">
        <f t="shared" ref="AS6:AS11" si="2">L6/M6</f>
        <v>0.69716095290891711</v>
      </c>
      <c r="AT6" s="94">
        <f t="shared" ref="AT6:AT11" si="3">N6/O6</f>
        <v>0.6148106664962999</v>
      </c>
      <c r="AU6" s="94">
        <f t="shared" ref="AU6:AU11" si="4">R6/S6</f>
        <v>0.6978844482178348</v>
      </c>
      <c r="AV6" s="94">
        <f t="shared" ref="AV6:AV11" si="5">T6/U6</f>
        <v>0.61486526856374957</v>
      </c>
      <c r="AW6" s="94">
        <f t="shared" ref="AW6:AW11" si="6">X6/Y6</f>
        <v>0.69793365040103383</v>
      </c>
      <c r="AX6" s="94">
        <f t="shared" ref="AX6:AX11" si="7">Z6/AA6</f>
        <v>0.61491990023474774</v>
      </c>
      <c r="AY6" s="94">
        <f t="shared" ref="AY6:AY11" si="8">AD6/AE6</f>
        <v>0.69798291680767355</v>
      </c>
      <c r="AZ6" s="94">
        <f t="shared" ref="AZ6:AZ11" si="9">AF6/AG6</f>
        <v>0.6149745614229476</v>
      </c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</row>
    <row r="7" spans="1:66" s="48" customFormat="1" ht="24" customHeight="1">
      <c r="A7" s="54">
        <v>2</v>
      </c>
      <c r="B7" s="63" t="s">
        <v>170</v>
      </c>
      <c r="C7" s="188"/>
      <c r="D7" s="188"/>
      <c r="E7" s="56" t="s">
        <v>22</v>
      </c>
      <c r="F7" s="92">
        <v>13795.101532799998</v>
      </c>
      <c r="G7" s="92">
        <v>19788.921115741756</v>
      </c>
      <c r="H7" s="92">
        <v>15852.201119999998</v>
      </c>
      <c r="I7" s="92">
        <v>25786.163442135814</v>
      </c>
      <c r="J7" s="58">
        <v>5.6539774616405018E-2</v>
      </c>
      <c r="K7" s="58">
        <v>7.3674752691816614E-2</v>
      </c>
      <c r="L7" s="92">
        <v>13933.052548127998</v>
      </c>
      <c r="M7" s="92">
        <v>19985.417269845762</v>
      </c>
      <c r="N7" s="92">
        <v>16010.723131199999</v>
      </c>
      <c r="O7" s="92">
        <v>26041.71333337847</v>
      </c>
      <c r="P7" s="58">
        <v>5.6628425160476059E-2</v>
      </c>
      <c r="Q7" s="58">
        <v>7.3710439230869132E-2</v>
      </c>
      <c r="R7" s="92">
        <v>20185.271442544221</v>
      </c>
      <c r="S7" s="92">
        <v>28923.515195231394</v>
      </c>
      <c r="T7" s="92">
        <v>16170.830362511999</v>
      </c>
      <c r="U7" s="92">
        <v>26299.79475062088</v>
      </c>
      <c r="V7" s="58">
        <v>7.939797228420814E-2</v>
      </c>
      <c r="W7" s="58">
        <v>7.3745983435792611E-2</v>
      </c>
      <c r="X7" s="92">
        <v>20387.124156969665</v>
      </c>
      <c r="Y7" s="92">
        <v>29210.690937820789</v>
      </c>
      <c r="Z7" s="92">
        <v>16332.538666137119</v>
      </c>
      <c r="AA7" s="92">
        <v>26560.432765148955</v>
      </c>
      <c r="AB7" s="58">
        <v>7.9518640707486155E-2</v>
      </c>
      <c r="AC7" s="58">
        <v>7.3781385721332429E-2</v>
      </c>
      <c r="AD7" s="93">
        <v>20590.995398539362</v>
      </c>
      <c r="AE7" s="93">
        <v>29500.71542254254</v>
      </c>
      <c r="AF7" s="93">
        <v>16495.86405279849</v>
      </c>
      <c r="AG7" s="93">
        <v>26823.652696511279</v>
      </c>
      <c r="AH7" s="58">
        <v>7.9639076376463308E-2</v>
      </c>
      <c r="AI7" s="58">
        <v>7.3816646502410016E-2</v>
      </c>
      <c r="AJ7" s="59">
        <v>2</v>
      </c>
      <c r="AK7" s="60">
        <v>0</v>
      </c>
      <c r="AL7" s="60">
        <v>0</v>
      </c>
      <c r="AM7" s="60">
        <v>0</v>
      </c>
      <c r="AN7" s="60">
        <v>0</v>
      </c>
      <c r="AO7" s="60">
        <v>0</v>
      </c>
      <c r="AQ7" s="94">
        <f t="shared" si="0"/>
        <v>0.69711236161461199</v>
      </c>
      <c r="AR7" s="94">
        <f t="shared" si="1"/>
        <v>0.61475609411893939</v>
      </c>
      <c r="AS7" s="94">
        <f t="shared" si="2"/>
        <v>0.697160952908917</v>
      </c>
      <c r="AT7" s="94">
        <f t="shared" si="3"/>
        <v>0.61481066649630001</v>
      </c>
      <c r="AU7" s="94">
        <f t="shared" si="4"/>
        <v>0.6978844482178348</v>
      </c>
      <c r="AV7" s="94">
        <f t="shared" si="5"/>
        <v>0.61486526856374957</v>
      </c>
      <c r="AW7" s="94">
        <f t="shared" si="6"/>
        <v>0.69793365040103394</v>
      </c>
      <c r="AX7" s="94">
        <f t="shared" si="7"/>
        <v>0.61491990023474774</v>
      </c>
      <c r="AY7" s="94">
        <f t="shared" si="8"/>
        <v>0.69798291680767355</v>
      </c>
      <c r="AZ7" s="94">
        <f t="shared" si="9"/>
        <v>0.6149745614229476</v>
      </c>
      <c r="BB7" s="76">
        <f t="shared" ref="BB7:BB9" si="10">F7/365</f>
        <v>37.794798719999996</v>
      </c>
      <c r="BC7" s="76">
        <f t="shared" ref="BC7:BC9" si="11">BB7*1000000/$BC$5</f>
        <v>6.1514971893963555</v>
      </c>
    </row>
    <row r="8" spans="1:66" s="48" customFormat="1" ht="24" customHeight="1">
      <c r="A8" s="54">
        <v>3</v>
      </c>
      <c r="B8" s="63" t="s">
        <v>57</v>
      </c>
      <c r="C8" s="188"/>
      <c r="D8" s="188"/>
      <c r="E8" s="56"/>
      <c r="F8" s="92">
        <v>77155.896004835187</v>
      </c>
      <c r="G8" s="92">
        <v>110679.28249921017</v>
      </c>
      <c r="H8" s="92">
        <v>21042.517092227776</v>
      </c>
      <c r="I8" s="92">
        <v>34229.050014356741</v>
      </c>
      <c r="J8" s="58">
        <v>0.31622652142631474</v>
      </c>
      <c r="K8" s="58">
        <v>9.7797285755304969E-2</v>
      </c>
      <c r="L8" s="92">
        <v>77541.675484859355</v>
      </c>
      <c r="M8" s="92">
        <v>111224.92612547398</v>
      </c>
      <c r="N8" s="92">
        <v>21147.729677688912</v>
      </c>
      <c r="O8" s="92">
        <v>34397.141803355793</v>
      </c>
      <c r="P8" s="58">
        <v>0.31515441084030421</v>
      </c>
      <c r="Q8" s="58">
        <v>9.7360277265709241E-2</v>
      </c>
      <c r="R8" s="92">
        <v>77929.383862283648</v>
      </c>
      <c r="S8" s="92">
        <v>111665.16758080714</v>
      </c>
      <c r="T8" s="92">
        <v>21253.468326077356</v>
      </c>
      <c r="U8" s="92">
        <v>34566.057659628219</v>
      </c>
      <c r="V8" s="58">
        <v>0.30653217013380568</v>
      </c>
      <c r="W8" s="58">
        <v>9.6925011764489769E-2</v>
      </c>
      <c r="X8" s="92">
        <v>78319.030781595065</v>
      </c>
      <c r="Y8" s="92">
        <v>112215.58200638815</v>
      </c>
      <c r="Z8" s="92">
        <v>21359.735667707741</v>
      </c>
      <c r="AA8" s="92">
        <v>34735.801621566636</v>
      </c>
      <c r="AB8" s="58">
        <v>0.30547824309742705</v>
      </c>
      <c r="AC8" s="58">
        <v>9.6491484172777531E-2</v>
      </c>
      <c r="AD8" s="93">
        <v>78710.625935503034</v>
      </c>
      <c r="AE8" s="93">
        <v>112768.699691817</v>
      </c>
      <c r="AF8" s="93">
        <v>21466.534346046275</v>
      </c>
      <c r="AG8" s="93">
        <v>34906.377747359707</v>
      </c>
      <c r="AH8" s="58">
        <v>0.30442634895452486</v>
      </c>
      <c r="AI8" s="58">
        <v>9.6059689409547427E-2</v>
      </c>
      <c r="AJ8" s="59"/>
      <c r="AK8" s="60"/>
      <c r="AL8" s="60"/>
      <c r="AM8" s="60"/>
      <c r="AN8" s="60"/>
      <c r="AO8" s="60"/>
      <c r="AQ8" s="94">
        <f t="shared" si="0"/>
        <v>0.69711236161461188</v>
      </c>
      <c r="AR8" s="94">
        <f t="shared" si="1"/>
        <v>0.61475609411893939</v>
      </c>
      <c r="AS8" s="94">
        <f t="shared" si="2"/>
        <v>0.69716095290891711</v>
      </c>
      <c r="AT8" s="94">
        <f t="shared" si="3"/>
        <v>0.6148106664962999</v>
      </c>
      <c r="AU8" s="94">
        <f t="shared" si="4"/>
        <v>0.6978844482178348</v>
      </c>
      <c r="AV8" s="94">
        <f t="shared" si="5"/>
        <v>0.61486526856374957</v>
      </c>
      <c r="AW8" s="94">
        <f t="shared" si="6"/>
        <v>0.69793365040103394</v>
      </c>
      <c r="AX8" s="94">
        <f t="shared" si="7"/>
        <v>0.61491990023474763</v>
      </c>
      <c r="AY8" s="94">
        <f t="shared" si="8"/>
        <v>0.69798291680767355</v>
      </c>
      <c r="AZ8" s="94">
        <f t="shared" si="9"/>
        <v>0.6149745614229476</v>
      </c>
      <c r="BB8" s="76"/>
      <c r="BC8" s="76"/>
    </row>
    <row r="9" spans="1:66" s="48" customFormat="1" ht="24" customHeight="1">
      <c r="A9" s="54">
        <v>4</v>
      </c>
      <c r="B9" s="63" t="s">
        <v>61</v>
      </c>
      <c r="C9" s="188"/>
      <c r="D9" s="188"/>
      <c r="E9" s="56"/>
      <c r="F9" s="92">
        <v>146731.12902747898</v>
      </c>
      <c r="G9" s="92">
        <v>210484.18749544007</v>
      </c>
      <c r="H9" s="92">
        <v>170385.914729401</v>
      </c>
      <c r="I9" s="92">
        <v>277160.1881777129</v>
      </c>
      <c r="J9" s="58">
        <v>0.60138339284411446</v>
      </c>
      <c r="K9" s="58">
        <v>0.79188625193632256</v>
      </c>
      <c r="L9" s="92">
        <v>148198.44031775376</v>
      </c>
      <c r="M9" s="92">
        <v>212574.21216634841</v>
      </c>
      <c r="N9" s="92">
        <v>172089.77387669502</v>
      </c>
      <c r="O9" s="92">
        <v>279906.94250216091</v>
      </c>
      <c r="P9" s="58">
        <v>0.60232632134591013</v>
      </c>
      <c r="Q9" s="58">
        <v>0.79226982539428981</v>
      </c>
      <c r="R9" s="92">
        <v>149680.4247209313</v>
      </c>
      <c r="S9" s="92">
        <v>214477.37530642131</v>
      </c>
      <c r="T9" s="92">
        <v>173810.67161546196</v>
      </c>
      <c r="U9" s="92">
        <v>282680.90669922298</v>
      </c>
      <c r="V9" s="58">
        <v>0.58876207076574572</v>
      </c>
      <c r="W9" s="58">
        <v>0.79265186898706097</v>
      </c>
      <c r="X9" s="92">
        <v>151177.22896814061</v>
      </c>
      <c r="Y9" s="92">
        <v>216606.87786191981</v>
      </c>
      <c r="Z9" s="92">
        <v>175548.77833161657</v>
      </c>
      <c r="AA9" s="92">
        <v>285482.35024529253</v>
      </c>
      <c r="AB9" s="58">
        <v>0.58965686680047169</v>
      </c>
      <c r="AC9" s="58">
        <v>0.79303238717248825</v>
      </c>
      <c r="AD9" s="93">
        <v>152689.001257822</v>
      </c>
      <c r="AE9" s="93">
        <v>218757.50477700424</v>
      </c>
      <c r="AF9" s="93">
        <v>177304.26611493275</v>
      </c>
      <c r="AG9" s="93">
        <v>288311.54528519115</v>
      </c>
      <c r="AH9" s="58">
        <v>0.59054993688552659</v>
      </c>
      <c r="AI9" s="58">
        <v>0.79341138441031656</v>
      </c>
      <c r="AJ9" s="59"/>
      <c r="AK9" s="60"/>
      <c r="AL9" s="60"/>
      <c r="AM9" s="60"/>
      <c r="AN9" s="60"/>
      <c r="AO9" s="60"/>
      <c r="AQ9" s="94">
        <f t="shared" si="0"/>
        <v>0.69711236161461188</v>
      </c>
      <c r="AR9" s="94">
        <f t="shared" si="1"/>
        <v>0.61475609411893928</v>
      </c>
      <c r="AS9" s="94">
        <f t="shared" si="2"/>
        <v>0.697160952908917</v>
      </c>
      <c r="AT9" s="94">
        <f t="shared" si="3"/>
        <v>0.61481066649629978</v>
      </c>
      <c r="AU9" s="94">
        <f t="shared" si="4"/>
        <v>0.6978844482178348</v>
      </c>
      <c r="AV9" s="94">
        <f t="shared" si="5"/>
        <v>0.61486526856374957</v>
      </c>
      <c r="AW9" s="94">
        <f t="shared" si="6"/>
        <v>0.69793365040103394</v>
      </c>
      <c r="AX9" s="94">
        <f t="shared" si="7"/>
        <v>0.61491990023474763</v>
      </c>
      <c r="AY9" s="94">
        <f t="shared" si="8"/>
        <v>0.69798291680767355</v>
      </c>
      <c r="AZ9" s="94">
        <f t="shared" si="9"/>
        <v>0.61497456142294771</v>
      </c>
      <c r="BB9" s="76">
        <f t="shared" si="10"/>
        <v>402.00309322596979</v>
      </c>
      <c r="BC9" s="76">
        <f t="shared" si="11"/>
        <v>65.430190974918219</v>
      </c>
    </row>
    <row r="10" spans="1:66" s="48" customFormat="1" ht="24" customHeight="1">
      <c r="A10" s="80">
        <v>5</v>
      </c>
      <c r="B10" s="63" t="s">
        <v>56</v>
      </c>
      <c r="C10" s="189"/>
      <c r="D10" s="189"/>
      <c r="E10" s="56"/>
      <c r="F10" s="92">
        <v>1453</v>
      </c>
      <c r="G10" s="92">
        <v>2084.3124867770875</v>
      </c>
      <c r="H10" s="92">
        <v>2179</v>
      </c>
      <c r="I10" s="92">
        <v>3544.495159698929</v>
      </c>
      <c r="J10" s="58">
        <v>5.9551785336488215E-3</v>
      </c>
      <c r="K10" s="58">
        <v>1.0127129027711226E-2</v>
      </c>
      <c r="L10" s="92">
        <v>1598.3000000000002</v>
      </c>
      <c r="M10" s="92">
        <v>2292.5839339266831</v>
      </c>
      <c r="N10" s="92">
        <v>2396.9</v>
      </c>
      <c r="O10" s="92">
        <v>3898.5985940346809</v>
      </c>
      <c r="P10" s="58">
        <v>6.4960073624461736E-3</v>
      </c>
      <c r="Q10" s="58">
        <v>1.1034888951903847E-2</v>
      </c>
      <c r="R10" s="92">
        <v>1758.1300000000003</v>
      </c>
      <c r="S10" s="92">
        <v>2519.2279387937083</v>
      </c>
      <c r="T10" s="92">
        <v>2636.59</v>
      </c>
      <c r="U10" s="92">
        <v>4288.0776241578151</v>
      </c>
      <c r="V10" s="58">
        <v>6.9155352906386395E-3</v>
      </c>
      <c r="W10" s="58">
        <v>1.2023991230390486E-2</v>
      </c>
      <c r="X10" s="92">
        <v>1933.9430000000004</v>
      </c>
      <c r="Y10" s="92">
        <v>2770.9553750399527</v>
      </c>
      <c r="Z10" s="92">
        <v>2900.2490000000003</v>
      </c>
      <c r="AA10" s="92">
        <v>4716.4663216994941</v>
      </c>
      <c r="AB10" s="58">
        <v>7.5432178360077444E-3</v>
      </c>
      <c r="AC10" s="58">
        <v>1.3101722550981664E-2</v>
      </c>
      <c r="AD10" s="93">
        <v>3048.0509125439485</v>
      </c>
      <c r="AE10" s="93">
        <v>4366.9419969254441</v>
      </c>
      <c r="AF10" s="93">
        <v>3190.2739000000006</v>
      </c>
      <c r="AG10" s="93">
        <v>5187.65181541533</v>
      </c>
      <c r="AH10" s="58">
        <v>1.1788840448221139E-2</v>
      </c>
      <c r="AI10" s="58">
        <v>1.4276022157336686E-2</v>
      </c>
      <c r="AJ10" s="59"/>
      <c r="AK10" s="60"/>
      <c r="AL10" s="60"/>
      <c r="AM10" s="60"/>
      <c r="AN10" s="60"/>
      <c r="AO10" s="60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B10" s="76"/>
      <c r="BC10" s="76"/>
    </row>
    <row r="11" spans="1:66" s="68" customFormat="1" ht="24" customHeight="1">
      <c r="A11" s="156" t="s">
        <v>169</v>
      </c>
      <c r="B11" s="157"/>
      <c r="C11" s="64" t="s">
        <v>27</v>
      </c>
      <c r="D11" s="64">
        <v>2</v>
      </c>
      <c r="E11" s="64">
        <f>COUNTA(E6:E9)</f>
        <v>1</v>
      </c>
      <c r="F11" s="95">
        <v>243989.32656511417</v>
      </c>
      <c r="G11" s="95">
        <v>350000</v>
      </c>
      <c r="H11" s="95">
        <v>215164.63294162878</v>
      </c>
      <c r="I11" s="96">
        <v>350000</v>
      </c>
      <c r="J11" s="66">
        <v>1</v>
      </c>
      <c r="K11" s="66">
        <v>1</v>
      </c>
      <c r="L11" s="95">
        <v>246043.44035074112</v>
      </c>
      <c r="M11" s="95">
        <v>352922.00362645136</v>
      </c>
      <c r="N11" s="95">
        <v>217211.06668558394</v>
      </c>
      <c r="O11" s="96">
        <v>353297.4922563273</v>
      </c>
      <c r="P11" s="66">
        <v>1</v>
      </c>
      <c r="Q11" s="66">
        <v>1</v>
      </c>
      <c r="R11" s="95">
        <v>254229.05474575917</v>
      </c>
      <c r="S11" s="95">
        <v>364285.31312737486</v>
      </c>
      <c r="T11" s="95">
        <v>219277.43870405131</v>
      </c>
      <c r="U11" s="96">
        <v>356626.80901826953</v>
      </c>
      <c r="V11" s="66">
        <v>1</v>
      </c>
      <c r="W11" s="66">
        <v>1</v>
      </c>
      <c r="X11" s="95">
        <v>256381.69837390532</v>
      </c>
      <c r="Y11" s="95">
        <v>367343.94197297684</v>
      </c>
      <c r="Z11" s="95">
        <v>221363.94574946142</v>
      </c>
      <c r="AA11" s="96">
        <v>359988.26134095679</v>
      </c>
      <c r="AB11" s="66">
        <v>1</v>
      </c>
      <c r="AC11" s="66">
        <v>1</v>
      </c>
      <c r="AD11" s="67">
        <v>258553.9202037364</v>
      </c>
      <c r="AE11" s="104">
        <v>370430.15520533134</v>
      </c>
      <c r="AF11" s="67">
        <v>223470.78652861752</v>
      </c>
      <c r="AG11" s="104">
        <v>363382.1633394782</v>
      </c>
      <c r="AH11" s="66">
        <v>1</v>
      </c>
      <c r="AI11" s="66">
        <v>1</v>
      </c>
      <c r="AJ11" s="67">
        <f t="shared" ref="AJ11:AO11" si="12">SUM(AJ6:AJ9)</f>
        <v>3</v>
      </c>
      <c r="AK11" s="67">
        <f t="shared" si="12"/>
        <v>0</v>
      </c>
      <c r="AL11" s="67">
        <f t="shared" si="12"/>
        <v>0</v>
      </c>
      <c r="AM11" s="67">
        <f t="shared" si="12"/>
        <v>0</v>
      </c>
      <c r="AN11" s="67">
        <f t="shared" si="12"/>
        <v>0</v>
      </c>
      <c r="AO11" s="67">
        <f t="shared" si="12"/>
        <v>0</v>
      </c>
      <c r="AQ11" s="94">
        <f t="shared" si="0"/>
        <v>0.69711236161461188</v>
      </c>
      <c r="AR11" s="94">
        <f t="shared" si="1"/>
        <v>0.61475609411893939</v>
      </c>
      <c r="AS11" s="94">
        <f t="shared" si="2"/>
        <v>0.69716095290891711</v>
      </c>
      <c r="AT11" s="94">
        <f t="shared" si="3"/>
        <v>0.6148106664962999</v>
      </c>
      <c r="AU11" s="94">
        <f t="shared" si="4"/>
        <v>0.6978844482178348</v>
      </c>
      <c r="AV11" s="94">
        <f t="shared" si="5"/>
        <v>0.61486526856374957</v>
      </c>
      <c r="AW11" s="94">
        <f t="shared" si="6"/>
        <v>0.69793365040103394</v>
      </c>
      <c r="AX11" s="94">
        <f t="shared" si="7"/>
        <v>0.61491990023474763</v>
      </c>
      <c r="AY11" s="94">
        <f t="shared" si="8"/>
        <v>0.69798291680767355</v>
      </c>
      <c r="AZ11" s="94">
        <f t="shared" si="9"/>
        <v>0.6149745614229476</v>
      </c>
      <c r="BB11" s="76"/>
      <c r="BC11" s="76"/>
    </row>
    <row r="12" spans="1:66" s="48" customFormat="1">
      <c r="A12" s="47"/>
      <c r="E12" s="47"/>
      <c r="F12" s="49"/>
      <c r="G12" s="6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</row>
  </sheetData>
  <mergeCells count="20">
    <mergeCell ref="AY4:AZ4"/>
    <mergeCell ref="C6:C10"/>
    <mergeCell ref="D6:D10"/>
    <mergeCell ref="A11:B11"/>
    <mergeCell ref="AD4:AI4"/>
    <mergeCell ref="AK4:AO4"/>
    <mergeCell ref="AQ4:AR4"/>
    <mergeCell ref="AS4:AT4"/>
    <mergeCell ref="AU4:AV4"/>
    <mergeCell ref="AW4:AX4"/>
    <mergeCell ref="A2:AO3"/>
    <mergeCell ref="A4:A5"/>
    <mergeCell ref="B4:B5"/>
    <mergeCell ref="C4:C5"/>
    <mergeCell ref="D4:D5"/>
    <mergeCell ref="E4:E5"/>
    <mergeCell ref="F4:K4"/>
    <mergeCell ref="L4:Q4"/>
    <mergeCell ref="R4:W4"/>
    <mergeCell ref="X4:AC4"/>
  </mergeCells>
  <pageMargins left="0.7" right="0.7" top="0.75" bottom="0.75" header="0.3" footer="0.3"/>
  <pageSetup scale="1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17"/>
  <sheetViews>
    <sheetView topLeftCell="X1" zoomScale="70" zoomScaleNormal="70" workbookViewId="0">
      <selection activeCell="AI9" sqref="AI9"/>
    </sheetView>
  </sheetViews>
  <sheetFormatPr baseColWidth="10" defaultRowHeight="15"/>
  <cols>
    <col min="2" max="2" width="56.28515625" customWidth="1"/>
    <col min="3" max="3" width="29.85546875" customWidth="1"/>
    <col min="4" max="4" width="35.28515625" customWidth="1"/>
    <col min="5" max="5" width="18.5703125" customWidth="1"/>
    <col min="6" max="6" width="20" customWidth="1"/>
    <col min="7" max="7" width="21.140625" customWidth="1"/>
    <col min="8" max="8" width="21.7109375" customWidth="1"/>
    <col min="9" max="9" width="19.7109375" customWidth="1"/>
    <col min="10" max="10" width="23.85546875" customWidth="1"/>
    <col min="11" max="11" width="21.140625" customWidth="1"/>
    <col min="12" max="12" width="20.28515625" customWidth="1"/>
    <col min="13" max="13" width="21.140625" customWidth="1"/>
    <col min="14" max="14" width="22.42578125" customWidth="1"/>
    <col min="15" max="15" width="23" customWidth="1"/>
    <col min="16" max="16" width="24.28515625" customWidth="1"/>
    <col min="17" max="17" width="23.7109375" customWidth="1"/>
    <col min="18" max="18" width="21.28515625" customWidth="1"/>
    <col min="19" max="19" width="21.85546875" customWidth="1"/>
    <col min="20" max="20" width="18.7109375" customWidth="1"/>
    <col min="21" max="21" width="18.85546875" customWidth="1"/>
    <col min="22" max="22" width="21.5703125" customWidth="1"/>
    <col min="23" max="23" width="20.28515625" customWidth="1"/>
    <col min="24" max="24" width="19" customWidth="1"/>
    <col min="25" max="25" width="20.140625" customWidth="1"/>
    <col min="26" max="26" width="22.7109375" customWidth="1"/>
    <col min="27" max="27" width="21.42578125" customWidth="1"/>
    <col min="28" max="28" width="23.140625" customWidth="1"/>
    <col min="29" max="29" width="17" customWidth="1"/>
    <col min="30" max="30" width="24.140625" customWidth="1"/>
    <col min="31" max="31" width="25.42578125" customWidth="1"/>
    <col min="32" max="32" width="21.28515625" customWidth="1"/>
    <col min="33" max="33" width="21.5703125" customWidth="1"/>
    <col min="34" max="34" width="20.42578125" customWidth="1"/>
    <col min="35" max="35" width="20.85546875" customWidth="1"/>
    <col min="36" max="36" width="21.42578125" customWidth="1"/>
  </cols>
  <sheetData>
    <row r="2" spans="1:41" s="26" customFormat="1" ht="35.25">
      <c r="A2" s="173" t="s">
        <v>129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</row>
    <row r="3" spans="1:41" s="26" customFormat="1" ht="35.2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</row>
    <row r="4" spans="1:41" s="21" customFormat="1" ht="50.25" customHeight="1">
      <c r="A4" s="190" t="s">
        <v>1</v>
      </c>
      <c r="B4" s="190" t="s">
        <v>2</v>
      </c>
      <c r="C4" s="190" t="s">
        <v>3</v>
      </c>
      <c r="D4" s="190" t="s">
        <v>4</v>
      </c>
      <c r="E4" s="190" t="s">
        <v>5</v>
      </c>
      <c r="F4" s="192" t="s">
        <v>124</v>
      </c>
      <c r="G4" s="192"/>
      <c r="H4" s="192"/>
      <c r="I4" s="192"/>
      <c r="J4" s="192"/>
      <c r="K4" s="192"/>
      <c r="L4" s="192" t="s">
        <v>125</v>
      </c>
      <c r="M4" s="192"/>
      <c r="N4" s="192"/>
      <c r="O4" s="192"/>
      <c r="P4" s="192"/>
      <c r="Q4" s="192"/>
      <c r="R4" s="192" t="s">
        <v>126</v>
      </c>
      <c r="S4" s="192"/>
      <c r="T4" s="192"/>
      <c r="U4" s="192"/>
      <c r="V4" s="192"/>
      <c r="W4" s="192"/>
      <c r="X4" s="192" t="s">
        <v>127</v>
      </c>
      <c r="Y4" s="192"/>
      <c r="Z4" s="192"/>
      <c r="AA4" s="192"/>
      <c r="AB4" s="192"/>
      <c r="AC4" s="192"/>
      <c r="AD4" s="192" t="s">
        <v>128</v>
      </c>
      <c r="AE4" s="192"/>
      <c r="AF4" s="192"/>
      <c r="AG4" s="192"/>
      <c r="AH4" s="192"/>
      <c r="AI4" s="192"/>
      <c r="AJ4" s="20" t="s">
        <v>11</v>
      </c>
      <c r="AK4" s="192" t="s">
        <v>12</v>
      </c>
      <c r="AL4" s="192"/>
      <c r="AM4" s="192"/>
      <c r="AN4" s="192"/>
      <c r="AO4" s="192"/>
    </row>
    <row r="5" spans="1:41" s="22" customFormat="1" ht="30">
      <c r="A5" s="191"/>
      <c r="B5" s="191"/>
      <c r="C5" s="191"/>
      <c r="D5" s="191"/>
      <c r="E5" s="191"/>
      <c r="F5" s="8" t="s">
        <v>13</v>
      </c>
      <c r="G5" s="8" t="s">
        <v>14</v>
      </c>
      <c r="H5" s="8" t="s">
        <v>15</v>
      </c>
      <c r="I5" s="8" t="s">
        <v>16</v>
      </c>
      <c r="J5" s="8" t="s">
        <v>17</v>
      </c>
      <c r="K5" s="8" t="s">
        <v>18</v>
      </c>
      <c r="L5" s="8" t="s">
        <v>13</v>
      </c>
      <c r="M5" s="8" t="s">
        <v>14</v>
      </c>
      <c r="N5" s="8" t="s">
        <v>15</v>
      </c>
      <c r="O5" s="8" t="s">
        <v>16</v>
      </c>
      <c r="P5" s="8" t="s">
        <v>17</v>
      </c>
      <c r="Q5" s="8" t="s">
        <v>18</v>
      </c>
      <c r="R5" s="8" t="s">
        <v>13</v>
      </c>
      <c r="S5" s="8" t="s">
        <v>14</v>
      </c>
      <c r="T5" s="8" t="s">
        <v>15</v>
      </c>
      <c r="U5" s="8" t="s">
        <v>16</v>
      </c>
      <c r="V5" s="8" t="s">
        <v>17</v>
      </c>
      <c r="W5" s="8" t="s">
        <v>18</v>
      </c>
      <c r="X5" s="8" t="s">
        <v>13</v>
      </c>
      <c r="Y5" s="8" t="s">
        <v>14</v>
      </c>
      <c r="Z5" s="8" t="s">
        <v>15</v>
      </c>
      <c r="AA5" s="8" t="s">
        <v>16</v>
      </c>
      <c r="AB5" s="8" t="s">
        <v>17</v>
      </c>
      <c r="AC5" s="8" t="s">
        <v>18</v>
      </c>
      <c r="AD5" s="8" t="s">
        <v>13</v>
      </c>
      <c r="AE5" s="8" t="s">
        <v>14</v>
      </c>
      <c r="AF5" s="8" t="s">
        <v>15</v>
      </c>
      <c r="AG5" s="8" t="s">
        <v>16</v>
      </c>
      <c r="AH5" s="8" t="s">
        <v>17</v>
      </c>
      <c r="AI5" s="8" t="s">
        <v>18</v>
      </c>
      <c r="AJ5" s="8">
        <v>2018</v>
      </c>
      <c r="AK5" s="8">
        <v>2019</v>
      </c>
      <c r="AL5" s="8">
        <v>2020</v>
      </c>
      <c r="AM5" s="8">
        <v>2021</v>
      </c>
      <c r="AN5" s="8">
        <v>2022</v>
      </c>
      <c r="AO5" s="8">
        <v>2023</v>
      </c>
    </row>
    <row r="6" spans="1:41" s="18" customFormat="1">
      <c r="A6" s="17">
        <v>1</v>
      </c>
      <c r="B6" s="17" t="s">
        <v>35</v>
      </c>
      <c r="C6" s="180" t="s">
        <v>28</v>
      </c>
      <c r="D6" s="180" t="s">
        <v>29</v>
      </c>
      <c r="E6" s="33" t="s">
        <v>22</v>
      </c>
      <c r="F6" s="34">
        <v>147883</v>
      </c>
      <c r="G6" s="34">
        <v>272949.81221453566</v>
      </c>
      <c r="H6" s="34">
        <v>95892</v>
      </c>
      <c r="I6" s="34">
        <v>249956.46901688792</v>
      </c>
      <c r="J6" s="35">
        <v>3.6393308295271418E-2</v>
      </c>
      <c r="K6" s="35">
        <v>4.9991293803377586E-2</v>
      </c>
      <c r="L6" s="34">
        <v>149361.82999999999</v>
      </c>
      <c r="M6" s="34">
        <v>275678.73011811147</v>
      </c>
      <c r="N6" s="34">
        <v>96850.92</v>
      </c>
      <c r="O6" s="34">
        <v>252250.35645435622</v>
      </c>
      <c r="P6" s="35">
        <v>3.6810567086860417E-2</v>
      </c>
      <c r="Q6" s="35">
        <v>5.1932379367303917E-2</v>
      </c>
      <c r="R6" s="34">
        <v>150855.44829999999</v>
      </c>
      <c r="S6" s="34">
        <v>278427.50462531659</v>
      </c>
      <c r="T6" s="34">
        <v>97819.429199999999</v>
      </c>
      <c r="U6" s="34">
        <v>254769.86962334474</v>
      </c>
      <c r="V6" s="35">
        <v>3.6979227573981692E-2</v>
      </c>
      <c r="W6" s="35">
        <v>5.2272003468952916E-2</v>
      </c>
      <c r="X6" s="34">
        <v>152364.002783</v>
      </c>
      <c r="Y6" s="34">
        <v>281199.76342544815</v>
      </c>
      <c r="Z6" s="34">
        <v>98797.623491999999</v>
      </c>
      <c r="AA6" s="34">
        <v>257305.22431828352</v>
      </c>
      <c r="AB6" s="35">
        <v>3.7104875396298934E-2</v>
      </c>
      <c r="AC6" s="35">
        <v>5.2429058178351015E-2</v>
      </c>
      <c r="AD6" s="34">
        <v>153887.64281083</v>
      </c>
      <c r="AE6" s="34">
        <v>283998.50912116072</v>
      </c>
      <c r="AF6" s="34">
        <v>99785.599726920002</v>
      </c>
      <c r="AG6" s="34">
        <v>259856.4977697109</v>
      </c>
      <c r="AH6" s="35">
        <v>3.7219933622652121E-2</v>
      </c>
      <c r="AI6" s="35">
        <v>5.2468590372636265E-2</v>
      </c>
      <c r="AJ6" s="33"/>
      <c r="AK6" s="33">
        <v>0</v>
      </c>
      <c r="AL6" s="33">
        <v>1</v>
      </c>
      <c r="AM6" s="33">
        <v>1</v>
      </c>
      <c r="AN6" s="33">
        <v>1</v>
      </c>
      <c r="AO6" s="33">
        <v>1</v>
      </c>
    </row>
    <row r="7" spans="1:41" s="18" customFormat="1">
      <c r="A7" s="17">
        <v>2</v>
      </c>
      <c r="B7" s="17" t="s">
        <v>23</v>
      </c>
      <c r="C7" s="181"/>
      <c r="D7" s="181"/>
      <c r="E7" s="33"/>
      <c r="F7" s="34">
        <v>339741</v>
      </c>
      <c r="G7" s="34">
        <v>627064.92397083202</v>
      </c>
      <c r="H7" s="34">
        <v>395754</v>
      </c>
      <c r="I7" s="34">
        <v>1031590.4605108816</v>
      </c>
      <c r="J7" s="35">
        <v>8.360865652944427E-2</v>
      </c>
      <c r="K7" s="35">
        <v>0.20631809210217633</v>
      </c>
      <c r="L7" s="34">
        <v>343138.41</v>
      </c>
      <c r="M7" s="34">
        <v>633334.24023760215</v>
      </c>
      <c r="N7" s="34">
        <v>399711.54</v>
      </c>
      <c r="O7" s="34">
        <v>1041057.5185441673</v>
      </c>
      <c r="P7" s="35">
        <v>8.4567251629038123E-2</v>
      </c>
      <c r="Q7" s="35">
        <v>0.21432910841496677</v>
      </c>
      <c r="R7" s="34">
        <v>346569.7941</v>
      </c>
      <c r="S7" s="34">
        <v>639649.17433991528</v>
      </c>
      <c r="T7" s="34">
        <v>403708.65539999999</v>
      </c>
      <c r="U7" s="34">
        <v>1051455.7521265296</v>
      </c>
      <c r="V7" s="35">
        <v>8.4954726068663167E-2</v>
      </c>
      <c r="W7" s="35">
        <v>0.2157307644105034</v>
      </c>
      <c r="X7" s="34">
        <v>350035.49204099999</v>
      </c>
      <c r="Y7" s="34">
        <v>646018.06039859343</v>
      </c>
      <c r="Z7" s="34">
        <v>407745.74195399997</v>
      </c>
      <c r="AA7" s="34">
        <v>1061919.3649611853</v>
      </c>
      <c r="AB7" s="35">
        <v>8.5243384784011653E-2</v>
      </c>
      <c r="AC7" s="35">
        <v>0.21637894183367878</v>
      </c>
      <c r="AD7" s="34">
        <v>353535.84696141002</v>
      </c>
      <c r="AE7" s="34">
        <v>652447.79648324882</v>
      </c>
      <c r="AF7" s="34">
        <v>411823.19937353994</v>
      </c>
      <c r="AG7" s="34">
        <v>1072448.6757847802</v>
      </c>
      <c r="AH7" s="35">
        <v>8.5507715348575944E-2</v>
      </c>
      <c r="AI7" s="35">
        <v>0.2165420943804727</v>
      </c>
      <c r="AJ7" s="33"/>
      <c r="AK7" s="33">
        <v>0</v>
      </c>
      <c r="AL7" s="33">
        <v>0</v>
      </c>
      <c r="AM7" s="33">
        <v>0</v>
      </c>
      <c r="AN7" s="33">
        <v>0</v>
      </c>
      <c r="AO7" s="33">
        <v>0</v>
      </c>
    </row>
    <row r="8" spans="1:41" s="18" customFormat="1">
      <c r="A8" s="17">
        <v>3</v>
      </c>
      <c r="B8" s="17" t="s">
        <v>41</v>
      </c>
      <c r="C8" s="182"/>
      <c r="D8" s="181"/>
      <c r="E8" s="33"/>
      <c r="F8" s="34">
        <v>4998</v>
      </c>
      <c r="G8" s="34">
        <v>9224.8815715683959</v>
      </c>
      <c r="H8" s="34">
        <v>7496</v>
      </c>
      <c r="I8" s="34">
        <v>19539.416132217411</v>
      </c>
      <c r="J8" s="35">
        <v>1.2299842095424528E-3</v>
      </c>
      <c r="K8" s="35">
        <v>3.907883226443482E-3</v>
      </c>
      <c r="L8" s="34">
        <v>5047.9800000000005</v>
      </c>
      <c r="M8" s="34">
        <v>9317.1107776439567</v>
      </c>
      <c r="N8" s="34">
        <v>8245.6</v>
      </c>
      <c r="O8" s="34">
        <v>21475.846994329426</v>
      </c>
      <c r="P8" s="35">
        <v>1.2440862999812581E-3</v>
      </c>
      <c r="Q8" s="35">
        <v>4.4213687109119996E-3</v>
      </c>
      <c r="R8" s="34">
        <v>5552.7780000000012</v>
      </c>
      <c r="S8" s="34">
        <v>10248.52691567227</v>
      </c>
      <c r="T8" s="34">
        <v>9070.1600000000017</v>
      </c>
      <c r="U8" s="34">
        <v>23623.154413815337</v>
      </c>
      <c r="V8" s="35">
        <v>1.3611536317962669E-3</v>
      </c>
      <c r="W8" s="35">
        <v>4.8468431973221742E-3</v>
      </c>
      <c r="X8" s="34">
        <v>6108.0558000000019</v>
      </c>
      <c r="Y8" s="34">
        <v>11272.897893051917</v>
      </c>
      <c r="Z8" s="34">
        <v>9977.1760000000031</v>
      </c>
      <c r="AA8" s="34">
        <v>25984.223283982832</v>
      </c>
      <c r="AB8" s="35">
        <v>1.487481591668503E-3</v>
      </c>
      <c r="AC8" s="35">
        <v>5.294600441497507E-3</v>
      </c>
      <c r="AD8" s="34">
        <v>6718.861380000003</v>
      </c>
      <c r="AE8" s="34">
        <v>12399.609091792898</v>
      </c>
      <c r="AF8" s="34">
        <v>10974.893600000005</v>
      </c>
      <c r="AG8" s="34">
        <v>28580.250277554176</v>
      </c>
      <c r="AH8" s="35">
        <v>1.6250529933115698E-3</v>
      </c>
      <c r="AI8" s="35">
        <v>5.7707444586948663E-3</v>
      </c>
      <c r="AJ8" s="33"/>
      <c r="AK8" s="33">
        <v>0</v>
      </c>
      <c r="AL8" s="33">
        <v>0</v>
      </c>
      <c r="AM8" s="33">
        <v>0</v>
      </c>
      <c r="AN8" s="33">
        <v>0</v>
      </c>
      <c r="AO8" s="33">
        <v>0</v>
      </c>
    </row>
    <row r="9" spans="1:41" s="18" customFormat="1">
      <c r="A9" s="17">
        <v>4</v>
      </c>
      <c r="B9" s="17" t="s">
        <v>30</v>
      </c>
      <c r="C9" s="180" t="s">
        <v>31</v>
      </c>
      <c r="D9" s="181"/>
      <c r="E9" s="33" t="s">
        <v>22</v>
      </c>
      <c r="F9" s="34">
        <v>1496</v>
      </c>
      <c r="G9" s="34">
        <v>2761.1890418299959</v>
      </c>
      <c r="H9" s="34">
        <v>32569</v>
      </c>
      <c r="I9" s="34">
        <v>84895.84365130587</v>
      </c>
      <c r="J9" s="35">
        <v>3.6815853891066614E-4</v>
      </c>
      <c r="K9" s="35">
        <v>1.6979168730261174E-2</v>
      </c>
      <c r="L9" s="34">
        <v>1596.232</v>
      </c>
      <c r="M9" s="34">
        <v>2946.1824731049192</v>
      </c>
      <c r="N9" s="34">
        <v>32894.69</v>
      </c>
      <c r="O9" s="34">
        <v>85727.435786982227</v>
      </c>
      <c r="P9" s="35">
        <v>3.9339660122653336E-4</v>
      </c>
      <c r="Q9" s="35">
        <v>1.7393015331731921E-2</v>
      </c>
      <c r="R9" s="34">
        <v>1612.1943200000001</v>
      </c>
      <c r="S9" s="34">
        <v>2975.5085703423806</v>
      </c>
      <c r="T9" s="34">
        <v>33223.636900000005</v>
      </c>
      <c r="U9" s="34">
        <v>86581.273748620195</v>
      </c>
      <c r="V9" s="35">
        <v>3.9464710564333949E-4</v>
      </c>
      <c r="W9" s="35">
        <v>1.7456276158560075E-2</v>
      </c>
      <c r="X9" s="34">
        <v>1628.3162632000001</v>
      </c>
      <c r="Y9" s="34">
        <v>3005.1238772650186</v>
      </c>
      <c r="Z9" s="34">
        <v>33555.873269000003</v>
      </c>
      <c r="AA9" s="34">
        <v>87441.32783837257</v>
      </c>
      <c r="AB9" s="35">
        <v>3.9587520005543843E-4</v>
      </c>
      <c r="AC9" s="35">
        <v>1.7487764971979094E-2</v>
      </c>
      <c r="AD9" s="34">
        <v>1644.5994258320002</v>
      </c>
      <c r="AE9" s="34">
        <v>3035.030954839699</v>
      </c>
      <c r="AF9" s="34">
        <v>33891.432001690002</v>
      </c>
      <c r="AG9" s="34">
        <v>88307.945476446068</v>
      </c>
      <c r="AH9" s="35">
        <v>3.9707837865180461E-4</v>
      </c>
      <c r="AI9" s="35">
        <v>1.749669825304993E-2</v>
      </c>
      <c r="AJ9" s="33"/>
      <c r="AK9" s="33"/>
      <c r="AL9" s="33"/>
      <c r="AM9" s="33"/>
      <c r="AN9" s="33"/>
      <c r="AO9" s="33"/>
    </row>
    <row r="10" spans="1:41" s="18" customFormat="1">
      <c r="A10" s="17">
        <v>5</v>
      </c>
      <c r="B10" s="17" t="s">
        <v>32</v>
      </c>
      <c r="C10" s="181"/>
      <c r="D10" s="181"/>
      <c r="E10" s="33"/>
      <c r="F10" s="34">
        <v>191746</v>
      </c>
      <c r="G10" s="34">
        <v>353908.39172107918</v>
      </c>
      <c r="H10" s="34">
        <v>223359</v>
      </c>
      <c r="I10" s="34">
        <v>582217.77586392057</v>
      </c>
      <c r="J10" s="35">
        <v>4.7187785562810558E-2</v>
      </c>
      <c r="K10" s="35">
        <v>0.11644355517278411</v>
      </c>
      <c r="L10" s="34">
        <v>193663.46</v>
      </c>
      <c r="M10" s="34">
        <v>357446.72332335293</v>
      </c>
      <c r="N10" s="34">
        <v>225592.59</v>
      </c>
      <c r="O10" s="34">
        <v>587560.87439294776</v>
      </c>
      <c r="P10" s="35">
        <v>4.7728805857584287E-2</v>
      </c>
      <c r="Q10" s="35">
        <v>0.12096488052289696</v>
      </c>
      <c r="R10" s="34">
        <v>195600.09459999998</v>
      </c>
      <c r="S10" s="34">
        <v>361010.80111903296</v>
      </c>
      <c r="T10" s="34">
        <v>227848.5159</v>
      </c>
      <c r="U10" s="34">
        <v>593429.51767822821</v>
      </c>
      <c r="V10" s="35">
        <v>4.7947492074144379E-2</v>
      </c>
      <c r="W10" s="35">
        <v>0.12175595902496407</v>
      </c>
      <c r="X10" s="34">
        <v>197556.095546</v>
      </c>
      <c r="Y10" s="34">
        <v>364605.32879219373</v>
      </c>
      <c r="Z10" s="34">
        <v>230127.001059</v>
      </c>
      <c r="AA10" s="34">
        <v>599335.06026057957</v>
      </c>
      <c r="AB10" s="35">
        <v>4.8110407807109234E-2</v>
      </c>
      <c r="AC10" s="35">
        <v>0.1221217828980343</v>
      </c>
      <c r="AD10" s="34">
        <v>199531.65650146001</v>
      </c>
      <c r="AE10" s="34">
        <v>368234.19953575521</v>
      </c>
      <c r="AF10" s="34">
        <v>232428.27106959</v>
      </c>
      <c r="AG10" s="34">
        <v>605277.6820312941</v>
      </c>
      <c r="AH10" s="35">
        <v>4.8259593005342424E-2</v>
      </c>
      <c r="AI10" s="35">
        <v>0.12221386431654009</v>
      </c>
      <c r="AJ10" s="33"/>
      <c r="AK10" s="33">
        <v>0</v>
      </c>
      <c r="AL10" s="33">
        <v>0</v>
      </c>
      <c r="AM10" s="33">
        <v>0</v>
      </c>
      <c r="AN10" s="33">
        <v>0</v>
      </c>
      <c r="AO10" s="33">
        <v>0</v>
      </c>
    </row>
    <row r="11" spans="1:41" s="18" customFormat="1">
      <c r="A11" s="17">
        <v>6</v>
      </c>
      <c r="B11" s="17" t="s">
        <v>33</v>
      </c>
      <c r="C11" s="181"/>
      <c r="D11" s="181"/>
      <c r="E11" s="33"/>
      <c r="F11" s="34">
        <v>20580</v>
      </c>
      <c r="G11" s="34">
        <v>37984.806471163989</v>
      </c>
      <c r="H11" s="34">
        <v>19729</v>
      </c>
      <c r="I11" s="34">
        <v>51426.512923228031</v>
      </c>
      <c r="J11" s="35">
        <v>5.0646408628218648E-3</v>
      </c>
      <c r="K11" s="35">
        <v>1.0285302584645606E-2</v>
      </c>
      <c r="L11" s="34">
        <v>22638.000000000004</v>
      </c>
      <c r="M11" s="34">
        <v>41783.199177552982</v>
      </c>
      <c r="N11" s="34">
        <v>21701.9</v>
      </c>
      <c r="O11" s="34">
        <v>56523.077021228026</v>
      </c>
      <c r="P11" s="35">
        <v>5.5791872509351704E-3</v>
      </c>
      <c r="Q11" s="35">
        <v>1.1636764047169536E-2</v>
      </c>
      <c r="R11" s="34">
        <v>24901.800000000007</v>
      </c>
      <c r="S11" s="34">
        <v>45960.196418565218</v>
      </c>
      <c r="T11" s="34">
        <v>23872.090000000004</v>
      </c>
      <c r="U11" s="34">
        <v>62174.654939989705</v>
      </c>
      <c r="V11" s="35">
        <v>6.1041834390397525E-3</v>
      </c>
      <c r="W11" s="35">
        <v>1.2756586104585002E-2</v>
      </c>
      <c r="X11" s="34">
        <v>27391.98000000001</v>
      </c>
      <c r="Y11" s="34">
        <v>50554.055781304472</v>
      </c>
      <c r="Z11" s="34">
        <v>23872.090000000004</v>
      </c>
      <c r="AA11" s="34">
        <v>62171.672306405504</v>
      </c>
      <c r="AB11" s="35">
        <v>6.6707095258284653E-3</v>
      </c>
      <c r="AC11" s="35">
        <v>1.2668231797601666E-2</v>
      </c>
      <c r="AD11" s="34">
        <v>30131.178000000014</v>
      </c>
      <c r="AE11" s="34">
        <v>55606.866631802746</v>
      </c>
      <c r="AF11" s="34">
        <v>26259.299000000006</v>
      </c>
      <c r="AG11" s="34">
        <v>68383.108291193639</v>
      </c>
      <c r="AH11" s="35">
        <v>7.2876575704712218E-3</v>
      </c>
      <c r="AI11" s="35">
        <v>1.3807487317550087E-2</v>
      </c>
      <c r="AJ11" s="33"/>
      <c r="AK11" s="33">
        <v>0</v>
      </c>
      <c r="AL11" s="33">
        <v>0</v>
      </c>
      <c r="AM11" s="33">
        <v>0</v>
      </c>
      <c r="AN11" s="33">
        <v>0</v>
      </c>
      <c r="AO11" s="33">
        <v>0</v>
      </c>
    </row>
    <row r="12" spans="1:41" s="18" customFormat="1">
      <c r="A12" s="17">
        <v>7</v>
      </c>
      <c r="B12" s="17" t="s">
        <v>42</v>
      </c>
      <c r="C12" s="182"/>
      <c r="D12" s="181"/>
      <c r="E12" s="33"/>
      <c r="F12" s="34">
        <v>1493</v>
      </c>
      <c r="G12" s="34">
        <v>2755.651898029535</v>
      </c>
      <c r="H12" s="34">
        <v>2239</v>
      </c>
      <c r="I12" s="34">
        <v>5836.2797118509588</v>
      </c>
      <c r="J12" s="35">
        <v>3.6742025307060465E-4</v>
      </c>
      <c r="K12" s="35">
        <v>1.1672559423701917E-3</v>
      </c>
      <c r="L12" s="34">
        <v>1642.3000000000002</v>
      </c>
      <c r="M12" s="34">
        <v>3031.2107080702917</v>
      </c>
      <c r="N12" s="34">
        <v>2462.9</v>
      </c>
      <c r="O12" s="34">
        <v>6414.6773506274794</v>
      </c>
      <c r="P12" s="35">
        <v>4.0474861835015593E-4</v>
      </c>
      <c r="Q12" s="35">
        <v>1.3206302753110948E-3</v>
      </c>
      <c r="R12" s="34">
        <v>1806.5300000000004</v>
      </c>
      <c r="S12" s="34">
        <v>3334.2358237569424</v>
      </c>
      <c r="T12" s="34">
        <v>2709.1900000000005</v>
      </c>
      <c r="U12" s="34">
        <v>7056.0622642119188</v>
      </c>
      <c r="V12" s="35">
        <v>4.4283507650565358E-4</v>
      </c>
      <c r="W12" s="35">
        <v>1.4477163712385737E-3</v>
      </c>
      <c r="X12" s="34">
        <v>1987.1830000000007</v>
      </c>
      <c r="Y12" s="34">
        <v>3667.5026861752945</v>
      </c>
      <c r="Z12" s="34">
        <v>2980.1090000000008</v>
      </c>
      <c r="AA12" s="34">
        <v>7761.2961489911368</v>
      </c>
      <c r="AB12" s="35">
        <v>4.8393436939076276E-4</v>
      </c>
      <c r="AC12" s="35">
        <v>1.581458162821894E-3</v>
      </c>
      <c r="AD12" s="34">
        <v>2185.9013000000009</v>
      </c>
      <c r="AE12" s="34">
        <v>4034.0647172634349</v>
      </c>
      <c r="AF12" s="34">
        <v>3278.1199000000011</v>
      </c>
      <c r="AG12" s="34">
        <v>8536.7102950165136</v>
      </c>
      <c r="AH12" s="35">
        <v>5.2869158176450601E-4</v>
      </c>
      <c r="AI12" s="35">
        <v>1.7236788744687571E-3</v>
      </c>
      <c r="AJ12" s="33"/>
      <c r="AK12" s="33">
        <v>0</v>
      </c>
      <c r="AL12" s="33">
        <v>0</v>
      </c>
      <c r="AM12" s="33">
        <v>0</v>
      </c>
      <c r="AN12" s="33">
        <v>0</v>
      </c>
      <c r="AO12" s="33">
        <v>0</v>
      </c>
    </row>
    <row r="13" spans="1:41" s="18" customFormat="1">
      <c r="A13" s="17">
        <v>8</v>
      </c>
      <c r="B13" s="17" t="s">
        <v>30</v>
      </c>
      <c r="C13" s="180" t="s">
        <v>34</v>
      </c>
      <c r="D13" s="181"/>
      <c r="E13" s="33" t="s">
        <v>22</v>
      </c>
      <c r="F13" s="34">
        <v>26977.800000000003</v>
      </c>
      <c r="G13" s="34">
        <v>49793.319340027592</v>
      </c>
      <c r="H13" s="34">
        <v>34175</v>
      </c>
      <c r="I13" s="34">
        <v>89082.11663801095</v>
      </c>
      <c r="J13" s="35">
        <v>6.6391092453370127E-3</v>
      </c>
      <c r="K13" s="35">
        <v>1.781642332760219E-2</v>
      </c>
      <c r="L13" s="34">
        <v>5449.5156000000015</v>
      </c>
      <c r="M13" s="34">
        <v>10058.229222087919</v>
      </c>
      <c r="N13" s="34">
        <v>6903.35</v>
      </c>
      <c r="O13" s="34">
        <v>17990.943031840819</v>
      </c>
      <c r="P13" s="35">
        <v>1.3430509571108545E-3</v>
      </c>
      <c r="Q13" s="35">
        <v>3.6501353984582791E-3</v>
      </c>
      <c r="R13" s="34">
        <v>5504.0107560000015</v>
      </c>
      <c r="S13" s="34">
        <v>10158.34814238438</v>
      </c>
      <c r="T13" s="34">
        <v>1394.4767000000002</v>
      </c>
      <c r="U13" s="34">
        <v>3634.0262585392184</v>
      </c>
      <c r="V13" s="35">
        <v>1.3473201631706588E-3</v>
      </c>
      <c r="W13" s="35">
        <v>7.32682290176291E-4</v>
      </c>
      <c r="X13" s="34">
        <v>5559.0508635600017</v>
      </c>
      <c r="Y13" s="34">
        <v>10259.454420841214</v>
      </c>
      <c r="Z13" s="34">
        <v>1408.4214670000001</v>
      </c>
      <c r="AA13" s="34">
        <v>3670.1248166985574</v>
      </c>
      <c r="AB13" s="35">
        <v>1.3515128617614691E-3</v>
      </c>
      <c r="AC13" s="35">
        <v>7.3400395212304414E-4</v>
      </c>
      <c r="AD13" s="34">
        <v>5614.6413721956014</v>
      </c>
      <c r="AE13" s="34">
        <v>10361.556800566483</v>
      </c>
      <c r="AF13" s="34">
        <v>1422.5056816700001</v>
      </c>
      <c r="AG13" s="34">
        <v>3706.4988629157101</v>
      </c>
      <c r="AH13" s="35">
        <v>1.355620498076543E-3</v>
      </c>
      <c r="AI13" s="35">
        <v>7.3437890361752742E-4</v>
      </c>
      <c r="AJ13" s="33"/>
      <c r="AK13" s="33"/>
      <c r="AL13" s="33"/>
      <c r="AM13" s="33"/>
      <c r="AN13" s="33"/>
      <c r="AO13" s="33"/>
    </row>
    <row r="14" spans="1:41" s="18" customFormat="1">
      <c r="A14" s="17">
        <v>9</v>
      </c>
      <c r="B14" s="17" t="s">
        <v>32</v>
      </c>
      <c r="C14" s="181"/>
      <c r="D14" s="181"/>
      <c r="E14" s="33"/>
      <c r="F14" s="34">
        <v>207912</v>
      </c>
      <c r="G14" s="34">
        <v>383746.21394716454</v>
      </c>
      <c r="H14" s="34">
        <v>242191</v>
      </c>
      <c r="I14" s="34">
        <v>631306.1275984348</v>
      </c>
      <c r="J14" s="35">
        <v>5.1166161859621938E-2</v>
      </c>
      <c r="K14" s="35">
        <v>0.12626122551968696</v>
      </c>
      <c r="L14" s="34">
        <v>209991.12</v>
      </c>
      <c r="M14" s="34">
        <v>387582.86034443986</v>
      </c>
      <c r="N14" s="34">
        <v>244612.91</v>
      </c>
      <c r="O14" s="34">
        <v>637099.7171822153</v>
      </c>
      <c r="P14" s="35">
        <v>5.1752795278452043E-2</v>
      </c>
      <c r="Q14" s="35">
        <v>0.13116375601037317</v>
      </c>
      <c r="R14" s="34">
        <v>212091.0312</v>
      </c>
      <c r="S14" s="34">
        <v>391447.42358255392</v>
      </c>
      <c r="T14" s="34">
        <v>247059.03909999999</v>
      </c>
      <c r="U14" s="34">
        <v>643463.16161877417</v>
      </c>
      <c r="V14" s="35">
        <v>5.1989918809881339E-2</v>
      </c>
      <c r="W14" s="35">
        <v>0.13202153247558895</v>
      </c>
      <c r="X14" s="34">
        <v>214211.94151199999</v>
      </c>
      <c r="Y14" s="34">
        <v>395345.00391060353</v>
      </c>
      <c r="Z14" s="34">
        <v>249529.629491</v>
      </c>
      <c r="AA14" s="34">
        <v>649866.61643170868</v>
      </c>
      <c r="AB14" s="35">
        <v>5.2166569878858988E-2</v>
      </c>
      <c r="AC14" s="35">
        <v>0.13241819994653373</v>
      </c>
      <c r="AD14" s="34">
        <v>216354.06092711998</v>
      </c>
      <c r="AE14" s="34">
        <v>399279.82275446644</v>
      </c>
      <c r="AF14" s="34">
        <v>252024.92578590999</v>
      </c>
      <c r="AG14" s="34">
        <v>656310.27667943144</v>
      </c>
      <c r="AH14" s="35">
        <v>5.2328332799259192E-2</v>
      </c>
      <c r="AI14" s="35">
        <v>0.13251804499790543</v>
      </c>
      <c r="AJ14" s="33"/>
      <c r="AK14" s="33">
        <v>0</v>
      </c>
      <c r="AL14" s="33">
        <v>0</v>
      </c>
      <c r="AM14" s="33">
        <v>0</v>
      </c>
      <c r="AN14" s="33">
        <v>0</v>
      </c>
      <c r="AO14" s="33">
        <v>0</v>
      </c>
    </row>
    <row r="15" spans="1:41" s="18" customFormat="1">
      <c r="A15" s="17">
        <v>10</v>
      </c>
      <c r="B15" s="17" t="s">
        <v>43</v>
      </c>
      <c r="C15" s="181"/>
      <c r="D15" s="181"/>
      <c r="E15" s="33"/>
      <c r="F15" s="34">
        <v>3109488</v>
      </c>
      <c r="G15" s="34">
        <v>5739227.4006028548</v>
      </c>
      <c r="H15" s="34">
        <v>848042</v>
      </c>
      <c r="I15" s="34">
        <v>2210545.0287617287</v>
      </c>
      <c r="J15" s="35">
        <v>0.76523032008038061</v>
      </c>
      <c r="K15" s="35">
        <v>0.44210900575234574</v>
      </c>
      <c r="L15" s="34">
        <v>3125035.4399999995</v>
      </c>
      <c r="M15" s="34">
        <v>5767911.3979340885</v>
      </c>
      <c r="N15" s="34">
        <v>852282.21</v>
      </c>
      <c r="O15" s="34">
        <v>2219787.8065815633</v>
      </c>
      <c r="P15" s="35">
        <v>0.77017218330102377</v>
      </c>
      <c r="Q15" s="35">
        <v>0.45700178230340177</v>
      </c>
      <c r="R15" s="34">
        <v>3140660.6171999993</v>
      </c>
      <c r="S15" s="34">
        <v>5796584.1365107829</v>
      </c>
      <c r="T15" s="34">
        <v>856543.62104999984</v>
      </c>
      <c r="U15" s="34">
        <v>2230860.5605890825</v>
      </c>
      <c r="V15" s="35">
        <v>0.76987079356338095</v>
      </c>
      <c r="W15" s="35">
        <v>0.45771327329351341</v>
      </c>
      <c r="X15" s="34">
        <v>3156363.9202859988</v>
      </c>
      <c r="Y15" s="34">
        <v>5825318.1293296488</v>
      </c>
      <c r="Z15" s="34">
        <v>860826.33915524976</v>
      </c>
      <c r="AA15" s="34">
        <v>2241907.3097781911</v>
      </c>
      <c r="AB15" s="35">
        <v>0.76866246507310099</v>
      </c>
      <c r="AC15" s="35">
        <v>0.45681578788868377</v>
      </c>
      <c r="AD15" s="34">
        <v>3172145.7398874285</v>
      </c>
      <c r="AE15" s="34">
        <v>5854171.5526210554</v>
      </c>
      <c r="AF15" s="34">
        <v>865130.47085102589</v>
      </c>
      <c r="AG15" s="34">
        <v>2252928.0265332684</v>
      </c>
      <c r="AH15" s="35">
        <v>0.76722894524497653</v>
      </c>
      <c r="AI15" s="35">
        <v>0.45489706348603109</v>
      </c>
      <c r="AJ15" s="33"/>
      <c r="AK15" s="33">
        <v>0</v>
      </c>
      <c r="AL15" s="33">
        <v>0</v>
      </c>
      <c r="AM15" s="33">
        <v>0</v>
      </c>
      <c r="AN15" s="33">
        <v>0</v>
      </c>
      <c r="AO15" s="33">
        <v>0</v>
      </c>
    </row>
    <row r="16" spans="1:41" s="18" customFormat="1">
      <c r="A16" s="17">
        <v>11</v>
      </c>
      <c r="B16" s="17" t="s">
        <v>42</v>
      </c>
      <c r="C16" s="182"/>
      <c r="D16" s="182"/>
      <c r="E16" s="17"/>
      <c r="F16" s="29">
        <v>11152</v>
      </c>
      <c r="G16" s="29">
        <v>20583.409220914516</v>
      </c>
      <c r="H16" s="29">
        <v>16728</v>
      </c>
      <c r="I16" s="29">
        <v>43603.969191533201</v>
      </c>
      <c r="J16" s="31">
        <v>2.7444545627886021E-3</v>
      </c>
      <c r="K16" s="31">
        <v>8.7207938383066404E-3</v>
      </c>
      <c r="L16" s="29">
        <v>12267.2</v>
      </c>
      <c r="M16" s="29">
        <v>22641.70248921627</v>
      </c>
      <c r="N16" s="29">
        <v>18400.800000000003</v>
      </c>
      <c r="O16" s="29">
        <v>47925.289290440596</v>
      </c>
      <c r="P16" s="31">
        <v>3.0232796998264826E-3</v>
      </c>
      <c r="Q16" s="31">
        <v>9.8666830037534604E-3</v>
      </c>
      <c r="R16" s="29">
        <v>13493.920000000002</v>
      </c>
      <c r="S16" s="29">
        <v>24905.155999020371</v>
      </c>
      <c r="T16" s="29">
        <v>20240.880000000005</v>
      </c>
      <c r="U16" s="29">
        <v>52717.19944427735</v>
      </c>
      <c r="V16" s="31">
        <v>3.3077674301346606E-3</v>
      </c>
      <c r="W16" s="31">
        <v>1.0816167690075418E-2</v>
      </c>
      <c r="X16" s="29">
        <v>14843.312000000004</v>
      </c>
      <c r="Y16" s="29">
        <v>27394.500975369647</v>
      </c>
      <c r="Z16" s="29">
        <v>22264.968000000008</v>
      </c>
      <c r="AA16" s="29">
        <v>57986.137552623382</v>
      </c>
      <c r="AB16" s="31">
        <v>3.614759603111712E-3</v>
      </c>
      <c r="AC16" s="31">
        <v>1.1815378359841288E-2</v>
      </c>
      <c r="AD16" s="29">
        <v>16327.643200000006</v>
      </c>
      <c r="AE16" s="29">
        <v>30132.545028078915</v>
      </c>
      <c r="AF16" s="29">
        <v>24491.464800000012</v>
      </c>
      <c r="AG16" s="29">
        <v>63779.405902204679</v>
      </c>
      <c r="AH16" s="31">
        <v>3.9490746951358138E-3</v>
      </c>
      <c r="AI16" s="31">
        <v>1.2877936673565599E-2</v>
      </c>
      <c r="AJ16" s="17"/>
      <c r="AK16" s="33">
        <v>0</v>
      </c>
      <c r="AL16" s="33">
        <v>0</v>
      </c>
      <c r="AM16" s="33">
        <v>0</v>
      </c>
      <c r="AN16" s="33">
        <v>0</v>
      </c>
      <c r="AO16" s="33">
        <v>0</v>
      </c>
    </row>
    <row r="17" spans="1:41" s="23" customFormat="1">
      <c r="A17" s="193" t="s">
        <v>29</v>
      </c>
      <c r="B17" s="193"/>
      <c r="C17" s="9" t="s">
        <v>27</v>
      </c>
      <c r="D17" s="9">
        <v>7</v>
      </c>
      <c r="E17" s="9">
        <v>3</v>
      </c>
      <c r="F17" s="30">
        <v>4063466.8</v>
      </c>
      <c r="G17" s="30">
        <v>7500000</v>
      </c>
      <c r="H17" s="30">
        <v>1918174</v>
      </c>
      <c r="I17" s="30">
        <v>5000000</v>
      </c>
      <c r="J17" s="9">
        <v>0.9972555454372114</v>
      </c>
      <c r="K17" s="9">
        <v>0.99127920616169329</v>
      </c>
      <c r="L17" s="30">
        <v>4057564.2875999995</v>
      </c>
      <c r="M17" s="30">
        <v>7489089.7987407641</v>
      </c>
      <c r="N17" s="30">
        <v>1891258.6099999999</v>
      </c>
      <c r="O17" s="30">
        <v>4928842.6504506432</v>
      </c>
      <c r="P17" s="32">
        <v>1</v>
      </c>
      <c r="Q17" s="32">
        <v>1</v>
      </c>
      <c r="R17" s="30">
        <v>4085154.2984759994</v>
      </c>
      <c r="S17" s="30">
        <v>7539669.0557043711</v>
      </c>
      <c r="T17" s="30">
        <v>1903248.8142499998</v>
      </c>
      <c r="U17" s="30">
        <v>4959893.6773329591</v>
      </c>
      <c r="V17" s="32">
        <v>1</v>
      </c>
      <c r="W17" s="32">
        <v>1</v>
      </c>
      <c r="X17" s="30">
        <v>4113206.038094759</v>
      </c>
      <c r="Y17" s="30">
        <v>7591089.0018980242</v>
      </c>
      <c r="Z17" s="30">
        <v>1918820.0048872498</v>
      </c>
      <c r="AA17" s="30">
        <v>5000143.1274082828</v>
      </c>
      <c r="AB17" s="32">
        <v>1</v>
      </c>
      <c r="AC17" s="32">
        <v>1</v>
      </c>
      <c r="AD17" s="30">
        <v>4141750.1285662763</v>
      </c>
      <c r="AE17" s="30">
        <v>7643405.2268081252</v>
      </c>
      <c r="AF17" s="30">
        <v>1937018.7169903461</v>
      </c>
      <c r="AG17" s="30">
        <v>5047120.5595062887</v>
      </c>
      <c r="AH17" s="32">
        <v>1</v>
      </c>
      <c r="AI17" s="32">
        <v>0.99999999999999978</v>
      </c>
      <c r="AJ17" s="9">
        <v>0</v>
      </c>
      <c r="AK17" s="9">
        <v>0</v>
      </c>
      <c r="AL17" s="9">
        <v>0</v>
      </c>
      <c r="AM17" s="9">
        <v>0</v>
      </c>
      <c r="AN17" s="9">
        <v>0</v>
      </c>
      <c r="AO17" s="9">
        <v>0</v>
      </c>
    </row>
  </sheetData>
  <mergeCells count="17">
    <mergeCell ref="A17:B17"/>
    <mergeCell ref="AD4:AI4"/>
    <mergeCell ref="AK4:AO4"/>
    <mergeCell ref="C6:C8"/>
    <mergeCell ref="D6:D16"/>
    <mergeCell ref="C9:C12"/>
    <mergeCell ref="C13:C16"/>
    <mergeCell ref="A2:AO3"/>
    <mergeCell ref="A4:A5"/>
    <mergeCell ref="B4:B5"/>
    <mergeCell ref="C4:C5"/>
    <mergeCell ref="D4:D5"/>
    <mergeCell ref="E4:E5"/>
    <mergeCell ref="F4:K4"/>
    <mergeCell ref="L4:Q4"/>
    <mergeCell ref="R4:W4"/>
    <mergeCell ref="X4:AC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9"/>
  <sheetViews>
    <sheetView zoomScale="60" zoomScaleNormal="60" workbookViewId="0">
      <selection activeCell="AG14" sqref="AG14"/>
    </sheetView>
  </sheetViews>
  <sheetFormatPr baseColWidth="10" defaultColWidth="11.42578125" defaultRowHeight="15"/>
  <cols>
    <col min="1" max="1" width="8.5703125" style="71" customWidth="1"/>
    <col min="2" max="2" width="72.28515625" style="75" customWidth="1"/>
    <col min="3" max="3" width="34.42578125" style="72" customWidth="1"/>
    <col min="4" max="4" width="28.85546875" style="71" customWidth="1"/>
    <col min="5" max="5" width="17.5703125" style="71" customWidth="1"/>
    <col min="6" max="35" width="28.85546875" style="73" customWidth="1"/>
    <col min="36" max="36" width="23.5703125" style="73" customWidth="1"/>
    <col min="37" max="37" width="9.5703125" style="74" customWidth="1"/>
    <col min="38" max="38" width="10.28515625" style="74" customWidth="1"/>
    <col min="39" max="39" width="11.42578125" style="74"/>
    <col min="40" max="40" width="11" style="74" customWidth="1"/>
    <col min="41" max="41" width="10.28515625" style="74" customWidth="1"/>
    <col min="42" max="16384" width="11.42578125" style="75"/>
  </cols>
  <sheetData>
    <row r="1" spans="1:41" s="48" customFormat="1" ht="31.5" customHeight="1">
      <c r="A1" s="47"/>
      <c r="C1" s="47"/>
      <c r="D1" s="47"/>
      <c r="E1" s="47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</row>
    <row r="2" spans="1:41" s="48" customFormat="1" ht="35.25" customHeight="1">
      <c r="A2" s="165" t="s">
        <v>129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</row>
    <row r="3" spans="1:41" s="48" customFormat="1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</row>
    <row r="4" spans="1:41" s="48" customFormat="1" ht="49.5" customHeight="1">
      <c r="A4" s="142" t="s">
        <v>1</v>
      </c>
      <c r="B4" s="142" t="s">
        <v>2</v>
      </c>
      <c r="C4" s="142" t="s">
        <v>3</v>
      </c>
      <c r="D4" s="143" t="s">
        <v>4</v>
      </c>
      <c r="E4" s="143" t="s">
        <v>5</v>
      </c>
      <c r="F4" s="144" t="s">
        <v>124</v>
      </c>
      <c r="G4" s="145"/>
      <c r="H4" s="145"/>
      <c r="I4" s="145"/>
      <c r="J4" s="145"/>
      <c r="K4" s="164"/>
      <c r="L4" s="144" t="s">
        <v>125</v>
      </c>
      <c r="M4" s="145"/>
      <c r="N4" s="145"/>
      <c r="O4" s="145"/>
      <c r="P4" s="145"/>
      <c r="Q4" s="164"/>
      <c r="R4" s="144" t="s">
        <v>126</v>
      </c>
      <c r="S4" s="145"/>
      <c r="T4" s="145"/>
      <c r="U4" s="145"/>
      <c r="V4" s="145"/>
      <c r="W4" s="164"/>
      <c r="X4" s="144" t="s">
        <v>127</v>
      </c>
      <c r="Y4" s="145"/>
      <c r="Z4" s="145"/>
      <c r="AA4" s="145"/>
      <c r="AB4" s="145"/>
      <c r="AC4" s="164"/>
      <c r="AD4" s="144" t="s">
        <v>128</v>
      </c>
      <c r="AE4" s="145"/>
      <c r="AF4" s="145"/>
      <c r="AG4" s="145"/>
      <c r="AH4" s="145"/>
      <c r="AI4" s="164"/>
      <c r="AJ4" s="52" t="s">
        <v>11</v>
      </c>
      <c r="AK4" s="147" t="s">
        <v>12</v>
      </c>
      <c r="AL4" s="148"/>
      <c r="AM4" s="148"/>
      <c r="AN4" s="148"/>
      <c r="AO4" s="149"/>
    </row>
    <row r="5" spans="1:41" s="48" customFormat="1" ht="31.5">
      <c r="A5" s="142"/>
      <c r="B5" s="142"/>
      <c r="C5" s="142"/>
      <c r="D5" s="143"/>
      <c r="E5" s="143"/>
      <c r="F5" s="52" t="s">
        <v>13</v>
      </c>
      <c r="G5" s="52" t="s">
        <v>14</v>
      </c>
      <c r="H5" s="52" t="s">
        <v>15</v>
      </c>
      <c r="I5" s="52" t="s">
        <v>16</v>
      </c>
      <c r="J5" s="53" t="s">
        <v>17</v>
      </c>
      <c r="K5" s="53" t="s">
        <v>18</v>
      </c>
      <c r="L5" s="52" t="s">
        <v>13</v>
      </c>
      <c r="M5" s="52" t="s">
        <v>14</v>
      </c>
      <c r="N5" s="52" t="s">
        <v>15</v>
      </c>
      <c r="O5" s="52" t="s">
        <v>16</v>
      </c>
      <c r="P5" s="53" t="s">
        <v>17</v>
      </c>
      <c r="Q5" s="53" t="s">
        <v>18</v>
      </c>
      <c r="R5" s="52" t="s">
        <v>13</v>
      </c>
      <c r="S5" s="52" t="s">
        <v>14</v>
      </c>
      <c r="T5" s="52" t="s">
        <v>15</v>
      </c>
      <c r="U5" s="52" t="s">
        <v>16</v>
      </c>
      <c r="V5" s="53" t="s">
        <v>17</v>
      </c>
      <c r="W5" s="53" t="s">
        <v>18</v>
      </c>
      <c r="X5" s="52" t="s">
        <v>13</v>
      </c>
      <c r="Y5" s="52" t="s">
        <v>14</v>
      </c>
      <c r="Z5" s="52" t="s">
        <v>15</v>
      </c>
      <c r="AA5" s="52" t="s">
        <v>16</v>
      </c>
      <c r="AB5" s="53" t="s">
        <v>17</v>
      </c>
      <c r="AC5" s="53" t="s">
        <v>18</v>
      </c>
      <c r="AD5" s="52" t="s">
        <v>13</v>
      </c>
      <c r="AE5" s="52" t="s">
        <v>14</v>
      </c>
      <c r="AF5" s="52" t="s">
        <v>15</v>
      </c>
      <c r="AG5" s="52" t="s">
        <v>16</v>
      </c>
      <c r="AH5" s="53" t="s">
        <v>17</v>
      </c>
      <c r="AI5" s="53" t="s">
        <v>18</v>
      </c>
      <c r="AJ5" s="52">
        <v>2018</v>
      </c>
      <c r="AK5" s="52">
        <v>2019</v>
      </c>
      <c r="AL5" s="52">
        <v>2020</v>
      </c>
      <c r="AM5" s="52">
        <v>2021</v>
      </c>
      <c r="AN5" s="52">
        <v>2022</v>
      </c>
      <c r="AO5" s="52">
        <v>2023</v>
      </c>
    </row>
    <row r="6" spans="1:41" s="48" customFormat="1" ht="24" customHeight="1">
      <c r="A6" s="54">
        <v>1</v>
      </c>
      <c r="B6" s="55" t="s">
        <v>44</v>
      </c>
      <c r="C6" s="188" t="s">
        <v>45</v>
      </c>
      <c r="D6" s="188" t="s">
        <v>46</v>
      </c>
      <c r="E6" s="56" t="s">
        <v>22</v>
      </c>
      <c r="F6" s="57">
        <v>1362444.1315199998</v>
      </c>
      <c r="G6" s="57">
        <v>1445407.603691332</v>
      </c>
      <c r="H6" s="57">
        <v>1625497.8911999997</v>
      </c>
      <c r="I6" s="57">
        <v>1689027.0603010368</v>
      </c>
      <c r="J6" s="58">
        <v>0.57816304147653286</v>
      </c>
      <c r="K6" s="58">
        <v>0.60322395010751317</v>
      </c>
      <c r="L6" s="57">
        <v>1376068.5728351998</v>
      </c>
      <c r="M6" s="57">
        <v>1459347.3301170187</v>
      </c>
      <c r="N6" s="57">
        <v>1641752.8701119998</v>
      </c>
      <c r="O6" s="57">
        <v>1705179.3803497604</v>
      </c>
      <c r="P6" s="58">
        <v>0.57298380121483883</v>
      </c>
      <c r="Q6" s="58">
        <v>0.59658449811555991</v>
      </c>
      <c r="R6" s="57">
        <v>1389829.2585635518</v>
      </c>
      <c r="S6" s="57">
        <v>1473380.5266916563</v>
      </c>
      <c r="T6" s="57">
        <v>1658170.3988131199</v>
      </c>
      <c r="U6" s="57">
        <v>1722106.8015689768</v>
      </c>
      <c r="V6" s="58">
        <v>0.56743062882666639</v>
      </c>
      <c r="W6" s="58">
        <v>0.59742987170311845</v>
      </c>
      <c r="X6" s="57">
        <v>1403727.5511491874</v>
      </c>
      <c r="Y6" s="57">
        <v>1487502.8189790628</v>
      </c>
      <c r="Z6" s="57">
        <v>1674752.102801251</v>
      </c>
      <c r="AA6" s="57">
        <v>1738521.071265396</v>
      </c>
      <c r="AB6" s="58">
        <v>0.56148727040788182</v>
      </c>
      <c r="AC6" s="58">
        <v>0.59040845860965441</v>
      </c>
      <c r="AD6" s="57">
        <v>1417764.8266606792</v>
      </c>
      <c r="AE6" s="57">
        <v>141776.48266606792</v>
      </c>
      <c r="AF6" s="57">
        <v>1755906.28197805</v>
      </c>
      <c r="AG6" s="57">
        <v>175590.62819780502</v>
      </c>
      <c r="AH6" s="58">
        <v>0.55513827532599824</v>
      </c>
      <c r="AI6" s="58">
        <v>0.59199890844120751</v>
      </c>
      <c r="AJ6" s="59">
        <v>2</v>
      </c>
      <c r="AK6" s="60">
        <v>0</v>
      </c>
      <c r="AL6" s="60">
        <v>0</v>
      </c>
      <c r="AM6" s="60">
        <v>0</v>
      </c>
      <c r="AN6" s="60">
        <v>0</v>
      </c>
      <c r="AO6" s="60">
        <v>2</v>
      </c>
    </row>
    <row r="7" spans="1:41" s="48" customFormat="1" ht="29.25" customHeight="1">
      <c r="A7" s="54">
        <v>2</v>
      </c>
      <c r="B7" s="61" t="s">
        <v>47</v>
      </c>
      <c r="C7" s="188"/>
      <c r="D7" s="188"/>
      <c r="E7" s="56"/>
      <c r="F7" s="57">
        <v>4077.5732640000001</v>
      </c>
      <c r="G7" s="57">
        <v>4325.8694166187661</v>
      </c>
      <c r="H7" s="57">
        <v>3014.8416000000002</v>
      </c>
      <c r="I7" s="57">
        <v>3132.6703482599237</v>
      </c>
      <c r="J7" s="58">
        <v>1.7303477666475065E-3</v>
      </c>
      <c r="K7" s="58">
        <v>1.1188108386642585E-3</v>
      </c>
      <c r="L7" s="57">
        <v>4118.3489966400002</v>
      </c>
      <c r="M7" s="57">
        <v>4367.5887462161136</v>
      </c>
      <c r="N7" s="57">
        <v>3044.9900160000002</v>
      </c>
      <c r="O7" s="57">
        <v>3162.6283609297866</v>
      </c>
      <c r="P7" s="58">
        <v>1.7148471445446723E-3</v>
      </c>
      <c r="Q7" s="58">
        <v>1.1064965218171498E-3</v>
      </c>
      <c r="R7" s="57">
        <v>4159.5324866064002</v>
      </c>
      <c r="S7" s="57">
        <v>4409.5878167375304</v>
      </c>
      <c r="T7" s="57">
        <v>3075.4399161600004</v>
      </c>
      <c r="U7" s="57">
        <v>3194.0239683610225</v>
      </c>
      <c r="V7" s="58">
        <v>1.6982274045226481E-3</v>
      </c>
      <c r="W7" s="58">
        <v>1.1080644521559776E-3</v>
      </c>
      <c r="X7" s="57">
        <v>4201.1278114724646</v>
      </c>
      <c r="Y7" s="57">
        <v>4451.8535362083749</v>
      </c>
      <c r="Z7" s="57">
        <v>3106.1943153216002</v>
      </c>
      <c r="AA7" s="57">
        <v>3224.4678239835303</v>
      </c>
      <c r="AB7" s="58">
        <v>1.6804399012950713E-3</v>
      </c>
      <c r="AC7" s="58">
        <v>1.0950417048490998E-3</v>
      </c>
      <c r="AD7" s="57">
        <v>4243.1390895871891</v>
      </c>
      <c r="AE7" s="57">
        <v>2234.9270525986658</v>
      </c>
      <c r="AF7" s="57">
        <v>3137.2562584748161</v>
      </c>
      <c r="AG7" s="57">
        <v>1511.9358739956203</v>
      </c>
      <c r="AH7" s="58">
        <v>1.6614383936367179E-3</v>
      </c>
      <c r="AI7" s="58">
        <v>1.0577172025520751E-3</v>
      </c>
      <c r="AJ7" s="59">
        <v>1</v>
      </c>
      <c r="AK7" s="60">
        <v>0</v>
      </c>
      <c r="AL7" s="60">
        <v>0</v>
      </c>
      <c r="AM7" s="60">
        <v>0</v>
      </c>
      <c r="AN7" s="60">
        <v>0</v>
      </c>
      <c r="AO7" s="60">
        <v>0</v>
      </c>
    </row>
    <row r="8" spans="1:41" s="48" customFormat="1" ht="29.25" customHeight="1">
      <c r="A8" s="54">
        <v>3</v>
      </c>
      <c r="B8" s="61" t="s">
        <v>48</v>
      </c>
      <c r="C8" s="188"/>
      <c r="D8" s="188"/>
      <c r="E8" s="56"/>
      <c r="F8" s="57">
        <v>588269.06195695105</v>
      </c>
      <c r="G8" s="57">
        <v>624090.59975202556</v>
      </c>
      <c r="H8" s="57">
        <v>685257.58337429666</v>
      </c>
      <c r="I8" s="57">
        <v>712039.43595474842</v>
      </c>
      <c r="J8" s="58">
        <v>0.24963623990081024</v>
      </c>
      <c r="K8" s="58">
        <v>0.2542997985552673</v>
      </c>
      <c r="L8" s="57">
        <v>594151.75257652055</v>
      </c>
      <c r="M8" s="57">
        <v>630109.42254164454</v>
      </c>
      <c r="N8" s="57">
        <v>692110.15920803964</v>
      </c>
      <c r="O8" s="57">
        <v>718848.73411649826</v>
      </c>
      <c r="P8" s="58">
        <v>0.24739997439831415</v>
      </c>
      <c r="Q8" s="58">
        <v>0.2515008193307684</v>
      </c>
      <c r="R8" s="57">
        <v>600093.27010228578</v>
      </c>
      <c r="S8" s="57">
        <v>636168.60338747455</v>
      </c>
      <c r="T8" s="57">
        <v>699031.26080012007</v>
      </c>
      <c r="U8" s="57">
        <v>725984.78997989662</v>
      </c>
      <c r="V8" s="58">
        <v>0.24500225442132625</v>
      </c>
      <c r="W8" s="58">
        <v>0.25185720162126235</v>
      </c>
      <c r="X8" s="57">
        <v>606094.20280330861</v>
      </c>
      <c r="Y8" s="57">
        <v>642266.25351814542</v>
      </c>
      <c r="Z8" s="57">
        <v>706021.57340812124</v>
      </c>
      <c r="AA8" s="57">
        <v>732904.51768050797</v>
      </c>
      <c r="AB8" s="58">
        <v>0.24243606194340664</v>
      </c>
      <c r="AC8" s="58">
        <v>0.24889719989234724</v>
      </c>
      <c r="AD8" s="57">
        <v>612155.14483134169</v>
      </c>
      <c r="AE8" s="57">
        <v>322431.59243316797</v>
      </c>
      <c r="AF8" s="57">
        <v>713081.78914220247</v>
      </c>
      <c r="AG8" s="57">
        <v>343655.04417583457</v>
      </c>
      <c r="AH8" s="58">
        <v>0.23969472577058165</v>
      </c>
      <c r="AI8" s="58">
        <v>0.24041353751860672</v>
      </c>
      <c r="AJ8" s="59">
        <v>0</v>
      </c>
      <c r="AK8" s="60">
        <v>0</v>
      </c>
      <c r="AL8" s="60">
        <v>0</v>
      </c>
      <c r="AM8" s="60">
        <v>0</v>
      </c>
      <c r="AN8" s="60">
        <v>0</v>
      </c>
      <c r="AO8" s="60">
        <v>0</v>
      </c>
    </row>
    <row r="9" spans="1:41" s="48" customFormat="1" ht="20.25" customHeight="1">
      <c r="A9" s="54">
        <v>4</v>
      </c>
      <c r="B9" s="62" t="s">
        <v>49</v>
      </c>
      <c r="C9" s="188"/>
      <c r="D9" s="188"/>
      <c r="E9" s="56"/>
      <c r="F9" s="57">
        <v>47.6982</v>
      </c>
      <c r="G9" s="57">
        <v>50.602692152575685</v>
      </c>
      <c r="H9" s="57">
        <v>54.202500000000008</v>
      </c>
      <c r="I9" s="57">
        <v>56.320890806189787</v>
      </c>
      <c r="J9" s="58">
        <v>2.0241076861030275E-5</v>
      </c>
      <c r="K9" s="58">
        <v>2.0114603859353496E-5</v>
      </c>
      <c r="L9" s="57">
        <v>52.468020000000003</v>
      </c>
      <c r="M9" s="57">
        <v>55.643349768366789</v>
      </c>
      <c r="N9" s="57">
        <v>59.622750000000011</v>
      </c>
      <c r="O9" s="57">
        <v>61.926180091168632</v>
      </c>
      <c r="P9" s="58">
        <v>2.1847258294602896E-5</v>
      </c>
      <c r="Q9" s="58">
        <v>2.1665872515022878E-5</v>
      </c>
      <c r="R9" s="57">
        <v>57.714822000000005</v>
      </c>
      <c r="S9" s="57">
        <v>61.18441838255977</v>
      </c>
      <c r="T9" s="57">
        <v>65.585025000000016</v>
      </c>
      <c r="U9" s="57">
        <v>68.113878835621733</v>
      </c>
      <c r="V9" s="58">
        <v>2.3563439565178518E-5</v>
      </c>
      <c r="W9" s="58">
        <v>2.3629931579674638E-5</v>
      </c>
      <c r="X9" s="57">
        <v>63.486304200000014</v>
      </c>
      <c r="Y9" s="57">
        <v>67.275203358907177</v>
      </c>
      <c r="Z9" s="57">
        <v>72.143527500000019</v>
      </c>
      <c r="AA9" s="57">
        <v>74.890512156621554</v>
      </c>
      <c r="AB9" s="58">
        <v>2.5394352076625969E-5</v>
      </c>
      <c r="AC9" s="58">
        <v>2.54331066661709E-5</v>
      </c>
      <c r="AD9" s="57">
        <v>69.834934620000027</v>
      </c>
      <c r="AE9" s="57">
        <v>36.783141278991557</v>
      </c>
      <c r="AF9" s="57">
        <v>79.357880250000022</v>
      </c>
      <c r="AG9" s="57">
        <v>38.244891761744078</v>
      </c>
      <c r="AH9" s="58">
        <v>2.7344482267741585E-5</v>
      </c>
      <c r="AI9" s="58">
        <v>2.6755288118956313E-5</v>
      </c>
      <c r="AJ9" s="59">
        <v>1</v>
      </c>
      <c r="AK9" s="60">
        <v>0</v>
      </c>
      <c r="AL9" s="60">
        <v>0</v>
      </c>
      <c r="AM9" s="60">
        <v>0</v>
      </c>
      <c r="AN9" s="60">
        <v>0</v>
      </c>
      <c r="AO9" s="60">
        <v>0</v>
      </c>
    </row>
    <row r="10" spans="1:41" s="48" customFormat="1" ht="27" customHeight="1">
      <c r="A10" s="54">
        <v>5</v>
      </c>
      <c r="B10" s="61" t="s">
        <v>50</v>
      </c>
      <c r="C10" s="188"/>
      <c r="D10" s="188"/>
      <c r="E10" s="56"/>
      <c r="F10" s="57">
        <v>467.61580800000002</v>
      </c>
      <c r="G10" s="57">
        <v>496.09039288488748</v>
      </c>
      <c r="H10" s="57">
        <v>1491.6528000000003</v>
      </c>
      <c r="I10" s="57">
        <v>1549.9509149863432</v>
      </c>
      <c r="J10" s="58">
        <v>1.9843615715395499E-4</v>
      </c>
      <c r="K10" s="58">
        <v>5.5355389820940825E-4</v>
      </c>
      <c r="L10" s="57">
        <v>514.37738880000006</v>
      </c>
      <c r="M10" s="57">
        <v>545.50716718369779</v>
      </c>
      <c r="N10" s="57">
        <v>1640.8180800000005</v>
      </c>
      <c r="O10" s="57">
        <v>1704.2084761089609</v>
      </c>
      <c r="P10" s="58">
        <v>2.1418257586272514E-4</v>
      </c>
      <c r="Q10" s="58">
        <v>5.9624481161342968E-4</v>
      </c>
      <c r="R10" s="57">
        <v>565.81512768000016</v>
      </c>
      <c r="S10" s="57">
        <v>599.82978894320422</v>
      </c>
      <c r="T10" s="57">
        <v>1640.8180800000005</v>
      </c>
      <c r="U10" s="57">
        <v>1704.0854050511912</v>
      </c>
      <c r="V10" s="58">
        <v>2.3100739297353198E-4</v>
      </c>
      <c r="W10" s="58">
        <v>5.9117792461149644E-4</v>
      </c>
      <c r="X10" s="57">
        <v>622.3966404480002</v>
      </c>
      <c r="Y10" s="57">
        <v>659.54163002041355</v>
      </c>
      <c r="Z10" s="57">
        <v>1804.8998880000006</v>
      </c>
      <c r="AA10" s="57">
        <v>1873.6244495911139</v>
      </c>
      <c r="AB10" s="58">
        <v>2.4895699344939495E-4</v>
      </c>
      <c r="AC10" s="58">
        <v>6.3629008677547566E-4</v>
      </c>
      <c r="AD10" s="57">
        <v>684.63630449280026</v>
      </c>
      <c r="AE10" s="57">
        <v>360.60854141149542</v>
      </c>
      <c r="AF10" s="57">
        <v>1985.3898768000008</v>
      </c>
      <c r="AG10" s="57">
        <v>956.81765571199753</v>
      </c>
      <c r="AH10" s="58">
        <v>2.6807536070484116E-4</v>
      </c>
      <c r="AI10" s="58">
        <v>6.6936866275788898E-4</v>
      </c>
      <c r="AJ10" s="59">
        <v>1</v>
      </c>
      <c r="AK10" s="60">
        <v>0</v>
      </c>
      <c r="AL10" s="60">
        <v>0</v>
      </c>
      <c r="AM10" s="60">
        <v>0</v>
      </c>
      <c r="AN10" s="60">
        <v>0</v>
      </c>
      <c r="AO10" s="60">
        <v>0</v>
      </c>
    </row>
    <row r="11" spans="1:41" s="48" customFormat="1" ht="27.75" customHeight="1">
      <c r="A11" s="54">
        <v>6</v>
      </c>
      <c r="B11" s="61" t="s">
        <v>51</v>
      </c>
      <c r="C11" s="188"/>
      <c r="D11" s="188"/>
      <c r="E11" s="56"/>
      <c r="F11" s="57">
        <v>90.628964910000008</v>
      </c>
      <c r="G11" s="57">
        <v>96.147645224501446</v>
      </c>
      <c r="H11" s="57">
        <v>417.12075900000002</v>
      </c>
      <c r="I11" s="57">
        <v>433.42304728811416</v>
      </c>
      <c r="J11" s="58">
        <v>3.8459058089800581E-5</v>
      </c>
      <c r="K11" s="58">
        <v>1.5479394546004076E-4</v>
      </c>
      <c r="L11" s="57">
        <v>99.691861401000011</v>
      </c>
      <c r="M11" s="57">
        <v>105.72514672738532</v>
      </c>
      <c r="N11" s="57">
        <v>458.83283490000008</v>
      </c>
      <c r="O11" s="57">
        <v>476.55911150959736</v>
      </c>
      <c r="P11" s="58">
        <v>4.1510883122660233E-5</v>
      </c>
      <c r="Q11" s="58">
        <v>1.6673188852661008E-4</v>
      </c>
      <c r="R11" s="57">
        <v>109.66104754110002</v>
      </c>
      <c r="S11" s="57">
        <v>116.25345414778269</v>
      </c>
      <c r="T11" s="57">
        <v>458.83283490000008</v>
      </c>
      <c r="U11" s="57">
        <v>476.5246963340096</v>
      </c>
      <c r="V11" s="58">
        <v>4.4771713345817443E-5</v>
      </c>
      <c r="W11" s="58">
        <v>1.6531500133140374E-4</v>
      </c>
      <c r="X11" s="57">
        <v>120.62715229521002</v>
      </c>
      <c r="Y11" s="57">
        <v>127.82625014209157</v>
      </c>
      <c r="Z11" s="57">
        <v>504.71611839000013</v>
      </c>
      <c r="AA11" s="57">
        <v>523.93402304772428</v>
      </c>
      <c r="AB11" s="58">
        <v>4.8250538663193173E-5</v>
      </c>
      <c r="AC11" s="58">
        <v>1.779300142365316E-4</v>
      </c>
      <c r="AD11" s="57">
        <v>132.68986752473103</v>
      </c>
      <c r="AE11" s="57">
        <v>69.889807587147899</v>
      </c>
      <c r="AF11" s="57">
        <v>555.18773022900018</v>
      </c>
      <c r="AG11" s="57">
        <v>267.56126276516159</v>
      </c>
      <c r="AH11" s="58">
        <v>5.1955883532822391E-5</v>
      </c>
      <c r="AI11" s="58">
        <v>1.8717999568021836E-4</v>
      </c>
      <c r="AJ11" s="59">
        <v>1</v>
      </c>
      <c r="AK11" s="60">
        <v>0</v>
      </c>
      <c r="AL11" s="60">
        <v>0</v>
      </c>
      <c r="AM11" s="60">
        <v>0</v>
      </c>
      <c r="AN11" s="60">
        <v>0</v>
      </c>
      <c r="AO11" s="60">
        <v>0</v>
      </c>
    </row>
    <row r="12" spans="1:41" s="48" customFormat="1" ht="30.75" customHeight="1">
      <c r="A12" s="54">
        <v>7</v>
      </c>
      <c r="B12" s="61" t="s">
        <v>52</v>
      </c>
      <c r="C12" s="188"/>
      <c r="D12" s="188"/>
      <c r="E12" s="56"/>
      <c r="F12" s="57">
        <v>7.9113969000000015</v>
      </c>
      <c r="G12" s="57">
        <v>8.3931465302158514</v>
      </c>
      <c r="H12" s="57">
        <v>599.10851070000001</v>
      </c>
      <c r="I12" s="57">
        <v>622.5234078168661</v>
      </c>
      <c r="J12" s="58">
        <v>3.3572586120863404E-6</v>
      </c>
      <c r="K12" s="58">
        <v>2.2232978850602361E-4</v>
      </c>
      <c r="L12" s="57">
        <v>8.7025365900000029</v>
      </c>
      <c r="M12" s="57">
        <v>9.2292083320350216</v>
      </c>
      <c r="N12" s="57">
        <v>659.01936177000005</v>
      </c>
      <c r="O12" s="57">
        <v>684.47952636428261</v>
      </c>
      <c r="P12" s="58">
        <v>3.623665705318454E-6</v>
      </c>
      <c r="Q12" s="58">
        <v>2.3947619787816833E-4</v>
      </c>
      <c r="R12" s="57">
        <v>9.5727902490000041</v>
      </c>
      <c r="S12" s="57">
        <v>10.148270121725485</v>
      </c>
      <c r="T12" s="57">
        <v>659.01936177000005</v>
      </c>
      <c r="U12" s="57">
        <v>684.43009601552399</v>
      </c>
      <c r="V12" s="58">
        <v>3.908317771515293E-6</v>
      </c>
      <c r="W12" s="58">
        <v>2.3744112971377145E-4</v>
      </c>
      <c r="X12" s="57">
        <v>10.530069273900006</v>
      </c>
      <c r="Y12" s="57">
        <v>11.158509866211471</v>
      </c>
      <c r="Z12" s="57">
        <v>724.92129794700008</v>
      </c>
      <c r="AA12" s="57">
        <v>752.52388062801151</v>
      </c>
      <c r="AB12" s="58">
        <v>4.2119995785276452E-6</v>
      </c>
      <c r="AC12" s="58">
        <v>2.5556001119109547E-4</v>
      </c>
      <c r="AD12" s="57">
        <v>11.583076201290007</v>
      </c>
      <c r="AE12" s="57">
        <v>6.1009855694109181</v>
      </c>
      <c r="AF12" s="57">
        <v>797.41342774170016</v>
      </c>
      <c r="AG12" s="57">
        <v>384.29693607324702</v>
      </c>
      <c r="AH12" s="58">
        <v>4.5354552634085935E-6</v>
      </c>
      <c r="AI12" s="58">
        <v>2.6884571440091774E-4</v>
      </c>
      <c r="AJ12" s="59">
        <v>1</v>
      </c>
      <c r="AK12" s="60">
        <v>0</v>
      </c>
      <c r="AL12" s="60">
        <v>0</v>
      </c>
      <c r="AM12" s="60">
        <v>0</v>
      </c>
      <c r="AN12" s="60">
        <v>0</v>
      </c>
      <c r="AO12" s="60">
        <v>0</v>
      </c>
    </row>
    <row r="13" spans="1:41" s="48" customFormat="1" ht="31.5" customHeight="1">
      <c r="A13" s="54">
        <v>8</v>
      </c>
      <c r="B13" s="55" t="s">
        <v>53</v>
      </c>
      <c r="C13" s="188"/>
      <c r="D13" s="188"/>
      <c r="E13" s="56"/>
      <c r="F13" s="83">
        <v>1.8524246400000004</v>
      </c>
      <c r="G13" s="57">
        <v>1.9652245534163943</v>
      </c>
      <c r="H13" s="83">
        <v>1.6208715599999999</v>
      </c>
      <c r="I13" s="57">
        <v>1.6842199186682991</v>
      </c>
      <c r="J13" s="58">
        <v>7.8608982136655775E-7</v>
      </c>
      <c r="K13" s="58">
        <v>6.0150711381010681E-7</v>
      </c>
      <c r="L13" s="57">
        <v>2.0376671040000005</v>
      </c>
      <c r="M13" s="57">
        <v>2.1609853655496636</v>
      </c>
      <c r="N13" s="57">
        <v>1.782958716</v>
      </c>
      <c r="O13" s="57">
        <v>1.8518404894463065</v>
      </c>
      <c r="P13" s="58">
        <v>8.4846806758675995E-7</v>
      </c>
      <c r="Q13" s="58">
        <v>6.4789625168924408E-7</v>
      </c>
      <c r="R13" s="57">
        <v>2.2414338144000006</v>
      </c>
      <c r="S13" s="57">
        <v>2.3761803211845032</v>
      </c>
      <c r="T13" s="57">
        <v>1.782958716</v>
      </c>
      <c r="U13" s="57">
        <v>1.8517067570003927</v>
      </c>
      <c r="V13" s="58">
        <v>9.1511830747675128E-7</v>
      </c>
      <c r="W13" s="58">
        <v>6.423904308714456E-7</v>
      </c>
      <c r="X13" s="57">
        <v>2.4655771958400008</v>
      </c>
      <c r="Y13" s="57">
        <v>2.6127242613568318</v>
      </c>
      <c r="Z13" s="57">
        <v>1.9612545876000003</v>
      </c>
      <c r="AA13" s="57">
        <v>2.0359326141196461</v>
      </c>
      <c r="AB13" s="58">
        <v>9.8622429155769232E-7</v>
      </c>
      <c r="AC13" s="58">
        <v>6.9141056522288587E-7</v>
      </c>
      <c r="AD13" s="57">
        <v>2.7121349154240009</v>
      </c>
      <c r="AE13" s="57">
        <v>1.4285234503986535</v>
      </c>
      <c r="AF13" s="57">
        <v>2.1573800463600006</v>
      </c>
      <c r="AG13" s="57">
        <v>1.0397047665847228</v>
      </c>
      <c r="AH13" s="58">
        <v>1.0619602567981094E-6</v>
      </c>
      <c r="AI13" s="58">
        <v>7.2735466900842693E-7</v>
      </c>
      <c r="AJ13" s="59">
        <v>1</v>
      </c>
      <c r="AK13" s="60">
        <v>0</v>
      </c>
      <c r="AL13" s="60">
        <v>0</v>
      </c>
      <c r="AM13" s="60">
        <v>0</v>
      </c>
      <c r="AN13" s="60">
        <v>0</v>
      </c>
      <c r="AO13" s="60">
        <v>0</v>
      </c>
    </row>
    <row r="14" spans="1:41" s="48" customFormat="1" ht="29.25" customHeight="1">
      <c r="A14" s="54">
        <v>9</v>
      </c>
      <c r="B14" s="55" t="s">
        <v>54</v>
      </c>
      <c r="C14" s="188"/>
      <c r="D14" s="188"/>
      <c r="E14" s="56"/>
      <c r="F14" s="57">
        <v>119.36376000000001</v>
      </c>
      <c r="G14" s="57">
        <v>126.63219160165222</v>
      </c>
      <c r="H14" s="84">
        <v>0.23872751999999997</v>
      </c>
      <c r="I14" s="57">
        <v>0.24805768343438928</v>
      </c>
      <c r="J14" s="58">
        <v>5.065287664066089E-5</v>
      </c>
      <c r="K14" s="58">
        <v>8.8592029797996175E-8</v>
      </c>
      <c r="L14" s="57">
        <v>131.30013600000004</v>
      </c>
      <c r="M14" s="57">
        <v>139.24633313935098</v>
      </c>
      <c r="N14" s="57">
        <v>0.26260027199999997</v>
      </c>
      <c r="O14" s="57">
        <v>0.27274541573244887</v>
      </c>
      <c r="P14" s="58">
        <v>5.4672312492609576E-5</v>
      </c>
      <c r="Q14" s="58">
        <v>9.5424381055257108E-8</v>
      </c>
      <c r="R14" s="57">
        <v>144.43014960000005</v>
      </c>
      <c r="S14" s="57">
        <v>153.1127428614802</v>
      </c>
      <c r="T14" s="57">
        <v>0.26260027199999997</v>
      </c>
      <c r="U14" s="57">
        <v>0.27272571915935545</v>
      </c>
      <c r="V14" s="58">
        <v>5.8967020663934356E-5</v>
      </c>
      <c r="W14" s="58">
        <v>9.461346489025425E-8</v>
      </c>
      <c r="X14" s="57">
        <v>158.87316456000008</v>
      </c>
      <c r="Y14" s="57">
        <v>168.35480642212477</v>
      </c>
      <c r="Z14" s="57">
        <v>0.2888602992</v>
      </c>
      <c r="AA14" s="57">
        <v>0.29985913495570249</v>
      </c>
      <c r="AB14" s="58">
        <v>6.3548841395060703E-5</v>
      </c>
      <c r="AC14" s="58">
        <v>1.0183331832749152E-7</v>
      </c>
      <c r="AD14" s="57">
        <v>174.76048101600009</v>
      </c>
      <c r="AE14" s="57">
        <v>92.049051068418549</v>
      </c>
      <c r="AF14" s="57">
        <v>0.31774632912</v>
      </c>
      <c r="AG14" s="57">
        <v>0.15313128232008072</v>
      </c>
      <c r="AH14" s="58">
        <v>6.842900190638143E-5</v>
      </c>
      <c r="AI14" s="58">
        <v>1.0712728915596654E-7</v>
      </c>
      <c r="AJ14" s="59">
        <v>1</v>
      </c>
      <c r="AK14" s="60">
        <v>0</v>
      </c>
      <c r="AL14" s="60">
        <v>0</v>
      </c>
      <c r="AM14" s="60">
        <v>0</v>
      </c>
      <c r="AN14" s="60">
        <v>0</v>
      </c>
      <c r="AO14" s="60">
        <v>0</v>
      </c>
    </row>
    <row r="15" spans="1:41" s="48" customFormat="1" ht="38.25" customHeight="1">
      <c r="A15" s="54">
        <v>10</v>
      </c>
      <c r="B15" s="55" t="s">
        <v>55</v>
      </c>
      <c r="C15" s="188"/>
      <c r="D15" s="188"/>
      <c r="E15" s="56"/>
      <c r="F15" s="57">
        <v>31182</v>
      </c>
      <c r="G15" s="57">
        <v>33080.769226126249</v>
      </c>
      <c r="H15" s="57">
        <v>14253</v>
      </c>
      <c r="I15" s="57">
        <v>14810.04855238454</v>
      </c>
      <c r="J15" s="58">
        <v>1.3232307690450499E-2</v>
      </c>
      <c r="K15" s="58">
        <v>5.2893030544230498E-3</v>
      </c>
      <c r="L15" s="57">
        <v>34300.200000000004</v>
      </c>
      <c r="M15" s="57">
        <v>36376.025352680255</v>
      </c>
      <c r="N15" s="57">
        <v>15678.300000000001</v>
      </c>
      <c r="O15" s="57">
        <v>16284.006177564255</v>
      </c>
      <c r="P15" s="58">
        <v>1.4282325289891601E-2</v>
      </c>
      <c r="Q15" s="58">
        <v>5.6972221015012424E-3</v>
      </c>
      <c r="R15" s="57">
        <v>37730.220000000008</v>
      </c>
      <c r="S15" s="57">
        <v>39998.417843964322</v>
      </c>
      <c r="T15" s="57">
        <v>15678.300000000001</v>
      </c>
      <c r="U15" s="57">
        <v>16282.830212362167</v>
      </c>
      <c r="V15" s="58">
        <v>1.5404253672494908E-2</v>
      </c>
      <c r="W15" s="58">
        <v>5.6488071215283183E-3</v>
      </c>
      <c r="X15" s="57">
        <v>41503.242000000013</v>
      </c>
      <c r="Y15" s="57">
        <v>43980.179359754526</v>
      </c>
      <c r="Z15" s="57">
        <v>17246.13</v>
      </c>
      <c r="AA15" s="57">
        <v>17902.805049554518</v>
      </c>
      <c r="AB15" s="58">
        <v>1.6601185924277038E-2</v>
      </c>
      <c r="AC15" s="58">
        <v>6.0798616184750574E-3</v>
      </c>
      <c r="AD15" s="57">
        <v>45653.566200000016</v>
      </c>
      <c r="AE15" s="57">
        <v>24046.440145781489</v>
      </c>
      <c r="AF15" s="57">
        <v>18970.743000000002</v>
      </c>
      <c r="AG15" s="57">
        <v>9142.5578706137894</v>
      </c>
      <c r="AH15" s="58">
        <v>1.787605498892449E-2</v>
      </c>
      <c r="AI15" s="58">
        <v>6.3959331221636754E-3</v>
      </c>
      <c r="AJ15" s="59">
        <v>1</v>
      </c>
      <c r="AK15" s="60">
        <v>0</v>
      </c>
      <c r="AL15" s="60">
        <v>0</v>
      </c>
      <c r="AM15" s="60">
        <v>0</v>
      </c>
      <c r="AN15" s="60">
        <v>0</v>
      </c>
      <c r="AO15" s="60">
        <v>0</v>
      </c>
    </row>
    <row r="16" spans="1:41" s="48" customFormat="1" ht="25.5" customHeight="1">
      <c r="A16" s="54">
        <v>11</v>
      </c>
      <c r="B16" s="63" t="s">
        <v>56</v>
      </c>
      <c r="C16" s="188"/>
      <c r="D16" s="188"/>
      <c r="E16" s="56"/>
      <c r="F16" s="85">
        <v>215684.92944554996</v>
      </c>
      <c r="G16" s="57">
        <v>228818.65744793665</v>
      </c>
      <c r="H16" s="85">
        <v>322066.05583122</v>
      </c>
      <c r="I16" s="57">
        <v>334653.33080301393</v>
      </c>
      <c r="J16" s="58">
        <v>9.1527462979174662E-2</v>
      </c>
      <c r="K16" s="58">
        <v>0.11951904671536212</v>
      </c>
      <c r="L16" s="57">
        <v>237253.42239010497</v>
      </c>
      <c r="M16" s="57">
        <v>251611.84214297921</v>
      </c>
      <c r="N16" s="57">
        <v>354272.661414342</v>
      </c>
      <c r="O16" s="57">
        <v>367959.42206829024</v>
      </c>
      <c r="P16" s="58">
        <v>9.8790402234258987E-2</v>
      </c>
      <c r="Q16" s="58">
        <v>0.12873653626780043</v>
      </c>
      <c r="R16" s="57">
        <v>260978.7646291155</v>
      </c>
      <c r="S16" s="57">
        <v>276667.81895353313</v>
      </c>
      <c r="T16" s="57">
        <v>354272.661414342</v>
      </c>
      <c r="U16" s="57">
        <v>367932.84952395351</v>
      </c>
      <c r="V16" s="58">
        <v>0.10655074615205624</v>
      </c>
      <c r="W16" s="58">
        <v>0.12764253348641916</v>
      </c>
      <c r="X16" s="57">
        <v>287076.64109202707</v>
      </c>
      <c r="Y16" s="57">
        <v>304209.54019021511</v>
      </c>
      <c r="Z16" s="57">
        <v>389699.92755577626</v>
      </c>
      <c r="AA16" s="57">
        <v>404538.39967903413</v>
      </c>
      <c r="AB16" s="58">
        <v>0.11482988951286478</v>
      </c>
      <c r="AC16" s="58">
        <v>0.13738280021482352</v>
      </c>
      <c r="AD16" s="57">
        <v>315784.30520122981</v>
      </c>
      <c r="AE16" s="57">
        <v>166328.4826585697</v>
      </c>
      <c r="AF16" s="57">
        <v>428669.92031135393</v>
      </c>
      <c r="AG16" s="57">
        <v>206588.61668401465</v>
      </c>
      <c r="AH16" s="58">
        <v>0.12364811939743922</v>
      </c>
      <c r="AI16" s="58">
        <v>0.1445248687304789</v>
      </c>
      <c r="AJ16" s="59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v>0</v>
      </c>
    </row>
    <row r="17" spans="1:41" s="48" customFormat="1" ht="30.75" customHeight="1">
      <c r="A17" s="54">
        <v>12</v>
      </c>
      <c r="B17" s="63" t="s">
        <v>57</v>
      </c>
      <c r="C17" s="188"/>
      <c r="D17" s="188"/>
      <c r="E17" s="56"/>
      <c r="F17" s="57">
        <v>154112.29114123888</v>
      </c>
      <c r="G17" s="57">
        <v>163496.66917301342</v>
      </c>
      <c r="H17" s="57">
        <v>42030.624856701506</v>
      </c>
      <c r="I17" s="57">
        <v>43673.303502056391</v>
      </c>
      <c r="J17" s="58">
        <v>6.5398667669205365E-2</v>
      </c>
      <c r="K17" s="58">
        <v>1.5597608393591568E-2</v>
      </c>
      <c r="L17" s="57">
        <v>154882.85259694504</v>
      </c>
      <c r="M17" s="57">
        <v>164256.26010232919</v>
      </c>
      <c r="N17" s="57">
        <v>42240.777980985011</v>
      </c>
      <c r="O17" s="57">
        <v>43872.683236542231</v>
      </c>
      <c r="P17" s="58">
        <v>6.4491964554606124E-2</v>
      </c>
      <c r="Q17" s="58">
        <v>1.5349565571386873E-2</v>
      </c>
      <c r="R17" s="57">
        <v>155657.26685992975</v>
      </c>
      <c r="S17" s="57">
        <v>165014.79186479509</v>
      </c>
      <c r="T17" s="57">
        <v>42451.981870889933</v>
      </c>
      <c r="U17" s="57">
        <v>44088.862503076074</v>
      </c>
      <c r="V17" s="58">
        <v>6.3550756520306326E-2</v>
      </c>
      <c r="W17" s="58">
        <v>1.5295220624383645E-2</v>
      </c>
      <c r="X17" s="57">
        <v>156435.55319422937</v>
      </c>
      <c r="Y17" s="57">
        <v>165771.71700766479</v>
      </c>
      <c r="Z17" s="57">
        <v>42664.241780244382</v>
      </c>
      <c r="AA17" s="57">
        <v>44288.753661185081</v>
      </c>
      <c r="AB17" s="58">
        <v>6.2573803360820149E-2</v>
      </c>
      <c r="AC17" s="58">
        <v>1.5040631497098059E-2</v>
      </c>
      <c r="AD17" s="57">
        <v>157217.73096020051</v>
      </c>
      <c r="AE17" s="57">
        <v>82809.01300959129</v>
      </c>
      <c r="AF17" s="57">
        <v>42877.562989145597</v>
      </c>
      <c r="AG17" s="57">
        <v>20663.956123339583</v>
      </c>
      <c r="AH17" s="58">
        <v>6.1559983979487663E-2</v>
      </c>
      <c r="AI17" s="58">
        <v>1.4456050842074852E-2</v>
      </c>
      <c r="AJ17" s="59">
        <v>0</v>
      </c>
      <c r="AK17" s="60">
        <v>0</v>
      </c>
      <c r="AL17" s="60">
        <v>0</v>
      </c>
      <c r="AM17" s="60">
        <v>0</v>
      </c>
      <c r="AN17" s="60">
        <v>0</v>
      </c>
      <c r="AO17" s="60">
        <v>0</v>
      </c>
    </row>
    <row r="18" spans="1:41" s="68" customFormat="1" ht="20.25">
      <c r="A18" s="156" t="s">
        <v>46</v>
      </c>
      <c r="B18" s="157"/>
      <c r="C18" s="64" t="s">
        <v>27</v>
      </c>
      <c r="D18" s="64">
        <v>9</v>
      </c>
      <c r="E18" s="64">
        <f>COUNTA(E6:E17)</f>
        <v>1</v>
      </c>
      <c r="F18" s="65">
        <v>2356505.0578821898</v>
      </c>
      <c r="G18" s="65">
        <v>2500000</v>
      </c>
      <c r="H18" s="65">
        <v>2694683.9410309982</v>
      </c>
      <c r="I18" s="65">
        <v>2800000</v>
      </c>
      <c r="J18" s="66">
        <v>1</v>
      </c>
      <c r="K18" s="66">
        <v>1</v>
      </c>
      <c r="L18" s="65">
        <v>2401583.7270053057</v>
      </c>
      <c r="M18" s="65">
        <v>2546925.9811933846</v>
      </c>
      <c r="N18" s="65">
        <v>2751920.0973170246</v>
      </c>
      <c r="O18" s="65">
        <v>2858236.1521895644</v>
      </c>
      <c r="P18" s="66">
        <v>0.99999999999999967</v>
      </c>
      <c r="Q18" s="66">
        <v>1</v>
      </c>
      <c r="R18" s="65">
        <v>2449337.7480123732</v>
      </c>
      <c r="S18" s="65">
        <v>2596582.6514129383</v>
      </c>
      <c r="T18" s="65">
        <v>2775506.3436752898</v>
      </c>
      <c r="U18" s="65">
        <v>2882525.4362653387</v>
      </c>
      <c r="V18" s="66">
        <v>1.0000000000000002</v>
      </c>
      <c r="W18" s="66">
        <v>0.99999999999999989</v>
      </c>
      <c r="X18" s="65">
        <v>2500016.6969581982</v>
      </c>
      <c r="Y18" s="65">
        <v>2649219.1317151226</v>
      </c>
      <c r="Z18" s="65">
        <v>2836599.1008074377</v>
      </c>
      <c r="AA18" s="65">
        <v>2944607.3238168331</v>
      </c>
      <c r="AB18" s="66">
        <v>0.99999999999999989</v>
      </c>
      <c r="AC18" s="66">
        <v>1.0000000000000002</v>
      </c>
      <c r="AD18" s="65">
        <v>2553894.9297418087</v>
      </c>
      <c r="AE18" s="65">
        <v>1345176</v>
      </c>
      <c r="AF18" s="65">
        <v>2966063.3777206233</v>
      </c>
      <c r="AG18" s="65">
        <v>1429433</v>
      </c>
      <c r="AH18" s="66">
        <v>1</v>
      </c>
      <c r="AI18" s="66">
        <v>0.99999999999999978</v>
      </c>
      <c r="AJ18" s="67">
        <v>10</v>
      </c>
      <c r="AK18" s="67">
        <v>0</v>
      </c>
      <c r="AL18" s="67">
        <v>0</v>
      </c>
      <c r="AM18" s="67">
        <v>0</v>
      </c>
      <c r="AN18" s="67">
        <v>0</v>
      </c>
      <c r="AO18" s="67">
        <v>2</v>
      </c>
    </row>
    <row r="19" spans="1:41" s="48" customFormat="1">
      <c r="A19" s="47"/>
      <c r="E19" s="47"/>
      <c r="F19" s="49"/>
      <c r="G19" s="6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70"/>
      <c r="AH19" s="49"/>
      <c r="AI19" s="49"/>
      <c r="AJ19" s="49"/>
    </row>
  </sheetData>
  <mergeCells count="15">
    <mergeCell ref="C6:C17"/>
    <mergeCell ref="D6:D17"/>
    <mergeCell ref="A18:B18"/>
    <mergeCell ref="A2:AO3"/>
    <mergeCell ref="A4:A5"/>
    <mergeCell ref="B4:B5"/>
    <mergeCell ref="C4:C5"/>
    <mergeCell ref="D4:D5"/>
    <mergeCell ref="E4:E5"/>
    <mergeCell ref="F4:K4"/>
    <mergeCell ref="L4:Q4"/>
    <mergeCell ref="R4:W4"/>
    <mergeCell ref="X4:AC4"/>
    <mergeCell ref="AD4:AI4"/>
    <mergeCell ref="AK4:AO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5"/>
  <sheetViews>
    <sheetView topLeftCell="AE1" zoomScale="60" zoomScaleNormal="60" workbookViewId="0">
      <selection activeCell="AD4" sqref="AD4:AI4"/>
    </sheetView>
  </sheetViews>
  <sheetFormatPr baseColWidth="10" defaultColWidth="11.42578125" defaultRowHeight="15"/>
  <cols>
    <col min="1" max="1" width="8.5703125" style="71" customWidth="1"/>
    <col min="2" max="2" width="72.28515625" style="75" customWidth="1"/>
    <col min="3" max="3" width="40.140625" style="72" customWidth="1"/>
    <col min="4" max="4" width="35.28515625" style="71" customWidth="1"/>
    <col min="5" max="5" width="17.5703125" style="71" customWidth="1"/>
    <col min="6" max="35" width="28.85546875" style="73" customWidth="1"/>
    <col min="36" max="36" width="21.42578125" style="73" customWidth="1"/>
    <col min="37" max="37" width="9.5703125" style="74" customWidth="1"/>
    <col min="38" max="38" width="10.28515625" style="74" customWidth="1"/>
    <col min="39" max="39" width="11.42578125" style="74"/>
    <col min="40" max="40" width="11" style="74" customWidth="1"/>
    <col min="41" max="41" width="13.85546875" style="74" customWidth="1"/>
    <col min="42" max="16384" width="11.42578125" style="75"/>
  </cols>
  <sheetData>
    <row r="1" spans="1:50" s="48" customFormat="1" ht="15" customHeight="1">
      <c r="A1" s="47"/>
      <c r="C1" s="47"/>
      <c r="D1" s="47"/>
      <c r="E1" s="47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</row>
    <row r="2" spans="1:50" s="48" customFormat="1" ht="15" customHeight="1">
      <c r="A2" s="165" t="s">
        <v>129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</row>
    <row r="3" spans="1:50" s="48" customFormat="1" ht="63" customHeight="1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</row>
    <row r="4" spans="1:50" s="48" customFormat="1" ht="57.75" customHeight="1">
      <c r="A4" s="142" t="s">
        <v>1</v>
      </c>
      <c r="B4" s="142" t="s">
        <v>2</v>
      </c>
      <c r="C4" s="142" t="s">
        <v>3</v>
      </c>
      <c r="D4" s="143" t="s">
        <v>4</v>
      </c>
      <c r="E4" s="143" t="s">
        <v>5</v>
      </c>
      <c r="F4" s="144" t="s">
        <v>124</v>
      </c>
      <c r="G4" s="145"/>
      <c r="H4" s="145"/>
      <c r="I4" s="145"/>
      <c r="J4" s="145"/>
      <c r="K4" s="164"/>
      <c r="L4" s="144" t="s">
        <v>125</v>
      </c>
      <c r="M4" s="145"/>
      <c r="N4" s="145"/>
      <c r="O4" s="145"/>
      <c r="P4" s="145"/>
      <c r="Q4" s="164"/>
      <c r="R4" s="144" t="s">
        <v>126</v>
      </c>
      <c r="S4" s="145"/>
      <c r="T4" s="145"/>
      <c r="U4" s="145"/>
      <c r="V4" s="145"/>
      <c r="W4" s="164"/>
      <c r="X4" s="144" t="s">
        <v>127</v>
      </c>
      <c r="Y4" s="145"/>
      <c r="Z4" s="145"/>
      <c r="AA4" s="145"/>
      <c r="AB4" s="145"/>
      <c r="AC4" s="164"/>
      <c r="AD4" s="144" t="s">
        <v>128</v>
      </c>
      <c r="AE4" s="145"/>
      <c r="AF4" s="145"/>
      <c r="AG4" s="145"/>
      <c r="AH4" s="145"/>
      <c r="AI4" s="164"/>
      <c r="AJ4" s="52" t="s">
        <v>11</v>
      </c>
      <c r="AK4" s="147" t="s">
        <v>12</v>
      </c>
      <c r="AL4" s="148"/>
      <c r="AM4" s="148"/>
      <c r="AN4" s="148"/>
      <c r="AO4" s="149"/>
    </row>
    <row r="5" spans="1:50" s="48" customFormat="1" ht="31.5">
      <c r="A5" s="142"/>
      <c r="B5" s="142"/>
      <c r="C5" s="142"/>
      <c r="D5" s="143"/>
      <c r="E5" s="143"/>
      <c r="F5" s="52" t="s">
        <v>13</v>
      </c>
      <c r="G5" s="52" t="s">
        <v>14</v>
      </c>
      <c r="H5" s="52" t="s">
        <v>15</v>
      </c>
      <c r="I5" s="52" t="s">
        <v>16</v>
      </c>
      <c r="J5" s="53" t="s">
        <v>17</v>
      </c>
      <c r="K5" s="53" t="s">
        <v>18</v>
      </c>
      <c r="L5" s="52" t="s">
        <v>13</v>
      </c>
      <c r="M5" s="52" t="s">
        <v>14</v>
      </c>
      <c r="N5" s="52" t="s">
        <v>15</v>
      </c>
      <c r="O5" s="52" t="s">
        <v>16</v>
      </c>
      <c r="P5" s="53" t="s">
        <v>17</v>
      </c>
      <c r="Q5" s="53" t="s">
        <v>18</v>
      </c>
      <c r="R5" s="52" t="s">
        <v>13</v>
      </c>
      <c r="S5" s="52" t="s">
        <v>14</v>
      </c>
      <c r="T5" s="52" t="s">
        <v>15</v>
      </c>
      <c r="U5" s="52" t="s">
        <v>16</v>
      </c>
      <c r="V5" s="53" t="s">
        <v>17</v>
      </c>
      <c r="W5" s="53" t="s">
        <v>18</v>
      </c>
      <c r="X5" s="52" t="s">
        <v>13</v>
      </c>
      <c r="Y5" s="52" t="s">
        <v>14</v>
      </c>
      <c r="Z5" s="52" t="s">
        <v>15</v>
      </c>
      <c r="AA5" s="52" t="s">
        <v>16</v>
      </c>
      <c r="AB5" s="53" t="s">
        <v>17</v>
      </c>
      <c r="AC5" s="53" t="s">
        <v>18</v>
      </c>
      <c r="AD5" s="52" t="s">
        <v>13</v>
      </c>
      <c r="AE5" s="52" t="s">
        <v>14</v>
      </c>
      <c r="AF5" s="52" t="s">
        <v>15</v>
      </c>
      <c r="AG5" s="52" t="s">
        <v>16</v>
      </c>
      <c r="AH5" s="53" t="s">
        <v>17</v>
      </c>
      <c r="AI5" s="53" t="s">
        <v>18</v>
      </c>
      <c r="AJ5" s="52">
        <v>2018</v>
      </c>
      <c r="AK5" s="52">
        <v>2019</v>
      </c>
      <c r="AL5" s="52">
        <v>2020</v>
      </c>
      <c r="AM5" s="52">
        <v>2021</v>
      </c>
      <c r="AN5" s="52">
        <v>2022</v>
      </c>
      <c r="AO5" s="52">
        <v>2023</v>
      </c>
    </row>
    <row r="6" spans="1:50" s="48" customFormat="1" ht="29.25" customHeight="1">
      <c r="A6" s="54">
        <v>1</v>
      </c>
      <c r="B6" s="55" t="s">
        <v>58</v>
      </c>
      <c r="C6" s="187" t="s">
        <v>59</v>
      </c>
      <c r="D6" s="187" t="s">
        <v>74</v>
      </c>
      <c r="E6" s="56" t="s">
        <v>22</v>
      </c>
      <c r="F6" s="57">
        <v>47218.852799999993</v>
      </c>
      <c r="G6" s="57">
        <v>47977.914171489938</v>
      </c>
      <c r="H6" s="57">
        <v>41470.470719999998</v>
      </c>
      <c r="I6" s="57">
        <v>48837.519018734813</v>
      </c>
      <c r="J6" s="58">
        <v>7.9963190285816568E-2</v>
      </c>
      <c r="K6" s="58">
        <v>0.12209379754683702</v>
      </c>
      <c r="L6" s="57">
        <v>51940.738079999996</v>
      </c>
      <c r="M6" s="57">
        <v>52729.924439217844</v>
      </c>
      <c r="N6" s="57">
        <v>45617.517791999999</v>
      </c>
      <c r="O6" s="57">
        <v>53609.796764901948</v>
      </c>
      <c r="P6" s="58">
        <v>8.5368857067399218E-2</v>
      </c>
      <c r="Q6" s="58">
        <v>0.12818530730895653</v>
      </c>
      <c r="R6" s="57">
        <v>57134.811887999997</v>
      </c>
      <c r="S6" s="57">
        <v>57949.696785136744</v>
      </c>
      <c r="T6" s="57">
        <v>50179.269571200006</v>
      </c>
      <c r="U6" s="57">
        <v>58843.862549016441</v>
      </c>
      <c r="V6" s="58">
        <v>9.1061248459233982E-2</v>
      </c>
      <c r="W6" s="58">
        <v>0.13446249246829819</v>
      </c>
      <c r="X6" s="57">
        <v>62848.293076800001</v>
      </c>
      <c r="Y6" s="57">
        <v>63682.783682442627</v>
      </c>
      <c r="Z6" s="57">
        <v>55197.196528320012</v>
      </c>
      <c r="AA6" s="57">
        <v>64583.820869803225</v>
      </c>
      <c r="AB6" s="58">
        <v>9.7046405627763746E-2</v>
      </c>
      <c r="AC6" s="58">
        <v>0.14092203499550041</v>
      </c>
      <c r="AD6" s="57">
        <v>69133.122384480012</v>
      </c>
      <c r="AE6" s="57">
        <v>69979.094667721918</v>
      </c>
      <c r="AF6" s="57">
        <v>60716.916181152017</v>
      </c>
      <c r="AG6" s="57">
        <v>70877.920738700006</v>
      </c>
      <c r="AH6" s="58">
        <v>0.10332941943686784</v>
      </c>
      <c r="AI6" s="58">
        <v>0.14755990771879826</v>
      </c>
      <c r="AJ6" s="59">
        <v>2</v>
      </c>
      <c r="AK6" s="60">
        <v>0</v>
      </c>
      <c r="AL6" s="60">
        <v>0</v>
      </c>
      <c r="AM6" s="60">
        <v>0</v>
      </c>
      <c r="AN6" s="60">
        <v>0</v>
      </c>
      <c r="AO6" s="60">
        <v>0</v>
      </c>
      <c r="AQ6" s="76"/>
      <c r="AR6" s="76"/>
      <c r="AS6" s="76"/>
      <c r="AT6" s="76"/>
      <c r="AU6" s="76"/>
      <c r="AV6" s="76"/>
      <c r="AW6" s="76"/>
      <c r="AX6" s="76"/>
    </row>
    <row r="7" spans="1:50" s="48" customFormat="1" ht="27.75" customHeight="1">
      <c r="A7" s="54">
        <v>2</v>
      </c>
      <c r="B7" s="55" t="s">
        <v>61</v>
      </c>
      <c r="C7" s="188"/>
      <c r="D7" s="188"/>
      <c r="E7" s="56"/>
      <c r="F7" s="57">
        <v>102170.87704013464</v>
      </c>
      <c r="G7" s="57">
        <v>103813.31351314475</v>
      </c>
      <c r="H7" s="57">
        <v>119015.89394969508</v>
      </c>
      <c r="I7" s="57">
        <v>140158.54856204437</v>
      </c>
      <c r="J7" s="58">
        <v>0.17302218918857459</v>
      </c>
      <c r="K7" s="58">
        <v>0.35039637140511093</v>
      </c>
      <c r="L7" s="57">
        <v>107279.42089214138</v>
      </c>
      <c r="M7" s="57">
        <v>108909.42190334127</v>
      </c>
      <c r="N7" s="57">
        <v>124966.68864717984</v>
      </c>
      <c r="O7" s="57">
        <v>146861.09865304813</v>
      </c>
      <c r="P7" s="58">
        <v>0.17632251459940326</v>
      </c>
      <c r="Q7" s="58">
        <v>0.3511566205917212</v>
      </c>
      <c r="R7" s="57">
        <v>112643.39193674845</v>
      </c>
      <c r="S7" s="57">
        <v>114249.96760958778</v>
      </c>
      <c r="T7" s="57">
        <v>131215.02307953883</v>
      </c>
      <c r="U7" s="57">
        <v>153872.28328428924</v>
      </c>
      <c r="V7" s="58">
        <v>0.17953061472488183</v>
      </c>
      <c r="W7" s="58">
        <v>0.35160932399634626</v>
      </c>
      <c r="X7" s="57">
        <v>118275.56153358587</v>
      </c>
      <c r="Y7" s="57">
        <v>119846.00744619439</v>
      </c>
      <c r="Z7" s="57">
        <v>137775.77423351578</v>
      </c>
      <c r="AA7" s="57">
        <v>161205.39597931382</v>
      </c>
      <c r="AB7" s="58">
        <v>0.18263372891310881</v>
      </c>
      <c r="AC7" s="58">
        <v>0.35175051812832731</v>
      </c>
      <c r="AD7" s="57">
        <v>124189.33961026517</v>
      </c>
      <c r="AE7" s="57">
        <v>125709.02707064214</v>
      </c>
      <c r="AF7" s="57">
        <v>144664.56294519157</v>
      </c>
      <c r="AG7" s="57">
        <v>168874.24577915084</v>
      </c>
      <c r="AH7" s="58">
        <v>0.18561887442042568</v>
      </c>
      <c r="AI7" s="58">
        <v>0.35157730169766549</v>
      </c>
      <c r="AJ7" s="59">
        <v>1</v>
      </c>
      <c r="AK7" s="60">
        <v>0</v>
      </c>
      <c r="AL7" s="60">
        <v>0</v>
      </c>
      <c r="AM7" s="60">
        <v>0</v>
      </c>
      <c r="AN7" s="60">
        <v>0</v>
      </c>
      <c r="AO7" s="60">
        <v>0</v>
      </c>
    </row>
    <row r="8" spans="1:50" s="48" customFormat="1" ht="35.25" customHeight="1">
      <c r="A8" s="54">
        <v>3</v>
      </c>
      <c r="B8" s="77" t="s">
        <v>62</v>
      </c>
      <c r="C8" s="188"/>
      <c r="D8" s="188"/>
      <c r="E8" s="56"/>
      <c r="F8" s="57">
        <v>1128</v>
      </c>
      <c r="G8" s="57">
        <v>1146.1330374684719</v>
      </c>
      <c r="H8" s="57">
        <v>468</v>
      </c>
      <c r="I8" s="57">
        <v>551.13815936854382</v>
      </c>
      <c r="J8" s="58">
        <v>1.9102217291141199E-3</v>
      </c>
      <c r="K8" s="58">
        <v>1.3778453984213596E-3</v>
      </c>
      <c r="L8" s="57">
        <v>1184.4000000000001</v>
      </c>
      <c r="M8" s="57">
        <v>1202.395745890595</v>
      </c>
      <c r="N8" s="57">
        <v>491.40000000000003</v>
      </c>
      <c r="O8" s="57">
        <v>577.49424794202139</v>
      </c>
      <c r="P8" s="58">
        <v>1.9466584043317788E-3</v>
      </c>
      <c r="Q8" s="58">
        <v>1.3808348866949512E-3</v>
      </c>
      <c r="R8" s="57">
        <v>1243.6200000000001</v>
      </c>
      <c r="S8" s="57">
        <v>1261.3571224703387</v>
      </c>
      <c r="T8" s="57">
        <v>515.97</v>
      </c>
      <c r="U8" s="57">
        <v>605.06396404067732</v>
      </c>
      <c r="V8" s="58">
        <v>1.9820768821443781E-3</v>
      </c>
      <c r="W8" s="58">
        <v>1.3826150287107233E-3</v>
      </c>
      <c r="X8" s="57">
        <v>1305.8010000000002</v>
      </c>
      <c r="Y8" s="57">
        <v>1323.1392380649093</v>
      </c>
      <c r="Z8" s="57">
        <v>541.76850000000002</v>
      </c>
      <c r="AA8" s="57">
        <v>633.89958109466568</v>
      </c>
      <c r="AB8" s="58">
        <v>2.0163362807687538E-3</v>
      </c>
      <c r="AC8" s="58">
        <v>1.3831702390408247E-3</v>
      </c>
      <c r="AD8" s="57">
        <v>1371.0910500000002</v>
      </c>
      <c r="AE8" s="57">
        <v>1387.8688981008033</v>
      </c>
      <c r="AF8" s="57">
        <v>568.85692500000005</v>
      </c>
      <c r="AG8" s="57">
        <v>664.05539967668381</v>
      </c>
      <c r="AH8" s="58">
        <v>2.0492932664558858E-3</v>
      </c>
      <c r="AI8" s="58">
        <v>1.3824891090937269E-3</v>
      </c>
      <c r="AJ8" s="59">
        <v>1</v>
      </c>
      <c r="AK8" s="60">
        <v>0</v>
      </c>
      <c r="AL8" s="60">
        <v>0</v>
      </c>
      <c r="AM8" s="60">
        <v>0</v>
      </c>
      <c r="AN8" s="60">
        <v>0</v>
      </c>
      <c r="AO8" s="60">
        <v>0</v>
      </c>
    </row>
    <row r="9" spans="1:50" s="48" customFormat="1" ht="29.25" customHeight="1">
      <c r="A9" s="54">
        <v>4</v>
      </c>
      <c r="B9" s="77" t="s">
        <v>56</v>
      </c>
      <c r="C9" s="188"/>
      <c r="D9" s="188"/>
      <c r="E9" s="56"/>
      <c r="F9" s="57">
        <v>1868</v>
      </c>
      <c r="G9" s="57">
        <v>1898.0288244602</v>
      </c>
      <c r="H9" s="57">
        <v>2802</v>
      </c>
      <c r="I9" s="57">
        <v>3299.7630823732056</v>
      </c>
      <c r="J9" s="58">
        <v>3.1633813741003334E-3</v>
      </c>
      <c r="K9" s="58">
        <v>8.2494077059330137E-3</v>
      </c>
      <c r="L9" s="57">
        <v>2054.8000000000002</v>
      </c>
      <c r="M9" s="57">
        <v>2086.020583127317</v>
      </c>
      <c r="N9" s="57">
        <v>3082.2000000000003</v>
      </c>
      <c r="O9" s="57">
        <v>3622.2075112065495</v>
      </c>
      <c r="P9" s="58">
        <v>3.3772320915408131E-3</v>
      </c>
      <c r="Q9" s="58">
        <v>8.660987561601911E-3</v>
      </c>
      <c r="R9" s="57">
        <v>2260.2800000000002</v>
      </c>
      <c r="S9" s="57">
        <v>2292.5172293604614</v>
      </c>
      <c r="T9" s="57">
        <v>3390.4200000000005</v>
      </c>
      <c r="U9" s="57">
        <v>3975.8531793763077</v>
      </c>
      <c r="V9" s="58">
        <v>3.6024257692649645E-3</v>
      </c>
      <c r="W9" s="58">
        <v>9.0851127888082854E-3</v>
      </c>
      <c r="X9" s="57">
        <v>2486.3080000000004</v>
      </c>
      <c r="Y9" s="57">
        <v>2519.3208403996387</v>
      </c>
      <c r="Z9" s="57">
        <v>3729.4620000000009</v>
      </c>
      <c r="AA9" s="57">
        <v>4363.6800580108929</v>
      </c>
      <c r="AB9" s="58">
        <v>3.8392013986553839E-3</v>
      </c>
      <c r="AC9" s="58">
        <v>9.5215592010862073E-3</v>
      </c>
      <c r="AD9" s="57">
        <v>2734.9388000000008</v>
      </c>
      <c r="AE9" s="57">
        <v>2768.405860959514</v>
      </c>
      <c r="AF9" s="57">
        <v>4102.4082000000017</v>
      </c>
      <c r="AG9" s="57">
        <v>4788.9481470018254</v>
      </c>
      <c r="AH9" s="58">
        <v>4.0877603766788072E-3</v>
      </c>
      <c r="AI9" s="58">
        <v>9.9700546979485261E-3</v>
      </c>
      <c r="AJ9" s="59">
        <v>0</v>
      </c>
      <c r="AK9" s="60">
        <v>0</v>
      </c>
      <c r="AL9" s="60">
        <v>0</v>
      </c>
      <c r="AM9" s="60">
        <v>0</v>
      </c>
      <c r="AN9" s="60">
        <v>0</v>
      </c>
      <c r="AO9" s="60">
        <v>0</v>
      </c>
    </row>
    <row r="10" spans="1:50" s="48" customFormat="1" ht="29.25" customHeight="1">
      <c r="A10" s="54">
        <v>5</v>
      </c>
      <c r="B10" s="63" t="s">
        <v>58</v>
      </c>
      <c r="C10" s="187" t="s">
        <v>63</v>
      </c>
      <c r="D10" s="188"/>
      <c r="E10" s="56" t="s">
        <v>22</v>
      </c>
      <c r="F10" s="57">
        <v>18295.925759999998</v>
      </c>
      <c r="G10" s="57">
        <v>18590.03986223977</v>
      </c>
      <c r="H10" s="57">
        <v>21283.015679999997</v>
      </c>
      <c r="I10" s="57">
        <v>25063.850614715931</v>
      </c>
      <c r="J10" s="58">
        <v>3.0983399770399614E-2</v>
      </c>
      <c r="K10" s="58">
        <v>6.2659626536789831E-2</v>
      </c>
      <c r="L10" s="57">
        <v>20125.518336000001</v>
      </c>
      <c r="M10" s="57">
        <v>20431.304990754445</v>
      </c>
      <c r="N10" s="57">
        <v>23411.317247999999</v>
      </c>
      <c r="O10" s="57">
        <v>27513.026144619114</v>
      </c>
      <c r="P10" s="58">
        <v>3.3077937698672503E-2</v>
      </c>
      <c r="Q10" s="58">
        <v>6.5785843710870234E-2</v>
      </c>
      <c r="R10" s="57">
        <v>22138.070169600003</v>
      </c>
      <c r="S10" s="57">
        <v>22453.814256905727</v>
      </c>
      <c r="T10" s="57">
        <v>25752.448972800001</v>
      </c>
      <c r="U10" s="57">
        <v>30199.195416860741</v>
      </c>
      <c r="V10" s="58">
        <v>3.5283573035536767E-2</v>
      </c>
      <c r="W10" s="58">
        <v>6.9007351155879817E-2</v>
      </c>
      <c r="X10" s="57">
        <v>24351.877186560007</v>
      </c>
      <c r="Y10" s="57">
        <v>24675.217913047432</v>
      </c>
      <c r="Z10" s="57">
        <v>28327.693870080002</v>
      </c>
      <c r="AA10" s="57">
        <v>33144.993253800545</v>
      </c>
      <c r="AB10" s="58">
        <v>3.7602646556470595E-2</v>
      </c>
      <c r="AC10" s="58">
        <v>7.2322446029538176E-2</v>
      </c>
      <c r="AD10" s="57">
        <v>26787.064905216008</v>
      </c>
      <c r="AE10" s="57">
        <v>27114.85444628702</v>
      </c>
      <c r="AF10" s="57">
        <v>31160.463257088006</v>
      </c>
      <c r="AG10" s="57">
        <v>36375.181478710481</v>
      </c>
      <c r="AH10" s="58">
        <v>4.003713082247596E-2</v>
      </c>
      <c r="AI10" s="58">
        <v>7.5729061551354782E-2</v>
      </c>
      <c r="AJ10" s="59">
        <v>2</v>
      </c>
      <c r="AK10" s="60">
        <v>0</v>
      </c>
      <c r="AL10" s="60">
        <v>0</v>
      </c>
      <c r="AM10" s="60">
        <v>0</v>
      </c>
      <c r="AN10" s="60">
        <v>0</v>
      </c>
      <c r="AO10" s="60">
        <v>0</v>
      </c>
      <c r="AQ10" s="76"/>
      <c r="AR10" s="76"/>
      <c r="AS10" s="76"/>
      <c r="AT10" s="76"/>
      <c r="AU10" s="76"/>
      <c r="AV10" s="76"/>
      <c r="AW10" s="76"/>
      <c r="AX10" s="76"/>
    </row>
    <row r="11" spans="1:50" s="48" customFormat="1" ht="29.25" customHeight="1">
      <c r="A11" s="54">
        <v>6</v>
      </c>
      <c r="B11" s="63" t="s">
        <v>61</v>
      </c>
      <c r="C11" s="188"/>
      <c r="D11" s="188"/>
      <c r="E11" s="56"/>
      <c r="F11" s="57">
        <v>44210.025447420732</v>
      </c>
      <c r="G11" s="57">
        <v>44920.718752314504</v>
      </c>
      <c r="H11" s="57">
        <v>51498.977522691261</v>
      </c>
      <c r="I11" s="57">
        <v>60647.546327389056</v>
      </c>
      <c r="J11" s="58">
        <v>7.4867864587190844E-2</v>
      </c>
      <c r="K11" s="58">
        <v>0.15161886581847264</v>
      </c>
      <c r="L11" s="57">
        <v>46420.526719791771</v>
      </c>
      <c r="M11" s="57">
        <v>47125.839116749674</v>
      </c>
      <c r="N11" s="57">
        <v>54073.926398825824</v>
      </c>
      <c r="O11" s="57">
        <v>63547.784816772764</v>
      </c>
      <c r="P11" s="58">
        <v>7.6295937582396611E-2</v>
      </c>
      <c r="Q11" s="58">
        <v>0.15194783075310092</v>
      </c>
      <c r="R11" s="57">
        <v>48741.553055781362</v>
      </c>
      <c r="S11" s="57">
        <v>49436.729151328953</v>
      </c>
      <c r="T11" s="57">
        <v>56777.622718767117</v>
      </c>
      <c r="U11" s="57">
        <v>66581.571546840409</v>
      </c>
      <c r="V11" s="58">
        <v>7.7684104076549021E-2</v>
      </c>
      <c r="W11" s="58">
        <v>0.15214371856006126</v>
      </c>
      <c r="X11" s="57">
        <v>51178.630708570432</v>
      </c>
      <c r="Y11" s="57">
        <v>51858.173213945498</v>
      </c>
      <c r="Z11" s="57">
        <v>59616.503854705479</v>
      </c>
      <c r="AA11" s="57">
        <v>69754.658714610254</v>
      </c>
      <c r="AB11" s="58">
        <v>7.9026842449773302E-2</v>
      </c>
      <c r="AC11" s="58">
        <v>0.15220481421029686</v>
      </c>
      <c r="AD11" s="57">
        <v>53737.562243998953</v>
      </c>
      <c r="AE11" s="57">
        <v>54395.14122581586</v>
      </c>
      <c r="AF11" s="57">
        <v>62597.329047440755</v>
      </c>
      <c r="AG11" s="57">
        <v>73073.021584981412</v>
      </c>
      <c r="AH11" s="58">
        <v>8.0318534981598105E-2</v>
      </c>
      <c r="AI11" s="58">
        <v>0.15212986229611819</v>
      </c>
      <c r="AJ11" s="59">
        <v>0</v>
      </c>
      <c r="AK11" s="60">
        <v>0</v>
      </c>
      <c r="AL11" s="60">
        <v>0</v>
      </c>
      <c r="AM11" s="60">
        <v>0</v>
      </c>
      <c r="AN11" s="60">
        <v>0</v>
      </c>
      <c r="AO11" s="60">
        <v>0</v>
      </c>
    </row>
    <row r="12" spans="1:50" s="48" customFormat="1" ht="27.75" customHeight="1">
      <c r="A12" s="54">
        <v>7</v>
      </c>
      <c r="B12" s="63" t="s">
        <v>56</v>
      </c>
      <c r="C12" s="188"/>
      <c r="D12" s="188"/>
      <c r="E12" s="56"/>
      <c r="F12" s="84">
        <v>555.5</v>
      </c>
      <c r="G12" s="57">
        <v>564.42987793770931</v>
      </c>
      <c r="H12" s="84">
        <v>833.25</v>
      </c>
      <c r="I12" s="57">
        <v>981.27322926034014</v>
      </c>
      <c r="J12" s="58">
        <v>9.4071646322951559E-4</v>
      </c>
      <c r="K12" s="58">
        <v>2.4531830731508502E-3</v>
      </c>
      <c r="L12" s="57">
        <v>611.05000000000007</v>
      </c>
      <c r="M12" s="57">
        <v>620.3342794042959</v>
      </c>
      <c r="N12" s="57">
        <v>916.57500000000005</v>
      </c>
      <c r="O12" s="57">
        <v>1077.160745436423</v>
      </c>
      <c r="P12" s="58">
        <v>1.0043107210122707E-3</v>
      </c>
      <c r="Q12" s="58">
        <v>2.5755774038917888E-3</v>
      </c>
      <c r="R12" s="57">
        <v>672.15500000000009</v>
      </c>
      <c r="S12" s="57">
        <v>681.74160648272823</v>
      </c>
      <c r="T12" s="57">
        <v>1008.2325000000002</v>
      </c>
      <c r="U12" s="57">
        <v>1182.3267886207382</v>
      </c>
      <c r="V12" s="58">
        <v>1.0712781128622525E-3</v>
      </c>
      <c r="W12" s="58">
        <v>2.701702437999466E-3</v>
      </c>
      <c r="X12" s="57">
        <v>739.37050000000011</v>
      </c>
      <c r="Y12" s="57">
        <v>749.18775526873628</v>
      </c>
      <c r="Z12" s="57">
        <v>1109.0557500000002</v>
      </c>
      <c r="AA12" s="57">
        <v>1297.6575333110552</v>
      </c>
      <c r="AB12" s="58">
        <v>1.1416897092896498E-3</v>
      </c>
      <c r="AC12" s="58">
        <v>2.8314915076035267E-3</v>
      </c>
      <c r="AD12" s="57">
        <v>813.30755000000022</v>
      </c>
      <c r="AE12" s="57">
        <v>823.25987995878484</v>
      </c>
      <c r="AF12" s="57">
        <v>1219.9613250000004</v>
      </c>
      <c r="AG12" s="57">
        <v>1424.1224280832514</v>
      </c>
      <c r="AH12" s="58">
        <v>1.2156054010947952E-3</v>
      </c>
      <c r="AI12" s="58">
        <v>2.9648636963117802E-3</v>
      </c>
      <c r="AJ12" s="59">
        <v>0</v>
      </c>
      <c r="AK12" s="60">
        <v>0</v>
      </c>
      <c r="AL12" s="60">
        <v>0</v>
      </c>
      <c r="AM12" s="60">
        <v>0</v>
      </c>
      <c r="AN12" s="60">
        <v>0</v>
      </c>
      <c r="AO12" s="60">
        <v>0</v>
      </c>
    </row>
    <row r="13" spans="1:50" s="48" customFormat="1" ht="31.5" customHeight="1">
      <c r="A13" s="54">
        <v>8</v>
      </c>
      <c r="B13" s="63" t="s">
        <v>57</v>
      </c>
      <c r="C13" s="188"/>
      <c r="D13" s="189"/>
      <c r="E13" s="56"/>
      <c r="F13" s="57">
        <v>375060.18404409743</v>
      </c>
      <c r="G13" s="57">
        <v>381089.4219609446</v>
      </c>
      <c r="H13" s="57">
        <v>102289.14110293564</v>
      </c>
      <c r="I13" s="57">
        <v>120460.3610061137</v>
      </c>
      <c r="J13" s="58">
        <v>0.63514903660157429</v>
      </c>
      <c r="K13" s="58">
        <v>0.30115090251528426</v>
      </c>
      <c r="L13" s="57">
        <v>378810.78588453843</v>
      </c>
      <c r="M13" s="57">
        <v>384566.42810287233</v>
      </c>
      <c r="N13" s="57">
        <v>103312.03251396499</v>
      </c>
      <c r="O13" s="57">
        <v>121412.50411073235</v>
      </c>
      <c r="P13" s="58">
        <v>0.62260655183524372</v>
      </c>
      <c r="Q13" s="58">
        <v>0.29030699778316232</v>
      </c>
      <c r="R13" s="57">
        <v>382598.89374338381</v>
      </c>
      <c r="S13" s="57">
        <v>388055.70807199099</v>
      </c>
      <c r="T13" s="57">
        <v>104345.15283910464</v>
      </c>
      <c r="U13" s="57">
        <v>122362.71838529175</v>
      </c>
      <c r="V13" s="58">
        <v>0.60978467893952681</v>
      </c>
      <c r="W13" s="58">
        <v>0.27960768356389609</v>
      </c>
      <c r="X13" s="57">
        <v>386424.88268081768</v>
      </c>
      <c r="Y13" s="57">
        <v>391555.77675282757</v>
      </c>
      <c r="Z13" s="57">
        <v>105388.60436749569</v>
      </c>
      <c r="AA13" s="57">
        <v>123310.58775234618</v>
      </c>
      <c r="AB13" s="58">
        <v>0.5966931490641697</v>
      </c>
      <c r="AC13" s="58">
        <v>0.26906396568860663</v>
      </c>
      <c r="AD13" s="57">
        <v>390289.13150762586</v>
      </c>
      <c r="AE13" s="57">
        <v>395065.04464908305</v>
      </c>
      <c r="AF13" s="57">
        <v>106442.49041117064</v>
      </c>
      <c r="AG13" s="57">
        <v>124255.6913806956</v>
      </c>
      <c r="AH13" s="58">
        <v>0.58334338129440289</v>
      </c>
      <c r="AI13" s="58">
        <v>0.25868645923270928</v>
      </c>
      <c r="AJ13" s="59">
        <v>0</v>
      </c>
      <c r="AK13" s="60">
        <v>0</v>
      </c>
      <c r="AL13" s="60">
        <v>0</v>
      </c>
      <c r="AM13" s="60">
        <v>0</v>
      </c>
      <c r="AN13" s="60">
        <v>0</v>
      </c>
      <c r="AO13" s="60">
        <v>0</v>
      </c>
    </row>
    <row r="14" spans="1:50" s="68" customFormat="1" ht="20.25">
      <c r="A14" s="156" t="s">
        <v>60</v>
      </c>
      <c r="B14" s="157"/>
      <c r="C14" s="64" t="s">
        <v>27</v>
      </c>
      <c r="D14" s="64">
        <v>3</v>
      </c>
      <c r="E14" s="64">
        <f>COUNTA(E6:E13)</f>
        <v>2</v>
      </c>
      <c r="F14" s="65">
        <v>590507.36509165284</v>
      </c>
      <c r="G14" s="65">
        <v>600000</v>
      </c>
      <c r="H14" s="65">
        <v>339660.748975322</v>
      </c>
      <c r="I14" s="65">
        <v>400000</v>
      </c>
      <c r="J14" s="66">
        <v>0.99999999999999989</v>
      </c>
      <c r="K14" s="66">
        <v>1</v>
      </c>
      <c r="L14" s="65">
        <v>608427.2399124715</v>
      </c>
      <c r="M14" s="65">
        <v>617671.66916135768</v>
      </c>
      <c r="N14" s="65">
        <v>355871.6575999707</v>
      </c>
      <c r="O14" s="65">
        <v>418221.07299465936</v>
      </c>
      <c r="P14" s="66">
        <v>1.0000000000000002</v>
      </c>
      <c r="Q14" s="66">
        <v>0.99999999999999978</v>
      </c>
      <c r="R14" s="65">
        <v>627432.77579351363</v>
      </c>
      <c r="S14" s="65">
        <v>636381.5318332637</v>
      </c>
      <c r="T14" s="65">
        <v>373184.13968141057</v>
      </c>
      <c r="U14" s="65">
        <v>437622.87511433626</v>
      </c>
      <c r="V14" s="66">
        <v>1</v>
      </c>
      <c r="W14" s="66">
        <v>1.0000000000000002</v>
      </c>
      <c r="X14" s="65">
        <v>647610.72468633403</v>
      </c>
      <c r="Y14" s="65">
        <v>656209.60684219084</v>
      </c>
      <c r="Z14" s="65">
        <v>391686.05910411698</v>
      </c>
      <c r="AA14" s="65">
        <v>458294.69374229066</v>
      </c>
      <c r="AB14" s="66">
        <v>1</v>
      </c>
      <c r="AC14" s="66">
        <v>1</v>
      </c>
      <c r="AD14" s="65">
        <v>669055.55805158603</v>
      </c>
      <c r="AE14" s="65">
        <v>677242.69669856911</v>
      </c>
      <c r="AF14" s="65">
        <v>411472.98829204298</v>
      </c>
      <c r="AG14" s="65">
        <v>480333.18693700008</v>
      </c>
      <c r="AH14" s="66">
        <v>0.99999999999999989</v>
      </c>
      <c r="AI14" s="66">
        <v>1</v>
      </c>
      <c r="AJ14" s="67">
        <f t="shared" ref="AJ14:AO14" si="0">SUM(AJ6:AJ13)</f>
        <v>6</v>
      </c>
      <c r="AK14" s="67">
        <f t="shared" si="0"/>
        <v>0</v>
      </c>
      <c r="AL14" s="67">
        <f t="shared" si="0"/>
        <v>0</v>
      </c>
      <c r="AM14" s="67">
        <f t="shared" si="0"/>
        <v>0</v>
      </c>
      <c r="AN14" s="67">
        <f t="shared" si="0"/>
        <v>0</v>
      </c>
      <c r="AO14" s="67">
        <f t="shared" si="0"/>
        <v>0</v>
      </c>
    </row>
    <row r="15" spans="1:50" s="48" customFormat="1">
      <c r="A15" s="47"/>
      <c r="E15" s="47"/>
      <c r="F15" s="49"/>
      <c r="G15" s="6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</row>
  </sheetData>
  <mergeCells count="16">
    <mergeCell ref="A14:B14"/>
    <mergeCell ref="A2:AO3"/>
    <mergeCell ref="A4:A5"/>
    <mergeCell ref="B4:B5"/>
    <mergeCell ref="C4:C5"/>
    <mergeCell ref="D4:D5"/>
    <mergeCell ref="E4:E5"/>
    <mergeCell ref="F4:K4"/>
    <mergeCell ref="L4:Q4"/>
    <mergeCell ref="R4:W4"/>
    <mergeCell ref="X4:AC4"/>
    <mergeCell ref="AD4:AI4"/>
    <mergeCell ref="AK4:AO4"/>
    <mergeCell ref="C6:C9"/>
    <mergeCell ref="D6:D13"/>
    <mergeCell ref="C10: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9</vt:i4>
      </vt:variant>
    </vt:vector>
  </HeadingPairs>
  <TitlesOfParts>
    <vt:vector size="28" baseType="lpstr">
      <vt:lpstr>TRAMO1 R_SOMBRERILLOS 2019-2023</vt:lpstr>
      <vt:lpstr>TRAMO 2 RIO_GUARAPAS 2019--2023</vt:lpstr>
      <vt:lpstr>TRAMO3 Q_LA_CHORRERA 2019-2023</vt:lpstr>
      <vt:lpstr>TRAMO 4 R_MAGDALENA-2019-2023</vt:lpstr>
      <vt:lpstr>TRAMO_5 R_TIMANA-2019-2023</vt:lpstr>
      <vt:lpstr>TRAMO 6_EL-HIGADO-2019-2023</vt:lpstr>
      <vt:lpstr>TRAMO 7-R_SUAZA-2019-2023.</vt:lpstr>
      <vt:lpstr>TRAMO 8-Q.GARZÓN-2019-2023</vt:lpstr>
      <vt:lpstr>TRAMO 9 LA YAGUILGA-2019-2023 </vt:lpstr>
      <vt:lpstr>TRAMO10 LA-GUANDINOSA-2019-2023</vt:lpstr>
      <vt:lpstr>TRAMO 11-R_PAEZ-2019-2023</vt:lpstr>
      <vt:lpstr>TRAMO12-EMBAL BETANIA2019-2023</vt:lpstr>
      <vt:lpstr>TRAMO13-R_NEIVA-2019-2023</vt:lpstr>
      <vt:lpstr>TRAMO14R_FRIO_CAMPOAL-2019-2023</vt:lpstr>
      <vt:lpstr>TRAMO 15-RIO FRIO-2019-2023</vt:lpstr>
      <vt:lpstr>TRAMO 16-R MAGDALENA-2019-2023</vt:lpstr>
      <vt:lpstr>TRAMO 17-RIO BACHE-2019-2023</vt:lpstr>
      <vt:lpstr>TRAMO18-R_VILLAVIEJA-2019-2023</vt:lpstr>
      <vt:lpstr>TRAMO 19-AMBICÁ-2019-2023</vt:lpstr>
      <vt:lpstr>'TRAMO 11-R_PAEZ-2019-2023'!Área_de_impresión</vt:lpstr>
      <vt:lpstr>'TRAMO 15-RIO FRIO-2019-2023'!Área_de_impresión</vt:lpstr>
      <vt:lpstr>'TRAMO 16-R MAGDALENA-2019-2023'!Área_de_impresión</vt:lpstr>
      <vt:lpstr>'TRAMO 17-RIO BACHE-2019-2023'!Área_de_impresión</vt:lpstr>
      <vt:lpstr>'TRAMO 6_EL-HIGADO-2019-2023'!Área_de_impresión</vt:lpstr>
      <vt:lpstr>'TRAMO12-EMBAL BETANIA2019-2023'!Área_de_impresión</vt:lpstr>
      <vt:lpstr>'TRAMO13-R_NEIVA-2019-2023'!Área_de_impresión</vt:lpstr>
      <vt:lpstr>'TRAMO14R_FRIO_CAMPOAL-2019-2023'!Área_de_impresión</vt:lpstr>
      <vt:lpstr>'TRAMO18-R_VILLAVIEJA-2019-2023'!Área_de_impresión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ZULMA VIVIANA PLAZA ROCHA</cp:lastModifiedBy>
  <dcterms:created xsi:type="dcterms:W3CDTF">2018-10-29T14:26:51Z</dcterms:created>
  <dcterms:modified xsi:type="dcterms:W3CDTF">2018-10-30T17:49:23Z</dcterms:modified>
</cp:coreProperties>
</file>