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DUSSAN\INFORME DE GESTIÓN 2019\AJUSTES\"/>
    </mc:Choice>
  </mc:AlternateContent>
  <bookViews>
    <workbookView xWindow="0" yWindow="0" windowWidth="24000" windowHeight="8100" firstSheet="1" activeTab="3"/>
  </bookViews>
  <sheets>
    <sheet name="MATRIZ GENERAL CONSOLIDADA" sheetId="19" state="hidden" r:id="rId1"/>
    <sheet name="Anexo 1 Matriz SINA Inf Gestión" sheetId="9" r:id="rId2"/>
    <sheet name="Anexo 2 Matriz Inf. Ejecución" sheetId="23" r:id="rId3"/>
    <sheet name="CUATRENIO" sheetId="29" r:id="rId4"/>
    <sheet name="INGRESOS " sheetId="30" r:id="rId5"/>
    <sheet name="GASTOS " sheetId="31" r:id="rId6"/>
    <sheet name="ANEXO 5.1 ING" sheetId="27" state="hidden" r:id="rId7"/>
    <sheet name="Anexo 3 Matriz Ind Min Jun" sheetId="18" state="hidden" r:id="rId8"/>
    <sheet name="Anexo 5-2 Gastos" sheetId="22" state="hidden" r:id="rId9"/>
    <sheet name="Anexo 2 Protocolo Inf Gestión" sheetId="11" state="hidden" r:id="rId10"/>
    <sheet name="Anexo 4 ProtocoloMatrizINdica" sheetId="10" state="hidden" r:id="rId11"/>
    <sheet name="Hoja1" sheetId="17" state="hidden" r:id="rId12"/>
    <sheet name="Hoja2" sheetId="24"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1">'Anexo 1 Matriz SINA Inf Gestión'!$B$1:$S$119</definedName>
    <definedName name="_xlnm.Print_Area" localSheetId="2">'Anexo 2 Matriz Inf. Ejecución'!$A$1:$Q$164</definedName>
    <definedName name="_xlnm.Print_Area" localSheetId="9">'Anexo 2 Protocolo Inf Gestión'!$A$1:$B$23</definedName>
    <definedName name="_xlnm.Print_Area" localSheetId="10">'Anexo 4 ProtocoloMatrizINdica'!$A$1:$B$15</definedName>
    <definedName name="_xlnm.Print_Area" localSheetId="8">'Anexo 5-2 Gastos'!$A$1:$G$55</definedName>
    <definedName name="_xlnm.Print_Titles" localSheetId="1">'Anexo 1 Matriz SINA Inf Gestión'!$3:$4</definedName>
    <definedName name="_xlnm.Print_Titles" localSheetId="2">'Anexo 2 Matriz Inf. Ejecución'!$7:$8</definedName>
    <definedName name="_xlnm.Print_Titles" localSheetId="7">'Anexo 3 Matriz Ind Min Jun'!$7:$7</definedName>
    <definedName name="_xlnm.Print_Titles" localSheetId="8">'Anexo 5-2 Gastos'!$7:$8</definedName>
    <definedName name="_xlnm.Print_Titles" localSheetId="0">'MATRIZ GENERAL CONSOLIDADA'!$3:$4</definedName>
  </definedNames>
  <calcPr calcId="152511"/>
</workbook>
</file>

<file path=xl/calcChain.xml><?xml version="1.0" encoding="utf-8"?>
<calcChain xmlns="http://schemas.openxmlformats.org/spreadsheetml/2006/main">
  <c r="I176" i="29" l="1"/>
  <c r="I177" i="29"/>
  <c r="H26" i="31" l="1"/>
  <c r="H56" i="31"/>
  <c r="H77" i="31"/>
  <c r="H53" i="31"/>
  <c r="J76" i="31"/>
  <c r="I76" i="31"/>
  <c r="H76" i="31"/>
  <c r="J75" i="31"/>
  <c r="I75" i="31"/>
  <c r="H75" i="31"/>
  <c r="J74" i="31"/>
  <c r="I74" i="31"/>
  <c r="H74" i="31"/>
  <c r="D74" i="31"/>
  <c r="C74" i="31"/>
  <c r="I73" i="31"/>
  <c r="H73" i="31"/>
  <c r="D73" i="31"/>
  <c r="J73" i="31" s="1"/>
  <c r="C73" i="31"/>
  <c r="C72" i="31"/>
  <c r="I72" i="31" s="1"/>
  <c r="B72" i="31"/>
  <c r="B26" i="31" s="1"/>
  <c r="B77" i="31" s="1"/>
  <c r="J71" i="31"/>
  <c r="I71" i="31"/>
  <c r="D71" i="31"/>
  <c r="H70" i="31"/>
  <c r="D70" i="31"/>
  <c r="J70" i="31" s="1"/>
  <c r="C70" i="31"/>
  <c r="C68" i="31" s="1"/>
  <c r="I68" i="31" s="1"/>
  <c r="J69" i="31"/>
  <c r="I69" i="31"/>
  <c r="H69" i="31"/>
  <c r="D69" i="31"/>
  <c r="C69" i="31"/>
  <c r="H68" i="31"/>
  <c r="B68" i="31"/>
  <c r="H67" i="31"/>
  <c r="D67" i="31"/>
  <c r="J67" i="31" s="1"/>
  <c r="C67" i="31"/>
  <c r="I67" i="31" s="1"/>
  <c r="B66" i="31"/>
  <c r="H66" i="31" s="1"/>
  <c r="J65" i="31"/>
  <c r="I65" i="31"/>
  <c r="H65" i="31"/>
  <c r="J64" i="31"/>
  <c r="I64" i="31"/>
  <c r="H64" i="31"/>
  <c r="G64" i="31"/>
  <c r="I63" i="31"/>
  <c r="H63" i="31"/>
  <c r="D63" i="31"/>
  <c r="J63" i="31" s="1"/>
  <c r="C63" i="31"/>
  <c r="B63" i="31"/>
  <c r="H62" i="31"/>
  <c r="D62" i="31"/>
  <c r="J62" i="31" s="1"/>
  <c r="C62" i="31"/>
  <c r="I62" i="31" s="1"/>
  <c r="I60" i="31" s="1"/>
  <c r="J61" i="31"/>
  <c r="I61" i="31"/>
  <c r="H61" i="31"/>
  <c r="D61" i="31"/>
  <c r="C61" i="31"/>
  <c r="H60" i="31"/>
  <c r="G60" i="31"/>
  <c r="F60" i="31"/>
  <c r="E60" i="31"/>
  <c r="B60" i="31"/>
  <c r="H59" i="31"/>
  <c r="I59" i="31" s="1"/>
  <c r="D59" i="31"/>
  <c r="C59" i="31"/>
  <c r="H58" i="31"/>
  <c r="D58" i="31"/>
  <c r="J58" i="31" s="1"/>
  <c r="C58" i="31"/>
  <c r="I58" i="31" s="1"/>
  <c r="J57" i="31"/>
  <c r="I57" i="31"/>
  <c r="H57" i="31"/>
  <c r="D57" i="31"/>
  <c r="C57" i="31"/>
  <c r="D56" i="31"/>
  <c r="J56" i="31" s="1"/>
  <c r="B56" i="31"/>
  <c r="H54" i="31"/>
  <c r="D54" i="31"/>
  <c r="J54" i="31" s="1"/>
  <c r="C54" i="31"/>
  <c r="I54" i="31" s="1"/>
  <c r="J53" i="31"/>
  <c r="I53" i="31"/>
  <c r="D53" i="31"/>
  <c r="C53" i="31"/>
  <c r="H52" i="31"/>
  <c r="D52" i="31"/>
  <c r="D51" i="31" s="1"/>
  <c r="C52" i="31"/>
  <c r="I52" i="31" s="1"/>
  <c r="G51" i="31"/>
  <c r="F51" i="31"/>
  <c r="E51" i="31"/>
  <c r="B51" i="31"/>
  <c r="H51" i="31" s="1"/>
  <c r="I47" i="31"/>
  <c r="H47" i="31"/>
  <c r="D47" i="31"/>
  <c r="J47" i="31" s="1"/>
  <c r="J46" i="31"/>
  <c r="I46" i="31"/>
  <c r="H46" i="31"/>
  <c r="D46" i="31"/>
  <c r="D45" i="31" s="1"/>
  <c r="J45" i="31" s="1"/>
  <c r="C45" i="31"/>
  <c r="I45" i="31" s="1"/>
  <c r="B45" i="31"/>
  <c r="H45" i="31" s="1"/>
  <c r="J44" i="31"/>
  <c r="I44" i="31"/>
  <c r="H44" i="31"/>
  <c r="D44" i="31"/>
  <c r="C44" i="31"/>
  <c r="I43" i="31"/>
  <c r="H43" i="31"/>
  <c r="D43" i="31"/>
  <c r="J43" i="31" s="1"/>
  <c r="C43" i="31"/>
  <c r="B43" i="31"/>
  <c r="I42" i="31"/>
  <c r="H42" i="31"/>
  <c r="D42" i="31"/>
  <c r="J42" i="31" s="1"/>
  <c r="J41" i="31"/>
  <c r="I41" i="31"/>
  <c r="H41" i="31"/>
  <c r="D41" i="31"/>
  <c r="D40" i="31"/>
  <c r="J40" i="31" s="1"/>
  <c r="C40" i="31"/>
  <c r="I40" i="31" s="1"/>
  <c r="B40" i="31"/>
  <c r="H40" i="31" s="1"/>
  <c r="J39" i="31"/>
  <c r="I39" i="31"/>
  <c r="H39" i="31"/>
  <c r="I38" i="31"/>
  <c r="H38" i="31"/>
  <c r="D38" i="31"/>
  <c r="D36" i="31" s="1"/>
  <c r="J36" i="31" s="1"/>
  <c r="J37" i="31"/>
  <c r="I37" i="31"/>
  <c r="H37" i="31"/>
  <c r="D37" i="31"/>
  <c r="H36" i="31"/>
  <c r="G36" i="31"/>
  <c r="G26" i="31" s="1"/>
  <c r="G77" i="31" s="1"/>
  <c r="F36" i="31"/>
  <c r="I36" i="31" s="1"/>
  <c r="E36" i="31"/>
  <c r="C36" i="31"/>
  <c r="B36" i="31"/>
  <c r="J35" i="31"/>
  <c r="I35" i="31"/>
  <c r="H35" i="31"/>
  <c r="J34" i="31"/>
  <c r="I34" i="31"/>
  <c r="H34" i="31"/>
  <c r="D34" i="31"/>
  <c r="C34" i="31"/>
  <c r="I33" i="31"/>
  <c r="H33" i="31"/>
  <c r="D33" i="31"/>
  <c r="J33" i="31" s="1"/>
  <c r="C33" i="31"/>
  <c r="C32" i="31"/>
  <c r="I32" i="31" s="1"/>
  <c r="B32" i="31"/>
  <c r="H32" i="31" s="1"/>
  <c r="J31" i="31"/>
  <c r="I31" i="31"/>
  <c r="H31" i="31"/>
  <c r="D31" i="31"/>
  <c r="I30" i="31"/>
  <c r="H30" i="31"/>
  <c r="D30" i="31"/>
  <c r="J30" i="31" s="1"/>
  <c r="J29" i="31"/>
  <c r="I29" i="31"/>
  <c r="H29" i="31"/>
  <c r="D29" i="31"/>
  <c r="H28" i="31"/>
  <c r="D28" i="31"/>
  <c r="J28" i="31" s="1"/>
  <c r="C28" i="31"/>
  <c r="I28" i="31" s="1"/>
  <c r="B28" i="31"/>
  <c r="F26" i="31"/>
  <c r="F77" i="31" s="1"/>
  <c r="E26" i="31"/>
  <c r="E77" i="31" s="1"/>
  <c r="J23" i="31"/>
  <c r="I23" i="31"/>
  <c r="H23" i="31"/>
  <c r="J22" i="31"/>
  <c r="I22" i="31"/>
  <c r="H22" i="31"/>
  <c r="D22" i="31"/>
  <c r="C22" i="31"/>
  <c r="B22" i="31"/>
  <c r="I21" i="31"/>
  <c r="H21" i="31"/>
  <c r="H20" i="31" s="1"/>
  <c r="G21" i="31"/>
  <c r="G20" i="31" s="1"/>
  <c r="J20" i="31" s="1"/>
  <c r="F21" i="31"/>
  <c r="F20" i="31" s="1"/>
  <c r="I20" i="31" s="1"/>
  <c r="E21" i="31"/>
  <c r="D21" i="31"/>
  <c r="C21" i="31"/>
  <c r="B21" i="31"/>
  <c r="E20" i="31"/>
  <c r="D20" i="31"/>
  <c r="C20" i="31"/>
  <c r="B20" i="31"/>
  <c r="J19" i="31"/>
  <c r="I19" i="31"/>
  <c r="H19" i="31"/>
  <c r="J18" i="31"/>
  <c r="I18" i="31"/>
  <c r="H18" i="31"/>
  <c r="I17" i="31"/>
  <c r="H17" i="31"/>
  <c r="G17" i="31"/>
  <c r="J17" i="31" s="1"/>
  <c r="F17" i="31"/>
  <c r="E17" i="31"/>
  <c r="D17" i="31"/>
  <c r="C17" i="31"/>
  <c r="B17" i="31"/>
  <c r="J16" i="31"/>
  <c r="I16" i="31"/>
  <c r="H16" i="31"/>
  <c r="D16" i="31"/>
  <c r="C16" i="31"/>
  <c r="B16" i="31"/>
  <c r="H15" i="31"/>
  <c r="D15" i="31"/>
  <c r="J15" i="31" s="1"/>
  <c r="C15" i="31"/>
  <c r="I15" i="31" s="1"/>
  <c r="B15" i="31"/>
  <c r="B13" i="31" s="1"/>
  <c r="B12" i="31" s="1"/>
  <c r="F14" i="31"/>
  <c r="G14" i="31" s="1"/>
  <c r="G13" i="31" s="1"/>
  <c r="G12" i="31" s="1"/>
  <c r="E14" i="31"/>
  <c r="E13" i="31" s="1"/>
  <c r="E12" i="31" s="1"/>
  <c r="D14" i="31"/>
  <c r="D13" i="31" s="1"/>
  <c r="C14" i="31"/>
  <c r="C13" i="31" s="1"/>
  <c r="B14" i="31"/>
  <c r="H14" i="31" s="1"/>
  <c r="H13" i="31" s="1"/>
  <c r="F13" i="31"/>
  <c r="F12" i="31" s="1"/>
  <c r="F24" i="31" s="1"/>
  <c r="I11" i="31"/>
  <c r="H11" i="31"/>
  <c r="G11" i="31"/>
  <c r="F11" i="31"/>
  <c r="E11" i="31"/>
  <c r="D11" i="31"/>
  <c r="J11" i="31" s="1"/>
  <c r="C11" i="31"/>
  <c r="B11" i="31"/>
  <c r="J10" i="31"/>
  <c r="I10" i="31"/>
  <c r="G10" i="31"/>
  <c r="F10" i="31"/>
  <c r="E10" i="31"/>
  <c r="D10" i="31"/>
  <c r="C10" i="31"/>
  <c r="B10" i="31"/>
  <c r="B8" i="31" s="1"/>
  <c r="J9" i="31"/>
  <c r="I9" i="31"/>
  <c r="H9" i="31"/>
  <c r="D9" i="31"/>
  <c r="C9" i="31"/>
  <c r="C8" i="31" s="1"/>
  <c r="I8" i="31" s="1"/>
  <c r="B9" i="31"/>
  <c r="G8" i="31"/>
  <c r="F8" i="31"/>
  <c r="E8" i="31"/>
  <c r="D8" i="31"/>
  <c r="J8" i="31" s="1"/>
  <c r="J7" i="31"/>
  <c r="I7" i="31"/>
  <c r="G7" i="31"/>
  <c r="F7" i="31"/>
  <c r="E7" i="31"/>
  <c r="E24" i="31" s="1"/>
  <c r="D7" i="31"/>
  <c r="C7" i="31"/>
  <c r="B7" i="31"/>
  <c r="A3" i="31"/>
  <c r="D52" i="30"/>
  <c r="C52" i="30"/>
  <c r="D50" i="30"/>
  <c r="C50" i="30"/>
  <c r="D49" i="30"/>
  <c r="C49" i="30"/>
  <c r="D45" i="30"/>
  <c r="C45" i="30"/>
  <c r="D44" i="30"/>
  <c r="C44" i="30"/>
  <c r="C43" i="30"/>
  <c r="D43" i="30" s="1"/>
  <c r="D41" i="30" s="1"/>
  <c r="C41" i="30"/>
  <c r="D40" i="30"/>
  <c r="D33" i="30" s="1"/>
  <c r="C40" i="30"/>
  <c r="C33" i="30" s="1"/>
  <c r="D32" i="30"/>
  <c r="C32" i="30"/>
  <c r="D31" i="30"/>
  <c r="C31" i="30"/>
  <c r="C25" i="30" s="1"/>
  <c r="D29" i="30"/>
  <c r="D25" i="30" s="1"/>
  <c r="C29" i="30"/>
  <c r="D28" i="30"/>
  <c r="C28" i="30"/>
  <c r="D26" i="30"/>
  <c r="C26" i="30"/>
  <c r="D23" i="30"/>
  <c r="D20" i="30" s="1"/>
  <c r="C23" i="30"/>
  <c r="C20" i="30" s="1"/>
  <c r="D21" i="30"/>
  <c r="C21" i="30"/>
  <c r="D15" i="30"/>
  <c r="D13" i="30" s="1"/>
  <c r="D12" i="30" s="1"/>
  <c r="D7" i="30" s="1"/>
  <c r="D6" i="30" s="1"/>
  <c r="D54" i="30" s="1"/>
  <c r="C15" i="30"/>
  <c r="C13" i="30" s="1"/>
  <c r="C12" i="30" s="1"/>
  <c r="D10" i="30"/>
  <c r="C10" i="30"/>
  <c r="D8" i="30"/>
  <c r="C8" i="30"/>
  <c r="H12" i="31" l="1"/>
  <c r="C12" i="31"/>
  <c r="I12" i="31" s="1"/>
  <c r="I13" i="31"/>
  <c r="D12" i="31"/>
  <c r="J12" i="31" s="1"/>
  <c r="J13" i="31"/>
  <c r="D24" i="31"/>
  <c r="J24" i="31" s="1"/>
  <c r="J51" i="31"/>
  <c r="G24" i="31"/>
  <c r="J60" i="31"/>
  <c r="B24" i="31"/>
  <c r="H7" i="31"/>
  <c r="H10" i="31"/>
  <c r="H8" i="31" s="1"/>
  <c r="C51" i="31"/>
  <c r="C56" i="31"/>
  <c r="I56" i="31" s="1"/>
  <c r="D68" i="31"/>
  <c r="J68" i="31" s="1"/>
  <c r="J21" i="31"/>
  <c r="D32" i="31"/>
  <c r="J32" i="31" s="1"/>
  <c r="D72" i="31"/>
  <c r="J72" i="31" s="1"/>
  <c r="J38" i="31"/>
  <c r="J52" i="31"/>
  <c r="C60" i="31"/>
  <c r="C66" i="31"/>
  <c r="I66" i="31" s="1"/>
  <c r="I70" i="31"/>
  <c r="H72" i="31"/>
  <c r="I14" i="31"/>
  <c r="D60" i="31"/>
  <c r="D26" i="31" s="1"/>
  <c r="D77" i="31" s="1"/>
  <c r="D66" i="31"/>
  <c r="J66" i="31" s="1"/>
  <c r="J14" i="31"/>
  <c r="C7" i="30"/>
  <c r="C6" i="30" s="1"/>
  <c r="C54" i="30" s="1"/>
  <c r="I173" i="29"/>
  <c r="Q5" i="9"/>
  <c r="I24" i="29"/>
  <c r="H24" i="31" l="1"/>
  <c r="C26" i="31"/>
  <c r="C77" i="31" s="1"/>
  <c r="I51" i="31"/>
  <c r="I26" i="31" s="1"/>
  <c r="I77" i="31" s="1"/>
  <c r="J26" i="31"/>
  <c r="J77" i="31" s="1"/>
  <c r="C24" i="31"/>
  <c r="I24" i="31" s="1"/>
  <c r="Q117" i="9"/>
  <c r="Q116" i="9"/>
  <c r="Q115" i="9"/>
  <c r="Q114" i="9"/>
  <c r="Q113" i="9"/>
  <c r="Q112" i="9"/>
  <c r="Q111" i="9" s="1"/>
  <c r="Q110" i="9"/>
  <c r="Q109" i="9"/>
  <c r="Q108" i="9"/>
  <c r="Q107" i="9"/>
  <c r="Q106" i="9"/>
  <c r="Q105" i="9"/>
  <c r="Q104" i="9"/>
  <c r="Q101" i="9" s="1"/>
  <c r="Q103" i="9"/>
  <c r="Q102" i="9"/>
  <c r="Q99" i="9"/>
  <c r="Q98" i="9"/>
  <c r="Q97" i="9"/>
  <c r="Q96" i="9"/>
  <c r="Q95" i="9" s="1"/>
  <c r="Q94" i="9"/>
  <c r="Q93" i="9"/>
  <c r="Q92" i="9"/>
  <c r="Q91" i="9"/>
  <c r="Q90" i="9"/>
  <c r="Q89" i="9"/>
  <c r="Q88" i="9"/>
  <c r="Q86" i="9"/>
  <c r="Q85" i="9"/>
  <c r="Q84" i="9"/>
  <c r="Q83" i="9"/>
  <c r="Q82" i="9"/>
  <c r="Q81" i="9"/>
  <c r="Q80" i="9"/>
  <c r="Q79" i="9"/>
  <c r="Q78" i="9"/>
  <c r="Q77" i="9"/>
  <c r="Q76" i="9"/>
  <c r="Q75" i="9"/>
  <c r="Q74" i="9"/>
  <c r="Q73" i="9"/>
  <c r="Q72" i="9"/>
  <c r="Q70" i="9" s="1"/>
  <c r="Q69" i="9" s="1"/>
  <c r="Q71" i="9"/>
  <c r="Q68" i="9"/>
  <c r="Q67" i="9"/>
  <c r="Q66" i="9"/>
  <c r="Q65" i="9"/>
  <c r="Q64" i="9"/>
  <c r="Q63" i="9"/>
  <c r="Q62" i="9"/>
  <c r="Q61" i="9"/>
  <c r="Q60" i="9"/>
  <c r="Q59" i="9"/>
  <c r="Q58" i="9"/>
  <c r="Q57" i="9"/>
  <c r="Q56" i="9"/>
  <c r="Q55" i="9" s="1"/>
  <c r="Q54" i="9"/>
  <c r="Q53" i="9"/>
  <c r="Q52" i="9"/>
  <c r="Q51" i="9"/>
  <c r="Q50" i="9"/>
  <c r="Q49" i="9"/>
  <c r="Q48" i="9"/>
  <c r="Q46" i="9" s="1"/>
  <c r="Q47" i="9"/>
  <c r="Q45" i="9"/>
  <c r="Q44" i="9"/>
  <c r="Q43" i="9"/>
  <c r="Q42" i="9"/>
  <c r="Q41" i="9"/>
  <c r="Q40" i="9"/>
  <c r="Q34" i="9" s="1"/>
  <c r="Q39" i="9"/>
  <c r="Q38" i="9"/>
  <c r="Q37" i="9"/>
  <c r="Q36" i="9"/>
  <c r="Q35" i="9"/>
  <c r="Q32" i="9"/>
  <c r="Q30" i="9" s="1"/>
  <c r="Q31" i="9"/>
  <c r="Q29" i="9"/>
  <c r="Q28" i="9"/>
  <c r="Q27" i="9"/>
  <c r="Q26" i="9"/>
  <c r="Q25" i="9"/>
  <c r="Q24" i="9"/>
  <c r="Q19" i="9" s="1"/>
  <c r="Q23" i="9"/>
  <c r="Q22" i="9"/>
  <c r="Q21" i="9"/>
  <c r="Q20" i="9"/>
  <c r="Q18" i="9"/>
  <c r="Q17" i="9"/>
  <c r="Q16" i="9"/>
  <c r="Q15" i="9"/>
  <c r="Q14" i="9"/>
  <c r="Q13" i="9"/>
  <c r="Q12" i="9"/>
  <c r="Q11" i="9"/>
  <c r="Q10" i="9"/>
  <c r="Q9" i="9"/>
  <c r="Q8" i="9"/>
  <c r="Q7" i="9"/>
  <c r="Q6" i="9" s="1"/>
  <c r="Q100" i="9" l="1"/>
  <c r="Q87" i="9"/>
  <c r="Q33" i="9"/>
  <c r="Q118" i="9"/>
  <c r="P117" i="9" l="1"/>
  <c r="P116" i="9"/>
  <c r="P115" i="9"/>
  <c r="P114" i="9"/>
  <c r="P113" i="9"/>
  <c r="P112" i="9"/>
  <c r="P110" i="9"/>
  <c r="P109" i="9"/>
  <c r="P108" i="9"/>
  <c r="P107" i="9"/>
  <c r="P106" i="9"/>
  <c r="P105" i="9"/>
  <c r="H152" i="29" s="1"/>
  <c r="P104" i="9"/>
  <c r="P103" i="9"/>
  <c r="P102" i="9"/>
  <c r="P99" i="9"/>
  <c r="P98" i="9"/>
  <c r="P97" i="9"/>
  <c r="P96" i="9"/>
  <c r="P94" i="9"/>
  <c r="P93" i="9"/>
  <c r="P92" i="9"/>
  <c r="P91" i="9"/>
  <c r="P90" i="9"/>
  <c r="P89" i="9"/>
  <c r="P86" i="9"/>
  <c r="P85" i="9"/>
  <c r="P84" i="9"/>
  <c r="P83" i="9"/>
  <c r="P82" i="9"/>
  <c r="P81" i="9"/>
  <c r="P80" i="9"/>
  <c r="P79" i="9"/>
  <c r="P78" i="9"/>
  <c r="P77" i="9"/>
  <c r="P76" i="9"/>
  <c r="H110" i="29" s="1"/>
  <c r="P75" i="9"/>
  <c r="H109" i="29" s="1"/>
  <c r="P74" i="9"/>
  <c r="P73" i="9"/>
  <c r="H107" i="29" s="1"/>
  <c r="P72" i="9"/>
  <c r="P71" i="9"/>
  <c r="P68" i="9"/>
  <c r="P67" i="9"/>
  <c r="P66" i="9"/>
  <c r="P65" i="9"/>
  <c r="H95" i="29" s="1"/>
  <c r="P63" i="9"/>
  <c r="P62" i="9"/>
  <c r="P61" i="9"/>
  <c r="P60" i="9"/>
  <c r="P59" i="9"/>
  <c r="P58" i="9"/>
  <c r="H83" i="29" s="1"/>
  <c r="P57" i="9"/>
  <c r="P54" i="9"/>
  <c r="P53" i="9"/>
  <c r="P52" i="9"/>
  <c r="H73" i="29" s="1"/>
  <c r="P51" i="9"/>
  <c r="P50" i="9"/>
  <c r="H71" i="29" s="1"/>
  <c r="P49" i="9"/>
  <c r="P48" i="9"/>
  <c r="P47" i="9"/>
  <c r="P45" i="9"/>
  <c r="P44" i="9"/>
  <c r="P43" i="9"/>
  <c r="H59" i="29" s="1"/>
  <c r="P42" i="9"/>
  <c r="P41" i="9"/>
  <c r="H57" i="29" s="1"/>
  <c r="P40" i="9"/>
  <c r="P39" i="9"/>
  <c r="P38" i="9"/>
  <c r="P37" i="9"/>
  <c r="P36" i="9"/>
  <c r="P35" i="9"/>
  <c r="P32" i="9"/>
  <c r="R32" i="9" s="1"/>
  <c r="P31" i="9"/>
  <c r="R31" i="9" s="1"/>
  <c r="P29" i="9"/>
  <c r="H36" i="29" s="1"/>
  <c r="P28" i="9"/>
  <c r="P27" i="9"/>
  <c r="P26" i="9"/>
  <c r="P24" i="9"/>
  <c r="P23" i="9"/>
  <c r="P22" i="9"/>
  <c r="H29" i="29" s="1"/>
  <c r="P21" i="9"/>
  <c r="P20" i="9"/>
  <c r="P18" i="9"/>
  <c r="H20" i="29" s="1"/>
  <c r="P17" i="9"/>
  <c r="P16" i="9"/>
  <c r="P15" i="9"/>
  <c r="P14" i="9"/>
  <c r="H16" i="29" s="1"/>
  <c r="P13" i="9"/>
  <c r="H15" i="29" s="1"/>
  <c r="P12" i="9"/>
  <c r="P11" i="9"/>
  <c r="H13" i="29" s="1"/>
  <c r="P10" i="9"/>
  <c r="H12" i="29" s="1"/>
  <c r="P9" i="9"/>
  <c r="H11" i="29" s="1"/>
  <c r="P8" i="9"/>
  <c r="H10" i="29" s="1"/>
  <c r="P7" i="9"/>
  <c r="H58" i="29" l="1"/>
  <c r="R42" i="9"/>
  <c r="H72" i="29"/>
  <c r="R51" i="9"/>
  <c r="H86" i="29"/>
  <c r="R61" i="9"/>
  <c r="H106" i="29"/>
  <c r="R72" i="9"/>
  <c r="H114" i="29"/>
  <c r="R80" i="9"/>
  <c r="H128" i="29"/>
  <c r="R90" i="9"/>
  <c r="H142" i="29"/>
  <c r="R99" i="9"/>
  <c r="H156" i="29"/>
  <c r="R109" i="9"/>
  <c r="H115" i="29"/>
  <c r="R81" i="9"/>
  <c r="H149" i="29"/>
  <c r="R102" i="9"/>
  <c r="H157" i="29"/>
  <c r="R110" i="9"/>
  <c r="H17" i="29"/>
  <c r="R15" i="9"/>
  <c r="H31" i="29"/>
  <c r="R24" i="9"/>
  <c r="H52" i="29"/>
  <c r="R36" i="9"/>
  <c r="H60" i="29"/>
  <c r="R44" i="9"/>
  <c r="H74" i="29"/>
  <c r="R53" i="9"/>
  <c r="H88" i="29"/>
  <c r="R63" i="9"/>
  <c r="H108" i="29"/>
  <c r="R74" i="9"/>
  <c r="H116" i="29"/>
  <c r="R82" i="9"/>
  <c r="H130" i="29"/>
  <c r="R92" i="9"/>
  <c r="H150" i="29"/>
  <c r="R103" i="9"/>
  <c r="H87" i="29"/>
  <c r="R62" i="9"/>
  <c r="H18" i="29"/>
  <c r="R16" i="9"/>
  <c r="H33" i="29"/>
  <c r="R26" i="9"/>
  <c r="H53" i="29"/>
  <c r="R37" i="9"/>
  <c r="H61" i="29"/>
  <c r="R45" i="9"/>
  <c r="H75" i="29"/>
  <c r="R54" i="9"/>
  <c r="H117" i="29"/>
  <c r="R83" i="9"/>
  <c r="H131" i="29"/>
  <c r="R93" i="9"/>
  <c r="H151" i="29"/>
  <c r="R104" i="9"/>
  <c r="H165" i="29"/>
  <c r="R113" i="9"/>
  <c r="H19" i="29"/>
  <c r="R17" i="9"/>
  <c r="H34" i="29"/>
  <c r="R27" i="9"/>
  <c r="H54" i="29"/>
  <c r="R38" i="9"/>
  <c r="P46" i="9"/>
  <c r="R46" i="9" s="1"/>
  <c r="P56" i="9"/>
  <c r="R56" i="9" s="1"/>
  <c r="H82" i="29"/>
  <c r="R57" i="9"/>
  <c r="H96" i="29"/>
  <c r="R66" i="9"/>
  <c r="H118" i="29"/>
  <c r="R84" i="9"/>
  <c r="H132" i="29"/>
  <c r="R94" i="9"/>
  <c r="H166" i="29"/>
  <c r="R114" i="9"/>
  <c r="H35" i="29"/>
  <c r="R28" i="9"/>
  <c r="H55" i="29"/>
  <c r="R39" i="9"/>
  <c r="H69" i="29"/>
  <c r="R48" i="9"/>
  <c r="H97" i="29"/>
  <c r="R67" i="9"/>
  <c r="H111" i="29"/>
  <c r="R77" i="9"/>
  <c r="H119" i="29"/>
  <c r="R85" i="9"/>
  <c r="H139" i="29"/>
  <c r="R96" i="9"/>
  <c r="H153" i="29"/>
  <c r="R106" i="9"/>
  <c r="H167" i="29"/>
  <c r="R115" i="9"/>
  <c r="H56" i="29"/>
  <c r="R40" i="9"/>
  <c r="H70" i="29"/>
  <c r="R49" i="9"/>
  <c r="H84" i="29"/>
  <c r="R59" i="9"/>
  <c r="H98" i="29"/>
  <c r="R68" i="9"/>
  <c r="H112" i="29"/>
  <c r="R78" i="9"/>
  <c r="H120" i="29"/>
  <c r="R86" i="9"/>
  <c r="H140" i="29"/>
  <c r="R97" i="9"/>
  <c r="H154" i="29"/>
  <c r="R107" i="9"/>
  <c r="H168" i="29"/>
  <c r="R116" i="9"/>
  <c r="H30" i="29"/>
  <c r="R23" i="9"/>
  <c r="H129" i="29"/>
  <c r="R91" i="9"/>
  <c r="H14" i="29"/>
  <c r="R12" i="9"/>
  <c r="H28" i="29"/>
  <c r="R21" i="9"/>
  <c r="H85" i="29"/>
  <c r="R60" i="9"/>
  <c r="H113" i="29"/>
  <c r="R79" i="9"/>
  <c r="P88" i="9"/>
  <c r="R88" i="9" s="1"/>
  <c r="H127" i="29"/>
  <c r="R89" i="9"/>
  <c r="H141" i="29"/>
  <c r="R98" i="9"/>
  <c r="H155" i="29"/>
  <c r="R108" i="9"/>
  <c r="H169" i="29"/>
  <c r="R117" i="9"/>
  <c r="P30" i="9"/>
  <c r="R30" i="9" s="1"/>
  <c r="P95" i="9"/>
  <c r="R95" i="9" s="1"/>
  <c r="P111" i="9"/>
  <c r="R111" i="9" s="1"/>
  <c r="I172" i="29" s="1"/>
  <c r="P6" i="9"/>
  <c r="P70" i="9"/>
  <c r="P34" i="9"/>
  <c r="P64" i="9"/>
  <c r="R64" i="9" s="1"/>
  <c r="P101" i="9"/>
  <c r="R101" i="9" s="1"/>
  <c r="F11" i="19"/>
  <c r="J11" i="9" s="1"/>
  <c r="J12" i="9"/>
  <c r="H21" i="29" l="1"/>
  <c r="R6" i="9"/>
  <c r="P69" i="9"/>
  <c r="R69" i="9" s="1"/>
  <c r="R70" i="9"/>
  <c r="P33" i="9"/>
  <c r="R33" i="9" s="1"/>
  <c r="R34" i="9"/>
  <c r="P87" i="9"/>
  <c r="R87" i="9" s="1"/>
  <c r="P100" i="9"/>
  <c r="R100" i="9" s="1"/>
  <c r="P55" i="9"/>
  <c r="R55" i="9" s="1"/>
  <c r="I28" i="9" l="1"/>
  <c r="F12" i="19" l="1"/>
  <c r="F37" i="19"/>
  <c r="I143" i="23"/>
  <c r="N106" i="9"/>
  <c r="F36" i="19"/>
  <c r="F35" i="19"/>
  <c r="F53" i="19"/>
  <c r="F48" i="19"/>
  <c r="F47" i="19"/>
  <c r="E48" i="9"/>
  <c r="F112" i="19" l="1"/>
  <c r="F113" i="19"/>
  <c r="F103" i="19"/>
  <c r="E48" i="19" l="1"/>
  <c r="F57" i="19"/>
  <c r="F16" i="29"/>
  <c r="F17" i="29"/>
  <c r="F18" i="29"/>
  <c r="F19" i="29"/>
  <c r="F20" i="29"/>
  <c r="F15" i="29"/>
  <c r="I17" i="9"/>
  <c r="G19" i="29"/>
  <c r="T174" i="29" l="1"/>
  <c r="I166" i="29" l="1"/>
  <c r="I169" i="29"/>
  <c r="I164" i="29"/>
  <c r="H164" i="29"/>
  <c r="G166" i="29"/>
  <c r="G169" i="29"/>
  <c r="G164" i="29"/>
  <c r="E112" i="19"/>
  <c r="F165" i="29"/>
  <c r="F166" i="29"/>
  <c r="F167" i="29"/>
  <c r="F168" i="29"/>
  <c r="F169" i="29"/>
  <c r="F164" i="29"/>
  <c r="I152" i="29"/>
  <c r="I154" i="29"/>
  <c r="I155" i="29"/>
  <c r="I156" i="29"/>
  <c r="I157" i="29"/>
  <c r="G152" i="29"/>
  <c r="G154" i="29"/>
  <c r="G155" i="29"/>
  <c r="G156" i="29"/>
  <c r="F150" i="29"/>
  <c r="F151" i="29"/>
  <c r="F152" i="29"/>
  <c r="F153" i="29"/>
  <c r="F154" i="29"/>
  <c r="F155" i="29"/>
  <c r="F156" i="29"/>
  <c r="F157" i="29"/>
  <c r="F149" i="29"/>
  <c r="F98" i="19"/>
  <c r="G141" i="29" s="1"/>
  <c r="Y98" i="19"/>
  <c r="I140" i="29"/>
  <c r="I141" i="29"/>
  <c r="I142" i="29"/>
  <c r="I139" i="29"/>
  <c r="G140" i="29"/>
  <c r="G139" i="29"/>
  <c r="F140" i="29"/>
  <c r="F141" i="29"/>
  <c r="F142" i="29"/>
  <c r="F139" i="29"/>
  <c r="I128" i="29"/>
  <c r="I129" i="29"/>
  <c r="I131" i="29"/>
  <c r="I132" i="29"/>
  <c r="I127" i="29"/>
  <c r="G129" i="29"/>
  <c r="G131" i="29"/>
  <c r="G132" i="29"/>
  <c r="F128" i="29"/>
  <c r="F129" i="29"/>
  <c r="F130" i="29"/>
  <c r="F131" i="29"/>
  <c r="F132" i="29"/>
  <c r="F127" i="29"/>
  <c r="I106" i="29"/>
  <c r="I107" i="29"/>
  <c r="I109" i="29"/>
  <c r="I110" i="29"/>
  <c r="I111" i="29"/>
  <c r="I113" i="29"/>
  <c r="I114" i="29"/>
  <c r="I116" i="29"/>
  <c r="I117" i="29"/>
  <c r="I118" i="29"/>
  <c r="I119" i="29"/>
  <c r="I120" i="29"/>
  <c r="I105" i="29"/>
  <c r="H105" i="29"/>
  <c r="G106" i="29"/>
  <c r="G107" i="29"/>
  <c r="G119" i="29"/>
  <c r="G120" i="29"/>
  <c r="G105" i="29"/>
  <c r="F106" i="29"/>
  <c r="F107" i="29"/>
  <c r="F108" i="29"/>
  <c r="F109" i="29"/>
  <c r="F110" i="29"/>
  <c r="F111" i="29"/>
  <c r="F112" i="29"/>
  <c r="F113" i="29"/>
  <c r="F114" i="29"/>
  <c r="F115" i="29"/>
  <c r="F116" i="29"/>
  <c r="F117" i="29"/>
  <c r="F118" i="29"/>
  <c r="F119" i="29"/>
  <c r="F120" i="29"/>
  <c r="F105" i="29"/>
  <c r="I96" i="29"/>
  <c r="I97" i="29"/>
  <c r="I98" i="29"/>
  <c r="I95" i="29"/>
  <c r="G96" i="29"/>
  <c r="G97" i="29"/>
  <c r="G98" i="29"/>
  <c r="G95" i="29"/>
  <c r="F95" i="29"/>
  <c r="F96" i="29"/>
  <c r="F97" i="29"/>
  <c r="F98" i="29"/>
  <c r="I83" i="29"/>
  <c r="I86" i="29"/>
  <c r="I88" i="29"/>
  <c r="I82" i="29"/>
  <c r="G83" i="29"/>
  <c r="G84" i="29"/>
  <c r="G87" i="29"/>
  <c r="G88" i="29"/>
  <c r="F83" i="29"/>
  <c r="F84" i="29"/>
  <c r="F85" i="29"/>
  <c r="F86" i="29"/>
  <c r="F87" i="29"/>
  <c r="F88" i="29"/>
  <c r="F82" i="29"/>
  <c r="I71" i="29"/>
  <c r="I73" i="29"/>
  <c r="I74" i="29"/>
  <c r="I75" i="29"/>
  <c r="I68" i="29"/>
  <c r="H68" i="29"/>
  <c r="G75" i="29"/>
  <c r="F69" i="29"/>
  <c r="F70" i="29"/>
  <c r="F71" i="29"/>
  <c r="F72" i="29"/>
  <c r="F73" i="29"/>
  <c r="F74" i="29"/>
  <c r="F75" i="29"/>
  <c r="F68" i="29"/>
  <c r="I52" i="29"/>
  <c r="I53" i="29"/>
  <c r="I55" i="29"/>
  <c r="I57" i="29"/>
  <c r="I58" i="29"/>
  <c r="I59" i="29"/>
  <c r="I60" i="29"/>
  <c r="I61" i="29"/>
  <c r="I51" i="29"/>
  <c r="H51" i="29"/>
  <c r="G57" i="29"/>
  <c r="G58" i="29"/>
  <c r="G61" i="29"/>
  <c r="F52" i="29"/>
  <c r="F53" i="29"/>
  <c r="F54" i="29"/>
  <c r="F55" i="29"/>
  <c r="F56" i="29"/>
  <c r="F57" i="29"/>
  <c r="F58" i="29"/>
  <c r="F59" i="29"/>
  <c r="F60" i="29"/>
  <c r="F61" i="29"/>
  <c r="F51" i="29"/>
  <c r="I47" i="29"/>
  <c r="I44" i="29"/>
  <c r="I43" i="29"/>
  <c r="H44" i="29"/>
  <c r="H43" i="29"/>
  <c r="G43" i="29"/>
  <c r="F44" i="29"/>
  <c r="F43" i="29"/>
  <c r="I29" i="29"/>
  <c r="I30" i="29"/>
  <c r="I31" i="29"/>
  <c r="I32" i="29"/>
  <c r="I34" i="29"/>
  <c r="I35" i="29"/>
  <c r="I36" i="29"/>
  <c r="I27" i="29"/>
  <c r="H27" i="29"/>
  <c r="G28" i="29"/>
  <c r="F21" i="19"/>
  <c r="F26" i="19"/>
  <c r="G33" i="29" s="1"/>
  <c r="G27" i="29"/>
  <c r="F20" i="19"/>
  <c r="F28" i="29"/>
  <c r="F29" i="29"/>
  <c r="F30" i="29"/>
  <c r="F31" i="29"/>
  <c r="F32" i="29"/>
  <c r="F33" i="29"/>
  <c r="F34" i="29"/>
  <c r="F35" i="29"/>
  <c r="F36" i="29"/>
  <c r="F27" i="29"/>
  <c r="I10" i="29"/>
  <c r="I11" i="29"/>
  <c r="I12" i="29"/>
  <c r="I13" i="29"/>
  <c r="I14" i="29"/>
  <c r="I15" i="29"/>
  <c r="I16" i="29"/>
  <c r="I17" i="29"/>
  <c r="I19" i="29"/>
  <c r="I20" i="29"/>
  <c r="I9" i="29"/>
  <c r="H9" i="29"/>
  <c r="G16" i="29"/>
  <c r="G20" i="29"/>
  <c r="J98" i="9" l="1"/>
  <c r="H133" i="29"/>
  <c r="I100" i="29"/>
  <c r="J10" i="29"/>
  <c r="F10" i="29" l="1"/>
  <c r="F11" i="29"/>
  <c r="F12" i="29"/>
  <c r="F13" i="29"/>
  <c r="F14" i="29"/>
  <c r="F9" i="29"/>
  <c r="J164" i="29"/>
  <c r="J155" i="29"/>
  <c r="J27" i="29"/>
  <c r="J13" i="29"/>
  <c r="J12" i="29"/>
  <c r="J11" i="29"/>
  <c r="J9" i="29"/>
  <c r="J119" i="29" l="1"/>
  <c r="J59" i="29"/>
  <c r="J118" i="29"/>
  <c r="J73" i="29"/>
  <c r="J98" i="29"/>
  <c r="J109" i="29"/>
  <c r="J117" i="29"/>
  <c r="J29" i="29"/>
  <c r="J82" i="29"/>
  <c r="J142" i="29"/>
  <c r="J107" i="29"/>
  <c r="J34" i="29"/>
  <c r="J17" i="29"/>
  <c r="J43" i="29"/>
  <c r="H99" i="29"/>
  <c r="J55" i="29"/>
  <c r="J95" i="29"/>
  <c r="J157" i="29"/>
  <c r="J36" i="29"/>
  <c r="J116" i="29"/>
  <c r="J132" i="29"/>
  <c r="J83" i="29"/>
  <c r="J96" i="29"/>
  <c r="J105" i="29"/>
  <c r="J113" i="29"/>
  <c r="J127" i="29"/>
  <c r="J140" i="29"/>
  <c r="J35" i="29"/>
  <c r="J86" i="29"/>
  <c r="J14" i="29"/>
  <c r="J30" i="29"/>
  <c r="J44" i="29"/>
  <c r="J68" i="29"/>
  <c r="J106" i="29"/>
  <c r="J114" i="29"/>
  <c r="J141" i="29"/>
  <c r="J169" i="29"/>
  <c r="J71" i="29"/>
  <c r="J139" i="29"/>
  <c r="I144" i="29"/>
  <c r="J31" i="29"/>
  <c r="H45" i="29"/>
  <c r="I46" i="29"/>
  <c r="H143" i="29"/>
  <c r="J128" i="29"/>
  <c r="U101" i="19"/>
  <c r="J99" i="29" l="1"/>
  <c r="J143" i="29"/>
  <c r="J45" i="29"/>
  <c r="E112" i="9" l="1"/>
  <c r="G152" i="23" s="1"/>
  <c r="E117" i="19"/>
  <c r="G117" i="19"/>
  <c r="M103" i="9" l="1"/>
  <c r="H141" i="23" s="1"/>
  <c r="M104" i="9"/>
  <c r="M105" i="9"/>
  <c r="M106" i="9"/>
  <c r="H143" i="23" s="1"/>
  <c r="M107" i="9"/>
  <c r="M108" i="9"/>
  <c r="M109" i="9"/>
  <c r="M110" i="9"/>
  <c r="M102" i="9"/>
  <c r="H140" i="23" s="1"/>
  <c r="V127" i="19" l="1"/>
  <c r="G8" i="19" l="1"/>
  <c r="E103" i="19"/>
  <c r="F51" i="19" l="1"/>
  <c r="G72" i="29" s="1"/>
  <c r="F50" i="19"/>
  <c r="G71" i="29" s="1"/>
  <c r="G52" i="29"/>
  <c r="X20" i="19" l="1"/>
  <c r="J143" i="23" l="1"/>
  <c r="J144" i="23"/>
  <c r="X71" i="19" l="1"/>
  <c r="E36" i="19" l="1"/>
  <c r="N113" i="9"/>
  <c r="N114" i="9"/>
  <c r="N115" i="9"/>
  <c r="N116" i="9"/>
  <c r="N117" i="9"/>
  <c r="N112" i="9"/>
  <c r="M113" i="9"/>
  <c r="H153" i="23" s="1"/>
  <c r="M114" i="9"/>
  <c r="M115" i="9"/>
  <c r="H154" i="23" s="1"/>
  <c r="M116" i="9"/>
  <c r="H155" i="23" s="1"/>
  <c r="M117" i="9"/>
  <c r="H156" i="23" s="1"/>
  <c r="M112" i="9"/>
  <c r="H152" i="23" s="1"/>
  <c r="N97" i="9"/>
  <c r="N98" i="9"/>
  <c r="I132" i="23" s="1"/>
  <c r="N99" i="9"/>
  <c r="N96" i="9"/>
  <c r="M97" i="9"/>
  <c r="H131" i="23" s="1"/>
  <c r="M98" i="9"/>
  <c r="H132" i="23" s="1"/>
  <c r="M99" i="9"/>
  <c r="H133" i="23" s="1"/>
  <c r="M96" i="9"/>
  <c r="H130" i="23" s="1"/>
  <c r="N90" i="9"/>
  <c r="N91" i="9"/>
  <c r="N92" i="9"/>
  <c r="N93" i="9"/>
  <c r="N94" i="9"/>
  <c r="N89" i="9"/>
  <c r="M90" i="9"/>
  <c r="H121" i="23" s="1"/>
  <c r="M91" i="9"/>
  <c r="M92" i="9"/>
  <c r="H122" i="23" s="1"/>
  <c r="M93" i="9"/>
  <c r="M94" i="9"/>
  <c r="H123" i="23" s="1"/>
  <c r="M89" i="9"/>
  <c r="H120" i="23" s="1"/>
  <c r="N72" i="9"/>
  <c r="I99" i="23" s="1"/>
  <c r="N73" i="9"/>
  <c r="I100" i="23" s="1"/>
  <c r="N74" i="9"/>
  <c r="N75" i="9"/>
  <c r="I102" i="23" s="1"/>
  <c r="N76" i="9"/>
  <c r="I103" i="23" s="1"/>
  <c r="N77" i="9"/>
  <c r="N78" i="9"/>
  <c r="N79" i="9"/>
  <c r="I106" i="23" s="1"/>
  <c r="N80" i="9"/>
  <c r="N81" i="9"/>
  <c r="N82" i="9"/>
  <c r="N83" i="9"/>
  <c r="N84" i="9"/>
  <c r="N85" i="9"/>
  <c r="N86" i="9"/>
  <c r="N71" i="9"/>
  <c r="I98" i="23" s="1"/>
  <c r="M72" i="9"/>
  <c r="H99" i="23" s="1"/>
  <c r="J99" i="23" s="1"/>
  <c r="M73" i="9"/>
  <c r="H100" i="23" s="1"/>
  <c r="M74" i="9"/>
  <c r="M75" i="9"/>
  <c r="H102" i="23" s="1"/>
  <c r="M76" i="9"/>
  <c r="H103" i="23" s="1"/>
  <c r="M77" i="9"/>
  <c r="H104" i="23" s="1"/>
  <c r="M78" i="9"/>
  <c r="H105" i="23" s="1"/>
  <c r="M79" i="9"/>
  <c r="H106" i="23" s="1"/>
  <c r="J106" i="23" s="1"/>
  <c r="M80" i="9"/>
  <c r="H107" i="23" s="1"/>
  <c r="M81" i="9"/>
  <c r="H108" i="23" s="1"/>
  <c r="M82" i="9"/>
  <c r="H109" i="23" s="1"/>
  <c r="M83" i="9"/>
  <c r="H110" i="23" s="1"/>
  <c r="M84" i="9"/>
  <c r="H111" i="23" s="1"/>
  <c r="M85" i="9"/>
  <c r="H112" i="23" s="1"/>
  <c r="M86" i="9"/>
  <c r="H113" i="23" s="1"/>
  <c r="M71" i="9"/>
  <c r="H98" i="23" s="1"/>
  <c r="N66" i="9"/>
  <c r="I90" i="23" s="1"/>
  <c r="N67" i="9"/>
  <c r="N68" i="9"/>
  <c r="I91" i="23" s="1"/>
  <c r="N65" i="9"/>
  <c r="M66" i="9"/>
  <c r="H90" i="23" s="1"/>
  <c r="M67" i="9"/>
  <c r="M68" i="9"/>
  <c r="H91" i="23" s="1"/>
  <c r="M65" i="9"/>
  <c r="H89" i="23" s="1"/>
  <c r="N58" i="9"/>
  <c r="N59" i="9"/>
  <c r="N60" i="9"/>
  <c r="N61" i="9"/>
  <c r="I80" i="23" s="1"/>
  <c r="N62" i="9"/>
  <c r="N63" i="9"/>
  <c r="N57" i="9"/>
  <c r="M58" i="9"/>
  <c r="H77" i="23" s="1"/>
  <c r="M59" i="9"/>
  <c r="H78" i="23" s="1"/>
  <c r="M60" i="9"/>
  <c r="H79" i="23" s="1"/>
  <c r="M61" i="9"/>
  <c r="H80" i="23" s="1"/>
  <c r="M62" i="9"/>
  <c r="H81" i="23" s="1"/>
  <c r="M63" i="9"/>
  <c r="H82" i="23" s="1"/>
  <c r="M57" i="9"/>
  <c r="H76" i="23" s="1"/>
  <c r="N48" i="9"/>
  <c r="N49" i="9"/>
  <c r="N50" i="9"/>
  <c r="I65" i="23" s="1"/>
  <c r="N51" i="9"/>
  <c r="N52" i="9"/>
  <c r="I67" i="23" s="1"/>
  <c r="N53" i="9"/>
  <c r="N54" i="9"/>
  <c r="N47" i="9"/>
  <c r="I62" i="23" s="1"/>
  <c r="M48" i="9"/>
  <c r="H63" i="23" s="1"/>
  <c r="M49" i="9"/>
  <c r="H64" i="23" s="1"/>
  <c r="M50" i="9"/>
  <c r="H65" i="23" s="1"/>
  <c r="J65" i="23" s="1"/>
  <c r="M51" i="9"/>
  <c r="H66" i="23" s="1"/>
  <c r="M52" i="9"/>
  <c r="H67" i="23" s="1"/>
  <c r="M53" i="9"/>
  <c r="H68" i="23" s="1"/>
  <c r="M54" i="9"/>
  <c r="H69" i="23" s="1"/>
  <c r="M47" i="9"/>
  <c r="H62" i="23" s="1"/>
  <c r="N36" i="9"/>
  <c r="I49" i="23" s="1"/>
  <c r="N37" i="9"/>
  <c r="I50" i="23" s="1"/>
  <c r="N38" i="9"/>
  <c r="N39" i="9"/>
  <c r="N40" i="9"/>
  <c r="N41" i="9"/>
  <c r="I54" i="23" s="1"/>
  <c r="N42" i="9"/>
  <c r="I55" i="23" s="1"/>
  <c r="N43" i="9"/>
  <c r="N44" i="9"/>
  <c r="N45" i="9"/>
  <c r="N35" i="9"/>
  <c r="I48" i="23" s="1"/>
  <c r="M36" i="9"/>
  <c r="H49" i="23" s="1"/>
  <c r="M37" i="9"/>
  <c r="H50" i="23" s="1"/>
  <c r="M38" i="9"/>
  <c r="H51" i="23" s="1"/>
  <c r="M39" i="9"/>
  <c r="H52" i="23" s="1"/>
  <c r="M40" i="9"/>
  <c r="H53" i="23" s="1"/>
  <c r="M41" i="9"/>
  <c r="H54" i="23" s="1"/>
  <c r="J54" i="23" s="1"/>
  <c r="M42" i="9"/>
  <c r="M43" i="9"/>
  <c r="M44" i="9"/>
  <c r="H55" i="23" s="1"/>
  <c r="M45" i="9"/>
  <c r="M35" i="9"/>
  <c r="H48" i="23" s="1"/>
  <c r="N32" i="9"/>
  <c r="N31" i="9"/>
  <c r="O31" i="9" s="1"/>
  <c r="M32" i="9"/>
  <c r="H41" i="23" s="1"/>
  <c r="M31" i="9"/>
  <c r="N21" i="9"/>
  <c r="N22" i="9"/>
  <c r="I26" i="23" s="1"/>
  <c r="N23" i="9"/>
  <c r="N24" i="9"/>
  <c r="N25" i="9"/>
  <c r="N26" i="9"/>
  <c r="N27" i="9"/>
  <c r="N28" i="9"/>
  <c r="N29" i="9"/>
  <c r="I33" i="23" s="1"/>
  <c r="N20" i="9"/>
  <c r="I24" i="23" s="1"/>
  <c r="M21" i="9"/>
  <c r="H25" i="23" s="1"/>
  <c r="M22" i="9"/>
  <c r="H26" i="23" s="1"/>
  <c r="M23" i="9"/>
  <c r="H27" i="23" s="1"/>
  <c r="M24" i="9"/>
  <c r="H28" i="23" s="1"/>
  <c r="M26" i="9"/>
  <c r="H30" i="23" s="1"/>
  <c r="M27" i="9"/>
  <c r="H31" i="23" s="1"/>
  <c r="M28" i="9"/>
  <c r="H32" i="23" s="1"/>
  <c r="M29" i="9"/>
  <c r="H33" i="23" s="1"/>
  <c r="M20" i="9"/>
  <c r="H24" i="23" s="1"/>
  <c r="N8" i="9"/>
  <c r="N9" i="9"/>
  <c r="N10" i="9"/>
  <c r="N11" i="9"/>
  <c r="N12" i="9"/>
  <c r="N13" i="9"/>
  <c r="N14" i="9"/>
  <c r="N15" i="9"/>
  <c r="N16" i="9"/>
  <c r="N17" i="9"/>
  <c r="N18" i="9"/>
  <c r="N7" i="9"/>
  <c r="M8" i="9"/>
  <c r="H10" i="23" s="1"/>
  <c r="M9" i="9"/>
  <c r="H11" i="23" s="1"/>
  <c r="M10" i="9"/>
  <c r="H12" i="23" s="1"/>
  <c r="M11" i="9"/>
  <c r="H13" i="23" s="1"/>
  <c r="M12" i="9"/>
  <c r="H14" i="23" s="1"/>
  <c r="M13" i="9"/>
  <c r="M14" i="9"/>
  <c r="M15" i="9"/>
  <c r="H15" i="23" s="1"/>
  <c r="M16" i="9"/>
  <c r="M17" i="9"/>
  <c r="H17" i="23" s="1"/>
  <c r="M18" i="9"/>
  <c r="M7" i="9"/>
  <c r="H9" i="23" s="1"/>
  <c r="I112" i="23" l="1"/>
  <c r="O85" i="9"/>
  <c r="I14" i="23"/>
  <c r="O12" i="9"/>
  <c r="I31" i="23"/>
  <c r="O27" i="9"/>
  <c r="O44" i="9"/>
  <c r="I76" i="23"/>
  <c r="J76" i="23" s="1"/>
  <c r="O57" i="9"/>
  <c r="I113" i="23"/>
  <c r="J113" i="23" s="1"/>
  <c r="O86" i="9"/>
  <c r="I105" i="23"/>
  <c r="J105" i="23" s="1"/>
  <c r="O78" i="9"/>
  <c r="N88" i="9"/>
  <c r="O92" i="9"/>
  <c r="I133" i="23"/>
  <c r="O99" i="9"/>
  <c r="J112" i="23"/>
  <c r="I104" i="23"/>
  <c r="O77" i="9"/>
  <c r="I29" i="23"/>
  <c r="I41" i="23"/>
  <c r="O32" i="9"/>
  <c r="J69" i="23"/>
  <c r="I69" i="23"/>
  <c r="O54" i="9"/>
  <c r="I81" i="23"/>
  <c r="O62" i="9"/>
  <c r="J111" i="23"/>
  <c r="I111" i="23"/>
  <c r="O84" i="9"/>
  <c r="I121" i="23"/>
  <c r="O90" i="9"/>
  <c r="I131" i="23"/>
  <c r="O97" i="9"/>
  <c r="I156" i="23"/>
  <c r="O117" i="9"/>
  <c r="I30" i="23"/>
  <c r="O26" i="9"/>
  <c r="I82" i="23"/>
  <c r="O63" i="9"/>
  <c r="I17" i="23"/>
  <c r="O17" i="9"/>
  <c r="O16" i="9"/>
  <c r="I28" i="23"/>
  <c r="O24" i="9"/>
  <c r="I68" i="23"/>
  <c r="O53" i="9"/>
  <c r="I89" i="23"/>
  <c r="N64" i="9"/>
  <c r="J110" i="23"/>
  <c r="I110" i="23"/>
  <c r="O83" i="9"/>
  <c r="I155" i="23"/>
  <c r="O116" i="9"/>
  <c r="I15" i="23"/>
  <c r="O15" i="9"/>
  <c r="I27" i="23"/>
  <c r="O23" i="9"/>
  <c r="I53" i="23"/>
  <c r="O40" i="9"/>
  <c r="I79" i="23"/>
  <c r="O60" i="9"/>
  <c r="J109" i="23"/>
  <c r="I109" i="23"/>
  <c r="O82" i="9"/>
  <c r="O74" i="9"/>
  <c r="I154" i="23"/>
  <c r="O115" i="9"/>
  <c r="I52" i="23"/>
  <c r="O39" i="9"/>
  <c r="I66" i="23"/>
  <c r="O51" i="9"/>
  <c r="O59" i="9"/>
  <c r="I108" i="23"/>
  <c r="O81" i="9"/>
  <c r="I120" i="23"/>
  <c r="J120" i="23" s="1"/>
  <c r="O89" i="9"/>
  <c r="I25" i="23"/>
  <c r="O21" i="9"/>
  <c r="I51" i="23"/>
  <c r="O38" i="9"/>
  <c r="I107" i="23"/>
  <c r="O80" i="9"/>
  <c r="I123" i="23"/>
  <c r="J123" i="23" s="1"/>
  <c r="O94" i="9"/>
  <c r="J131" i="23"/>
  <c r="O113" i="9"/>
  <c r="J104" i="23"/>
  <c r="I32" i="23"/>
  <c r="O28" i="9"/>
  <c r="O49" i="9"/>
  <c r="N95" i="9"/>
  <c r="H16" i="23"/>
  <c r="M6" i="9"/>
  <c r="N111" i="9"/>
  <c r="I101" i="23"/>
  <c r="N70" i="9"/>
  <c r="I78" i="23"/>
  <c r="J78" i="23" s="1"/>
  <c r="N56" i="9"/>
  <c r="I63" i="23"/>
  <c r="J63" i="23" s="1"/>
  <c r="N46" i="9"/>
  <c r="I16" i="23"/>
  <c r="N6" i="9"/>
  <c r="O6" i="9" s="1"/>
  <c r="J89" i="23"/>
  <c r="J98" i="23"/>
  <c r="J62" i="23"/>
  <c r="J52" i="23"/>
  <c r="J90" i="23"/>
  <c r="J80" i="23"/>
  <c r="J121" i="23"/>
  <c r="J133" i="23"/>
  <c r="J100" i="23"/>
  <c r="M30" i="9"/>
  <c r="J132" i="23"/>
  <c r="J68" i="23"/>
  <c r="J155" i="23"/>
  <c r="I153" i="23"/>
  <c r="I158" i="23" s="1"/>
  <c r="J108" i="23"/>
  <c r="J91" i="23"/>
  <c r="J81" i="23"/>
  <c r="N30" i="9"/>
  <c r="O30" i="9" s="1"/>
  <c r="J31" i="23"/>
  <c r="J17" i="23"/>
  <c r="I19" i="23"/>
  <c r="J14" i="23"/>
  <c r="J107" i="23"/>
  <c r="J103" i="23"/>
  <c r="I122" i="23"/>
  <c r="J122" i="23" s="1"/>
  <c r="J82" i="23"/>
  <c r="I77" i="23"/>
  <c r="J77" i="23" s="1"/>
  <c r="H40" i="23"/>
  <c r="J40" i="23" s="1"/>
  <c r="J30" i="23"/>
  <c r="H157" i="23"/>
  <c r="I40" i="23"/>
  <c r="J67" i="23"/>
  <c r="J66" i="23"/>
  <c r="J15" i="23"/>
  <c r="J32" i="23"/>
  <c r="I93" i="23"/>
  <c r="J102" i="23"/>
  <c r="J41" i="23"/>
  <c r="J51" i="23"/>
  <c r="I64" i="23"/>
  <c r="J64" i="23" s="1"/>
  <c r="M56" i="9"/>
  <c r="M64" i="9"/>
  <c r="I130" i="23"/>
  <c r="J130" i="23" s="1"/>
  <c r="J154" i="23"/>
  <c r="J53" i="23"/>
  <c r="J79" i="23"/>
  <c r="J55" i="23"/>
  <c r="J156" i="23"/>
  <c r="M70" i="9"/>
  <c r="H101" i="23"/>
  <c r="J101" i="23" s="1"/>
  <c r="N34" i="9"/>
  <c r="O34" i="9" s="1"/>
  <c r="M34" i="9"/>
  <c r="N19" i="9"/>
  <c r="N87" i="9" l="1"/>
  <c r="N55" i="9"/>
  <c r="O56" i="9"/>
  <c r="I44" i="23"/>
  <c r="N69" i="9"/>
  <c r="O70" i="9"/>
  <c r="O64" i="9"/>
  <c r="J16" i="23"/>
  <c r="N5" i="9"/>
  <c r="N33" i="9"/>
  <c r="M55" i="9"/>
  <c r="I135" i="23"/>
  <c r="H134" i="23"/>
  <c r="I125" i="23"/>
  <c r="H124" i="23"/>
  <c r="I115" i="23"/>
  <c r="H114" i="23"/>
  <c r="H92" i="23"/>
  <c r="J92" i="23" s="1"/>
  <c r="I84" i="23"/>
  <c r="H83" i="23"/>
  <c r="I71" i="23"/>
  <c r="H70" i="23"/>
  <c r="I57" i="23"/>
  <c r="H56" i="23"/>
  <c r="J56" i="23" s="1"/>
  <c r="I43" i="23"/>
  <c r="H42" i="23"/>
  <c r="I35" i="23"/>
  <c r="H18" i="23"/>
  <c r="J18" i="23" s="1"/>
  <c r="J25" i="23"/>
  <c r="J26" i="23"/>
  <c r="J27" i="23"/>
  <c r="J28" i="23"/>
  <c r="J33" i="23"/>
  <c r="J24" i="23"/>
  <c r="J10" i="23"/>
  <c r="J11" i="23"/>
  <c r="J12" i="23"/>
  <c r="J13" i="23"/>
  <c r="J9" i="23"/>
  <c r="N110" i="9"/>
  <c r="I145" i="23" s="1"/>
  <c r="H145" i="23"/>
  <c r="N103" i="9"/>
  <c r="N104" i="9"/>
  <c r="N102" i="9"/>
  <c r="H142" i="23"/>
  <c r="H146" i="23" s="1"/>
  <c r="O103" i="9" l="1"/>
  <c r="I141" i="23"/>
  <c r="O104" i="9"/>
  <c r="I142" i="23"/>
  <c r="J142" i="23" s="1"/>
  <c r="O55" i="9"/>
  <c r="O102" i="9"/>
  <c r="I140" i="23"/>
  <c r="J124" i="23"/>
  <c r="J83" i="23"/>
  <c r="J70" i="23"/>
  <c r="J42" i="23"/>
  <c r="J140" i="23"/>
  <c r="J141" i="23"/>
  <c r="J153" i="23"/>
  <c r="J145" i="23"/>
  <c r="J134" i="23"/>
  <c r="J114" i="23"/>
  <c r="I147" i="23" l="1"/>
  <c r="J146" i="23" s="1"/>
  <c r="J158" i="23"/>
  <c r="J152" i="23"/>
  <c r="G63" i="23"/>
  <c r="E49" i="9"/>
  <c r="E50" i="9"/>
  <c r="E51" i="9"/>
  <c r="E52" i="9"/>
  <c r="E53" i="9"/>
  <c r="E47" i="9"/>
  <c r="E36" i="9"/>
  <c r="E37" i="9"/>
  <c r="G50" i="23" s="1"/>
  <c r="E38" i="9"/>
  <c r="G51" i="23" s="1"/>
  <c r="E39" i="9"/>
  <c r="G52" i="23" s="1"/>
  <c r="E40" i="9"/>
  <c r="G53" i="23" s="1"/>
  <c r="E35" i="9"/>
  <c r="G48" i="23" s="1"/>
  <c r="E72" i="9"/>
  <c r="G99" i="23" s="1"/>
  <c r="E73" i="9"/>
  <c r="G100" i="23" s="1"/>
  <c r="E74" i="9"/>
  <c r="G101" i="23" s="1"/>
  <c r="E75" i="9"/>
  <c r="G102" i="23" s="1"/>
  <c r="E76" i="9"/>
  <c r="G103" i="23" s="1"/>
  <c r="E77" i="9"/>
  <c r="G104" i="23" s="1"/>
  <c r="E78" i="9"/>
  <c r="G105" i="23" s="1"/>
  <c r="E79" i="9"/>
  <c r="G106" i="23" s="1"/>
  <c r="E80" i="9"/>
  <c r="G107" i="23" s="1"/>
  <c r="E81" i="9"/>
  <c r="G108" i="23" s="1"/>
  <c r="E82" i="9"/>
  <c r="G109" i="23" s="1"/>
  <c r="E83" i="9"/>
  <c r="G110" i="23" s="1"/>
  <c r="E84" i="9"/>
  <c r="G111" i="23" s="1"/>
  <c r="E85" i="9"/>
  <c r="G112" i="23" s="1"/>
  <c r="E71" i="9"/>
  <c r="G98" i="23" s="1"/>
  <c r="G66" i="23" l="1"/>
  <c r="G65" i="23"/>
  <c r="G49" i="23"/>
  <c r="G62" i="23"/>
  <c r="G68" i="23"/>
  <c r="G67" i="23"/>
  <c r="G64" i="23"/>
  <c r="E32" i="9"/>
  <c r="G41" i="23" s="1"/>
  <c r="E31" i="9"/>
  <c r="G40" i="23" s="1"/>
  <c r="E57" i="9"/>
  <c r="G76" i="23" s="1"/>
  <c r="E21" i="9"/>
  <c r="G25" i="23" s="1"/>
  <c r="E22" i="9"/>
  <c r="G26" i="23" s="1"/>
  <c r="E23" i="9"/>
  <c r="G27" i="23" s="1"/>
  <c r="E24" i="9"/>
  <c r="G28" i="23" s="1"/>
  <c r="E25" i="9"/>
  <c r="G29" i="23" s="1"/>
  <c r="E26" i="9"/>
  <c r="G30" i="23" s="1"/>
  <c r="E27" i="9"/>
  <c r="G31" i="23" s="1"/>
  <c r="E28" i="9"/>
  <c r="G32" i="23" s="1"/>
  <c r="E29" i="9"/>
  <c r="G33" i="23" s="1"/>
  <c r="E20" i="9"/>
  <c r="G24" i="23" s="1"/>
  <c r="D48" i="9" l="1"/>
  <c r="F48" i="9" s="1"/>
  <c r="D49" i="9"/>
  <c r="F49" i="9" s="1"/>
  <c r="D50" i="9"/>
  <c r="F50" i="9" s="1"/>
  <c r="D51" i="9"/>
  <c r="F51" i="9" s="1"/>
  <c r="D52" i="9"/>
  <c r="F52" i="9" s="1"/>
  <c r="D53" i="9"/>
  <c r="F53" i="9" s="1"/>
  <c r="D54" i="9"/>
  <c r="D47" i="9"/>
  <c r="F47" i="9" s="1"/>
  <c r="E113" i="9"/>
  <c r="G153" i="23" s="1"/>
  <c r="E115" i="9"/>
  <c r="E116" i="9"/>
  <c r="E103" i="9"/>
  <c r="G141" i="23" s="1"/>
  <c r="E104" i="9"/>
  <c r="G142" i="23" s="1"/>
  <c r="E105" i="9"/>
  <c r="E106" i="9"/>
  <c r="G143" i="23" s="1"/>
  <c r="E108" i="9"/>
  <c r="G144" i="23" s="1"/>
  <c r="E102" i="9"/>
  <c r="G140" i="23" s="1"/>
  <c r="E97" i="9"/>
  <c r="G131" i="23" s="1"/>
  <c r="E98" i="9"/>
  <c r="G132" i="23" s="1"/>
  <c r="E99" i="9"/>
  <c r="G133" i="23" s="1"/>
  <c r="E96" i="9"/>
  <c r="G130" i="23" s="1"/>
  <c r="E90" i="9"/>
  <c r="G121" i="23" s="1"/>
  <c r="E92" i="9"/>
  <c r="G122" i="23" s="1"/>
  <c r="E89" i="9"/>
  <c r="G120" i="23" s="1"/>
  <c r="E66" i="9"/>
  <c r="G90" i="23" s="1"/>
  <c r="E67" i="9"/>
  <c r="E68" i="9"/>
  <c r="G91" i="23" s="1"/>
  <c r="E65" i="9"/>
  <c r="G89" i="23" s="1"/>
  <c r="E58" i="9"/>
  <c r="G77" i="23" s="1"/>
  <c r="E59" i="9"/>
  <c r="G78" i="23" s="1"/>
  <c r="E60" i="9"/>
  <c r="G79" i="23" s="1"/>
  <c r="E61" i="9"/>
  <c r="G80" i="23" s="1"/>
  <c r="E62" i="9"/>
  <c r="G81" i="23" s="1"/>
  <c r="E43" i="9"/>
  <c r="G54" i="23" s="1"/>
  <c r="E44" i="9"/>
  <c r="G55" i="23" s="1"/>
  <c r="E8" i="9"/>
  <c r="E9" i="9"/>
  <c r="G11" i="23" s="1"/>
  <c r="E10" i="9"/>
  <c r="G12" i="23" s="1"/>
  <c r="E11" i="9"/>
  <c r="E12" i="9"/>
  <c r="E15" i="9"/>
  <c r="G15" i="23" s="1"/>
  <c r="E16" i="9"/>
  <c r="G16" i="23" s="1"/>
  <c r="E17" i="9"/>
  <c r="G17" i="23" s="1"/>
  <c r="E7" i="9"/>
  <c r="D36" i="9"/>
  <c r="F36" i="9" s="1"/>
  <c r="D37" i="9"/>
  <c r="D38" i="9"/>
  <c r="D39" i="9"/>
  <c r="D40" i="9"/>
  <c r="D41" i="9"/>
  <c r="D42" i="9"/>
  <c r="D43" i="9"/>
  <c r="D44" i="9"/>
  <c r="D35" i="9"/>
  <c r="F46" i="9" l="1"/>
  <c r="G155" i="23"/>
  <c r="G154" i="23"/>
  <c r="G9" i="23"/>
  <c r="G10" i="23"/>
  <c r="M101" i="9"/>
  <c r="M95" i="9"/>
  <c r="O95" i="9" s="1"/>
  <c r="M88" i="9"/>
  <c r="O88" i="9" s="1"/>
  <c r="F44" i="9"/>
  <c r="F43" i="9"/>
  <c r="F40" i="9"/>
  <c r="F39" i="9"/>
  <c r="F38" i="9"/>
  <c r="F37" i="9"/>
  <c r="F35" i="9"/>
  <c r="D116" i="9"/>
  <c r="F116" i="9" s="1"/>
  <c r="D115" i="9"/>
  <c r="F115" i="9" s="1"/>
  <c r="D114" i="9"/>
  <c r="D113" i="9"/>
  <c r="F113" i="9" s="1"/>
  <c r="D112" i="9"/>
  <c r="F112" i="9" s="1"/>
  <c r="D109" i="9"/>
  <c r="D108" i="9"/>
  <c r="F108" i="9" s="1"/>
  <c r="D107" i="9"/>
  <c r="D106" i="9"/>
  <c r="F106" i="9" s="1"/>
  <c r="D105" i="9"/>
  <c r="D104" i="9"/>
  <c r="F104" i="9" s="1"/>
  <c r="D103" i="9"/>
  <c r="F103" i="9" s="1"/>
  <c r="D102" i="9"/>
  <c r="F102" i="9" s="1"/>
  <c r="D99" i="9"/>
  <c r="F99" i="9" s="1"/>
  <c r="D98" i="9"/>
  <c r="F98" i="9" s="1"/>
  <c r="D97" i="9"/>
  <c r="F97" i="9" s="1"/>
  <c r="D96" i="9"/>
  <c r="F96" i="9" s="1"/>
  <c r="D93" i="9"/>
  <c r="D92" i="9"/>
  <c r="F92" i="9" s="1"/>
  <c r="D91" i="9"/>
  <c r="D90" i="9"/>
  <c r="F90" i="9" s="1"/>
  <c r="D89" i="9"/>
  <c r="F89" i="9" s="1"/>
  <c r="D85" i="9"/>
  <c r="F85" i="9" s="1"/>
  <c r="D84" i="9"/>
  <c r="F84" i="9" s="1"/>
  <c r="D83" i="9"/>
  <c r="F83" i="9" s="1"/>
  <c r="D82" i="9"/>
  <c r="F82" i="9" s="1"/>
  <c r="D81" i="9"/>
  <c r="F81" i="9" s="1"/>
  <c r="D80" i="9"/>
  <c r="F80" i="9" s="1"/>
  <c r="D79" i="9"/>
  <c r="F79" i="9" s="1"/>
  <c r="D78" i="9"/>
  <c r="F78" i="9" s="1"/>
  <c r="D77" i="9"/>
  <c r="F77" i="9" s="1"/>
  <c r="D76" i="9"/>
  <c r="F76" i="9" s="1"/>
  <c r="D75" i="9"/>
  <c r="F75" i="9" s="1"/>
  <c r="D74" i="9"/>
  <c r="F74" i="9" s="1"/>
  <c r="D73" i="9"/>
  <c r="F73" i="9" s="1"/>
  <c r="D72" i="9"/>
  <c r="F72" i="9" s="1"/>
  <c r="D71" i="9"/>
  <c r="F71" i="9" s="1"/>
  <c r="D68" i="9"/>
  <c r="F68" i="9" s="1"/>
  <c r="D66" i="9"/>
  <c r="F66" i="9" s="1"/>
  <c r="D65" i="9"/>
  <c r="F65" i="9" s="1"/>
  <c r="D62" i="9"/>
  <c r="F62" i="9" s="1"/>
  <c r="D61" i="9"/>
  <c r="F61" i="9" s="1"/>
  <c r="D60" i="9"/>
  <c r="F60" i="9" s="1"/>
  <c r="D59" i="9"/>
  <c r="F59" i="9" s="1"/>
  <c r="D58" i="9"/>
  <c r="F58" i="9" s="1"/>
  <c r="D57" i="9"/>
  <c r="F57" i="9" s="1"/>
  <c r="D32" i="9"/>
  <c r="D31" i="9"/>
  <c r="D29" i="9"/>
  <c r="F29" i="9" s="1"/>
  <c r="D28" i="9"/>
  <c r="F28" i="9" s="1"/>
  <c r="D27" i="9"/>
  <c r="F27" i="9" s="1"/>
  <c r="D26" i="9"/>
  <c r="F26" i="9" s="1"/>
  <c r="D25" i="9"/>
  <c r="F25" i="9" s="1"/>
  <c r="D24" i="9"/>
  <c r="F24" i="9" s="1"/>
  <c r="D23" i="9"/>
  <c r="F23" i="9" s="1"/>
  <c r="D22" i="9"/>
  <c r="F22" i="9" s="1"/>
  <c r="D21" i="9"/>
  <c r="F21" i="9" s="1"/>
  <c r="D20" i="9"/>
  <c r="F20" i="9" s="1"/>
  <c r="D18" i="9"/>
  <c r="D17" i="9"/>
  <c r="F17" i="9" s="1"/>
  <c r="D16" i="9"/>
  <c r="F16" i="9" s="1"/>
  <c r="D15" i="9"/>
  <c r="F15" i="9" s="1"/>
  <c r="D14" i="9"/>
  <c r="D13" i="9"/>
  <c r="D12" i="9"/>
  <c r="F12" i="9" s="1"/>
  <c r="G14" i="23" s="1"/>
  <c r="D11" i="9"/>
  <c r="F11" i="9" s="1"/>
  <c r="G13" i="23" s="1"/>
  <c r="D10" i="9"/>
  <c r="F10" i="9" s="1"/>
  <c r="D9" i="9"/>
  <c r="F9" i="9" s="1"/>
  <c r="D8" i="9"/>
  <c r="F8" i="9" s="1"/>
  <c r="D7" i="9"/>
  <c r="F7" i="9" s="1"/>
  <c r="F32" i="9"/>
  <c r="F31" i="9"/>
  <c r="N109" i="9"/>
  <c r="N108" i="9"/>
  <c r="N107" i="9"/>
  <c r="N105" i="9"/>
  <c r="W111" i="19"/>
  <c r="W101" i="19"/>
  <c r="W6" i="19"/>
  <c r="W95" i="19"/>
  <c r="W88" i="19"/>
  <c r="W70" i="19"/>
  <c r="W69" i="19" s="1"/>
  <c r="W64" i="19"/>
  <c r="W56" i="19"/>
  <c r="W46" i="19"/>
  <c r="W34" i="19"/>
  <c r="W30" i="19"/>
  <c r="W19" i="19"/>
  <c r="F19" i="9" l="1"/>
  <c r="F30" i="9"/>
  <c r="N101" i="9"/>
  <c r="F101" i="9"/>
  <c r="F34" i="9"/>
  <c r="I59" i="23" s="1"/>
  <c r="F111" i="9"/>
  <c r="F64" i="9"/>
  <c r="F6" i="9"/>
  <c r="W87" i="19"/>
  <c r="W55" i="19"/>
  <c r="W33" i="19"/>
  <c r="W5" i="19"/>
  <c r="M111" i="9"/>
  <c r="O111" i="9" s="1"/>
  <c r="M46" i="9"/>
  <c r="M69" i="9"/>
  <c r="O69" i="9" s="1"/>
  <c r="F95" i="9"/>
  <c r="F88" i="9"/>
  <c r="F70" i="9"/>
  <c r="F56" i="9"/>
  <c r="M87" i="9"/>
  <c r="O87" i="9" s="1"/>
  <c r="W100" i="19"/>
  <c r="N100" i="9" l="1"/>
  <c r="O101" i="9"/>
  <c r="M33" i="9"/>
  <c r="O33" i="9" s="1"/>
  <c r="O46" i="9"/>
  <c r="M100" i="9"/>
  <c r="I95" i="23"/>
  <c r="I102" i="29"/>
  <c r="I73" i="23"/>
  <c r="I117" i="23"/>
  <c r="I160" i="23"/>
  <c r="I127" i="23"/>
  <c r="I137" i="23"/>
  <c r="I149" i="23"/>
  <c r="I21" i="23"/>
  <c r="I37" i="23"/>
  <c r="I45" i="23"/>
  <c r="I86" i="23"/>
  <c r="W118" i="19"/>
  <c r="W122" i="19" s="1"/>
  <c r="F5" i="9"/>
  <c r="F33" i="9"/>
  <c r="F87" i="9"/>
  <c r="F55" i="9"/>
  <c r="F100" i="9"/>
  <c r="F69" i="9"/>
  <c r="G51" i="29"/>
  <c r="F22" i="19"/>
  <c r="G29" i="29" s="1"/>
  <c r="G150" i="29"/>
  <c r="G14" i="29"/>
  <c r="N118" i="9" l="1"/>
  <c r="O100" i="9"/>
  <c r="F118" i="9"/>
  <c r="D81" i="19"/>
  <c r="D80" i="19"/>
  <c r="D78" i="19"/>
  <c r="I78" i="9" s="1"/>
  <c r="F78" i="19"/>
  <c r="I162" i="23" l="1"/>
  <c r="J78" i="9"/>
  <c r="G112" i="29"/>
  <c r="I164" i="23"/>
  <c r="C50" i="27"/>
  <c r="C49" i="27" s="1"/>
  <c r="D49" i="27"/>
  <c r="C45" i="27"/>
  <c r="C44" i="27"/>
  <c r="D44" i="27" s="1"/>
  <c r="C43" i="27"/>
  <c r="D43" i="27" s="1"/>
  <c r="C40" i="27"/>
  <c r="C32" i="27"/>
  <c r="C31" i="27"/>
  <c r="C29" i="27"/>
  <c r="C28" i="27"/>
  <c r="C26" i="27"/>
  <c r="D25" i="27"/>
  <c r="C21" i="27"/>
  <c r="C20" i="27" s="1"/>
  <c r="D20" i="27"/>
  <c r="C15" i="27"/>
  <c r="C13" i="27" s="1"/>
  <c r="D13" i="27"/>
  <c r="C10" i="27"/>
  <c r="C8" i="27" s="1"/>
  <c r="D8" i="27"/>
  <c r="D41" i="27" l="1"/>
  <c r="D33" i="27" s="1"/>
  <c r="D12" i="27"/>
  <c r="D7" i="27" s="1"/>
  <c r="C25" i="27"/>
  <c r="C12" i="27" s="1"/>
  <c r="C7" i="27" s="1"/>
  <c r="C41" i="27"/>
  <c r="C33" i="27" s="1"/>
  <c r="D6" i="27" l="1"/>
  <c r="D54" i="27" s="1"/>
  <c r="C6" i="27"/>
  <c r="C54" i="27" s="1"/>
  <c r="U46" i="19" l="1"/>
  <c r="T95" i="19" l="1"/>
  <c r="T87" i="19" s="1"/>
  <c r="U95" i="19"/>
  <c r="T100" i="19"/>
  <c r="T69" i="19"/>
  <c r="T55" i="19"/>
  <c r="T33" i="19"/>
  <c r="T5" i="19"/>
  <c r="U25" i="19"/>
  <c r="U6" i="19"/>
  <c r="U19" i="19" l="1"/>
  <c r="M25" i="9"/>
  <c r="O25" i="9" s="1"/>
  <c r="H29" i="23" l="1"/>
  <c r="J29" i="23" s="1"/>
  <c r="M19" i="9"/>
  <c r="O19" i="9" s="1"/>
  <c r="F59" i="19"/>
  <c r="F58" i="19"/>
  <c r="F114" i="19"/>
  <c r="F99" i="19"/>
  <c r="G142" i="29" s="1"/>
  <c r="M5" i="9" l="1"/>
  <c r="H34" i="23"/>
  <c r="J34" i="23" s="1"/>
  <c r="F52" i="19"/>
  <c r="G73" i="29" s="1"/>
  <c r="G74" i="29"/>
  <c r="D53" i="19"/>
  <c r="D52" i="19"/>
  <c r="M118" i="9" l="1"/>
  <c r="O118" i="9" s="1"/>
  <c r="O5" i="9"/>
  <c r="G69" i="29"/>
  <c r="F41" i="19"/>
  <c r="F40" i="19"/>
  <c r="G56" i="29" s="1"/>
  <c r="F29" i="19"/>
  <c r="G36" i="29" s="1"/>
  <c r="F17" i="19"/>
  <c r="D17" i="19"/>
  <c r="D15" i="19"/>
  <c r="F16" i="19"/>
  <c r="G18" i="29" s="1"/>
  <c r="F15" i="19"/>
  <c r="G17" i="29" s="1"/>
  <c r="D16" i="19"/>
  <c r="F13" i="19"/>
  <c r="G15" i="29" s="1"/>
  <c r="G13" i="29"/>
  <c r="D10" i="19" l="1"/>
  <c r="F10" i="19" l="1"/>
  <c r="G12" i="29" s="1"/>
  <c r="D9" i="19"/>
  <c r="D8" i="19"/>
  <c r="I8" i="9" s="1"/>
  <c r="D7" i="19"/>
  <c r="F7" i="19"/>
  <c r="G9" i="29" s="1"/>
  <c r="F8" i="19"/>
  <c r="J8" i="9" l="1"/>
  <c r="G10" i="29"/>
  <c r="V118" i="19"/>
  <c r="U111" i="19"/>
  <c r="U100" i="19" s="1"/>
  <c r="U88" i="19"/>
  <c r="U87" i="19" s="1"/>
  <c r="U70" i="19"/>
  <c r="U69" i="19" s="1"/>
  <c r="U64" i="19"/>
  <c r="U56" i="19"/>
  <c r="S46" i="19"/>
  <c r="U34" i="19"/>
  <c r="U33" i="19" s="1"/>
  <c r="U30" i="19"/>
  <c r="U5" i="19" s="1"/>
  <c r="S6" i="19"/>
  <c r="U55" i="19" l="1"/>
  <c r="U118" i="19"/>
  <c r="U122" i="19" s="1"/>
  <c r="E84" i="19" l="1"/>
  <c r="Q64" i="19" l="1"/>
  <c r="Q70" i="19"/>
  <c r="Q69" i="19" s="1"/>
  <c r="Q88" i="19"/>
  <c r="Q95" i="19"/>
  <c r="Q101" i="19"/>
  <c r="Q111" i="19"/>
  <c r="R118" i="19"/>
  <c r="Q100" i="19" l="1"/>
  <c r="Q87" i="19"/>
  <c r="E10" i="19" l="1"/>
  <c r="E8" i="19"/>
  <c r="X9" i="19" l="1"/>
  <c r="X10" i="19"/>
  <c r="X112" i="19"/>
  <c r="X113" i="19"/>
  <c r="X65" i="19"/>
  <c r="X66" i="19"/>
  <c r="X58" i="19"/>
  <c r="X59" i="19"/>
  <c r="X53" i="19"/>
  <c r="X52" i="19"/>
  <c r="X50" i="19"/>
  <c r="X51" i="19"/>
  <c r="X35" i="19"/>
  <c r="X36" i="19"/>
  <c r="Q46" i="19"/>
  <c r="C86" i="9"/>
  <c r="I63" i="9"/>
  <c r="C110" i="9"/>
  <c r="C94" i="9"/>
  <c r="J63" i="9"/>
  <c r="J54" i="9"/>
  <c r="I54" i="9"/>
  <c r="C63" i="9"/>
  <c r="M101" i="19"/>
  <c r="O95" i="19"/>
  <c r="M95" i="19"/>
  <c r="O88" i="19"/>
  <c r="M88" i="19"/>
  <c r="O76" i="19"/>
  <c r="G76" i="19" s="1"/>
  <c r="O75" i="19"/>
  <c r="G75" i="19" s="1"/>
  <c r="O6" i="19"/>
  <c r="M70" i="19"/>
  <c r="M69" i="19" s="1"/>
  <c r="O64" i="19"/>
  <c r="M64" i="19"/>
  <c r="M55" i="19" s="1"/>
  <c r="O56" i="19"/>
  <c r="O55" i="19" s="1"/>
  <c r="M56" i="19"/>
  <c r="O46" i="19"/>
  <c r="O33" i="19" s="1"/>
  <c r="M46" i="19"/>
  <c r="M6" i="19"/>
  <c r="O34" i="19"/>
  <c r="M34" i="19"/>
  <c r="O30" i="19"/>
  <c r="M30" i="19"/>
  <c r="O19" i="19"/>
  <c r="M19" i="19"/>
  <c r="F102" i="19"/>
  <c r="G107" i="19"/>
  <c r="J7" i="9"/>
  <c r="I7" i="9"/>
  <c r="G116" i="19"/>
  <c r="I46" i="19"/>
  <c r="I30" i="19"/>
  <c r="I6" i="19"/>
  <c r="G102" i="19"/>
  <c r="G17" i="19"/>
  <c r="G16" i="19"/>
  <c r="Q56" i="19"/>
  <c r="Q55" i="19" s="1"/>
  <c r="Q6" i="19"/>
  <c r="Q19" i="19"/>
  <c r="Q30" i="19"/>
  <c r="Q34" i="19"/>
  <c r="I51" i="9"/>
  <c r="I21" i="9"/>
  <c r="O101" i="19"/>
  <c r="F49" i="19"/>
  <c r="F116" i="19"/>
  <c r="J114" i="9"/>
  <c r="J112" i="9"/>
  <c r="F109" i="19"/>
  <c r="J109" i="9" s="1"/>
  <c r="F108" i="19"/>
  <c r="J108" i="9" s="1"/>
  <c r="F107" i="19"/>
  <c r="J107" i="9" s="1"/>
  <c r="F105" i="19"/>
  <c r="J105" i="9" s="1"/>
  <c r="F104" i="19"/>
  <c r="J103" i="9"/>
  <c r="F97" i="19"/>
  <c r="J97" i="9" s="1"/>
  <c r="F96" i="19"/>
  <c r="J96" i="9" s="1"/>
  <c r="F93" i="19"/>
  <c r="J93" i="9" s="1"/>
  <c r="F92" i="19"/>
  <c r="F91" i="19"/>
  <c r="J91" i="9" s="1"/>
  <c r="F90" i="19"/>
  <c r="F89" i="19"/>
  <c r="F85" i="19"/>
  <c r="J85" i="9" s="1"/>
  <c r="F84" i="19"/>
  <c r="F83" i="19"/>
  <c r="F82" i="19"/>
  <c r="F81" i="19"/>
  <c r="F80" i="19"/>
  <c r="F79" i="19"/>
  <c r="F77" i="19"/>
  <c r="F76" i="19"/>
  <c r="F73" i="19"/>
  <c r="J73" i="9" s="1"/>
  <c r="F72" i="19"/>
  <c r="J72" i="9" s="1"/>
  <c r="F71" i="19"/>
  <c r="J71" i="9" s="1"/>
  <c r="F67" i="19"/>
  <c r="J67" i="9" s="1"/>
  <c r="F66" i="19"/>
  <c r="J66" i="9" s="1"/>
  <c r="F65" i="19"/>
  <c r="J65" i="9" s="1"/>
  <c r="F62" i="19"/>
  <c r="J62" i="9" s="1"/>
  <c r="F61" i="19"/>
  <c r="F60" i="19"/>
  <c r="G85" i="29" s="1"/>
  <c r="J59" i="9"/>
  <c r="J58" i="9"/>
  <c r="J53" i="9"/>
  <c r="J51" i="9"/>
  <c r="J50" i="9"/>
  <c r="J48" i="9"/>
  <c r="F44" i="19"/>
  <c r="F43" i="19"/>
  <c r="F42" i="19"/>
  <c r="J42" i="9" s="1"/>
  <c r="J41" i="9"/>
  <c r="J40" i="9"/>
  <c r="F39" i="19"/>
  <c r="F38" i="19"/>
  <c r="J36" i="9"/>
  <c r="J35" i="9"/>
  <c r="D32" i="19"/>
  <c r="I32" i="9" s="1"/>
  <c r="F32" i="19"/>
  <c r="F31" i="19"/>
  <c r="J29" i="9"/>
  <c r="D29" i="19"/>
  <c r="I29" i="9" s="1"/>
  <c r="F27" i="19"/>
  <c r="J26" i="9"/>
  <c r="D25" i="19"/>
  <c r="I25" i="9" s="1"/>
  <c r="D24" i="19"/>
  <c r="I24" i="9" s="1"/>
  <c r="F24" i="19"/>
  <c r="F23" i="19"/>
  <c r="D22" i="19"/>
  <c r="I22" i="9" s="1"/>
  <c r="J22" i="9"/>
  <c r="F18" i="19"/>
  <c r="J18" i="9" s="1"/>
  <c r="J17" i="9"/>
  <c r="J16" i="9"/>
  <c r="J15" i="9"/>
  <c r="J13" i="9"/>
  <c r="J10" i="9"/>
  <c r="I10" i="9"/>
  <c r="F9" i="19"/>
  <c r="D43" i="19"/>
  <c r="I43" i="9" s="1"/>
  <c r="D40" i="19"/>
  <c r="I40" i="9" s="1"/>
  <c r="D39" i="19"/>
  <c r="I39" i="9" s="1"/>
  <c r="D37" i="19"/>
  <c r="I37" i="9" s="1"/>
  <c r="D38" i="19"/>
  <c r="I38" i="9" s="1"/>
  <c r="F25" i="19"/>
  <c r="I112" i="9"/>
  <c r="I103" i="9"/>
  <c r="I98" i="9"/>
  <c r="K98" i="9" s="1"/>
  <c r="I93" i="9"/>
  <c r="I76" i="9"/>
  <c r="I80" i="9"/>
  <c r="I81" i="9"/>
  <c r="I49" i="9"/>
  <c r="I48" i="9"/>
  <c r="I41" i="9"/>
  <c r="I27" i="9"/>
  <c r="I12" i="9"/>
  <c r="K12" i="9" s="1"/>
  <c r="I13" i="9"/>
  <c r="I11" i="9"/>
  <c r="K11" i="9" s="1"/>
  <c r="I9" i="9"/>
  <c r="G98" i="19"/>
  <c r="I34" i="19"/>
  <c r="I64" i="19"/>
  <c r="E20" i="19"/>
  <c r="I19" i="19"/>
  <c r="E107" i="19"/>
  <c r="E71" i="19"/>
  <c r="E65" i="19"/>
  <c r="E58" i="19"/>
  <c r="E50" i="19"/>
  <c r="E52" i="19"/>
  <c r="E47" i="19"/>
  <c r="E37" i="19"/>
  <c r="E39" i="19"/>
  <c r="E41" i="19"/>
  <c r="E42" i="19"/>
  <c r="E43" i="19"/>
  <c r="E35" i="19"/>
  <c r="E22" i="19"/>
  <c r="E9" i="19"/>
  <c r="E13" i="19"/>
  <c r="E16" i="19"/>
  <c r="E17" i="19"/>
  <c r="E105" i="19"/>
  <c r="E108" i="19"/>
  <c r="E109" i="19"/>
  <c r="E98" i="19"/>
  <c r="E99" i="19"/>
  <c r="E96" i="19"/>
  <c r="E92" i="19"/>
  <c r="E73" i="19"/>
  <c r="E75" i="19"/>
  <c r="E76" i="19"/>
  <c r="E83" i="19"/>
  <c r="E85" i="19"/>
  <c r="E68" i="19"/>
  <c r="E57" i="19"/>
  <c r="E27" i="19"/>
  <c r="E28" i="19"/>
  <c r="E29" i="19"/>
  <c r="E26" i="19"/>
  <c r="E21" i="19"/>
  <c r="E24" i="19"/>
  <c r="E18" i="19"/>
  <c r="S19" i="19"/>
  <c r="N5" i="19"/>
  <c r="P5" i="19"/>
  <c r="M114" i="19"/>
  <c r="M111" i="19" s="1"/>
  <c r="E106" i="19"/>
  <c r="E82" i="19"/>
  <c r="E66" i="19"/>
  <c r="E40" i="19"/>
  <c r="E15" i="19"/>
  <c r="E74" i="19"/>
  <c r="E60" i="19"/>
  <c r="D108" i="19"/>
  <c r="I108" i="9" s="1"/>
  <c r="D23" i="19"/>
  <c r="I23" i="9" s="1"/>
  <c r="I101" i="19"/>
  <c r="K6" i="19"/>
  <c r="G10" i="19"/>
  <c r="G21" i="19"/>
  <c r="G110" i="19"/>
  <c r="G109" i="19"/>
  <c r="G32" i="19"/>
  <c r="G31" i="19"/>
  <c r="G22" i="19"/>
  <c r="G23" i="19"/>
  <c r="G24" i="19"/>
  <c r="G25" i="19"/>
  <c r="G26" i="19"/>
  <c r="G27" i="19"/>
  <c r="G28" i="19"/>
  <c r="G29" i="19"/>
  <c r="G20" i="19"/>
  <c r="G9" i="19"/>
  <c r="G11" i="19"/>
  <c r="G12" i="19"/>
  <c r="G13" i="19"/>
  <c r="G14" i="19"/>
  <c r="G15" i="19"/>
  <c r="G18" i="19"/>
  <c r="G36" i="19"/>
  <c r="G37" i="19"/>
  <c r="G38" i="19"/>
  <c r="G39" i="19"/>
  <c r="G40" i="19"/>
  <c r="G41" i="19"/>
  <c r="G42" i="19"/>
  <c r="G43" i="19"/>
  <c r="G44" i="19"/>
  <c r="G45" i="19"/>
  <c r="G35" i="19"/>
  <c r="G48" i="19"/>
  <c r="G49" i="19"/>
  <c r="G50" i="19"/>
  <c r="G51" i="19"/>
  <c r="G52" i="19"/>
  <c r="G53" i="19"/>
  <c r="G54" i="19"/>
  <c r="G47" i="19"/>
  <c r="G58" i="19"/>
  <c r="G59" i="19"/>
  <c r="G60" i="19"/>
  <c r="G61" i="19"/>
  <c r="G62" i="19"/>
  <c r="G63" i="19"/>
  <c r="G57" i="19"/>
  <c r="G66" i="19"/>
  <c r="G67" i="19"/>
  <c r="G68" i="19"/>
  <c r="G72" i="19"/>
  <c r="G73" i="19"/>
  <c r="G74" i="19"/>
  <c r="G78" i="19"/>
  <c r="G79" i="19"/>
  <c r="G81" i="19"/>
  <c r="G82" i="19"/>
  <c r="G83" i="19"/>
  <c r="G84" i="19"/>
  <c r="G85" i="19"/>
  <c r="G86" i="19"/>
  <c r="G71" i="19"/>
  <c r="G89" i="19"/>
  <c r="G90" i="19"/>
  <c r="G91" i="19"/>
  <c r="G92" i="19"/>
  <c r="G93" i="19"/>
  <c r="G94" i="19"/>
  <c r="G103" i="19"/>
  <c r="G115" i="19"/>
  <c r="G113" i="19"/>
  <c r="G114" i="19"/>
  <c r="G96" i="19"/>
  <c r="G97" i="19"/>
  <c r="G99" i="19"/>
  <c r="G80" i="19"/>
  <c r="G77" i="19"/>
  <c r="K34" i="19"/>
  <c r="K70" i="19"/>
  <c r="K69" i="19" s="1"/>
  <c r="K88" i="19"/>
  <c r="K95" i="19"/>
  <c r="K101" i="19"/>
  <c r="K111" i="19"/>
  <c r="K19" i="19"/>
  <c r="B49" i="9"/>
  <c r="B48" i="9"/>
  <c r="C40" i="9"/>
  <c r="B40" i="9"/>
  <c r="B24" i="9"/>
  <c r="I70" i="19"/>
  <c r="I69" i="19" s="1"/>
  <c r="K30" i="19"/>
  <c r="K56" i="19"/>
  <c r="D18" i="19"/>
  <c r="I18" i="9" s="1"/>
  <c r="J21" i="9"/>
  <c r="D20" i="19"/>
  <c r="I20" i="9" s="1"/>
  <c r="K64" i="19"/>
  <c r="I111" i="19"/>
  <c r="I95" i="19"/>
  <c r="I56" i="19"/>
  <c r="I88" i="19"/>
  <c r="H100" i="19"/>
  <c r="S111" i="19"/>
  <c r="O111" i="19"/>
  <c r="S101" i="19"/>
  <c r="S95" i="19"/>
  <c r="S88" i="19"/>
  <c r="S70" i="19"/>
  <c r="S69" i="19" s="1"/>
  <c r="S56" i="19"/>
  <c r="S34" i="19"/>
  <c r="D36" i="19"/>
  <c r="I36" i="9" s="1"/>
  <c r="D116" i="19"/>
  <c r="I116" i="9" s="1"/>
  <c r="D115" i="19"/>
  <c r="I115" i="9"/>
  <c r="D114" i="19"/>
  <c r="I114" i="9" s="1"/>
  <c r="D113" i="19"/>
  <c r="I113" i="9" s="1"/>
  <c r="D109" i="19"/>
  <c r="I109" i="9" s="1"/>
  <c r="D107" i="19"/>
  <c r="I107" i="9" s="1"/>
  <c r="D106" i="19"/>
  <c r="I106" i="9" s="1"/>
  <c r="D105" i="19"/>
  <c r="I105" i="9" s="1"/>
  <c r="D104" i="19"/>
  <c r="I104" i="9" s="1"/>
  <c r="D102" i="19"/>
  <c r="I102" i="9" s="1"/>
  <c r="D99" i="19"/>
  <c r="I99" i="9" s="1"/>
  <c r="D97" i="19"/>
  <c r="I97" i="9" s="1"/>
  <c r="D96" i="19"/>
  <c r="I96" i="9" s="1"/>
  <c r="D92" i="19"/>
  <c r="I92" i="9" s="1"/>
  <c r="D91" i="19"/>
  <c r="I91" i="9" s="1"/>
  <c r="D90" i="19"/>
  <c r="I90" i="9" s="1"/>
  <c r="D89" i="19"/>
  <c r="I89" i="9" s="1"/>
  <c r="D85" i="19"/>
  <c r="I85" i="9" s="1"/>
  <c r="D84" i="19"/>
  <c r="I84" i="9" s="1"/>
  <c r="D83" i="19"/>
  <c r="I83" i="9" s="1"/>
  <c r="D82" i="19"/>
  <c r="I82" i="9" s="1"/>
  <c r="D79" i="19"/>
  <c r="I79" i="9" s="1"/>
  <c r="D77" i="19"/>
  <c r="I77" i="9" s="1"/>
  <c r="D75" i="19"/>
  <c r="I75" i="9" s="1"/>
  <c r="D72" i="19"/>
  <c r="I72" i="9" s="1"/>
  <c r="D73" i="19"/>
  <c r="I73" i="9" s="1"/>
  <c r="D74" i="19"/>
  <c r="I74" i="9" s="1"/>
  <c r="D71" i="19"/>
  <c r="I71" i="9" s="1"/>
  <c r="D68" i="19"/>
  <c r="I68" i="9" s="1"/>
  <c r="D67" i="19"/>
  <c r="I67" i="9" s="1"/>
  <c r="D66" i="19"/>
  <c r="I66" i="9" s="1"/>
  <c r="D65" i="19"/>
  <c r="I65" i="9" s="1"/>
  <c r="I64" i="9" s="1"/>
  <c r="D62" i="19"/>
  <c r="I62" i="9" s="1"/>
  <c r="D61" i="19"/>
  <c r="I61" i="9" s="1"/>
  <c r="D60" i="19"/>
  <c r="I60" i="9" s="1"/>
  <c r="I59" i="9"/>
  <c r="D58" i="19"/>
  <c r="I58" i="9" s="1"/>
  <c r="D57" i="19"/>
  <c r="I57" i="9" s="1"/>
  <c r="I53" i="9"/>
  <c r="I52" i="9"/>
  <c r="D50" i="19"/>
  <c r="I50" i="9" s="1"/>
  <c r="D47" i="19"/>
  <c r="I47" i="9" s="1"/>
  <c r="D44" i="19"/>
  <c r="I44" i="9" s="1"/>
  <c r="D42" i="19"/>
  <c r="I42" i="9" s="1"/>
  <c r="D35" i="19"/>
  <c r="I35" i="9" s="1"/>
  <c r="D31" i="19"/>
  <c r="I31" i="9" s="1"/>
  <c r="I30" i="9" s="1"/>
  <c r="D26" i="19"/>
  <c r="I16" i="9"/>
  <c r="I15" i="9"/>
  <c r="F14" i="19"/>
  <c r="J14" i="9" s="1"/>
  <c r="D14" i="19"/>
  <c r="I14" i="9"/>
  <c r="F28" i="19"/>
  <c r="D28" i="19"/>
  <c r="G112" i="19"/>
  <c r="G108" i="19"/>
  <c r="J99" i="9"/>
  <c r="K99" i="9" s="1"/>
  <c r="F75" i="19"/>
  <c r="F74" i="19"/>
  <c r="J52" i="9"/>
  <c r="D2" i="24"/>
  <c r="D5" i="24"/>
  <c r="D9" i="24"/>
  <c r="D11" i="24"/>
  <c r="D13" i="24"/>
  <c r="D14" i="24"/>
  <c r="E18" i="17"/>
  <c r="F9" i="22"/>
  <c r="G9" i="22"/>
  <c r="B10" i="22"/>
  <c r="C10" i="22"/>
  <c r="D10" i="22"/>
  <c r="E10" i="22"/>
  <c r="F11" i="22"/>
  <c r="G11" i="22"/>
  <c r="F12" i="22"/>
  <c r="G12" i="22"/>
  <c r="F13" i="22"/>
  <c r="G13" i="22"/>
  <c r="C15" i="22"/>
  <c r="C14" i="22" s="1"/>
  <c r="D15" i="22"/>
  <c r="D14" i="22" s="1"/>
  <c r="E16" i="22"/>
  <c r="G16" i="22" s="1"/>
  <c r="F16" i="22"/>
  <c r="F17" i="22"/>
  <c r="G17" i="22"/>
  <c r="B18" i="22"/>
  <c r="F18" i="22" s="1"/>
  <c r="G18" i="22"/>
  <c r="B19" i="22"/>
  <c r="C19" i="22"/>
  <c r="D19" i="22"/>
  <c r="E19" i="22"/>
  <c r="F20" i="22"/>
  <c r="G20" i="22"/>
  <c r="F21" i="22"/>
  <c r="G21" i="22"/>
  <c r="B23" i="22"/>
  <c r="C23" i="22"/>
  <c r="D23" i="22"/>
  <c r="E23" i="22"/>
  <c r="F24" i="22"/>
  <c r="F23" i="22" s="1"/>
  <c r="G24" i="22"/>
  <c r="G23" i="22" s="1"/>
  <c r="B29" i="22"/>
  <c r="C29" i="22"/>
  <c r="D29" i="22"/>
  <c r="E29" i="22"/>
  <c r="F30" i="22"/>
  <c r="G30" i="22"/>
  <c r="F31" i="22"/>
  <c r="G31" i="22"/>
  <c r="F32" i="22"/>
  <c r="G32" i="22"/>
  <c r="F33" i="22"/>
  <c r="G33" i="22"/>
  <c r="B34" i="22"/>
  <c r="C34" i="22"/>
  <c r="D34" i="22"/>
  <c r="E34" i="22"/>
  <c r="F35" i="22"/>
  <c r="G35" i="22"/>
  <c r="F36" i="22"/>
  <c r="G36" i="22"/>
  <c r="F37" i="22"/>
  <c r="G37" i="22"/>
  <c r="F38" i="22"/>
  <c r="G38" i="22"/>
  <c r="F39" i="22"/>
  <c r="G39" i="22"/>
  <c r="B40" i="22"/>
  <c r="C40" i="22"/>
  <c r="D40" i="22"/>
  <c r="E40" i="22"/>
  <c r="F41" i="22"/>
  <c r="G41" i="22"/>
  <c r="F42" i="22"/>
  <c r="G42" i="22"/>
  <c r="F43" i="22"/>
  <c r="G43" i="22"/>
  <c r="B44" i="22"/>
  <c r="C44" i="22"/>
  <c r="D44" i="22"/>
  <c r="E44" i="22"/>
  <c r="F45" i="22"/>
  <c r="G45" i="22"/>
  <c r="F46" i="22"/>
  <c r="F44" i="22" s="1"/>
  <c r="G46" i="22"/>
  <c r="B47" i="22"/>
  <c r="C47" i="22"/>
  <c r="D47" i="22"/>
  <c r="E47" i="22"/>
  <c r="F48" i="22"/>
  <c r="F47" i="22" s="1"/>
  <c r="G48" i="22"/>
  <c r="G47" i="22" s="1"/>
  <c r="B49" i="22"/>
  <c r="C49" i="22"/>
  <c r="D49" i="22"/>
  <c r="E49" i="22"/>
  <c r="F50" i="22"/>
  <c r="G50" i="22"/>
  <c r="F51" i="22"/>
  <c r="G51" i="22"/>
  <c r="F52" i="22"/>
  <c r="G52" i="22"/>
  <c r="F53" i="22"/>
  <c r="G53" i="22"/>
  <c r="F59" i="22"/>
  <c r="J9" i="18"/>
  <c r="A10" i="18"/>
  <c r="D10" i="18"/>
  <c r="J10" i="18"/>
  <c r="D12" i="18"/>
  <c r="J12" i="18"/>
  <c r="D13" i="18"/>
  <c r="J13" i="18"/>
  <c r="D14" i="18"/>
  <c r="J14" i="18"/>
  <c r="D15" i="18"/>
  <c r="J15" i="18"/>
  <c r="J17" i="18"/>
  <c r="D19" i="18"/>
  <c r="J19" i="18"/>
  <c r="A20" i="18"/>
  <c r="A21" i="18" s="1"/>
  <c r="A23" i="18" s="1"/>
  <c r="A25" i="18" s="1"/>
  <c r="J20" i="18"/>
  <c r="D21" i="18"/>
  <c r="J21" i="18"/>
  <c r="D22" i="18"/>
  <c r="J22" i="18"/>
  <c r="D23" i="18"/>
  <c r="J23" i="18"/>
  <c r="D24" i="18"/>
  <c r="J24" i="18"/>
  <c r="J25" i="18"/>
  <c r="J27" i="18"/>
  <c r="D28" i="18"/>
  <c r="J28" i="18"/>
  <c r="A29" i="18"/>
  <c r="A31" i="18" s="1"/>
  <c r="A32" i="18" s="1"/>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S30" i="19"/>
  <c r="V46" i="19"/>
  <c r="F68" i="19"/>
  <c r="J68" i="9" s="1"/>
  <c r="G104" i="19"/>
  <c r="G105" i="19"/>
  <c r="F106" i="19"/>
  <c r="G106" i="19"/>
  <c r="F115" i="19"/>
  <c r="K46" i="19"/>
  <c r="E59" i="19"/>
  <c r="E62" i="19"/>
  <c r="E32" i="19"/>
  <c r="E38" i="19"/>
  <c r="E49" i="19"/>
  <c r="E53" i="19"/>
  <c r="E31" i="19"/>
  <c r="E51" i="19"/>
  <c r="E44" i="19"/>
  <c r="E77" i="19"/>
  <c r="E14" i="19"/>
  <c r="E72" i="19"/>
  <c r="E104" i="19"/>
  <c r="E116" i="19"/>
  <c r="E86" i="19"/>
  <c r="E78" i="19"/>
  <c r="E67" i="19"/>
  <c r="E79" i="19"/>
  <c r="E90" i="19"/>
  <c r="E93" i="19"/>
  <c r="E91" i="19"/>
  <c r="E80" i="19"/>
  <c r="E63" i="19"/>
  <c r="J60" i="9"/>
  <c r="J20" i="9"/>
  <c r="I26" i="9"/>
  <c r="E97" i="19"/>
  <c r="E115" i="19"/>
  <c r="E54" i="19"/>
  <c r="E45" i="19"/>
  <c r="E94" i="19"/>
  <c r="E81" i="19"/>
  <c r="E89" i="19"/>
  <c r="E25" i="19"/>
  <c r="E113" i="19"/>
  <c r="E102" i="19"/>
  <c r="E110" i="19"/>
  <c r="E12" i="19"/>
  <c r="M87" i="19"/>
  <c r="G65" i="19"/>
  <c r="S64" i="19"/>
  <c r="J64" i="9" l="1"/>
  <c r="I111" i="9"/>
  <c r="K13" i="9"/>
  <c r="K96" i="9"/>
  <c r="K95" i="9" s="1"/>
  <c r="I146" i="29" s="1"/>
  <c r="K97" i="9"/>
  <c r="K35" i="9"/>
  <c r="I46" i="9"/>
  <c r="I6" i="9"/>
  <c r="I85" i="29"/>
  <c r="J90" i="9"/>
  <c r="G128" i="29"/>
  <c r="J89" i="9"/>
  <c r="G127" i="29"/>
  <c r="J28" i="9"/>
  <c r="G35" i="29"/>
  <c r="J25" i="9"/>
  <c r="K25" i="9" s="1"/>
  <c r="G32" i="29"/>
  <c r="J23" i="9"/>
  <c r="G30" i="29"/>
  <c r="K36" i="9"/>
  <c r="J34" i="9"/>
  <c r="K34" i="9" s="1"/>
  <c r="J104" i="9"/>
  <c r="K104" i="9" s="1"/>
  <c r="G151" i="29"/>
  <c r="J120" i="29"/>
  <c r="J111" i="29"/>
  <c r="J110" i="29"/>
  <c r="H121" i="29"/>
  <c r="J88" i="29"/>
  <c r="J75" i="29"/>
  <c r="J74" i="29"/>
  <c r="H76" i="29"/>
  <c r="J60" i="29"/>
  <c r="H62" i="29"/>
  <c r="J62" i="29" s="1"/>
  <c r="J19" i="29"/>
  <c r="E6" i="19"/>
  <c r="I168" i="29"/>
  <c r="J168" i="29" s="1"/>
  <c r="I167" i="29"/>
  <c r="J167" i="29" s="1"/>
  <c r="I165" i="29"/>
  <c r="I153" i="29"/>
  <c r="I151" i="29"/>
  <c r="I150" i="29"/>
  <c r="J150" i="29" s="1"/>
  <c r="I149" i="29"/>
  <c r="I130" i="29"/>
  <c r="I115" i="29"/>
  <c r="J115" i="29" s="1"/>
  <c r="I112" i="29"/>
  <c r="J112" i="29" s="1"/>
  <c r="I108" i="29"/>
  <c r="I87" i="29"/>
  <c r="J87" i="29" s="1"/>
  <c r="I84" i="29"/>
  <c r="I72" i="29"/>
  <c r="J72" i="29" s="1"/>
  <c r="I70" i="29"/>
  <c r="I69" i="29"/>
  <c r="I56" i="29"/>
  <c r="J56" i="29" s="1"/>
  <c r="I54" i="29"/>
  <c r="I33" i="29"/>
  <c r="J33" i="29" s="1"/>
  <c r="I28" i="29"/>
  <c r="I18" i="29"/>
  <c r="J116" i="9"/>
  <c r="G168" i="29"/>
  <c r="J115" i="9"/>
  <c r="K115" i="9" s="1"/>
  <c r="G167" i="29"/>
  <c r="J113" i="9"/>
  <c r="G165" i="29"/>
  <c r="J106" i="9"/>
  <c r="G153" i="29"/>
  <c r="J102" i="9"/>
  <c r="K102" i="9" s="1"/>
  <c r="G149" i="29"/>
  <c r="J92" i="9"/>
  <c r="G130" i="29"/>
  <c r="J84" i="9"/>
  <c r="G118" i="29"/>
  <c r="J83" i="9"/>
  <c r="G117" i="29"/>
  <c r="J82" i="9"/>
  <c r="K82" i="9" s="1"/>
  <c r="G116" i="29"/>
  <c r="J81" i="9"/>
  <c r="G115" i="29"/>
  <c r="J80" i="9"/>
  <c r="K80" i="9" s="1"/>
  <c r="G114" i="29"/>
  <c r="J79" i="9"/>
  <c r="K79" i="9" s="1"/>
  <c r="G113" i="29"/>
  <c r="J77" i="9"/>
  <c r="G111" i="29"/>
  <c r="J76" i="9"/>
  <c r="G110" i="29"/>
  <c r="J75" i="9"/>
  <c r="G109" i="29"/>
  <c r="J74" i="9"/>
  <c r="G108" i="29"/>
  <c r="J61" i="9"/>
  <c r="G86" i="29"/>
  <c r="J57" i="9"/>
  <c r="G82" i="29"/>
  <c r="J49" i="9"/>
  <c r="J46" i="9" s="1"/>
  <c r="G70" i="29"/>
  <c r="J47" i="9"/>
  <c r="G68" i="29"/>
  <c r="J44" i="9"/>
  <c r="G60" i="29"/>
  <c r="J43" i="9"/>
  <c r="G59" i="29"/>
  <c r="J39" i="9"/>
  <c r="G55" i="29"/>
  <c r="J38" i="9"/>
  <c r="G54" i="29"/>
  <c r="J37" i="9"/>
  <c r="K37" i="9" s="1"/>
  <c r="G53" i="29"/>
  <c r="J32" i="9"/>
  <c r="K32" i="9" s="1"/>
  <c r="G44" i="29"/>
  <c r="J27" i="9"/>
  <c r="G34" i="29"/>
  <c r="J24" i="9"/>
  <c r="K24" i="9" s="1"/>
  <c r="G31" i="29"/>
  <c r="J9" i="9"/>
  <c r="J6" i="9" s="1"/>
  <c r="K6" i="9" s="1"/>
  <c r="G11" i="29"/>
  <c r="K15" i="9"/>
  <c r="K42" i="9"/>
  <c r="K14" i="9"/>
  <c r="J31" i="9"/>
  <c r="K31" i="9" s="1"/>
  <c r="K51" i="9"/>
  <c r="G44" i="22"/>
  <c r="C28" i="22"/>
  <c r="G19" i="22"/>
  <c r="D26" i="22"/>
  <c r="K108" i="9"/>
  <c r="K81" i="9"/>
  <c r="K93" i="9"/>
  <c r="D28" i="22"/>
  <c r="F19" i="22"/>
  <c r="K16" i="9"/>
  <c r="G40" i="22"/>
  <c r="K84" i="9"/>
  <c r="K113" i="9"/>
  <c r="K18" i="9"/>
  <c r="K41" i="9"/>
  <c r="K53" i="9"/>
  <c r="K114" i="9"/>
  <c r="O5" i="19"/>
  <c r="K17" i="9"/>
  <c r="F49" i="22"/>
  <c r="F40" i="22"/>
  <c r="K10" i="9"/>
  <c r="M5" i="19"/>
  <c r="O87" i="19"/>
  <c r="G30" i="19"/>
  <c r="K92" i="9"/>
  <c r="I87" i="19"/>
  <c r="K5" i="19"/>
  <c r="K87" i="19"/>
  <c r="O100" i="19"/>
  <c r="I100" i="19"/>
  <c r="G95" i="19"/>
  <c r="S100" i="19"/>
  <c r="K40" i="9"/>
  <c r="K66" i="9"/>
  <c r="I5" i="19"/>
  <c r="K100" i="19"/>
  <c r="K112" i="9"/>
  <c r="Q5" i="19"/>
  <c r="M33" i="19"/>
  <c r="O70" i="19"/>
  <c r="O69" i="19" s="1"/>
  <c r="K22" i="9"/>
  <c r="K62" i="9"/>
  <c r="K21" i="9"/>
  <c r="K75" i="9"/>
  <c r="E30" i="19"/>
  <c r="K38" i="9"/>
  <c r="S87" i="19"/>
  <c r="K106" i="9"/>
  <c r="K91" i="9"/>
  <c r="K89" i="9"/>
  <c r="Q33" i="19"/>
  <c r="K71" i="9"/>
  <c r="K27" i="9"/>
  <c r="K60" i="9"/>
  <c r="K58" i="9"/>
  <c r="S55" i="19"/>
  <c r="K33" i="19"/>
  <c r="K23" i="9"/>
  <c r="K68" i="9"/>
  <c r="S5" i="19"/>
  <c r="K52" i="9"/>
  <c r="K59" i="9"/>
  <c r="I94" i="23"/>
  <c r="K8" i="9"/>
  <c r="K57" i="9"/>
  <c r="K74" i="9"/>
  <c r="K9" i="9"/>
  <c r="K7" i="9"/>
  <c r="S33" i="19"/>
  <c r="G34" i="19"/>
  <c r="G19" i="19"/>
  <c r="I70" i="9"/>
  <c r="I69" i="9" s="1"/>
  <c r="G70" i="19"/>
  <c r="G69" i="19" s="1"/>
  <c r="K73" i="9"/>
  <c r="G64" i="19"/>
  <c r="G56" i="19"/>
  <c r="G49" i="22"/>
  <c r="B28" i="22"/>
  <c r="F28" i="22" s="1"/>
  <c r="F10" i="22"/>
  <c r="I55" i="19"/>
  <c r="G10" i="22"/>
  <c r="F34" i="22"/>
  <c r="G15" i="22"/>
  <c r="G14" i="22" s="1"/>
  <c r="K55" i="19"/>
  <c r="K47" i="9"/>
  <c r="K65" i="9"/>
  <c r="K76" i="9"/>
  <c r="I33" i="19"/>
  <c r="K48" i="9"/>
  <c r="K103" i="9"/>
  <c r="K61" i="9"/>
  <c r="B15" i="22"/>
  <c r="B14" i="22" s="1"/>
  <c r="B26" i="22" s="1"/>
  <c r="B55" i="22" s="1"/>
  <c r="J56" i="9"/>
  <c r="G6" i="19"/>
  <c r="E46" i="19"/>
  <c r="E101" i="19"/>
  <c r="E34" i="19"/>
  <c r="E64" i="19"/>
  <c r="E114" i="19"/>
  <c r="H170" i="29" s="1"/>
  <c r="E15" i="22"/>
  <c r="E14" i="22" s="1"/>
  <c r="E26" i="22" s="1"/>
  <c r="M100" i="19"/>
  <c r="E23" i="19"/>
  <c r="I19" i="9"/>
  <c r="I5" i="9" s="1"/>
  <c r="K20" i="9"/>
  <c r="G46" i="19"/>
  <c r="K90" i="9"/>
  <c r="E88" i="19"/>
  <c r="G29" i="22"/>
  <c r="E28" i="22"/>
  <c r="I56" i="9"/>
  <c r="I101" i="9"/>
  <c r="G88" i="19"/>
  <c r="E95" i="19"/>
  <c r="F29" i="22"/>
  <c r="G111" i="19"/>
  <c r="K77" i="9"/>
  <c r="E70" i="19"/>
  <c r="E69" i="19" s="1"/>
  <c r="E61" i="19"/>
  <c r="G34" i="22"/>
  <c r="F15" i="22"/>
  <c r="F14" i="22" s="1"/>
  <c r="D55" i="22"/>
  <c r="C26" i="22"/>
  <c r="G101" i="19"/>
  <c r="I34" i="9"/>
  <c r="I88" i="9"/>
  <c r="K43" i="9"/>
  <c r="K105" i="9"/>
  <c r="K109" i="9"/>
  <c r="K29" i="9"/>
  <c r="K44" i="9"/>
  <c r="K83" i="9"/>
  <c r="K107" i="9"/>
  <c r="K39" i="9"/>
  <c r="K50" i="9"/>
  <c r="K72" i="9"/>
  <c r="K85" i="9"/>
  <c r="K67" i="9"/>
  <c r="K56" i="9" l="1"/>
  <c r="J88" i="9"/>
  <c r="K88" i="9" s="1"/>
  <c r="I136" i="29" s="1"/>
  <c r="J70" i="9"/>
  <c r="J69" i="9" s="1"/>
  <c r="J19" i="9"/>
  <c r="J101" i="9"/>
  <c r="K101" i="9" s="1"/>
  <c r="I161" i="29" s="1"/>
  <c r="J151" i="29"/>
  <c r="J85" i="29"/>
  <c r="H89" i="29"/>
  <c r="J70" i="29"/>
  <c r="J153" i="29"/>
  <c r="H158" i="29"/>
  <c r="I171" i="29"/>
  <c r="J171" i="29" s="1"/>
  <c r="J165" i="29"/>
  <c r="I160" i="29"/>
  <c r="I159" i="29"/>
  <c r="J149" i="29"/>
  <c r="I134" i="29"/>
  <c r="J133" i="29" s="1"/>
  <c r="J130" i="29"/>
  <c r="J108" i="29"/>
  <c r="I122" i="29"/>
  <c r="J121" i="29" s="1"/>
  <c r="I90" i="29"/>
  <c r="J84" i="29"/>
  <c r="J69" i="29"/>
  <c r="I77" i="29"/>
  <c r="J76" i="29" s="1"/>
  <c r="I63" i="29"/>
  <c r="J54" i="29"/>
  <c r="I38" i="29"/>
  <c r="J28" i="29"/>
  <c r="J18" i="29"/>
  <c r="I22" i="29"/>
  <c r="J21" i="29" s="1"/>
  <c r="I23" i="29"/>
  <c r="J111" i="9"/>
  <c r="K111" i="9" s="1"/>
  <c r="J33" i="9"/>
  <c r="I36" i="23"/>
  <c r="J30" i="9"/>
  <c r="I64" i="29"/>
  <c r="O118" i="19"/>
  <c r="I135" i="29"/>
  <c r="G87" i="19"/>
  <c r="G28" i="22"/>
  <c r="I123" i="29"/>
  <c r="G5" i="19"/>
  <c r="I116" i="23"/>
  <c r="Q118" i="19"/>
  <c r="I92" i="29"/>
  <c r="E55" i="22"/>
  <c r="M118" i="19"/>
  <c r="K64" i="9"/>
  <c r="G55" i="19"/>
  <c r="K69" i="9"/>
  <c r="E19" i="19"/>
  <c r="E5" i="19" s="1"/>
  <c r="I136" i="23"/>
  <c r="J55" i="9"/>
  <c r="E33" i="19"/>
  <c r="S118" i="19"/>
  <c r="K70" i="9"/>
  <c r="I124" i="29" s="1"/>
  <c r="G100" i="19"/>
  <c r="E111" i="19"/>
  <c r="E100" i="19" s="1"/>
  <c r="I20" i="23"/>
  <c r="I159" i="23"/>
  <c r="I55" i="9"/>
  <c r="G33" i="19"/>
  <c r="K118" i="19"/>
  <c r="I33" i="9"/>
  <c r="I72" i="23"/>
  <c r="F26" i="22"/>
  <c r="F55" i="22" s="1"/>
  <c r="F58" i="22" s="1"/>
  <c r="F60" i="22" s="1"/>
  <c r="I85" i="23"/>
  <c r="I100" i="9"/>
  <c r="I118" i="19"/>
  <c r="K46" i="9"/>
  <c r="I79" i="29" s="1"/>
  <c r="I58" i="23"/>
  <c r="E56" i="19"/>
  <c r="E55" i="19" s="1"/>
  <c r="E87" i="19"/>
  <c r="I101" i="29"/>
  <c r="I126" i="23"/>
  <c r="C55" i="22"/>
  <c r="G26" i="22"/>
  <c r="G55" i="22" s="1"/>
  <c r="K19" i="9"/>
  <c r="K30" i="9" l="1"/>
  <c r="I48" i="29" s="1"/>
  <c r="J5" i="9"/>
  <c r="I40" i="29"/>
  <c r="K5" i="9"/>
  <c r="J158" i="29"/>
  <c r="J89" i="29"/>
  <c r="G118" i="19"/>
  <c r="J100" i="9"/>
  <c r="J95" i="9" s="1"/>
  <c r="J87" i="9" s="1"/>
  <c r="I65" i="29"/>
  <c r="I148" i="23"/>
  <c r="I78" i="29"/>
  <c r="K55" i="9"/>
  <c r="I95" i="9"/>
  <c r="I87" i="9" s="1"/>
  <c r="K33" i="9"/>
  <c r="E118" i="19"/>
  <c r="I161" i="23"/>
  <c r="I145" i="29"/>
  <c r="I175" i="29" l="1"/>
  <c r="T176" i="29" s="1"/>
  <c r="K100" i="9"/>
  <c r="J161" i="23"/>
  <c r="K87" i="9"/>
  <c r="I163" i="23"/>
  <c r="I91" i="29"/>
  <c r="K118" i="9" l="1"/>
  <c r="E18" i="24" s="1"/>
  <c r="P25" i="9" l="1"/>
  <c r="H32" i="29" l="1"/>
  <c r="R25" i="9"/>
  <c r="P19" i="9"/>
  <c r="P118" i="9" s="1"/>
  <c r="R118" i="9" s="1"/>
  <c r="J32" i="29" l="1"/>
  <c r="H37" i="29"/>
  <c r="J37" i="29" s="1"/>
  <c r="R19" i="9"/>
  <c r="I39" i="29" s="1"/>
  <c r="P5" i="9"/>
  <c r="R5" i="9" s="1"/>
  <c r="I174" i="29"/>
  <c r="J174" i="29" l="1"/>
</calcChain>
</file>

<file path=xl/comments1.xml><?xml version="1.0" encoding="utf-8"?>
<comments xmlns="http://schemas.openxmlformats.org/spreadsheetml/2006/main">
  <authors>
    <author>PERSONAL</author>
    <author>esilva</author>
    <author>Edisney Silva Argote</author>
    <author>auxiliar1</author>
    <author>user</author>
    <author>Ronal Estith Dussan Quiacha</author>
  </authors>
  <commentList>
    <comment ref="H8" authorId="0" shapeId="0">
      <text>
        <r>
          <rPr>
            <b/>
            <sz val="9"/>
            <color indexed="81"/>
            <rFont val="Tahoma"/>
            <family val="2"/>
          </rPr>
          <t>PERSONAL:</t>
        </r>
        <r>
          <rPr>
            <sz val="9"/>
            <color indexed="81"/>
            <rFont val="Tahoma"/>
            <family val="2"/>
          </rPr>
          <t xml:space="preserve">
RÍO NEIVA , MAJO GARZON Y LA HONDA GIGANTE ,  CONTRATADO Y DECLARATORIA EN REGLAMENTACIÓN pedernal teruel y higado en tarqui</t>
        </r>
      </text>
    </comment>
    <comment ref="L8" authorId="1"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H10" authorId="0" shapeId="0">
      <text>
        <r>
          <rPr>
            <b/>
            <sz val="9"/>
            <color indexed="81"/>
            <rFont val="Tahoma"/>
            <family val="2"/>
          </rPr>
          <t>PERSONAL:</t>
        </r>
        <r>
          <rPr>
            <sz val="9"/>
            <color indexed="81"/>
            <rFont val="Tahoma"/>
            <family val="2"/>
          </rPr>
          <t xml:space="preserve">
 Río Neiva Campoalegre, Higado y Pedernal ESTE AÑO CULMINAN Y SE ENTREGAN COMO META
inicia majo y honda</t>
        </r>
      </text>
    </comment>
    <comment ref="L10" authorId="1" shapeId="0">
      <text>
        <r>
          <rPr>
            <b/>
            <sz val="9"/>
            <color indexed="81"/>
            <rFont val="Tahoma"/>
            <family val="2"/>
          </rPr>
          <t>esilva:</t>
        </r>
        <r>
          <rPr>
            <sz val="9"/>
            <color indexed="81"/>
            <rFont val="Tahoma"/>
            <family val="2"/>
          </rPr>
          <t xml:space="preserve">
TERMINADO HONDA MAJO
  inicia contratacion de guaroco, vueltas y quebradon</t>
        </r>
      </text>
    </comment>
    <comment ref="P10" authorId="0" shapeId="0">
      <text>
        <r>
          <rPr>
            <b/>
            <sz val="9"/>
            <color indexed="81"/>
            <rFont val="Tahoma"/>
            <family val="2"/>
          </rPr>
          <t>PERSONAL:</t>
        </r>
        <r>
          <rPr>
            <sz val="9"/>
            <color indexed="81"/>
            <rFont val="Tahoma"/>
            <family val="2"/>
          </rPr>
          <t xml:space="preserve">
Guarocó Baraya, La Vueltas Gigante y Quebradón Hobo
Iniciia contratacion Garzon y Hobo</t>
        </r>
      </text>
    </comment>
    <comment ref="T10" authorId="2" shapeId="0">
      <text>
        <r>
          <rPr>
            <b/>
            <sz val="9"/>
            <color indexed="81"/>
            <rFont val="Tahoma"/>
            <family val="2"/>
          </rPr>
          <t>Edisney Silva Argote:</t>
        </r>
        <r>
          <rPr>
            <sz val="9"/>
            <color indexed="81"/>
            <rFont val="Tahoma"/>
            <family val="2"/>
          </rPr>
          <t xml:space="preserve">
termina garzon y hobo</t>
        </r>
      </text>
    </comment>
    <comment ref="V11" authorId="2" shapeId="0">
      <text>
        <r>
          <rPr>
            <b/>
            <sz val="9"/>
            <color indexed="81"/>
            <rFont val="Tahoma"/>
            <family val="2"/>
          </rPr>
          <t>Edisney Silva Argote:</t>
        </r>
        <r>
          <rPr>
            <sz val="9"/>
            <color indexed="81"/>
            <rFont val="Tahoma"/>
            <family val="2"/>
          </rPr>
          <t xml:space="preserve">
debe colocarse 62 en el 2019</t>
        </r>
      </text>
    </comment>
    <comment ref="L12" authorId="0" shapeId="0">
      <text>
        <r>
          <rPr>
            <b/>
            <sz val="9"/>
            <color indexed="81"/>
            <rFont val="Tahoma"/>
            <family val="2"/>
          </rPr>
          <t>PERSONAL:</t>
        </r>
        <r>
          <rPr>
            <sz val="9"/>
            <color indexed="81"/>
            <rFont val="Tahoma"/>
            <family val="2"/>
          </rPr>
          <t xml:space="preserve">
Guarapas</t>
        </r>
      </text>
    </comment>
    <comment ref="P12" authorId="2" shapeId="0">
      <text>
        <r>
          <rPr>
            <b/>
            <sz val="9"/>
            <color indexed="81"/>
            <rFont val="Tahoma"/>
            <family val="2"/>
          </rPr>
          <t>Edisney Silva Argote:</t>
        </r>
        <r>
          <rPr>
            <sz val="9"/>
            <color indexed="81"/>
            <rFont val="Tahoma"/>
            <family val="2"/>
          </rPr>
          <t xml:space="preserve">
PMA Barbillas</t>
        </r>
      </text>
    </comment>
    <comment ref="V12" authorId="2" shapeId="0">
      <text>
        <r>
          <rPr>
            <b/>
            <sz val="9"/>
            <color indexed="81"/>
            <rFont val="Tahoma"/>
            <family val="2"/>
          </rPr>
          <t>Edisney Silva Argote:</t>
        </r>
        <r>
          <rPr>
            <sz val="9"/>
            <color indexed="81"/>
            <rFont val="Tahoma"/>
            <family val="2"/>
          </rPr>
          <t xml:space="preserve">
debe colcoarse en 2019 1,7</t>
        </r>
      </text>
    </comment>
    <comment ref="H13" authorId="2" shapeId="0">
      <text>
        <r>
          <rPr>
            <b/>
            <sz val="9"/>
            <color indexed="81"/>
            <rFont val="Tahoma"/>
            <family val="2"/>
          </rPr>
          <t>Edisney Silva Argote:</t>
        </r>
        <r>
          <rPr>
            <sz val="9"/>
            <color indexed="81"/>
            <rFont val="Tahoma"/>
            <family val="2"/>
          </rPr>
          <t xml:space="preserve">
9 estaciones de la vigencia anterior</t>
        </r>
      </text>
    </comment>
    <comment ref="V20" authorId="2" shapeId="0">
      <text>
        <r>
          <rPr>
            <b/>
            <sz val="9"/>
            <color indexed="81"/>
            <rFont val="Tahoma"/>
            <family val="2"/>
          </rPr>
          <t>Edisney Silva Argote:</t>
        </r>
        <r>
          <rPr>
            <sz val="9"/>
            <color indexed="81"/>
            <rFont val="Tahoma"/>
            <family val="2"/>
          </rPr>
          <t xml:space="preserve">
se debe colocar 40 en el 2019</t>
        </r>
      </text>
    </comment>
    <comment ref="H21" authorId="3" shapeId="0">
      <text>
        <r>
          <rPr>
            <b/>
            <sz val="9"/>
            <color indexed="81"/>
            <rFont val="Tahoma"/>
            <family val="2"/>
          </rPr>
          <t>auxiliar1:</t>
        </r>
        <r>
          <rPr>
            <sz val="9"/>
            <color indexed="81"/>
            <rFont val="Tahoma"/>
            <family val="2"/>
          </rPr>
          <t xml:space="preserve">
CEIBAS, SUAZA, GUARAPAS
</t>
        </r>
      </text>
    </comment>
    <comment ref="T21" authorId="0" shapeId="0">
      <text>
        <r>
          <rPr>
            <b/>
            <sz val="9"/>
            <color indexed="81"/>
            <rFont val="Tahoma"/>
            <family val="2"/>
          </rPr>
          <t>PERSONAL:</t>
        </r>
        <r>
          <rPr>
            <sz val="9"/>
            <color indexed="81"/>
            <rFont val="Tahoma"/>
            <family val="2"/>
          </rPr>
          <t xml:space="preserve">
CEIBAS, SUAZA, GUARAPAS, GARZÓN, BARBILLAS</t>
        </r>
      </text>
    </comment>
    <comment ref="V21" authorId="2" shapeId="0">
      <text>
        <r>
          <rPr>
            <b/>
            <sz val="9"/>
            <color indexed="81"/>
            <rFont val="Tahoma"/>
            <family val="2"/>
          </rPr>
          <t>Edisney Silva Argote:</t>
        </r>
        <r>
          <rPr>
            <sz val="9"/>
            <color indexed="81"/>
            <rFont val="Tahoma"/>
            <family val="2"/>
          </rPr>
          <t xml:space="preserve">
se debe incluir 2 en el 2019</t>
        </r>
      </text>
    </comment>
    <comment ref="X21" authorId="4" shapeId="0">
      <text>
        <r>
          <rPr>
            <b/>
            <sz val="9"/>
            <color indexed="81"/>
            <rFont val="Tahoma"/>
            <family val="2"/>
          </rPr>
          <t>Fredy A.: Ceibas, Garzòn, Suaza y Guarapas</t>
        </r>
        <r>
          <rPr>
            <sz val="9"/>
            <color indexed="81"/>
            <rFont val="Tahoma"/>
            <family val="2"/>
          </rPr>
          <t xml:space="preserve">
</t>
        </r>
      </text>
    </comment>
    <comment ref="H23" authorId="2" shapeId="0">
      <text>
        <r>
          <rPr>
            <b/>
            <sz val="9"/>
            <color indexed="81"/>
            <rFont val="Tahoma"/>
            <family val="2"/>
          </rPr>
          <t>Edisney Silva Argote:</t>
        </r>
        <r>
          <rPr>
            <sz val="9"/>
            <color indexed="81"/>
            <rFont val="Tahoma"/>
            <family val="2"/>
          </rPr>
          <t xml:space="preserve">
has afectadas por incedios forestales</t>
        </r>
      </text>
    </comment>
    <comment ref="R28" authorId="5" shapeId="0">
      <text>
        <r>
          <rPr>
            <b/>
            <sz val="9"/>
            <color indexed="81"/>
            <rFont val="Tahoma"/>
            <family val="2"/>
          </rPr>
          <t>Ronal Estith Dussan Quiacha:</t>
        </r>
        <r>
          <rPr>
            <sz val="9"/>
            <color indexed="81"/>
            <rFont val="Tahoma"/>
            <family val="2"/>
          </rPr>
          <t xml:space="preserve">
Informa que realizo mas de la meta en compra de predios </t>
        </r>
      </text>
    </comment>
    <comment ref="H36" authorId="0" shapeId="0">
      <text>
        <r>
          <rPr>
            <b/>
            <sz val="9"/>
            <color indexed="81"/>
            <rFont val="Tahoma"/>
            <family val="2"/>
          </rPr>
          <t>PERSONAL:</t>
        </r>
        <r>
          <rPr>
            <sz val="9"/>
            <color indexed="81"/>
            <rFont val="Tahoma"/>
            <family val="2"/>
          </rPr>
          <t xml:space="preserve">
PNR PARAMO DE OSERAS</t>
        </r>
      </text>
    </comment>
    <comment ref="L36" authorId="0"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6" authorId="0" shapeId="0">
      <text>
        <r>
          <rPr>
            <b/>
            <sz val="9"/>
            <color indexed="81"/>
            <rFont val="Tahoma"/>
            <family val="2"/>
          </rPr>
          <t>PERSONAL:</t>
        </r>
        <r>
          <rPr>
            <sz val="9"/>
            <color indexed="81"/>
            <rFont val="Tahoma"/>
            <family val="2"/>
          </rPr>
          <t xml:space="preserve">
DRMI ACEVEDO</t>
        </r>
      </text>
    </comment>
    <comment ref="H39" authorId="0" shapeId="0">
      <text>
        <r>
          <rPr>
            <b/>
            <sz val="9"/>
            <color indexed="81"/>
            <rFont val="Tahoma"/>
            <family val="2"/>
          </rPr>
          <t>PERSONAL:</t>
        </r>
        <r>
          <rPr>
            <sz val="9"/>
            <color indexed="81"/>
            <rFont val="Tahoma"/>
            <family val="2"/>
          </rPr>
          <t xml:space="preserve">
SIRAP Macizo, CEERCCO, VALLE SECO MAGDALENA</t>
        </r>
      </text>
    </comment>
    <comment ref="U39" authorId="1" shapeId="0">
      <text>
        <r>
          <rPr>
            <b/>
            <sz val="9"/>
            <color indexed="81"/>
            <rFont val="Tahoma"/>
            <family val="2"/>
          </rPr>
          <t>esilva:</t>
        </r>
        <r>
          <rPr>
            <sz val="9"/>
            <color indexed="81"/>
            <rFont val="Tahoma"/>
            <family val="2"/>
          </rPr>
          <t xml:space="preserve">
resolucion 2541 de 22 de octubre de 2015 
152.827.425</t>
        </r>
      </text>
    </comment>
    <comment ref="L42" authorId="0" shapeId="0">
      <text>
        <r>
          <rPr>
            <b/>
            <sz val="9"/>
            <color indexed="81"/>
            <rFont val="Tahoma"/>
            <family val="2"/>
          </rPr>
          <t>PERSONAL:</t>
        </r>
        <r>
          <rPr>
            <sz val="9"/>
            <color indexed="81"/>
            <rFont val="Tahoma"/>
            <family val="2"/>
          </rPr>
          <t xml:space="preserve">
PICACHOS</t>
        </r>
      </text>
    </comment>
    <comment ref="P42" authorId="0" shapeId="0">
      <text>
        <r>
          <rPr>
            <b/>
            <sz val="9"/>
            <color indexed="81"/>
            <rFont val="Tahoma"/>
            <family val="2"/>
          </rPr>
          <t>PERSONAL:</t>
        </r>
        <r>
          <rPr>
            <sz val="9"/>
            <color indexed="81"/>
            <rFont val="Tahoma"/>
            <family val="2"/>
          </rPr>
          <t xml:space="preserve">
PICACHOS, SUMAPAZ Y MIRAFLORES-regimen de uso</t>
        </r>
      </text>
    </comment>
    <comment ref="T42" authorId="0" shapeId="0">
      <text>
        <r>
          <rPr>
            <b/>
            <sz val="9"/>
            <color indexed="81"/>
            <rFont val="Tahoma"/>
            <family val="2"/>
          </rPr>
          <t>PERSONAL:</t>
        </r>
        <r>
          <rPr>
            <sz val="9"/>
            <color indexed="81"/>
            <rFont val="Tahoma"/>
            <family val="2"/>
          </rPr>
          <t xml:space="preserve">
SUMAPAZ</t>
        </r>
      </text>
    </comment>
    <comment ref="V51" authorId="2" shapeId="0">
      <text>
        <r>
          <rPr>
            <b/>
            <sz val="9"/>
            <color indexed="81"/>
            <rFont val="Tahoma"/>
            <family val="2"/>
          </rPr>
          <t>Edisney Silva Argote:</t>
        </r>
        <r>
          <rPr>
            <sz val="9"/>
            <color indexed="81"/>
            <rFont val="Tahoma"/>
            <family val="2"/>
          </rPr>
          <t xml:space="preserve">
incluir en 2019 25 has humedales</t>
        </r>
      </text>
    </comment>
    <comment ref="J83" authorId="1" shapeId="0">
      <text>
        <r>
          <rPr>
            <b/>
            <sz val="9"/>
            <color indexed="81"/>
            <rFont val="Tahoma"/>
            <family val="2"/>
          </rPr>
          <t>esilva:</t>
        </r>
        <r>
          <rPr>
            <sz val="9"/>
            <color indexed="81"/>
            <rFont val="Tahoma"/>
            <family val="2"/>
          </rPr>
          <t xml:space="preserve">
100</t>
        </r>
      </text>
    </comment>
  </commentList>
</comments>
</file>

<file path=xl/comments2.xml><?xml version="1.0" encoding="utf-8"?>
<comments xmlns="http://schemas.openxmlformats.org/spreadsheetml/2006/main">
  <authors>
    <author>jvargas</author>
  </authors>
  <commentList>
    <comment ref="K147" authorId="0" shapeId="0">
      <text>
        <r>
          <rPr>
            <b/>
            <sz val="8"/>
            <color indexed="81"/>
            <rFont val="Tahoma"/>
            <family val="2"/>
          </rPr>
          <t>jvargas:
PROMEDIO FISICO</t>
        </r>
      </text>
    </comment>
  </commentList>
</comments>
</file>

<file path=xl/comments3.xml><?xml version="1.0" encoding="utf-8"?>
<comments xmlns="http://schemas.openxmlformats.org/spreadsheetml/2006/main">
  <authors>
    <author>jvargas</author>
  </authors>
  <commentList>
    <comment ref="K159" authorId="0" shapeId="0">
      <text>
        <r>
          <rPr>
            <b/>
            <sz val="8"/>
            <color indexed="81"/>
            <rFont val="Tahoma"/>
            <family val="2"/>
          </rPr>
          <t>jvargas:
PROMEDIO FISICO</t>
        </r>
      </text>
    </comment>
  </commentList>
</comments>
</file>

<file path=xl/sharedStrings.xml><?xml version="1.0" encoding="utf-8"?>
<sst xmlns="http://schemas.openxmlformats.org/spreadsheetml/2006/main" count="1959" uniqueCount="610">
  <si>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</si>
  <si>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</si>
  <si>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</si>
  <si>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</si>
  <si>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</si>
  <si>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</si>
  <si>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</si>
  <si>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</si>
  <si>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</si>
  <si>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</si>
  <si>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</si>
  <si>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</si>
  <si>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</si>
  <si>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</si>
  <si>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</si>
  <si>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</si>
  <si>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</si>
  <si>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</si>
  <si>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</si>
  <si>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</si>
  <si>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</si>
  <si>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</si>
  <si>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</si>
  <si>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</si>
  <si>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</si>
  <si>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</si>
  <si>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</si>
  <si>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</si>
  <si>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</si>
  <si>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</si>
  <si>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</si>
  <si>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</si>
  <si>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</si>
  <si>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</si>
  <si>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</si>
  <si>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</si>
  <si>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</si>
  <si>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</si>
  <si>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</si>
  <si>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</si>
  <si>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</si>
  <si>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</si>
  <si>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</si>
  <si>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</si>
  <si>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</si>
  <si>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</si>
  <si>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</si>
  <si>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</si>
  <si>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</si>
  <si>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</si>
  <si>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</si>
  <si>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</si>
  <si>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</si>
  <si>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</si>
  <si>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</si>
  <si>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</si>
  <si>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</si>
  <si>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</si>
  <si>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</si>
  <si>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</si>
  <si>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</si>
  <si>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</si>
  <si>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</si>
  <si>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</si>
  <si>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</si>
  <si>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</si>
  <si>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</si>
  <si>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</si>
  <si>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</si>
  <si>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</si>
  <si>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</si>
  <si>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</si>
  <si>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</si>
  <si>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</si>
  <si>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</si>
  <si>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</si>
  <si>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</si>
  <si>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</si>
  <si>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</si>
  <si>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</si>
  <si>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</si>
  <si>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</si>
  <si>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</si>
  <si>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</si>
  <si>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</si>
  <si>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</si>
  <si>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</si>
  <si>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</si>
  <si>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</si>
  <si>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</si>
  <si>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</si>
  <si>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</si>
  <si>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</si>
  <si>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</si>
  <si>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</si>
  <si>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</si>
  <si>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</si>
  <si>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</si>
  <si>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</si>
  <si>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</si>
  <si>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</si>
  <si>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</si>
  <si>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</si>
  <si>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</si>
  <si>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</si>
  <si>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</si>
  <si>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</si>
  <si>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</si>
  <si>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</si>
  <si>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</si>
  <si>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</si>
  <si>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</si>
  <si>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</si>
  <si>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</si>
  <si>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</si>
  <si>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</si>
  <si>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</si>
  <si>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</si>
  <si>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</si>
  <si>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</si>
  <si>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</si>
  <si>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</si>
  <si>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</si>
  <si>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</si>
  <si>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</si>
  <si>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</si>
  <si>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</si>
  <si>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</si>
  <si>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</si>
  <si>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</si>
  <si>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</si>
  <si>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</si>
  <si>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</si>
  <si>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</si>
  <si>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</si>
  <si>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</si>
  <si>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</si>
  <si>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</si>
  <si>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</si>
  <si>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</si>
  <si>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</si>
  <si>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</si>
  <si>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</si>
  <si>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</si>
  <si>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</si>
  <si>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</si>
  <si>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</si>
  <si>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</si>
  <si>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</si>
  <si>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</si>
  <si>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</si>
  <si>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</si>
  <si>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</si>
  <si>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</si>
  <si>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</si>
  <si>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</si>
  <si>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</si>
  <si>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</si>
  <si>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</si>
  <si>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</si>
  <si>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</si>
  <si>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</si>
  <si>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</si>
  <si>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</si>
  <si>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</si>
  <si>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</si>
  <si>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</si>
  <si>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</si>
  <si>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</si>
  <si>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</si>
  <si>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</si>
  <si>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</si>
  <si>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</si>
  <si>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</si>
  <si>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</si>
  <si>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</si>
  <si>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</si>
  <si>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</si>
  <si>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</si>
  <si>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</si>
  <si>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</si>
  <si>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</si>
  <si>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</si>
  <si>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</si>
  <si>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</si>
  <si>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</si>
  <si>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</si>
  <si>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</si>
  <si>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</si>
  <si>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</si>
  <si>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</si>
  <si>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</si>
  <si>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</si>
  <si>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</si>
  <si>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</si>
  <si>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</si>
  <si>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</si>
  <si>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</si>
  <si>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CORPORACION AUTONOMA REGIONAL DEL ALTO MAGDALENA CAM</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</si>
  <si>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</si>
  <si>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</si>
  <si>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</si>
  <si>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</si>
  <si>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</si>
  <si>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</si>
  <si>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</si>
  <si>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</si>
  <si>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</si>
  <si>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</si>
  <si>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</si>
  <si>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</si>
  <si>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</si>
  <si>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</si>
  <si>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</si>
  <si>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</si>
  <si>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</si>
  <si>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</si>
  <si>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</si>
  <si>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</si>
  <si>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</si>
  <si>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</si>
  <si>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</si>
  <si>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</si>
  <si>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</si>
  <si>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</si>
  <si>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</si>
  <si>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</si>
  <si>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</si>
  <si>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</si>
  <si>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</si>
  <si>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</si>
  <si>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</si>
  <si>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</si>
  <si>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</si>
  <si>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</si>
  <si>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</si>
  <si>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</si>
  <si>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</si>
  <si>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</si>
  <si>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</si>
  <si>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</si>
  <si>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</si>
  <si>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</si>
  <si>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</si>
  <si>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</si>
  <si>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</si>
  <si>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</si>
  <si>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</si>
  <si>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</si>
  <si>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</si>
  <si>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</si>
  <si>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</si>
  <si>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</si>
  <si>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</si>
  <si>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</si>
  <si>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</si>
  <si>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</si>
  <si>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</si>
  <si>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</si>
  <si>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</si>
  <si>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</si>
  <si>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</si>
  <si>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</si>
  <si>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</si>
  <si>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</si>
  <si>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</si>
  <si>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</si>
  <si>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</si>
  <si>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</si>
  <si>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</si>
  <si>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</si>
  <si>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</si>
  <si>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</si>
  <si>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</si>
  <si>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</si>
  <si>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</si>
  <si>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</si>
  <si>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</si>
  <si>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</si>
  <si>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</si>
  <si>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</si>
  <si>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</si>
  <si>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</si>
  <si>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</si>
  <si>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</si>
  <si>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</si>
  <si>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</si>
  <si>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</si>
  <si>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</si>
  <si>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</si>
  <si>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</si>
  <si>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</si>
  <si>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</si>
  <si>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</si>
  <si>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</si>
  <si>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</si>
  <si>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</si>
  <si>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</si>
  <si>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</si>
  <si>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</si>
  <si>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</si>
  <si>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</si>
  <si>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</si>
  <si>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</si>
  <si>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</si>
  <si>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</si>
  <si>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</si>
  <si>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</si>
  <si>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</si>
  <si>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</si>
  <si>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</si>
  <si>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</si>
  <si>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</si>
  <si>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</si>
  <si>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</si>
  <si>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</si>
  <si>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</si>
  <si>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</si>
  <si>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</si>
  <si>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</si>
  <si>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</si>
  <si>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</si>
  <si>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</si>
  <si>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</si>
  <si>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</si>
  <si>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</si>
  <si>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</si>
  <si>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</si>
  <si>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</si>
  <si>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</si>
  <si>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</si>
  <si>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</si>
  <si>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</si>
  <si>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</si>
  <si>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</si>
  <si>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</si>
  <si>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</si>
  <si>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</si>
  <si>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</si>
  <si>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</si>
  <si>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</si>
  <si>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</si>
  <si>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</si>
  <si>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</si>
  <si>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</si>
  <si>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</si>
  <si>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</si>
  <si>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</si>
  <si>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</si>
  <si>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</si>
  <si>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</si>
  <si>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</si>
  <si>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</si>
  <si>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</si>
  <si>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</si>
  <si>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</si>
  <si>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</si>
  <si>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</si>
  <si>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</si>
  <si>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</si>
  <si>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</si>
  <si>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</si>
  <si>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</si>
  <si>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</si>
  <si>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</si>
  <si>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</si>
  <si>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</si>
  <si>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</si>
  <si>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</si>
  <si>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</si>
  <si>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</si>
  <si>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</si>
  <si>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</si>
  <si>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</si>
  <si>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</si>
  <si>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</si>
  <si>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</si>
  <si>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</si>
  <si>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</si>
  <si>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</si>
  <si>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</si>
  <si>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</si>
  <si>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</si>
  <si>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</si>
  <si>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</si>
  <si>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</si>
  <si>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</si>
  <si>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</si>
  <si>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</si>
  <si>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</si>
  <si>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</si>
  <si>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</si>
  <si>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</si>
  <si>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 xml:space="preserve">PROGRAMA 3: ADAPTACIÓN PARA EL CRECIMIENTO VERDE </t>
  </si>
  <si>
    <r>
      <t xml:space="preserve">
PROGRAMAS - PROYECTOS  PLAN DE ACCION 2016-2019
</t>
    </r>
    <r>
      <rPr>
        <b/>
        <sz val="10"/>
        <color indexed="10"/>
        <rFont val="Arial Narrow"/>
        <family val="2"/>
      </rPr>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</si>
  <si>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</si>
  <si>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</si>
  <si>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</si>
  <si>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</si>
  <si>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</si>
  <si>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</si>
  <si>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</si>
  <si>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</si>
  <si>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</si>
  <si>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</si>
  <si>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</si>
  <si>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</si>
  <si>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</si>
  <si>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</si>
  <si>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</si>
  <si>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</si>
  <si>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</si>
  <si>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</si>
  <si>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</si>
  <si>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</si>
  <si>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</si>
  <si>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</si>
  <si>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</si>
  <si>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</si>
  <si>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</si>
  <si>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</si>
  <si>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</si>
  <si>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</si>
  <si>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</si>
  <si>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</si>
  <si>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</si>
  <si>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</si>
  <si>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</si>
  <si>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</si>
  <si>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</si>
  <si>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</si>
  <si>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</si>
  <si>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</si>
  <si>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</si>
  <si>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</si>
  <si>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</si>
  <si>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</si>
  <si>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</si>
  <si>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</si>
  <si>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</si>
  <si>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</si>
  <si>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</si>
  <si>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</si>
  <si>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</si>
  <si>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</si>
  <si>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</si>
  <si>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</si>
  <si>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</si>
  <si>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</si>
  <si>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</si>
  <si>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</si>
  <si>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</si>
  <si>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</si>
  <si>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</si>
  <si>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</si>
  <si>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</si>
  <si>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</si>
  <si>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CORPORACIÓN AUTÓNOMA REGIONAL DEL ALTO MAGDALENA CAM
MATRIZ DE SEGUIMIENTO DEL PLAN DE ACCIÓN 
AVANCE EN LAS METAS FÍSICAS Y FINANCIERAS DEL PLAN DE ACCIÓN 2016-2019</t>
  </si>
  <si>
    <r>
      <t xml:space="preserve">(1)
PROGRAMAS - PROYECTOS  DEL PA 2016-2019
</t>
    </r>
    <r>
      <rPr>
        <b/>
        <sz val="10"/>
        <color indexed="10"/>
        <rFont val="Arial Narrow"/>
        <family val="2"/>
      </rPr>
      <t/>
    </r>
  </si>
  <si>
    <t>PROGRAMA No. 2  BIODIVERSIDAD: FUENTE DE VIDA</t>
  </si>
  <si>
    <t xml:space="preserve">Proyecto No.2.1:   CONOCIMIENTO Y PLANIFICACIÓN DE ECOSISTEMAS ESTRATÉGICOS </t>
  </si>
  <si>
    <t>PROGRAMA No. 3  ADAPTACIÓN PARA EL CRECIMIENTO VERDE</t>
  </si>
  <si>
    <t>Proyecto No.3.1:    CRECIMIENTO VERDE DE SECTORES PRODUCTIVOS</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</si>
  <si>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</si>
  <si>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</si>
  <si>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</si>
  <si>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</si>
  <si>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</si>
  <si>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P 1.2: RECUPERACION DE CUENCAS  HIDROGRAFICAS</t>
  </si>
  <si>
    <t>P 1.3:  CONOCIMIENTO Y PLANIFICACIÓN DE ECOSISTEMAS ESTRATÉGICOS</t>
  </si>
  <si>
    <t>P 2: BIODIVERSIDAD: FUENTE DE VIDA</t>
  </si>
  <si>
    <t>P 3: ADAPTACIÓN PARA EL CRECIMIENTO VERDE</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</si>
  <si>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</si>
  <si>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</si>
  <si>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</si>
  <si>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</si>
  <si>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</si>
  <si>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</si>
  <si>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</si>
  <si>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</si>
  <si>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</si>
  <si>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</si>
  <si>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</si>
  <si>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</si>
  <si>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</si>
  <si>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</si>
  <si>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</si>
  <si>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</si>
  <si>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</si>
  <si>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</si>
  <si>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</si>
  <si>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</si>
  <si>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</si>
  <si>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</si>
  <si>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</si>
  <si>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</si>
  <si>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</si>
  <si>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</si>
  <si>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</si>
  <si>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</si>
  <si>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</si>
  <si>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</si>
  <si>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</si>
  <si>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</si>
  <si>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</si>
  <si>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</si>
  <si>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</si>
  <si>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</si>
  <si>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</si>
  <si>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</si>
  <si>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</si>
  <si>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</si>
  <si>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</si>
  <si>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</si>
  <si>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</si>
  <si>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</si>
  <si>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</si>
  <si>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Descontaminación de Fuentes Hídricas</t>
  </si>
  <si>
    <t xml:space="preserve">Proyecto No. 5.2 Gestion de riesgo de desastres </t>
  </si>
  <si>
    <t>N/A</t>
  </si>
  <si>
    <t>Promoción e implementación del Pacto Intersectorial por la Madera legal</t>
  </si>
  <si>
    <t>Estrategia de control a la extracción  legal de los recursos naturales.RED DE CONTROL AMBIENTAL RECAM</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</si>
  <si>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</si>
  <si>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</si>
  <si>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</si>
  <si>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</si>
  <si>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</si>
  <si>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META FÍSICA DEL PROYECTO</t>
  </si>
  <si>
    <t>GLOBAL META FÍSICA DE LOS PROYECTOS</t>
  </si>
  <si>
    <t>PORCENTAJE (%) META FÍSICA DEL PROYECTO</t>
  </si>
  <si>
    <t>P 1: AGUA PARA TODOS</t>
  </si>
  <si>
    <t xml:space="preserve">
P6.2: EDUCACIÓN AMBIENTAL: OPITA DE CORAZÓN</t>
  </si>
  <si>
    <t>Proyecto No. 1.3 Descontaminación de Fuentes Hídricas</t>
  </si>
  <si>
    <t>Estudio técnico y proceso  de socialización tendiente  a la declaratoria de áreas protegidas.</t>
  </si>
  <si>
    <t>Porcentaje de Páramos delimitados por el MADS, con zonificación y régimen de usos adoptados por la CAM</t>
  </si>
  <si>
    <t>PROGRAMA 1 Ordenamiento y administración del recurso hídrico y las cuencas Hidrográficas</t>
  </si>
  <si>
    <t>Proyecto No. 1.2 RECUPERACIÓN DE CUENCAS  HIDROGRÁFICAS</t>
  </si>
  <si>
    <t>Proyecto No.2.2:  CONSERVACIÓN Y RECUPERACIÓN DE ECOSISTEMAS ESTRATÉGICOS Y SU BIODIVERSIDAD</t>
  </si>
  <si>
    <t xml:space="preserve">Proyecto No.3.2: ÁREAS URBANAS SOSTENIBLES Y RESILIENTES   </t>
  </si>
  <si>
    <t>P 1.1: ORDENAMIENTO Y ADMINISTRACIÓN DEL RECURSO HÍDRICO Y LAS CUENCAS HIDROGRÁFICAS</t>
  </si>
  <si>
    <t>P 2.2:  CONSERVACIÓN Y RECUPERACIÓN DE ECOSISTEMAS ESTRATÉGICOS Y SU BIODIVERSIDAD</t>
  </si>
  <si>
    <t xml:space="preserve">P 3.2: ÁREAS URBANAS SOSTENIBLES Y RESILIENTES  </t>
  </si>
  <si>
    <t>INDICADORES DE GESTIÓN</t>
  </si>
  <si>
    <t>INFORME DE EJECUCIÓN PLAN DE ACCIÓN</t>
  </si>
  <si>
    <t>P 5.2: GESTIÓN DEL RIESGO DE DESASTRES</t>
  </si>
  <si>
    <t xml:space="preserve">Implementación del programa de gestión documental  </t>
  </si>
  <si>
    <t>INDICE DE EJECUCIÓN FINANCIERA DEL PROYECTO (%)</t>
  </si>
  <si>
    <t>Proyecto No. 1.1  Ordenamiento y administración del recurso hídrico y las cuencas Hidrográficas</t>
  </si>
  <si>
    <t>Suelos degradados en recuperación o rehabilitación</t>
  </si>
  <si>
    <t>Porcentaje de áreas de ecosistemas en restauración, rehabilitación y reforestación</t>
  </si>
  <si>
    <t>Porcentaje de suelos degradados en recuperación o rehabilitación</t>
  </si>
  <si>
    <t xml:space="preserve">Porcentaje </t>
  </si>
  <si>
    <t xml:space="preserve">ANEXO No. 5-1. INFORME DE EJECUCION PRESUPUESTAL DE INGRESOS </t>
  </si>
  <si>
    <t xml:space="preserve">  </t>
  </si>
  <si>
    <t>APROPIACION DEFINITIVA</t>
  </si>
  <si>
    <t>EJECUCION    (COMPROMISOS)</t>
  </si>
  <si>
    <t>Pograma 1</t>
  </si>
  <si>
    <t>Programa 2</t>
  </si>
  <si>
    <t>Programa 3</t>
  </si>
  <si>
    <t>3,1 Crecimiento Verde de Sectores Productivos</t>
  </si>
  <si>
    <t>3,2 Areas  Urbanas Sostenibles y Resilientes</t>
  </si>
  <si>
    <t>3,3 Crecimiento Verde de Sectores Productivos-Vigencias Expiradas</t>
  </si>
  <si>
    <t>Programa 4</t>
  </si>
  <si>
    <t>4,1 Control y vigilancia Ambiental</t>
  </si>
  <si>
    <t>Programa 5</t>
  </si>
  <si>
    <t>Programa 6</t>
  </si>
  <si>
    <r>
      <t xml:space="preserve">VIGENCIA EVALUADA (AÑO): </t>
    </r>
    <r>
      <rPr>
        <b/>
        <u/>
        <sz val="11"/>
        <rFont val="Arial"/>
        <family val="2"/>
      </rPr>
      <t xml:space="preserve">2018 </t>
    </r>
    <r>
      <rPr>
        <b/>
        <sz val="11"/>
        <rFont val="Arial"/>
        <family val="2"/>
      </rPr>
      <t xml:space="preserve"> PERIODO EVALUADO: I SEMESTRE DE 2018</t>
    </r>
  </si>
  <si>
    <t>META FÍSICA DEL PROYECTO %</t>
  </si>
  <si>
    <t>n/a</t>
  </si>
  <si>
    <t>RECURSOS VIGENCIA :   DICIEMBRE DE 2018</t>
  </si>
  <si>
    <t>EJECUCION    (PAGOS Y CXP)</t>
  </si>
  <si>
    <t>PRESUPUESTO APROPIADO PLAN DE ACCIÓN VIGENCIA 2019</t>
  </si>
  <si>
    <t>VALOR TOTAL COMPROMETIDO PLAN DE ACCIÓN VIGENCIA 2019</t>
  </si>
  <si>
    <t>INDICE GLOBAL DE EJECUCIÓN FINANCIERA PLAN DE ACCIÓN 2019</t>
  </si>
  <si>
    <t>,</t>
  </si>
  <si>
    <t>2016 -2019</t>
  </si>
  <si>
    <t>RECURSOS VIGENCIA :   enero 2016 a octubre 2019</t>
  </si>
  <si>
    <t xml:space="preserve">ANEXO No.5-2. INFORME DE EJECUCION PRESUPUESTAL DE GASTOS </t>
  </si>
  <si>
    <t>RECURSOS VIGENCIA:  enero 2016 a octubre 2019</t>
  </si>
  <si>
    <t>Programa 1.</t>
  </si>
  <si>
    <t>Planificación y gestión de Áreas Naturales Protegidas para la  conservación del Patrimonio Natural del Huila</t>
  </si>
  <si>
    <t>Planificación, conservación y uso sostenible en zonas secas y otros ecosistemas</t>
  </si>
  <si>
    <t>Aprovechamiento Sostenible de la biodiversidad y mercados verdes</t>
  </si>
  <si>
    <t>Protección y recuperación del Recurso Hídrico</t>
  </si>
  <si>
    <t>Planificación, Ordenación y Administración del Recurso Hídrico</t>
  </si>
  <si>
    <t>Implementacion de procesos de restauracion pasiva</t>
  </si>
  <si>
    <t>Planificación y ordenación  del territorio</t>
  </si>
  <si>
    <t>Gestión del Riesgo de Desastres</t>
  </si>
  <si>
    <t>Fortalecimiento de la Gobernabilidad y la Autoridad Ambiental</t>
  </si>
  <si>
    <t>Fortalecimiento Institucional y consolidación  del Sistema Integrado de gestión</t>
  </si>
  <si>
    <t>Institucionalización, Formulación e Implementación del plan de acción departamental de cambio climático.</t>
  </si>
  <si>
    <t>Estrategias de Desarrollo Bajas en Carbono</t>
  </si>
  <si>
    <t>PLAN DE ACCION 2016-2019</t>
  </si>
  <si>
    <t>1,1 Ordenamiento y Admon RH y Cuencas Hidrograficas</t>
  </si>
  <si>
    <t>1,2 Recuperacion de Cuencas Hidrograficas</t>
  </si>
  <si>
    <t>1,3 descontaminacion de Fuentes Hidricas</t>
  </si>
  <si>
    <t>Implementacion de procesos de resturacion pasiva</t>
  </si>
  <si>
    <t>2,1 Conocimiento y Planificacion de Ecosistemas Estrategicos</t>
  </si>
  <si>
    <t>2,2 Conservacion y Recuperacion de Ecosistemas Estrategicos y su Biodiversidad</t>
  </si>
  <si>
    <t>2,3 Conservacion y Recuperacion de Ecosistemas Estrategicos y su Biodiversidad- Vigencias Expiradas</t>
  </si>
  <si>
    <t>Gestion Cambio Climatico Para un Desarrollo bajo en carbono</t>
  </si>
  <si>
    <t>Implementacion de medidas de mitigacion para promover un desarrollo y ordenamiento resiliente al cliam sobre carbono em arco de la politica nacional del cambio climatico  en 23 municipios del departamento del huila</t>
  </si>
  <si>
    <t>5,1 Planificacion Ambiental Territorial</t>
  </si>
  <si>
    <t>5,2 Gestion del Riesgo de Desastres</t>
  </si>
  <si>
    <t>5,3 Gestion del Riesgo de Desastres-Vigncias expiradas</t>
  </si>
  <si>
    <t>6,1 CAM Modelo de Gestion Corporativa</t>
  </si>
  <si>
    <t>6,2 Educacion Ambiental Opita de Corazon</t>
  </si>
  <si>
    <t>TOTAL PRESUPUESTO  DE INVERSION</t>
  </si>
  <si>
    <t>A OCTUBRE  30 DE 2019</t>
  </si>
  <si>
    <t>A 30 OCTUBRE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</si>
</sst>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 #,##0_-;_-*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3" formatCode="0.0"/>
    <numFmt numFmtId="174" formatCode="#,##0_ ;\-#,##0\ "/>
    <numFmt numFmtId="175" formatCode="#,##0.000"/>
    <numFmt numFmtId="176" formatCode="_ &quot;$&quot;\ * #,##0_ ;_ &quot;$&quot;\ * \-#,##0_ ;_ &quot;$&quot;\ * &quot;-&quot;_ ;_ @_ "/>
    <numFmt numFmtId="177" formatCode="_ &quot;$&quot;\ * #,##0.00_ ;_ &quot;$&quot;\ * \-#,##0.00_ ;_ &quot;$&quot;\ * &quot;-&quot;??_ ;_ @_ "/>
    <numFmt numFmtId="178" formatCode="#,##0.0;[Red]#,##0.0"/>
    <numFmt numFmtId="179" formatCode="#,##0.00;[Red]#,##0.00"/>
    <numFmt numFmtId="180" formatCode="_(* #,##0.0_);_(* \(#,##0.0\);_(* &quot;-&quot;??_);_(@_)"/>
    <numFmt numFmtId="181" formatCode="0.0%"/>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b/>
      <u/>
      <sz val="11"/>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sz val="9"/>
      <color rgb="FFFF0000"/>
      <name val="Arial"/>
      <family val="2"/>
    </font>
    <font>
      <b/>
      <sz val="14"/>
      <color theme="1"/>
      <name val="Arial"/>
      <family val="2"/>
    </font>
    <font>
      <sz val="10"/>
      <color theme="1"/>
      <name val="Arial"/>
      <family val="2"/>
    </font>
    <font>
      <sz val="12"/>
      <color theme="1"/>
      <name val="Arial"/>
      <family val="2"/>
    </font>
    <font>
      <b/>
      <sz val="14"/>
      <color rgb="FFFF0000"/>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sz val="10"/>
      <color rgb="FFC00000"/>
      <name val="Arial"/>
      <family val="2"/>
    </font>
    <font>
      <b/>
      <sz val="6"/>
      <name val="Arial"/>
      <family val="2"/>
    </font>
    <font>
      <b/>
      <sz val="10"/>
      <name val="Univers"/>
      <family val="2"/>
    </font>
    <font>
      <b/>
      <sz val="8"/>
      <name val="Univers"/>
    </font>
    <font>
      <b/>
      <sz val="10"/>
      <color rgb="FFFF0000"/>
      <name val="Arial"/>
      <family val="2"/>
    </font>
    <font>
      <sz val="12"/>
      <color rgb="FFFF0000"/>
      <name val="Arial"/>
      <family val="2"/>
    </font>
    <font>
      <sz val="10"/>
      <name val="Arial"/>
      <family val="2"/>
    </font>
    <font>
      <sz val="6"/>
      <name val="Arial Narrow"/>
      <family val="2"/>
    </font>
  </fonts>
  <fills count="33">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74">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8"/>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32">
    <xf numFmtId="0" fontId="0" fillId="0" borderId="0"/>
    <xf numFmtId="170" fontId="4" fillId="0" borderId="0" applyFont="0" applyFill="0" applyBorder="0" applyAlignment="0" applyProtection="0"/>
    <xf numFmtId="166" fontId="4" fillId="0" borderId="0" applyFont="0" applyFill="0" applyBorder="0" applyAlignment="0" applyProtection="0"/>
    <xf numFmtId="172" fontId="30" fillId="0" borderId="0" applyFont="0" applyFill="0" applyBorder="0" applyAlignment="0" applyProtection="0"/>
    <xf numFmtId="43" fontId="52" fillId="0" borderId="0" applyFont="0" applyFill="0" applyBorder="0" applyAlignment="0" applyProtection="0"/>
    <xf numFmtId="165" fontId="2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165" fontId="52" fillId="0" borderId="0" applyFont="0" applyFill="0" applyBorder="0" applyAlignment="0" applyProtection="0"/>
    <xf numFmtId="43" fontId="52" fillId="0" borderId="0" applyFont="0" applyFill="0" applyBorder="0" applyAlignment="0" applyProtection="0"/>
    <xf numFmtId="176" fontId="4" fillId="0" borderId="0" applyFont="0" applyFill="0" applyBorder="0" applyAlignment="0" applyProtection="0"/>
    <xf numFmtId="164" fontId="24" fillId="0" borderId="0" applyFont="0" applyFill="0" applyBorder="0" applyAlignment="0" applyProtection="0"/>
    <xf numFmtId="164" fontId="4" fillId="0" borderId="0" applyFont="0" applyFill="0" applyBorder="0" applyAlignment="0" applyProtection="0"/>
    <xf numFmtId="177" fontId="4" fillId="0" borderId="0" applyFont="0" applyFill="0" applyBorder="0" applyAlignment="0" applyProtection="0"/>
    <xf numFmtId="0" fontId="52" fillId="0" borderId="0"/>
    <xf numFmtId="0" fontId="24" fillId="0" borderId="0"/>
    <xf numFmtId="0" fontId="4" fillId="0" borderId="0"/>
    <xf numFmtId="0" fontId="52" fillId="0" borderId="0"/>
    <xf numFmtId="0" fontId="5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5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1" fontId="71" fillId="0" borderId="0" applyFont="0" applyFill="0" applyBorder="0" applyAlignment="0" applyProtection="0"/>
    <xf numFmtId="0" fontId="1" fillId="0" borderId="0"/>
    <xf numFmtId="43" fontId="1" fillId="0" borderId="0" applyFont="0" applyFill="0" applyBorder="0" applyAlignment="0" applyProtection="0"/>
  </cellStyleXfs>
  <cellXfs count="1002">
    <xf numFmtId="0" fontId="0" fillId="0" borderId="0" xfId="0"/>
    <xf numFmtId="0" fontId="7" fillId="0" borderId="0" xfId="0" applyFont="1" applyFill="1" applyAlignment="1">
      <alignment vertical="center" wrapText="1"/>
    </xf>
    <xf numFmtId="3" fontId="7" fillId="0" borderId="0" xfId="0" applyNumberFormat="1" applyFont="1" applyFill="1" applyAlignment="1">
      <alignment horizontal="center" vertical="center" wrapText="1"/>
    </xf>
    <xf numFmtId="0" fontId="7" fillId="0" borderId="0" xfId="0" applyFont="1" applyFill="1" applyAlignment="1">
      <alignment horizontal="justify" vertical="center" wrapText="1"/>
    </xf>
    <xf numFmtId="0" fontId="6"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13" fillId="2" borderId="1"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0" borderId="4" xfId="0" applyFont="1" applyBorder="1" applyAlignment="1">
      <alignment wrapText="1"/>
    </xf>
    <xf numFmtId="0" fontId="14" fillId="0" borderId="4" xfId="0" applyFont="1" applyBorder="1" applyAlignment="1">
      <alignment horizontal="justify" wrapText="1"/>
    </xf>
    <xf numFmtId="0" fontId="14" fillId="0" borderId="5" xfId="0" applyFont="1" applyBorder="1" applyAlignment="1">
      <alignment horizontal="justify" wrapText="1"/>
    </xf>
    <xf numFmtId="0" fontId="0" fillId="0" borderId="0" xfId="0" applyBorder="1" applyAlignment="1">
      <alignment horizontal="left"/>
    </xf>
    <xf numFmtId="0" fontId="15" fillId="0" borderId="1" xfId="0" applyFont="1" applyBorder="1" applyAlignment="1">
      <alignment vertical="top" wrapText="1"/>
    </xf>
    <xf numFmtId="0" fontId="15" fillId="0" borderId="1" xfId="0" applyFont="1" applyFill="1" applyBorder="1" applyAlignment="1">
      <alignment vertical="top" wrapText="1"/>
    </xf>
    <xf numFmtId="0" fontId="9" fillId="0" borderId="2" xfId="0" applyFont="1" applyFill="1" applyBorder="1" applyAlignment="1">
      <alignment horizontal="justify" wrapText="1"/>
    </xf>
    <xf numFmtId="0" fontId="9" fillId="0" borderId="2" xfId="0" applyFont="1" applyBorder="1" applyAlignment="1">
      <alignment horizontal="justify" wrapText="1"/>
    </xf>
    <xf numFmtId="0" fontId="8" fillId="0" borderId="0" xfId="0" applyFont="1" applyFill="1" applyBorder="1" applyAlignment="1">
      <alignment horizontal="center" vertical="center"/>
    </xf>
    <xf numFmtId="0" fontId="20" fillId="2" borderId="6" xfId="0" applyFont="1" applyFill="1" applyBorder="1" applyAlignment="1">
      <alignment horizontal="center" vertical="center"/>
    </xf>
    <xf numFmtId="0" fontId="16" fillId="2" borderId="7" xfId="0" quotePrefix="1" applyFont="1" applyFill="1" applyBorder="1" applyAlignment="1">
      <alignment horizontal="center" vertical="center" wrapText="1"/>
    </xf>
    <xf numFmtId="0" fontId="7" fillId="0" borderId="8" xfId="0" applyFont="1" applyFill="1" applyBorder="1" applyAlignment="1">
      <alignment vertical="center"/>
    </xf>
    <xf numFmtId="0" fontId="7" fillId="0" borderId="9" xfId="0" applyFont="1" applyFill="1" applyBorder="1" applyAlignment="1">
      <alignment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23" fillId="0" borderId="12" xfId="0" applyFont="1" applyFill="1" applyBorder="1" applyAlignment="1">
      <alignment horizontal="center" vertical="center" wrapText="1"/>
    </xf>
    <xf numFmtId="0" fontId="21" fillId="0" borderId="0" xfId="0" applyFont="1" applyFill="1" applyBorder="1" applyAlignment="1">
      <alignment vertical="center"/>
    </xf>
    <xf numFmtId="0" fontId="21" fillId="0" borderId="0" xfId="0" applyFont="1" applyBorder="1" applyAlignment="1">
      <alignment vertical="center"/>
    </xf>
    <xf numFmtId="0" fontId="21" fillId="0" borderId="0" xfId="0" applyFont="1" applyFill="1" applyAlignment="1">
      <alignment vertical="center" wrapText="1"/>
    </xf>
    <xf numFmtId="0" fontId="21" fillId="3" borderId="0" xfId="0" applyFont="1" applyFill="1" applyAlignment="1">
      <alignment vertical="center" wrapText="1"/>
    </xf>
    <xf numFmtId="0" fontId="21" fillId="2" borderId="0" xfId="0" applyFont="1" applyFill="1" applyAlignment="1">
      <alignment vertical="center" wrapText="1"/>
    </xf>
    <xf numFmtId="0" fontId="8" fillId="0" borderId="13" xfId="0" applyFont="1" applyFill="1" applyBorder="1" applyAlignment="1">
      <alignment horizontal="center" vertical="center"/>
    </xf>
    <xf numFmtId="0" fontId="23" fillId="0" borderId="10" xfId="0"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16" fillId="2" borderId="14" xfId="0" quotePrefix="1" applyFont="1" applyFill="1" applyBorder="1" applyAlignment="1">
      <alignment horizontal="center" vertical="center" wrapText="1"/>
    </xf>
    <xf numFmtId="3" fontId="6" fillId="4" borderId="10" xfId="0" applyNumberFormat="1" applyFont="1" applyFill="1" applyBorder="1" applyAlignment="1">
      <alignment vertical="center" wrapText="1"/>
    </xf>
    <xf numFmtId="3" fontId="7" fillId="4" borderId="10" xfId="0" applyNumberFormat="1" applyFont="1" applyFill="1" applyBorder="1" applyAlignment="1">
      <alignment horizontal="center" vertical="center" wrapText="1"/>
    </xf>
    <xf numFmtId="0" fontId="26" fillId="2" borderId="10" xfId="0" applyFont="1" applyFill="1" applyBorder="1" applyAlignment="1">
      <alignment horizontal="justify" vertical="center" wrapText="1"/>
    </xf>
    <xf numFmtId="0" fontId="27"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justify" vertical="center" wrapText="1"/>
    </xf>
    <xf numFmtId="0" fontId="26" fillId="0" borderId="12" xfId="0" applyFont="1" applyFill="1" applyBorder="1" applyAlignment="1">
      <alignment horizontal="justify" vertical="center" wrapText="1"/>
    </xf>
    <xf numFmtId="0" fontId="27" fillId="0" borderId="16" xfId="0" applyFont="1" applyFill="1" applyBorder="1" applyAlignment="1">
      <alignment horizontal="center" vertical="center" wrapText="1"/>
    </xf>
    <xf numFmtId="0" fontId="26" fillId="2" borderId="17" xfId="0" applyFont="1" applyFill="1" applyBorder="1" applyAlignment="1">
      <alignment horizontal="justify" vertical="center" wrapText="1"/>
    </xf>
    <xf numFmtId="0" fontId="26" fillId="0" borderId="17" xfId="0" applyFont="1" applyFill="1" applyBorder="1" applyAlignment="1">
      <alignment horizontal="center" vertical="center" wrapText="1"/>
    </xf>
    <xf numFmtId="0" fontId="27" fillId="0" borderId="15" xfId="0" applyFont="1" applyFill="1" applyBorder="1" applyAlignment="1">
      <alignment horizontal="center" vertical="center" textRotation="90" wrapText="1"/>
    </xf>
    <xf numFmtId="3" fontId="28" fillId="0" borderId="10"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4" fillId="0" borderId="0" xfId="0" applyFont="1"/>
    <xf numFmtId="0" fontId="21" fillId="14" borderId="0" xfId="0" applyFont="1" applyFill="1" applyAlignment="1">
      <alignment vertical="center" wrapText="1"/>
    </xf>
    <xf numFmtId="0" fontId="21" fillId="0" borderId="18" xfId="0" applyFont="1" applyFill="1" applyBorder="1" applyAlignment="1">
      <alignment vertical="center" wrapText="1"/>
    </xf>
    <xf numFmtId="3" fontId="28" fillId="0" borderId="10" xfId="0" applyNumberFormat="1" applyFont="1" applyFill="1" applyBorder="1" applyAlignment="1">
      <alignment horizontal="right" vertical="center" wrapText="1"/>
    </xf>
    <xf numFmtId="0" fontId="24" fillId="0" borderId="0" xfId="15" applyFont="1" applyBorder="1" applyAlignment="1">
      <alignment vertical="center" wrapText="1"/>
    </xf>
    <xf numFmtId="0" fontId="24" fillId="0" borderId="0" xfId="15" applyFont="1" applyFill="1" applyAlignment="1">
      <alignment vertical="center" wrapText="1"/>
    </xf>
    <xf numFmtId="0" fontId="24" fillId="0" borderId="0" xfId="15" applyFont="1" applyFill="1" applyAlignment="1">
      <alignment horizontal="center" vertical="center" wrapText="1"/>
    </xf>
    <xf numFmtId="171" fontId="24" fillId="0" borderId="0" xfId="15" applyNumberFormat="1" applyFont="1" applyFill="1" applyAlignment="1">
      <alignment vertical="center" wrapText="1"/>
    </xf>
    <xf numFmtId="3" fontId="24" fillId="0" borderId="0" xfId="15" applyNumberFormat="1" applyFont="1" applyFill="1" applyAlignment="1">
      <alignment vertical="center" wrapText="1"/>
    </xf>
    <xf numFmtId="171" fontId="24" fillId="0" borderId="0" xfId="5" applyNumberFormat="1" applyFont="1" applyFill="1" applyAlignment="1">
      <alignment vertical="center" wrapText="1"/>
    </xf>
    <xf numFmtId="0" fontId="24" fillId="15" borderId="0" xfId="15" applyFont="1" applyFill="1" applyAlignment="1">
      <alignment vertical="center" wrapText="1"/>
    </xf>
    <xf numFmtId="0" fontId="24" fillId="16" borderId="0" xfId="15" applyFont="1" applyFill="1" applyAlignment="1">
      <alignment vertical="center" wrapText="1"/>
    </xf>
    <xf numFmtId="0" fontId="53" fillId="0" borderId="12" xfId="0" applyFont="1" applyFill="1" applyBorder="1" applyAlignment="1">
      <alignment horizontal="center" vertical="center" wrapText="1"/>
    </xf>
    <xf numFmtId="0" fontId="7" fillId="0" borderId="0" xfId="0" applyFont="1" applyAlignment="1">
      <alignment wrapText="1"/>
    </xf>
    <xf numFmtId="169" fontId="54" fillId="0" borderId="10" xfId="0" applyNumberFormat="1" applyFont="1" applyFill="1" applyBorder="1" applyAlignment="1">
      <alignment horizontal="center" vertical="center" wrapText="1"/>
    </xf>
    <xf numFmtId="3" fontId="28" fillId="0" borderId="10" xfId="15" applyNumberFormat="1" applyFont="1" applyFill="1" applyBorder="1" applyAlignment="1">
      <alignment horizontal="right" vertical="center" wrapText="1"/>
    </xf>
    <xf numFmtId="0" fontId="54" fillId="0" borderId="10" xfId="0" applyFont="1" applyFill="1" applyBorder="1" applyAlignment="1">
      <alignment horizontal="center" vertical="center"/>
    </xf>
    <xf numFmtId="0" fontId="21" fillId="0" borderId="18" xfId="0" applyFont="1" applyFill="1" applyBorder="1" applyAlignment="1">
      <alignment vertical="center"/>
    </xf>
    <xf numFmtId="3" fontId="7" fillId="0" borderId="12"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3" fillId="0" borderId="0" xfId="0" applyFont="1" applyBorder="1" applyAlignment="1" applyProtection="1">
      <alignment horizontal="centerContinuous" vertical="center"/>
    </xf>
    <xf numFmtId="0" fontId="23" fillId="0" borderId="0" xfId="0" applyFont="1" applyBorder="1" applyAlignment="1" applyProtection="1">
      <alignment vertical="center"/>
    </xf>
    <xf numFmtId="0" fontId="0" fillId="0" borderId="0" xfId="0" applyBorder="1" applyAlignment="1" applyProtection="1">
      <alignment vertical="center"/>
    </xf>
    <xf numFmtId="0" fontId="15" fillId="0" borderId="10"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36" fillId="0" borderId="15" xfId="0" applyFont="1" applyFill="1" applyBorder="1" applyAlignment="1" applyProtection="1">
      <alignment vertical="center"/>
    </xf>
    <xf numFmtId="4" fontId="36" fillId="0" borderId="10" xfId="0" applyNumberFormat="1" applyFont="1" applyFill="1" applyBorder="1" applyAlignment="1" applyProtection="1">
      <alignment vertical="center"/>
    </xf>
    <xf numFmtId="4" fontId="36" fillId="0" borderId="12" xfId="0" applyNumberFormat="1" applyFont="1" applyFill="1" applyBorder="1" applyAlignment="1" applyProtection="1">
      <alignment vertical="center"/>
    </xf>
    <xf numFmtId="4" fontId="0" fillId="0" borderId="0" xfId="0" applyNumberFormat="1" applyAlignment="1">
      <alignment vertical="center"/>
    </xf>
    <xf numFmtId="0" fontId="34" fillId="0" borderId="15" xfId="0" applyFont="1" applyFill="1" applyBorder="1" applyAlignment="1" applyProtection="1">
      <alignment vertical="center"/>
    </xf>
    <xf numFmtId="4" fontId="34" fillId="0" borderId="10" xfId="0" applyNumberFormat="1" applyFont="1" applyFill="1" applyBorder="1" applyAlignment="1" applyProtection="1">
      <alignment vertical="center"/>
    </xf>
    <xf numFmtId="4" fontId="34" fillId="0" borderId="12" xfId="0" applyNumberFormat="1" applyFont="1" applyFill="1" applyBorder="1" applyAlignment="1" applyProtection="1">
      <alignment vertical="center"/>
    </xf>
    <xf numFmtId="4" fontId="24" fillId="0" borderId="0" xfId="0" applyNumberFormat="1" applyFont="1" applyAlignment="1">
      <alignment vertical="center"/>
    </xf>
    <xf numFmtId="4" fontId="34" fillId="0" borderId="19" xfId="0" applyNumberFormat="1" applyFont="1" applyBorder="1" applyAlignment="1" applyProtection="1">
      <alignment vertical="center"/>
    </xf>
    <xf numFmtId="4" fontId="34" fillId="0" borderId="20" xfId="0" applyNumberFormat="1" applyFont="1" applyBorder="1" applyAlignment="1" applyProtection="1">
      <alignment vertical="center"/>
    </xf>
    <xf numFmtId="4" fontId="36" fillId="0" borderId="20" xfId="0" applyNumberFormat="1" applyFont="1" applyFill="1" applyBorder="1" applyAlignment="1" applyProtection="1">
      <alignment vertical="center"/>
    </xf>
    <xf numFmtId="4" fontId="34" fillId="0" borderId="21" xfId="0" applyNumberFormat="1" applyFont="1" applyFill="1" applyBorder="1" applyAlignment="1" applyProtection="1">
      <alignment vertical="center"/>
    </xf>
    <xf numFmtId="0" fontId="36" fillId="0" borderId="6" xfId="0" applyFont="1" applyFill="1" applyBorder="1" applyAlignment="1" applyProtection="1">
      <alignment vertical="center"/>
    </xf>
    <xf numFmtId="4" fontId="36" fillId="0" borderId="7" xfId="0" applyNumberFormat="1" applyFont="1" applyFill="1" applyBorder="1" applyAlignment="1" applyProtection="1">
      <alignment vertical="center"/>
    </xf>
    <xf numFmtId="4" fontId="36" fillId="0" borderId="14" xfId="0" applyNumberFormat="1" applyFont="1" applyFill="1" applyBorder="1" applyAlignment="1" applyProtection="1">
      <alignment vertical="center"/>
    </xf>
    <xf numFmtId="0" fontId="36" fillId="8" borderId="15" xfId="0" applyFont="1" applyFill="1" applyBorder="1" applyAlignment="1" applyProtection="1">
      <alignment vertical="center" wrapText="1"/>
      <protection locked="0"/>
    </xf>
    <xf numFmtId="4" fontId="36" fillId="0" borderId="10" xfId="0" applyNumberFormat="1" applyFont="1" applyFill="1" applyBorder="1" applyAlignment="1" applyProtection="1">
      <alignment vertical="center" wrapText="1"/>
      <protection locked="0"/>
    </xf>
    <xf numFmtId="0" fontId="22" fillId="17" borderId="22" xfId="0" applyFont="1" applyFill="1" applyBorder="1" applyAlignment="1">
      <alignment horizontal="justify" vertical="center" wrapText="1"/>
    </xf>
    <xf numFmtId="3" fontId="39" fillId="0" borderId="15" xfId="0" applyNumberFormat="1" applyFont="1" applyBorder="1" applyAlignment="1">
      <alignment wrapText="1"/>
    </xf>
    <xf numFmtId="4" fontId="34" fillId="0" borderId="10" xfId="0" applyNumberFormat="1" applyFont="1" applyFill="1" applyBorder="1" applyAlignment="1" applyProtection="1">
      <alignment vertical="center" wrapText="1"/>
      <protection locked="0"/>
    </xf>
    <xf numFmtId="4" fontId="55" fillId="0" borderId="10" xfId="0" applyNumberFormat="1" applyFont="1" applyFill="1" applyBorder="1" applyAlignment="1" applyProtection="1">
      <alignment vertical="center" wrapText="1"/>
      <protection locked="0"/>
    </xf>
    <xf numFmtId="4" fontId="36" fillId="0" borderId="12" xfId="0" applyNumberFormat="1" applyFont="1" applyFill="1" applyBorder="1" applyAlignment="1" applyProtection="1">
      <alignment vertical="center" wrapText="1"/>
      <protection locked="0"/>
    </xf>
    <xf numFmtId="4" fontId="40" fillId="0" borderId="10" xfId="0" applyNumberFormat="1" applyFont="1" applyFill="1" applyBorder="1" applyAlignment="1" applyProtection="1">
      <alignment vertical="center" wrapText="1"/>
      <protection locked="0"/>
    </xf>
    <xf numFmtId="4" fontId="40" fillId="0" borderId="12" xfId="0" applyNumberFormat="1" applyFont="1" applyFill="1" applyBorder="1" applyAlignment="1" applyProtection="1">
      <alignment vertical="center" wrapText="1"/>
      <protection locked="0"/>
    </xf>
    <xf numFmtId="0" fontId="39" fillId="0" borderId="15" xfId="0" applyFont="1" applyBorder="1" applyAlignment="1">
      <alignment vertical="center" wrapText="1"/>
    </xf>
    <xf numFmtId="3" fontId="39" fillId="0" borderId="15" xfId="0" applyNumberFormat="1" applyFont="1" applyBorder="1" applyAlignment="1">
      <alignment horizontal="justify"/>
    </xf>
    <xf numFmtId="0" fontId="36" fillId="8" borderId="15" xfId="0" applyFont="1" applyFill="1" applyBorder="1" applyAlignment="1" applyProtection="1">
      <alignment vertical="center"/>
    </xf>
    <xf numFmtId="4" fontId="41" fillId="8" borderId="15" xfId="0" applyNumberFormat="1" applyFont="1" applyFill="1" applyBorder="1" applyAlignment="1" applyProtection="1">
      <alignment vertical="center"/>
    </xf>
    <xf numFmtId="4" fontId="41" fillId="0" borderId="10" xfId="0" applyNumberFormat="1" applyFont="1" applyBorder="1" applyAlignment="1" applyProtection="1">
      <alignment vertical="center"/>
    </xf>
    <xf numFmtId="0" fontId="36" fillId="8" borderId="16" xfId="0" applyFont="1" applyFill="1" applyBorder="1" applyAlignment="1" applyProtection="1">
      <alignment vertical="center"/>
    </xf>
    <xf numFmtId="4" fontId="36" fillId="0" borderId="17" xfId="0" applyNumberFormat="1" applyFont="1" applyFill="1" applyBorder="1" applyAlignment="1" applyProtection="1">
      <alignment vertical="center"/>
    </xf>
    <xf numFmtId="4" fontId="36" fillId="0" borderId="23" xfId="0" applyNumberFormat="1" applyFont="1" applyFill="1" applyBorder="1" applyAlignment="1" applyProtection="1">
      <alignment vertical="center"/>
    </xf>
    <xf numFmtId="0" fontId="42" fillId="8" borderId="0" xfId="0" applyFont="1" applyFill="1" applyBorder="1" applyAlignment="1" applyProtection="1">
      <alignment horizontal="centerContinuous" vertical="center" wrapText="1"/>
    </xf>
    <xf numFmtId="0" fontId="43" fillId="0" borderId="0" xfId="0" applyFont="1" applyFill="1" applyBorder="1" applyAlignment="1" applyProtection="1">
      <alignment horizontal="centerContinuous" vertical="center" wrapText="1"/>
    </xf>
    <xf numFmtId="4" fontId="43" fillId="0" borderId="0" xfId="0" applyNumberFormat="1" applyFont="1" applyFill="1" applyBorder="1" applyAlignment="1" applyProtection="1">
      <alignment horizontal="centerContinuous" vertical="center" wrapText="1"/>
    </xf>
    <xf numFmtId="1" fontId="36"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4" fillId="0" borderId="0" xfId="0" applyNumberFormat="1" applyFont="1" applyAlignment="1" applyProtection="1">
      <alignment vertical="center"/>
    </xf>
    <xf numFmtId="0" fontId="23" fillId="8" borderId="0" xfId="0" applyFont="1" applyFill="1" applyAlignment="1">
      <alignment vertical="center"/>
    </xf>
    <xf numFmtId="0" fontId="24" fillId="8" borderId="0" xfId="0" applyFont="1" applyFill="1" applyAlignment="1">
      <alignment vertical="center"/>
    </xf>
    <xf numFmtId="0" fontId="0" fillId="8" borderId="0" xfId="0" applyFill="1" applyAlignment="1">
      <alignment vertical="center"/>
    </xf>
    <xf numFmtId="3" fontId="7" fillId="10" borderId="10" xfId="0" applyNumberFormat="1" applyFont="1" applyFill="1" applyBorder="1"/>
    <xf numFmtId="3" fontId="7" fillId="2" borderId="10" xfId="0" applyNumberFormat="1" applyFont="1" applyFill="1" applyBorder="1"/>
    <xf numFmtId="3" fontId="7" fillId="4" borderId="10" xfId="0" applyNumberFormat="1" applyFont="1" applyFill="1" applyBorder="1"/>
    <xf numFmtId="3" fontId="7" fillId="4" borderId="10" xfId="0" applyNumberFormat="1" applyFont="1" applyFill="1" applyBorder="1" applyAlignment="1">
      <alignment vertical="center" wrapText="1"/>
    </xf>
    <xf numFmtId="0" fontId="28" fillId="0" borderId="0" xfId="0" applyFont="1" applyFill="1" applyAlignment="1">
      <alignment horizontal="center" vertical="center" wrapText="1"/>
    </xf>
    <xf numFmtId="3" fontId="6" fillId="10" borderId="1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7" fillId="10" borderId="10" xfId="0" applyNumberFormat="1" applyFont="1" applyFill="1" applyBorder="1" applyAlignment="1">
      <alignment vertical="center" wrapText="1"/>
    </xf>
    <xf numFmtId="3" fontId="7" fillId="2" borderId="10" xfId="0" applyNumberFormat="1" applyFont="1" applyFill="1" applyBorder="1" applyAlignment="1">
      <alignment vertical="center" wrapText="1"/>
    </xf>
    <xf numFmtId="3" fontId="6" fillId="0" borderId="0" xfId="0" applyNumberFormat="1" applyFont="1" applyFill="1" applyAlignment="1">
      <alignment vertical="center" wrapText="1"/>
    </xf>
    <xf numFmtId="3" fontId="6" fillId="11" borderId="10" xfId="0" applyNumberFormat="1" applyFont="1" applyFill="1" applyBorder="1" applyAlignment="1">
      <alignment vertical="center" wrapText="1"/>
    </xf>
    <xf numFmtId="3" fontId="44" fillId="10" borderId="10" xfId="0" applyNumberFormat="1" applyFont="1" applyFill="1" applyBorder="1" applyAlignment="1">
      <alignment vertical="center" wrapText="1"/>
    </xf>
    <xf numFmtId="3" fontId="6" fillId="0" borderId="24" xfId="0" applyNumberFormat="1" applyFont="1" applyFill="1" applyBorder="1" applyAlignment="1">
      <alignment horizontal="right" vertical="center" wrapText="1"/>
    </xf>
    <xf numFmtId="3" fontId="7" fillId="11" borderId="10" xfId="0" applyNumberFormat="1" applyFont="1" applyFill="1" applyBorder="1" applyAlignment="1">
      <alignment vertical="center" wrapText="1"/>
    </xf>
    <xf numFmtId="3" fontId="6" fillId="2" borderId="10" xfId="0" applyNumberFormat="1" applyFont="1" applyFill="1" applyBorder="1" applyAlignment="1">
      <alignment vertical="center" wrapText="1"/>
    </xf>
    <xf numFmtId="3" fontId="7" fillId="12" borderId="10" xfId="0" applyNumberFormat="1" applyFont="1" applyFill="1" applyBorder="1" applyAlignment="1">
      <alignment vertical="center" wrapText="1"/>
    </xf>
    <xf numFmtId="3" fontId="6" fillId="0" borderId="0" xfId="0" applyNumberFormat="1" applyFont="1" applyFill="1" applyBorder="1" applyAlignment="1">
      <alignment horizontal="right" vertical="center" wrapText="1"/>
    </xf>
    <xf numFmtId="0" fontId="6" fillId="0" borderId="0" xfId="0" applyFont="1" applyFill="1" applyAlignment="1">
      <alignment vertical="center" wrapText="1"/>
    </xf>
    <xf numFmtId="3" fontId="6" fillId="11" borderId="0" xfId="0" applyNumberFormat="1" applyFont="1" applyFill="1" applyBorder="1" applyAlignment="1">
      <alignment vertical="center" wrapText="1"/>
    </xf>
    <xf numFmtId="3" fontId="6" fillId="0" borderId="13" xfId="0" applyNumberFormat="1" applyFont="1" applyFill="1" applyBorder="1" applyAlignment="1">
      <alignment horizontal="right" vertical="center" wrapText="1"/>
    </xf>
    <xf numFmtId="0" fontId="7" fillId="8" borderId="0" xfId="0" applyFont="1" applyFill="1" applyAlignment="1">
      <alignment horizontal="center" vertical="center" wrapText="1"/>
    </xf>
    <xf numFmtId="4" fontId="7" fillId="0" borderId="0" xfId="0" applyNumberFormat="1" applyFont="1" applyFill="1" applyAlignment="1">
      <alignment horizontal="right" vertical="center" wrapText="1"/>
    </xf>
    <xf numFmtId="4" fontId="7" fillId="8" borderId="0" xfId="0" applyNumberFormat="1" applyFont="1" applyFill="1" applyAlignment="1">
      <alignment horizontal="right" vertical="center" wrapText="1"/>
    </xf>
    <xf numFmtId="0" fontId="21"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3" fillId="14" borderId="10" xfId="0" applyFont="1" applyFill="1" applyBorder="1" applyAlignment="1">
      <alignment horizontal="center" vertical="center"/>
    </xf>
    <xf numFmtId="0" fontId="0" fillId="0" borderId="10" xfId="0" applyBorder="1" applyAlignment="1">
      <alignment horizontal="center" vertical="center" wrapText="1"/>
    </xf>
    <xf numFmtId="0" fontId="23" fillId="14" borderId="10" xfId="0" applyFont="1" applyFill="1" applyBorder="1" applyAlignment="1">
      <alignment horizontal="center" vertical="center" wrapText="1"/>
    </xf>
    <xf numFmtId="0" fontId="27" fillId="0" borderId="0" xfId="0" applyFont="1"/>
    <xf numFmtId="3" fontId="27" fillId="0" borderId="0" xfId="0" applyNumberFormat="1" applyFont="1"/>
    <xf numFmtId="0" fontId="14" fillId="0" borderId="4" xfId="0" applyFont="1" applyBorder="1" applyAlignment="1">
      <alignment horizontal="justify" vertical="top" wrapText="1"/>
    </xf>
    <xf numFmtId="0" fontId="13" fillId="18" borderId="4" xfId="0" applyFont="1" applyFill="1" applyBorder="1" applyAlignment="1">
      <alignment wrapText="1"/>
    </xf>
    <xf numFmtId="0" fontId="14" fillId="18" borderId="4" xfId="0" applyFont="1" applyFill="1" applyBorder="1" applyAlignment="1">
      <alignment horizontal="justify" vertical="top" wrapText="1"/>
    </xf>
    <xf numFmtId="0" fontId="14" fillId="0" borderId="4" xfId="0" applyFont="1" applyBorder="1" applyAlignment="1">
      <alignment horizontal="justify"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21" fillId="0" borderId="0" xfId="0" applyFont="1" applyFill="1" applyAlignment="1">
      <alignment vertical="top" wrapText="1"/>
    </xf>
    <xf numFmtId="0" fontId="56" fillId="0" borderId="18" xfId="0" applyFont="1" applyFill="1" applyBorder="1" applyAlignment="1">
      <alignment vertical="center" wrapText="1"/>
    </xf>
    <xf numFmtId="0" fontId="56" fillId="0" borderId="0" xfId="0" applyFont="1" applyFill="1" applyAlignment="1">
      <alignment vertical="center" wrapText="1"/>
    </xf>
    <xf numFmtId="0" fontId="0" fillId="18" borderId="10" xfId="0" applyFill="1" applyBorder="1" applyAlignment="1">
      <alignment horizontal="center" vertical="center"/>
    </xf>
    <xf numFmtId="0" fontId="24" fillId="0" borderId="0" xfId="0" applyFont="1" applyAlignment="1">
      <alignment horizontal="center" vertical="center"/>
    </xf>
    <xf numFmtId="171" fontId="28" fillId="0" borderId="0" xfId="5" applyNumberFormat="1" applyFont="1" applyBorder="1" applyAlignment="1">
      <alignment vertical="center" wrapText="1"/>
    </xf>
    <xf numFmtId="0" fontId="31" fillId="13" borderId="17" xfId="15" applyFont="1" applyFill="1" applyBorder="1" applyAlignment="1">
      <alignment horizontal="center" vertical="center" wrapText="1"/>
    </xf>
    <xf numFmtId="0" fontId="31" fillId="14" borderId="26" xfId="15" applyFont="1" applyFill="1" applyBorder="1" applyAlignment="1">
      <alignment horizontal="center" vertical="center" wrapText="1"/>
    </xf>
    <xf numFmtId="0" fontId="28" fillId="0" borderId="18" xfId="15" applyFont="1" applyFill="1" applyBorder="1" applyAlignment="1">
      <alignment vertical="center" wrapText="1"/>
    </xf>
    <xf numFmtId="0" fontId="47" fillId="0" borderId="10" xfId="15" applyFont="1" applyFill="1" applyBorder="1" applyAlignment="1">
      <alignment horizontal="center" vertical="center" wrapText="1"/>
    </xf>
    <xf numFmtId="3" fontId="28" fillId="0" borderId="27" xfId="15" applyNumberFormat="1" applyFont="1" applyFill="1" applyBorder="1" applyAlignment="1">
      <alignment horizontal="right" vertical="center" wrapText="1"/>
    </xf>
    <xf numFmtId="0" fontId="28" fillId="0" borderId="10" xfId="15" applyFont="1" applyFill="1" applyBorder="1" applyAlignment="1">
      <alignment horizontal="center" vertical="center" wrapText="1"/>
    </xf>
    <xf numFmtId="0" fontId="28" fillId="0" borderId="10" xfId="15" applyFont="1" applyFill="1" applyBorder="1" applyAlignment="1">
      <alignment vertical="center" wrapText="1"/>
    </xf>
    <xf numFmtId="0" fontId="28" fillId="0" borderId="26" xfId="15" applyFont="1" applyFill="1" applyBorder="1" applyAlignment="1">
      <alignment horizontal="center" vertical="center" wrapText="1"/>
    </xf>
    <xf numFmtId="0" fontId="28" fillId="4" borderId="26" xfId="15" applyFont="1" applyFill="1" applyBorder="1" applyAlignment="1">
      <alignment horizontal="justify" vertical="center" wrapText="1"/>
    </xf>
    <xf numFmtId="0" fontId="28" fillId="4" borderId="26" xfId="15" applyFont="1" applyFill="1" applyBorder="1" applyAlignment="1">
      <alignment horizontal="center" vertical="center" wrapText="1"/>
    </xf>
    <xf numFmtId="3" fontId="28" fillId="4" borderId="26" xfId="15" applyNumberFormat="1" applyFont="1" applyFill="1" applyBorder="1" applyAlignment="1">
      <alignment horizontal="center" vertical="center" wrapText="1"/>
    </xf>
    <xf numFmtId="3" fontId="31" fillId="19" borderId="10" xfId="15" applyNumberFormat="1" applyFont="1" applyFill="1" applyBorder="1" applyAlignment="1">
      <alignment horizontal="right" vertical="center" wrapText="1"/>
    </xf>
    <xf numFmtId="3" fontId="28" fillId="19" borderId="10" xfId="15" applyNumberFormat="1" applyFont="1" applyFill="1" applyBorder="1" applyAlignment="1">
      <alignment horizontal="center" vertical="center" wrapText="1"/>
    </xf>
    <xf numFmtId="0" fontId="47" fillId="0" borderId="10" xfId="15" applyFont="1" applyBorder="1" applyAlignment="1">
      <alignment horizontal="center" vertical="center" wrapText="1"/>
    </xf>
    <xf numFmtId="0" fontId="28" fillId="20" borderId="10" xfId="15" applyFont="1" applyFill="1" applyBorder="1" applyAlignment="1">
      <alignment horizontal="center" vertical="center" wrapText="1"/>
    </xf>
    <xf numFmtId="0" fontId="28" fillId="4" borderId="19" xfId="15" applyFont="1" applyFill="1" applyBorder="1" applyAlignment="1">
      <alignment horizontal="justify" vertical="center" wrapText="1"/>
    </xf>
    <xf numFmtId="0" fontId="28" fillId="4" borderId="10" xfId="15" applyFont="1" applyFill="1" applyBorder="1" applyAlignment="1">
      <alignment horizontal="justify" vertical="center" wrapText="1"/>
    </xf>
    <xf numFmtId="0" fontId="28" fillId="4" borderId="20" xfId="15" applyFont="1" applyFill="1" applyBorder="1" applyAlignment="1">
      <alignment horizontal="center" vertical="center" wrapText="1"/>
    </xf>
    <xf numFmtId="0" fontId="28" fillId="0" borderId="25" xfId="15" applyFont="1" applyFill="1" applyBorder="1" applyAlignment="1">
      <alignment vertical="center" wrapText="1"/>
    </xf>
    <xf numFmtId="0" fontId="31" fillId="5" borderId="15" xfId="15" applyFont="1" applyFill="1" applyBorder="1" applyAlignment="1">
      <alignment horizontal="center" vertical="center" wrapText="1"/>
    </xf>
    <xf numFmtId="0" fontId="31" fillId="5" borderId="10" xfId="15" applyFont="1" applyFill="1" applyBorder="1" applyAlignment="1">
      <alignment horizontal="center" vertical="center" wrapText="1"/>
    </xf>
    <xf numFmtId="3" fontId="31" fillId="14" borderId="10" xfId="15" applyNumberFormat="1" applyFont="1" applyFill="1" applyBorder="1" applyAlignment="1">
      <alignment horizontal="center" vertical="center" wrapText="1"/>
    </xf>
    <xf numFmtId="3" fontId="31" fillId="14" borderId="10" xfId="15" applyNumberFormat="1" applyFont="1" applyFill="1" applyBorder="1" applyAlignment="1">
      <alignment horizontal="right" vertical="center" wrapText="1"/>
    </xf>
    <xf numFmtId="0" fontId="28" fillId="4" borderId="20" xfId="15" applyFont="1" applyFill="1" applyBorder="1" applyAlignment="1">
      <alignment horizontal="justify" vertical="center" wrapText="1"/>
    </xf>
    <xf numFmtId="3" fontId="28" fillId="19" borderId="20" xfId="15" applyNumberFormat="1" applyFont="1" applyFill="1" applyBorder="1" applyAlignment="1">
      <alignment horizontal="center" vertical="center" wrapText="1"/>
    </xf>
    <xf numFmtId="0" fontId="28" fillId="4" borderId="24" xfId="15" applyFont="1" applyFill="1" applyBorder="1" applyAlignment="1">
      <alignment horizontal="justify" vertical="center" wrapText="1"/>
    </xf>
    <xf numFmtId="0" fontId="28" fillId="4" borderId="28" xfId="15" applyFont="1" applyFill="1" applyBorder="1" applyAlignment="1">
      <alignment horizontal="center" vertical="center" wrapText="1"/>
    </xf>
    <xf numFmtId="0" fontId="28" fillId="19" borderId="26" xfId="15" applyFont="1" applyFill="1" applyBorder="1" applyAlignment="1">
      <alignment horizontal="center" vertical="center" wrapText="1"/>
    </xf>
    <xf numFmtId="3" fontId="31" fillId="19" borderId="20" xfId="15" applyNumberFormat="1" applyFont="1" applyFill="1" applyBorder="1" applyAlignment="1">
      <alignment horizontal="right" vertical="center" wrapText="1"/>
    </xf>
    <xf numFmtId="3" fontId="28" fillId="20" borderId="10" xfId="15" applyNumberFormat="1" applyFont="1" applyFill="1" applyBorder="1" applyAlignment="1">
      <alignment horizontal="right" vertical="center" wrapText="1"/>
    </xf>
    <xf numFmtId="0" fontId="28" fillId="19" borderId="20" xfId="15" applyFont="1" applyFill="1" applyBorder="1" applyAlignment="1">
      <alignment horizontal="center" vertical="center" wrapText="1"/>
    </xf>
    <xf numFmtId="0" fontId="28" fillId="14" borderId="26" xfId="15" applyFont="1" applyFill="1" applyBorder="1" applyAlignment="1">
      <alignment vertical="center" wrapText="1"/>
    </xf>
    <xf numFmtId="0" fontId="28" fillId="14" borderId="10" xfId="15" applyFont="1" applyFill="1" applyBorder="1" applyAlignment="1">
      <alignment vertical="center" wrapText="1"/>
    </xf>
    <xf numFmtId="3" fontId="31" fillId="14" borderId="10" xfId="15" applyNumberFormat="1" applyFont="1" applyFill="1" applyBorder="1" applyAlignment="1">
      <alignment vertical="center" wrapText="1"/>
    </xf>
    <xf numFmtId="0" fontId="28" fillId="4" borderId="20" xfId="15" applyFont="1" applyFill="1" applyBorder="1" applyAlignment="1">
      <alignment vertical="center" wrapText="1"/>
    </xf>
    <xf numFmtId="0" fontId="28" fillId="4" borderId="10" xfId="15" applyFont="1" applyFill="1" applyBorder="1" applyAlignment="1">
      <alignment vertical="center" wrapText="1"/>
    </xf>
    <xf numFmtId="3" fontId="31" fillId="19" borderId="10" xfId="15" applyNumberFormat="1" applyFont="1" applyFill="1" applyBorder="1" applyAlignment="1">
      <alignment vertical="center" wrapText="1"/>
    </xf>
    <xf numFmtId="0" fontId="28" fillId="19" borderId="10" xfId="15" applyFont="1" applyFill="1" applyBorder="1" applyAlignment="1">
      <alignment vertical="center" wrapText="1"/>
    </xf>
    <xf numFmtId="3" fontId="28" fillId="0" borderId="10" xfId="15" applyNumberFormat="1" applyFont="1" applyFill="1" applyBorder="1" applyAlignment="1">
      <alignment horizontal="center" vertical="center" wrapText="1"/>
    </xf>
    <xf numFmtId="0" fontId="28" fillId="0" borderId="26" xfId="15" applyFont="1" applyFill="1" applyBorder="1" applyAlignment="1">
      <alignment vertical="center" wrapText="1"/>
    </xf>
    <xf numFmtId="0" fontId="28" fillId="0" borderId="27" xfId="15" applyFont="1" applyFill="1" applyBorder="1" applyAlignment="1">
      <alignment vertical="center" wrapText="1"/>
    </xf>
    <xf numFmtId="0" fontId="28" fillId="4" borderId="0" xfId="15" applyFont="1" applyFill="1" applyBorder="1" applyAlignment="1">
      <alignment vertical="center" wrapText="1"/>
    </xf>
    <xf numFmtId="0" fontId="31" fillId="14" borderId="10" xfId="15" applyFont="1" applyFill="1" applyBorder="1" applyAlignment="1">
      <alignment horizontal="center" vertical="center" wrapText="1"/>
    </xf>
    <xf numFmtId="0" fontId="28" fillId="19" borderId="10" xfId="15" applyFont="1" applyFill="1" applyBorder="1" applyAlignment="1">
      <alignment horizontal="justify" vertical="center" wrapText="1"/>
    </xf>
    <xf numFmtId="3" fontId="28" fillId="0" borderId="20" xfId="15" applyNumberFormat="1" applyFont="1" applyFill="1" applyBorder="1" applyAlignment="1">
      <alignment horizontal="right" vertical="center" wrapText="1"/>
    </xf>
    <xf numFmtId="3" fontId="28" fillId="0" borderId="20" xfId="15" applyNumberFormat="1" applyFont="1" applyFill="1" applyBorder="1" applyAlignment="1">
      <alignment horizontal="center" vertical="center" wrapText="1"/>
    </xf>
    <xf numFmtId="3" fontId="31" fillId="13" borderId="17" xfId="15" applyNumberFormat="1" applyFont="1" applyFill="1" applyBorder="1" applyAlignment="1">
      <alignment horizontal="center" vertical="center" wrapText="1"/>
    </xf>
    <xf numFmtId="0" fontId="28" fillId="20" borderId="25" xfId="15" applyFont="1" applyFill="1" applyBorder="1" applyAlignment="1">
      <alignment vertical="center" wrapText="1"/>
    </xf>
    <xf numFmtId="171" fontId="31" fillId="13" borderId="23" xfId="5" applyNumberFormat="1" applyFont="1" applyFill="1" applyBorder="1" applyAlignment="1">
      <alignment horizontal="center" vertical="center" wrapText="1"/>
    </xf>
    <xf numFmtId="171" fontId="28" fillId="0" borderId="12" xfId="5" applyNumberFormat="1" applyFont="1" applyFill="1" applyBorder="1" applyAlignment="1">
      <alignment vertical="center" wrapText="1"/>
    </xf>
    <xf numFmtId="171" fontId="31" fillId="19" borderId="29" xfId="5" applyNumberFormat="1" applyFont="1" applyFill="1" applyBorder="1" applyAlignment="1">
      <alignment horizontal="right" vertical="center" wrapText="1"/>
    </xf>
    <xf numFmtId="171" fontId="54" fillId="0" borderId="0" xfId="5" applyNumberFormat="1" applyFont="1" applyBorder="1" applyAlignment="1">
      <alignment vertical="center" wrapText="1"/>
    </xf>
    <xf numFmtId="171" fontId="57" fillId="13" borderId="17" xfId="5" applyNumberFormat="1" applyFont="1" applyFill="1" applyBorder="1" applyAlignment="1">
      <alignment horizontal="center" vertical="center" wrapText="1"/>
    </xf>
    <xf numFmtId="3" fontId="57" fillId="19" borderId="20" xfId="15" applyNumberFormat="1" applyFont="1" applyFill="1" applyBorder="1" applyAlignment="1">
      <alignment horizontal="right" vertical="center" wrapText="1"/>
    </xf>
    <xf numFmtId="171" fontId="57" fillId="19" borderId="26" xfId="5" applyNumberFormat="1" applyFont="1" applyFill="1" applyBorder="1" applyAlignment="1">
      <alignment horizontal="right" vertical="center" wrapText="1"/>
    </xf>
    <xf numFmtId="171" fontId="58" fillId="0" borderId="0" xfId="5" applyNumberFormat="1" applyFont="1" applyFill="1" applyAlignment="1">
      <alignment vertical="center" wrapText="1"/>
    </xf>
    <xf numFmtId="0" fontId="28" fillId="19" borderId="20" xfId="15" applyFont="1" applyFill="1" applyBorder="1" applyAlignment="1">
      <alignment vertical="center" wrapText="1"/>
    </xf>
    <xf numFmtId="3" fontId="31" fillId="19" borderId="20" xfId="15" applyNumberFormat="1" applyFont="1" applyFill="1" applyBorder="1" applyAlignment="1">
      <alignment horizontal="center" vertical="center" wrapText="1"/>
    </xf>
    <xf numFmtId="3"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171" fontId="28" fillId="0" borderId="12" xfId="0" applyNumberFormat="1" applyFont="1" applyFill="1" applyBorder="1" applyAlignment="1">
      <alignment horizontal="right" vertical="center" wrapText="1"/>
    </xf>
    <xf numFmtId="171" fontId="54" fillId="0" borderId="12" xfId="0" applyNumberFormat="1" applyFont="1" applyFill="1" applyBorder="1" applyAlignment="1">
      <alignment horizontal="right" vertical="center" wrapText="1"/>
    </xf>
    <xf numFmtId="0" fontId="24" fillId="0" borderId="30" xfId="15" applyFont="1" applyFill="1" applyBorder="1" applyAlignment="1">
      <alignment vertical="center" wrapText="1"/>
    </xf>
    <xf numFmtId="0" fontId="24" fillId="0" borderId="31" xfId="15" applyFont="1" applyFill="1" applyBorder="1" applyAlignment="1">
      <alignment vertical="center" wrapText="1"/>
    </xf>
    <xf numFmtId="3" fontId="23" fillId="0" borderId="31" xfId="15" applyNumberFormat="1" applyFont="1" applyFill="1" applyBorder="1" applyAlignment="1">
      <alignment vertical="center" wrapText="1"/>
    </xf>
    <xf numFmtId="171" fontId="24" fillId="0" borderId="31" xfId="5" applyNumberFormat="1" applyFont="1" applyFill="1" applyBorder="1" applyAlignment="1">
      <alignment vertical="center" wrapText="1"/>
    </xf>
    <xf numFmtId="3" fontId="24" fillId="0" borderId="31" xfId="15" applyNumberFormat="1" applyFont="1" applyFill="1" applyBorder="1" applyAlignment="1">
      <alignment vertical="center" wrapText="1"/>
    </xf>
    <xf numFmtId="171" fontId="58" fillId="0" borderId="31" xfId="5" applyNumberFormat="1" applyFont="1" applyFill="1" applyBorder="1" applyAlignment="1">
      <alignment vertical="center" wrapText="1"/>
    </xf>
    <xf numFmtId="171" fontId="24" fillId="0" borderId="32" xfId="5" applyNumberFormat="1" applyFont="1" applyFill="1" applyBorder="1" applyAlignment="1">
      <alignment vertical="center" wrapText="1"/>
    </xf>
    <xf numFmtId="0" fontId="49" fillId="0" borderId="0" xfId="15" applyFont="1" applyBorder="1" applyAlignment="1">
      <alignment vertical="center" wrapText="1"/>
    </xf>
    <xf numFmtId="0" fontId="28" fillId="21" borderId="33" xfId="15" applyFont="1" applyFill="1" applyBorder="1" applyAlignment="1">
      <alignment horizontal="justify" vertical="center" wrapText="1"/>
    </xf>
    <xf numFmtId="0" fontId="59" fillId="0" borderId="10" xfId="0" applyFont="1" applyFill="1" applyBorder="1" applyAlignment="1">
      <alignment horizontal="center" vertical="center"/>
    </xf>
    <xf numFmtId="0" fontId="28" fillId="20" borderId="15" xfId="15" applyFont="1" applyFill="1" applyBorder="1" applyAlignment="1">
      <alignment horizontal="justify" vertical="center" wrapText="1"/>
    </xf>
    <xf numFmtId="0" fontId="47" fillId="20" borderId="10" xfId="15" applyFont="1" applyFill="1" applyBorder="1" applyAlignment="1">
      <alignment horizontal="center" vertical="center" wrapText="1"/>
    </xf>
    <xf numFmtId="0" fontId="47" fillId="20" borderId="20" xfId="15" applyFont="1" applyFill="1" applyBorder="1" applyAlignment="1">
      <alignment horizontal="center" vertical="center" wrapText="1"/>
    </xf>
    <xf numFmtId="3" fontId="28" fillId="0" borderId="27" xfId="15" applyNumberFormat="1" applyFont="1" applyFill="1" applyBorder="1" applyAlignment="1">
      <alignment horizontal="center" vertical="center" wrapText="1"/>
    </xf>
    <xf numFmtId="0" fontId="31" fillId="5" borderId="15" xfId="15" applyFont="1" applyFill="1" applyBorder="1" applyAlignment="1" applyProtection="1">
      <alignment horizontal="center" vertical="center" wrapText="1"/>
      <protection locked="0"/>
    </xf>
    <xf numFmtId="0" fontId="28" fillId="21" borderId="15" xfId="15" applyFont="1" applyFill="1" applyBorder="1" applyAlignment="1">
      <alignment horizontal="justify" vertical="center" wrapText="1"/>
    </xf>
    <xf numFmtId="0" fontId="54" fillId="20" borderId="10" xfId="0" applyFont="1" applyFill="1" applyBorder="1" applyAlignment="1">
      <alignment horizontal="center" vertical="center"/>
    </xf>
    <xf numFmtId="0" fontId="28" fillId="0" borderId="25" xfId="15" applyFont="1" applyFill="1" applyBorder="1" applyAlignment="1">
      <alignment horizontal="center" vertical="center" wrapText="1"/>
    </xf>
    <xf numFmtId="3" fontId="31" fillId="19" borderId="20" xfId="15" applyNumberFormat="1" applyFont="1" applyFill="1" applyBorder="1" applyAlignment="1">
      <alignment vertical="center" wrapText="1"/>
    </xf>
    <xf numFmtId="171" fontId="57" fillId="19" borderId="28" xfId="5" applyNumberFormat="1" applyFont="1" applyFill="1" applyBorder="1" applyAlignment="1">
      <alignment horizontal="right" vertical="center" wrapText="1"/>
    </xf>
    <xf numFmtId="171" fontId="57" fillId="19" borderId="10" xfId="5" applyNumberFormat="1" applyFont="1" applyFill="1" applyBorder="1" applyAlignment="1">
      <alignment horizontal="right" vertical="center" wrapText="1"/>
    </xf>
    <xf numFmtId="0" fontId="31" fillId="13" borderId="17" xfId="15" applyFont="1" applyFill="1" applyBorder="1" applyAlignment="1" applyProtection="1">
      <alignment horizontal="center" vertical="center" wrapText="1"/>
      <protection locked="0"/>
    </xf>
    <xf numFmtId="0" fontId="31" fillId="22" borderId="17" xfId="15" applyFont="1" applyFill="1" applyBorder="1" applyAlignment="1" applyProtection="1">
      <alignment horizontal="center" vertical="center" wrapText="1"/>
      <protection locked="0"/>
    </xf>
    <xf numFmtId="0" fontId="31" fillId="5" borderId="33" xfId="15" applyFont="1" applyFill="1" applyBorder="1" applyAlignment="1">
      <alignment horizontal="center" vertical="center" wrapText="1"/>
    </xf>
    <xf numFmtId="3" fontId="31" fillId="14" borderId="26" xfId="15" applyNumberFormat="1" applyFont="1" applyFill="1" applyBorder="1" applyAlignment="1">
      <alignment vertical="center" wrapText="1"/>
    </xf>
    <xf numFmtId="171" fontId="31" fillId="14" borderId="26" xfId="15" applyNumberFormat="1" applyFont="1" applyFill="1" applyBorder="1" applyAlignment="1">
      <alignment vertical="center" wrapText="1"/>
    </xf>
    <xf numFmtId="3" fontId="28" fillId="0" borderId="0" xfId="15" applyNumberFormat="1" applyFont="1" applyFill="1" applyBorder="1" applyAlignment="1">
      <alignment horizontal="right" vertical="center" wrapText="1"/>
    </xf>
    <xf numFmtId="169" fontId="54" fillId="0" borderId="0" xfId="0" applyNumberFormat="1" applyFont="1" applyFill="1" applyBorder="1" applyAlignment="1">
      <alignment horizontal="center" vertical="center" wrapText="1"/>
    </xf>
    <xf numFmtId="171" fontId="28" fillId="0" borderId="0" xfId="5" applyNumberFormat="1" applyFont="1" applyFill="1" applyBorder="1" applyAlignment="1">
      <alignment vertical="center" wrapText="1"/>
    </xf>
    <xf numFmtId="0" fontId="28" fillId="18" borderId="26" xfId="15" applyFont="1" applyFill="1" applyBorder="1" applyAlignment="1">
      <alignment horizontal="center" vertical="center" wrapText="1"/>
    </xf>
    <xf numFmtId="3" fontId="28" fillId="18" borderId="10" xfId="15" applyNumberFormat="1" applyFont="1" applyFill="1" applyBorder="1" applyAlignment="1">
      <alignment horizontal="right" vertical="center" wrapText="1"/>
    </xf>
    <xf numFmtId="0" fontId="28" fillId="18" borderId="10" xfId="15" applyFont="1" applyFill="1" applyBorder="1" applyAlignment="1">
      <alignment horizontal="center" vertical="center" wrapText="1"/>
    </xf>
    <xf numFmtId="0" fontId="54" fillId="18" borderId="10" xfId="0" applyFont="1" applyFill="1" applyBorder="1" applyAlignment="1">
      <alignment horizontal="center" vertical="center"/>
    </xf>
    <xf numFmtId="0" fontId="47" fillId="18" borderId="10" xfId="15" applyFont="1" applyFill="1" applyBorder="1" applyAlignment="1">
      <alignment horizontal="center" vertical="center" wrapText="1"/>
    </xf>
    <xf numFmtId="3" fontId="28" fillId="18" borderId="26" xfId="15" applyNumberFormat="1" applyFont="1" applyFill="1" applyBorder="1" applyAlignment="1">
      <alignment horizontal="center" vertical="center" wrapText="1"/>
    </xf>
    <xf numFmtId="3" fontId="47" fillId="18" borderId="10" xfId="15" applyNumberFormat="1" applyFont="1" applyFill="1" applyBorder="1" applyAlignment="1">
      <alignment horizontal="center" vertical="center" wrapText="1"/>
    </xf>
    <xf numFmtId="3" fontId="28" fillId="18" borderId="10" xfId="15" applyNumberFormat="1" applyFont="1" applyFill="1" applyBorder="1" applyAlignment="1">
      <alignment horizontal="center" vertical="center" wrapText="1"/>
    </xf>
    <xf numFmtId="3" fontId="31" fillId="18" borderId="26" xfId="15" applyNumberFormat="1" applyFont="1" applyFill="1" applyBorder="1" applyAlignment="1">
      <alignment horizontal="center" vertical="center" wrapText="1"/>
    </xf>
    <xf numFmtId="3" fontId="28" fillId="18" borderId="20" xfId="15" applyNumberFormat="1" applyFont="1" applyFill="1" applyBorder="1" applyAlignment="1">
      <alignment horizontal="center" vertical="center" wrapText="1"/>
    </xf>
    <xf numFmtId="0" fontId="28" fillId="18" borderId="26" xfId="15" applyFont="1" applyFill="1" applyBorder="1" applyAlignment="1">
      <alignment vertical="center" wrapText="1"/>
    </xf>
    <xf numFmtId="0" fontId="28" fillId="18" borderId="10" xfId="15" applyFont="1" applyFill="1" applyBorder="1" applyAlignment="1">
      <alignment vertical="center" wrapText="1"/>
    </xf>
    <xf numFmtId="0" fontId="28" fillId="18" borderId="0" xfId="15" applyFont="1" applyFill="1" applyBorder="1" applyAlignment="1">
      <alignment vertical="center" wrapText="1"/>
    </xf>
    <xf numFmtId="3" fontId="54" fillId="18" borderId="10" xfId="0" applyNumberFormat="1" applyFont="1" applyFill="1" applyBorder="1" applyAlignment="1">
      <alignment horizontal="center" vertical="center"/>
    </xf>
    <xf numFmtId="0" fontId="31" fillId="13" borderId="34" xfId="15" applyFont="1" applyFill="1" applyBorder="1" applyAlignment="1">
      <alignment vertical="center" wrapText="1"/>
    </xf>
    <xf numFmtId="0" fontId="31" fillId="13" borderId="35" xfId="15" applyFont="1" applyFill="1" applyBorder="1" applyAlignment="1">
      <alignment vertical="center" wrapText="1"/>
    </xf>
    <xf numFmtId="3" fontId="31" fillId="18" borderId="10" xfId="15" applyNumberFormat="1" applyFont="1" applyFill="1" applyBorder="1" applyAlignment="1">
      <alignment horizontal="right" vertical="center" wrapText="1"/>
    </xf>
    <xf numFmtId="3" fontId="28" fillId="18" borderId="27" xfId="15" applyNumberFormat="1" applyFont="1" applyFill="1" applyBorder="1" applyAlignment="1">
      <alignment horizontal="center" vertical="center" wrapText="1"/>
    </xf>
    <xf numFmtId="0" fontId="28" fillId="0" borderId="18" xfId="15" applyFont="1" applyFill="1" applyBorder="1" applyAlignment="1">
      <alignment horizontal="center" vertical="center" wrapText="1"/>
    </xf>
    <xf numFmtId="3" fontId="28" fillId="20" borderId="27" xfId="15" applyNumberFormat="1" applyFont="1" applyFill="1" applyBorder="1" applyAlignment="1">
      <alignment horizontal="center" vertical="center" wrapText="1"/>
    </xf>
    <xf numFmtId="3" fontId="31" fillId="18" borderId="20" xfId="15" applyNumberFormat="1" applyFont="1" applyFill="1" applyBorder="1" applyAlignment="1">
      <alignment horizontal="center" vertical="center" wrapText="1"/>
    </xf>
    <xf numFmtId="169" fontId="47" fillId="18" borderId="10" xfId="15" applyNumberFormat="1" applyFont="1" applyFill="1" applyBorder="1" applyAlignment="1">
      <alignment horizontal="center" vertical="center" wrapText="1"/>
    </xf>
    <xf numFmtId="3" fontId="28" fillId="18" borderId="10" xfId="0" applyNumberFormat="1" applyFont="1" applyFill="1" applyBorder="1" applyAlignment="1">
      <alignment horizontal="center" vertical="center" wrapText="1"/>
    </xf>
    <xf numFmtId="3" fontId="31" fillId="18" borderId="10" xfId="15" applyNumberFormat="1" applyFont="1" applyFill="1" applyBorder="1" applyAlignment="1">
      <alignment horizontal="center" vertical="center" wrapText="1"/>
    </xf>
    <xf numFmtId="0" fontId="28" fillId="0" borderId="27" xfId="15"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27" fillId="0" borderId="15" xfId="15" applyFont="1" applyFill="1" applyBorder="1" applyAlignment="1">
      <alignment horizontal="justify" vertical="center" wrapText="1"/>
    </xf>
    <xf numFmtId="0" fontId="28" fillId="0" borderId="36" xfId="15" applyFont="1" applyFill="1" applyBorder="1" applyAlignment="1">
      <alignment vertical="center" wrapText="1"/>
    </xf>
    <xf numFmtId="0" fontId="47" fillId="0" borderId="28" xfId="15" applyFont="1" applyFill="1" applyBorder="1" applyAlignment="1">
      <alignment horizontal="center" vertical="center" wrapText="1"/>
    </xf>
    <xf numFmtId="3" fontId="28" fillId="0" borderId="24" xfId="15" applyNumberFormat="1" applyFont="1" applyFill="1" applyBorder="1" applyAlignment="1">
      <alignment horizontal="center" vertical="center" wrapText="1"/>
    </xf>
    <xf numFmtId="169" fontId="54" fillId="0" borderId="20" xfId="0" applyNumberFormat="1" applyFont="1" applyFill="1" applyBorder="1" applyAlignment="1">
      <alignment horizontal="center" vertical="center" wrapText="1"/>
    </xf>
    <xf numFmtId="171" fontId="28" fillId="0" borderId="21" xfId="5" applyNumberFormat="1" applyFont="1" applyFill="1" applyBorder="1" applyAlignment="1">
      <alignment vertical="center" wrapText="1"/>
    </xf>
    <xf numFmtId="3" fontId="28" fillId="0" borderId="10" xfId="15" applyNumberFormat="1" applyFont="1" applyFill="1" applyBorder="1" applyAlignment="1">
      <alignment vertical="center" wrapText="1"/>
    </xf>
    <xf numFmtId="3" fontId="28" fillId="0" borderId="26" xfId="15" applyNumberFormat="1" applyFont="1" applyFill="1" applyBorder="1" applyAlignment="1">
      <alignment vertical="center" wrapText="1"/>
    </xf>
    <xf numFmtId="3" fontId="28" fillId="0" borderId="26" xfId="15" applyNumberFormat="1" applyFont="1" applyFill="1" applyBorder="1" applyAlignment="1">
      <alignment horizontal="right" vertical="center" wrapText="1"/>
    </xf>
    <xf numFmtId="3" fontId="28" fillId="20" borderId="26" xfId="15" applyNumberFormat="1" applyFont="1" applyFill="1" applyBorder="1" applyAlignment="1">
      <alignment horizontal="right" vertical="center" wrapText="1"/>
    </xf>
    <xf numFmtId="3" fontId="54" fillId="0" borderId="26" xfId="0" applyNumberFormat="1" applyFont="1" applyFill="1" applyBorder="1" applyAlignment="1">
      <alignment horizontal="center" vertical="center" wrapText="1"/>
    </xf>
    <xf numFmtId="169" fontId="54" fillId="0" borderId="26" xfId="0" applyNumberFormat="1" applyFont="1" applyFill="1" applyBorder="1" applyAlignment="1">
      <alignment horizontal="center" vertical="center" wrapText="1"/>
    </xf>
    <xf numFmtId="171" fontId="28" fillId="0" borderId="29" xfId="5" applyNumberFormat="1" applyFont="1" applyFill="1" applyBorder="1" applyAlignment="1">
      <alignment vertical="center" wrapText="1"/>
    </xf>
    <xf numFmtId="3" fontId="28" fillId="0" borderId="37" xfId="15" applyNumberFormat="1" applyFont="1" applyFill="1" applyBorder="1" applyAlignment="1">
      <alignment horizontal="center" vertical="center" wrapText="1"/>
    </xf>
    <xf numFmtId="3" fontId="31" fillId="14" borderId="35" xfId="15" applyNumberFormat="1" applyFont="1" applyFill="1" applyBorder="1" applyAlignment="1">
      <alignment horizontal="right" vertical="center" wrapText="1"/>
    </xf>
    <xf numFmtId="0" fontId="31" fillId="4" borderId="38" xfId="15" applyFont="1" applyFill="1" applyBorder="1" applyAlignment="1">
      <alignment horizontal="justify" vertical="center" wrapText="1"/>
    </xf>
    <xf numFmtId="0" fontId="31" fillId="4" borderId="15" xfId="15" applyFont="1" applyFill="1" applyBorder="1" applyAlignment="1">
      <alignment horizontal="justify" vertical="center" wrapText="1"/>
    </xf>
    <xf numFmtId="3" fontId="28" fillId="18" borderId="24" xfId="15" applyNumberFormat="1" applyFont="1" applyFill="1" applyBorder="1" applyAlignment="1">
      <alignment horizontal="center" vertical="center" wrapText="1"/>
    </xf>
    <xf numFmtId="0" fontId="31" fillId="0" borderId="15" xfId="15" applyFont="1" applyFill="1" applyBorder="1" applyAlignment="1">
      <alignment horizontal="justify" vertical="center" wrapText="1"/>
    </xf>
    <xf numFmtId="0" fontId="31" fillId="20" borderId="15" xfId="15" applyFont="1" applyFill="1" applyBorder="1" applyAlignment="1">
      <alignment horizontal="justify" vertical="center" wrapText="1"/>
    </xf>
    <xf numFmtId="0" fontId="31" fillId="4" borderId="19" xfId="15" applyFont="1" applyFill="1" applyBorder="1" applyAlignment="1">
      <alignment horizontal="justify" vertical="center" wrapText="1"/>
    </xf>
    <xf numFmtId="0" fontId="27" fillId="4" borderId="19" xfId="15" applyFont="1" applyFill="1" applyBorder="1" applyAlignment="1">
      <alignment horizontal="justify" vertical="center" wrapText="1"/>
    </xf>
    <xf numFmtId="0" fontId="31" fillId="19" borderId="15" xfId="15" applyFont="1" applyFill="1" applyBorder="1" applyAlignment="1">
      <alignment horizontal="justify" vertical="center" wrapText="1"/>
    </xf>
    <xf numFmtId="3" fontId="28" fillId="0" borderId="26" xfId="15" applyNumberFormat="1" applyFont="1" applyFill="1" applyBorder="1" applyAlignment="1">
      <alignment horizontal="center" vertical="center" wrapText="1"/>
    </xf>
    <xf numFmtId="3" fontId="28" fillId="0" borderId="24" xfId="15" applyNumberFormat="1" applyFont="1" applyFill="1" applyBorder="1" applyAlignment="1">
      <alignment horizontal="right" vertical="center" wrapText="1"/>
    </xf>
    <xf numFmtId="0" fontId="31" fillId="5" borderId="39" xfId="15" applyFont="1" applyFill="1" applyBorder="1" applyAlignment="1">
      <alignment horizontal="center" vertical="center" wrapText="1"/>
    </xf>
    <xf numFmtId="3" fontId="28" fillId="0" borderId="18" xfId="15" applyNumberFormat="1" applyFont="1" applyFill="1" applyBorder="1" applyAlignment="1">
      <alignment horizontal="center" vertical="center" wrapText="1"/>
    </xf>
    <xf numFmtId="3" fontId="31" fillId="19" borderId="10" xfId="15" applyNumberFormat="1" applyFont="1" applyFill="1" applyBorder="1" applyAlignment="1">
      <alignment horizontal="center" vertical="center" wrapText="1"/>
    </xf>
    <xf numFmtId="3" fontId="28" fillId="0" borderId="40" xfId="15" applyNumberFormat="1" applyFont="1" applyFill="1" applyBorder="1" applyAlignment="1">
      <alignment horizontal="center" vertical="center" wrapText="1"/>
    </xf>
    <xf numFmtId="171" fontId="31" fillId="14" borderId="26" xfId="15" applyNumberFormat="1" applyFont="1" applyFill="1" applyBorder="1" applyAlignment="1">
      <alignment horizontal="center" vertical="center" wrapText="1"/>
    </xf>
    <xf numFmtId="3" fontId="31" fillId="14" borderId="35" xfId="15" applyNumberFormat="1" applyFont="1" applyFill="1" applyBorder="1" applyAlignment="1">
      <alignment horizontal="center" vertical="center" wrapText="1"/>
    </xf>
    <xf numFmtId="0" fontId="24" fillId="0" borderId="31" xfId="15" applyFont="1" applyFill="1" applyBorder="1" applyAlignment="1">
      <alignment horizontal="center" vertical="center" wrapText="1"/>
    </xf>
    <xf numFmtId="0" fontId="31" fillId="4" borderId="26" xfId="15" applyFont="1" applyFill="1" applyBorder="1" applyAlignment="1">
      <alignment horizontal="justify" vertical="center" wrapText="1"/>
    </xf>
    <xf numFmtId="3" fontId="28" fillId="4" borderId="26" xfId="15" applyNumberFormat="1" applyFont="1" applyFill="1" applyBorder="1" applyAlignment="1">
      <alignment horizontal="left" vertical="center" wrapText="1"/>
    </xf>
    <xf numFmtId="3" fontId="31" fillId="19" borderId="26" xfId="15" applyNumberFormat="1" applyFont="1" applyFill="1" applyBorder="1" applyAlignment="1">
      <alignment horizontal="right" vertical="center" wrapText="1"/>
    </xf>
    <xf numFmtId="3" fontId="31" fillId="19" borderId="26" xfId="15" applyNumberFormat="1" applyFont="1" applyFill="1" applyBorder="1" applyAlignment="1">
      <alignment horizontal="center" vertical="center" wrapText="1"/>
    </xf>
    <xf numFmtId="0" fontId="31" fillId="14" borderId="41" xfId="15" applyFont="1" applyFill="1" applyBorder="1" applyAlignment="1">
      <alignment horizontal="center" vertical="center" wrapText="1"/>
    </xf>
    <xf numFmtId="168" fontId="27" fillId="5" borderId="41" xfId="2" applyNumberFormat="1" applyFont="1" applyFill="1" applyBorder="1" applyAlignment="1">
      <alignment horizontal="center" vertical="center" wrapText="1"/>
    </xf>
    <xf numFmtId="3" fontId="31" fillId="14" borderId="41" xfId="15" applyNumberFormat="1" applyFont="1" applyFill="1" applyBorder="1" applyAlignment="1">
      <alignment vertical="center" wrapText="1"/>
    </xf>
    <xf numFmtId="3" fontId="31" fillId="14" borderId="41" xfId="15" applyNumberFormat="1" applyFont="1" applyFill="1" applyBorder="1" applyAlignment="1">
      <alignment horizontal="center" vertical="center" wrapText="1"/>
    </xf>
    <xf numFmtId="0" fontId="28" fillId="20" borderId="15" xfId="0" applyFont="1" applyFill="1" applyBorder="1" applyAlignment="1">
      <alignment horizontal="justify" vertical="center" wrapText="1"/>
    </xf>
    <xf numFmtId="0" fontId="28" fillId="23" borderId="15" xfId="0" applyFont="1" applyFill="1" applyBorder="1" applyAlignment="1">
      <alignment horizontal="justify" vertical="center" wrapText="1"/>
    </xf>
    <xf numFmtId="0" fontId="28" fillId="24" borderId="15" xfId="0" applyFont="1" applyFill="1" applyBorder="1" applyAlignment="1">
      <alignment horizontal="justify" vertical="center" wrapText="1"/>
    </xf>
    <xf numFmtId="0" fontId="28" fillId="21" borderId="15" xfId="0" applyFont="1" applyFill="1" applyBorder="1" applyAlignment="1">
      <alignment horizontal="justify" vertical="center" wrapText="1"/>
    </xf>
    <xf numFmtId="0" fontId="27" fillId="0" borderId="15" xfId="15" applyFont="1" applyFill="1" applyBorder="1" applyAlignment="1">
      <alignment vertical="center" wrapText="1"/>
    </xf>
    <xf numFmtId="0" fontId="31" fillId="20" borderId="15" xfId="0" applyFont="1" applyFill="1" applyBorder="1" applyAlignment="1">
      <alignment horizontal="justify" vertical="center" wrapText="1"/>
    </xf>
    <xf numFmtId="0" fontId="28" fillId="0" borderId="15" xfId="0" applyFont="1" applyFill="1" applyBorder="1" applyAlignment="1">
      <alignment horizontal="justify" vertical="center" wrapText="1"/>
    </xf>
    <xf numFmtId="0" fontId="31" fillId="0" borderId="15" xfId="0" applyFont="1" applyFill="1" applyBorder="1" applyAlignment="1">
      <alignment horizontal="justify" vertical="center" wrapText="1"/>
    </xf>
    <xf numFmtId="171" fontId="28" fillId="21" borderId="15" xfId="2" applyNumberFormat="1" applyFont="1" applyFill="1" applyBorder="1" applyAlignment="1">
      <alignment horizontal="justify" vertical="center" wrapText="1"/>
    </xf>
    <xf numFmtId="0" fontId="26" fillId="21" borderId="15" xfId="0" applyFont="1" applyFill="1" applyBorder="1" applyAlignment="1">
      <alignment horizontal="justify" vertical="center"/>
    </xf>
    <xf numFmtId="0" fontId="28" fillId="20" borderId="16" xfId="0" applyFont="1" applyFill="1" applyBorder="1" applyAlignment="1">
      <alignment horizontal="justify" vertical="center" wrapText="1"/>
    </xf>
    <xf numFmtId="3" fontId="6" fillId="25" borderId="10" xfId="0" applyNumberFormat="1" applyFont="1" applyFill="1" applyBorder="1" applyAlignment="1">
      <alignment horizontal="center" vertical="center" wrapText="1"/>
    </xf>
    <xf numFmtId="3" fontId="7" fillId="25" borderId="10" xfId="0" applyNumberFormat="1" applyFont="1" applyFill="1" applyBorder="1" applyAlignment="1">
      <alignment horizontal="center" vertical="center" wrapText="1"/>
    </xf>
    <xf numFmtId="0" fontId="6" fillId="25" borderId="15" xfId="0" applyFont="1" applyFill="1" applyBorder="1" applyAlignment="1">
      <alignment horizontal="center" vertical="center" wrapText="1"/>
    </xf>
    <xf numFmtId="0" fontId="23"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14" borderId="7" xfId="0" applyFont="1" applyFill="1" applyBorder="1" applyAlignment="1">
      <alignment horizontal="center" vertical="top" wrapText="1"/>
    </xf>
    <xf numFmtId="0" fontId="23" fillId="0" borderId="20" xfId="0" applyFont="1" applyFill="1" applyBorder="1" applyAlignment="1">
      <alignment horizontal="center" vertical="center" wrapText="1"/>
    </xf>
    <xf numFmtId="0" fontId="21" fillId="2" borderId="0" xfId="0" applyFont="1" applyFill="1" applyAlignment="1">
      <alignment horizontal="center" vertical="center" wrapText="1"/>
    </xf>
    <xf numFmtId="3" fontId="28" fillId="26" borderId="10" xfId="15" applyNumberFormat="1" applyFont="1" applyFill="1" applyBorder="1" applyAlignment="1">
      <alignment horizontal="right" vertical="center" wrapText="1"/>
    </xf>
    <xf numFmtId="3" fontId="31" fillId="26" borderId="41" xfId="15" applyNumberFormat="1" applyFont="1" applyFill="1" applyBorder="1" applyAlignment="1">
      <alignment vertical="center" wrapText="1"/>
    </xf>
    <xf numFmtId="3" fontId="28" fillId="26" borderId="26" xfId="15" applyNumberFormat="1" applyFont="1" applyFill="1" applyBorder="1" applyAlignment="1">
      <alignment vertical="center" wrapText="1"/>
    </xf>
    <xf numFmtId="3" fontId="28" fillId="26" borderId="10" xfId="15" applyNumberFormat="1" applyFont="1" applyFill="1" applyBorder="1" applyAlignment="1">
      <alignment vertical="center" wrapText="1"/>
    </xf>
    <xf numFmtId="3" fontId="28" fillId="26" borderId="27" xfId="15" applyNumberFormat="1" applyFont="1" applyFill="1" applyBorder="1" applyAlignment="1">
      <alignment vertical="center" wrapText="1"/>
    </xf>
    <xf numFmtId="3" fontId="28" fillId="26" borderId="18" xfId="15" applyNumberFormat="1" applyFont="1" applyFill="1" applyBorder="1" applyAlignment="1">
      <alignment vertical="center" wrapText="1"/>
    </xf>
    <xf numFmtId="3" fontId="31" fillId="26" borderId="10" xfId="15" applyNumberFormat="1" applyFont="1" applyFill="1" applyBorder="1" applyAlignment="1">
      <alignment horizontal="right" vertical="center" wrapText="1"/>
    </xf>
    <xf numFmtId="3" fontId="28" fillId="26" borderId="20" xfId="15" applyNumberFormat="1" applyFont="1" applyFill="1" applyBorder="1" applyAlignment="1">
      <alignment horizontal="right" vertical="center" wrapText="1"/>
    </xf>
    <xf numFmtId="3" fontId="31" fillId="26" borderId="20" xfId="15" applyNumberFormat="1" applyFont="1" applyFill="1" applyBorder="1" applyAlignment="1">
      <alignment horizontal="right" vertical="center" wrapText="1"/>
    </xf>
    <xf numFmtId="0" fontId="28" fillId="26" borderId="10" xfId="15" applyFont="1" applyFill="1" applyBorder="1" applyAlignment="1">
      <alignment vertical="center" wrapText="1"/>
    </xf>
    <xf numFmtId="0" fontId="28" fillId="26" borderId="26" xfId="15" applyFont="1" applyFill="1" applyBorder="1" applyAlignment="1">
      <alignment vertical="center" wrapText="1"/>
    </xf>
    <xf numFmtId="171" fontId="31" fillId="26" borderId="26" xfId="15" applyNumberFormat="1" applyFont="1" applyFill="1" applyBorder="1" applyAlignment="1">
      <alignment vertical="center" wrapText="1"/>
    </xf>
    <xf numFmtId="3" fontId="31" fillId="26" borderId="10" xfId="15" applyNumberFormat="1" applyFont="1" applyFill="1" applyBorder="1" applyAlignment="1">
      <alignment vertical="center" wrapText="1"/>
    </xf>
    <xf numFmtId="0" fontId="54" fillId="26" borderId="10" xfId="14" applyFont="1" applyFill="1" applyBorder="1" applyAlignment="1">
      <alignment horizontal="right" vertical="center"/>
    </xf>
    <xf numFmtId="3" fontId="31" fillId="26" borderId="0" xfId="15" applyNumberFormat="1" applyFont="1" applyFill="1" applyBorder="1" applyAlignment="1">
      <alignment vertical="center" wrapText="1"/>
    </xf>
    <xf numFmtId="3" fontId="28" fillId="26" borderId="20" xfId="15" applyNumberFormat="1" applyFont="1" applyFill="1" applyBorder="1" applyAlignment="1">
      <alignment horizontal="center" vertical="center" wrapText="1"/>
    </xf>
    <xf numFmtId="3" fontId="28" fillId="26" borderId="10" xfId="15" applyNumberFormat="1" applyFont="1" applyFill="1" applyBorder="1" applyAlignment="1">
      <alignment horizontal="center" vertical="center" wrapText="1"/>
    </xf>
    <xf numFmtId="3" fontId="31" fillId="26" borderId="35" xfId="15" applyNumberFormat="1" applyFont="1" applyFill="1" applyBorder="1" applyAlignment="1">
      <alignment horizontal="right" vertical="center" wrapText="1"/>
    </xf>
    <xf numFmtId="0" fontId="24" fillId="26" borderId="31" xfId="15" applyFont="1" applyFill="1" applyBorder="1" applyAlignment="1">
      <alignment vertical="center" wrapText="1"/>
    </xf>
    <xf numFmtId="0" fontId="24" fillId="26" borderId="0" xfId="15" applyFont="1" applyFill="1" applyAlignment="1">
      <alignment vertical="center" wrapText="1"/>
    </xf>
    <xf numFmtId="0" fontId="26" fillId="0" borderId="0" xfId="0" applyFont="1" applyFill="1" applyAlignment="1">
      <alignment vertical="center" wrapText="1"/>
    </xf>
    <xf numFmtId="3" fontId="28" fillId="26" borderId="26" xfId="15" applyNumberFormat="1" applyFont="1" applyFill="1" applyBorder="1" applyAlignment="1">
      <alignment horizontal="right" vertical="center" wrapText="1"/>
    </xf>
    <xf numFmtId="0" fontId="31" fillId="27" borderId="17" xfId="15" applyFont="1" applyFill="1" applyBorder="1" applyAlignment="1">
      <alignment horizontal="center" vertical="center" wrapText="1"/>
    </xf>
    <xf numFmtId="169" fontId="28" fillId="0" borderId="43" xfId="15" applyNumberFormat="1" applyFont="1" applyFill="1" applyBorder="1" applyAlignment="1">
      <alignment horizontal="center" vertical="center" wrapText="1"/>
    </xf>
    <xf numFmtId="169" fontId="28" fillId="0" borderId="18" xfId="15" applyNumberFormat="1" applyFont="1" applyFill="1" applyBorder="1" applyAlignment="1">
      <alignment horizontal="center" vertical="center" wrapText="1"/>
    </xf>
    <xf numFmtId="169" fontId="28" fillId="0" borderId="10" xfId="15" applyNumberFormat="1" applyFont="1" applyFill="1" applyBorder="1" applyAlignment="1">
      <alignment horizontal="center" vertical="center" wrapText="1"/>
    </xf>
    <xf numFmtId="169" fontId="31" fillId="19" borderId="26" xfId="15" applyNumberFormat="1" applyFont="1" applyFill="1" applyBorder="1" applyAlignment="1">
      <alignment horizontal="center" vertical="center" wrapText="1"/>
    </xf>
    <xf numFmtId="169" fontId="24" fillId="0" borderId="0" xfId="15" applyNumberFormat="1" applyFont="1" applyFill="1" applyAlignment="1">
      <alignment horizontal="center" vertical="center" wrapText="1"/>
    </xf>
    <xf numFmtId="3" fontId="24" fillId="26" borderId="0" xfId="15" applyNumberFormat="1" applyFont="1" applyFill="1" applyAlignment="1">
      <alignment vertical="center" wrapText="1"/>
    </xf>
    <xf numFmtId="3" fontId="24" fillId="0" borderId="0" xfId="15" applyNumberFormat="1" applyFont="1" applyFill="1" applyAlignment="1">
      <alignment horizontal="center" vertical="center" wrapText="1"/>
    </xf>
    <xf numFmtId="1" fontId="28" fillId="26" borderId="26" xfId="15" applyNumberFormat="1" applyFont="1" applyFill="1" applyBorder="1" applyAlignment="1">
      <alignment horizontal="right" vertical="center" wrapText="1"/>
    </xf>
    <xf numFmtId="173" fontId="28" fillId="26" borderId="10" xfId="15" applyNumberFormat="1" applyFont="1" applyFill="1" applyBorder="1" applyAlignment="1">
      <alignment vertical="center" wrapText="1"/>
    </xf>
    <xf numFmtId="169" fontId="28" fillId="0" borderId="27" xfId="15" applyNumberFormat="1" applyFont="1" applyFill="1" applyBorder="1" applyAlignment="1">
      <alignment horizontal="center" vertical="center" wrapText="1"/>
    </xf>
    <xf numFmtId="4" fontId="28" fillId="26" borderId="10" xfId="15" applyNumberFormat="1" applyFont="1" applyFill="1" applyBorder="1" applyAlignment="1">
      <alignment horizontal="right" vertical="center" wrapText="1"/>
    </xf>
    <xf numFmtId="3" fontId="28" fillId="0" borderId="12" xfId="5" applyNumberFormat="1" applyFont="1" applyFill="1" applyBorder="1" applyAlignment="1">
      <alignment vertical="center" wrapText="1"/>
    </xf>
    <xf numFmtId="171" fontId="47" fillId="0" borderId="26" xfId="15" applyNumberFormat="1" applyFont="1" applyFill="1" applyBorder="1" applyAlignment="1">
      <alignment horizontal="right" vertical="center" wrapText="1"/>
    </xf>
    <xf numFmtId="174" fontId="31" fillId="4" borderId="26" xfId="2" applyNumberFormat="1" applyFont="1" applyFill="1" applyBorder="1" applyAlignment="1">
      <alignment horizontal="right" vertical="center" wrapText="1"/>
    </xf>
    <xf numFmtId="3" fontId="28" fillId="0" borderId="27" xfId="15" applyNumberFormat="1" applyFont="1" applyFill="1" applyBorder="1" applyAlignment="1">
      <alignment vertical="center" wrapText="1"/>
    </xf>
    <xf numFmtId="3" fontId="6" fillId="11" borderId="18" xfId="0" applyNumberFormat="1" applyFont="1" applyFill="1" applyBorder="1" applyAlignment="1">
      <alignment vertical="center" wrapText="1"/>
    </xf>
    <xf numFmtId="3" fontId="7" fillId="4" borderId="18" xfId="0" applyNumberFormat="1" applyFont="1" applyFill="1" applyBorder="1" applyAlignment="1">
      <alignment vertical="center" wrapText="1"/>
    </xf>
    <xf numFmtId="3" fontId="7" fillId="0" borderId="10" xfId="0" applyNumberFormat="1" applyFont="1" applyFill="1" applyBorder="1" applyAlignment="1">
      <alignment horizontal="center" vertical="center" wrapText="1"/>
    </xf>
    <xf numFmtId="3" fontId="60" fillId="19" borderId="10" xfId="15" applyNumberFormat="1" applyFont="1" applyFill="1" applyBorder="1" applyAlignment="1">
      <alignment horizontal="right" vertical="center" wrapText="1"/>
    </xf>
    <xf numFmtId="3" fontId="61" fillId="0" borderId="10" xfId="15" applyNumberFormat="1" applyFont="1" applyFill="1" applyBorder="1" applyAlignment="1">
      <alignment horizontal="right" vertical="center" wrapText="1"/>
    </xf>
    <xf numFmtId="3" fontId="61" fillId="26" borderId="10" xfId="15" applyNumberFormat="1" applyFont="1" applyFill="1" applyBorder="1" applyAlignment="1">
      <alignment horizontal="right" vertical="center" wrapText="1"/>
    </xf>
    <xf numFmtId="173" fontId="28" fillId="26" borderId="10" xfId="15" applyNumberFormat="1" applyFont="1" applyFill="1" applyBorder="1" applyAlignment="1">
      <alignment horizontal="right" vertical="center" wrapText="1"/>
    </xf>
    <xf numFmtId="3" fontId="6" fillId="14" borderId="7" xfId="0" applyNumberFormat="1" applyFont="1" applyFill="1" applyBorder="1" applyAlignment="1">
      <alignment horizontal="center" vertical="center" wrapText="1"/>
    </xf>
    <xf numFmtId="0" fontId="6" fillId="14" borderId="6" xfId="0" applyFont="1" applyFill="1" applyBorder="1" applyAlignment="1">
      <alignment horizontal="center" vertical="top" wrapText="1"/>
    </xf>
    <xf numFmtId="0" fontId="7" fillId="25" borderId="15" xfId="15" applyFont="1" applyFill="1" applyBorder="1" applyAlignment="1">
      <alignment horizontal="justify" vertical="center" wrapText="1"/>
    </xf>
    <xf numFmtId="0" fontId="7" fillId="21" borderId="15" xfId="15" applyFont="1" applyFill="1" applyBorder="1" applyAlignment="1">
      <alignment horizontal="justify" vertical="center" wrapText="1"/>
    </xf>
    <xf numFmtId="0" fontId="7" fillId="0" borderId="10" xfId="15" applyFont="1" applyFill="1" applyBorder="1" applyAlignment="1">
      <alignment horizontal="center" vertical="center" wrapText="1"/>
    </xf>
    <xf numFmtId="3" fontId="7" fillId="0" borderId="10" xfId="15" applyNumberFormat="1"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horizontal="center" vertical="center" wrapText="1"/>
    </xf>
    <xf numFmtId="0" fontId="7" fillId="20" borderId="15" xfId="0" applyFont="1" applyFill="1" applyBorder="1" applyAlignment="1">
      <alignment horizontal="justify" vertical="center" wrapText="1"/>
    </xf>
    <xf numFmtId="0" fontId="62" fillId="0" borderId="10" xfId="0" applyFont="1" applyFill="1" applyBorder="1" applyAlignment="1">
      <alignment horizontal="center" vertical="center"/>
    </xf>
    <xf numFmtId="0" fontId="7" fillId="23" borderId="15" xfId="0" applyFont="1" applyFill="1" applyBorder="1" applyAlignment="1">
      <alignment horizontal="justify" vertical="center" wrapText="1"/>
    </xf>
    <xf numFmtId="0" fontId="7" fillId="24" borderId="15" xfId="0" applyFont="1" applyFill="1" applyBorder="1" applyAlignment="1">
      <alignment horizontal="justify" vertical="center" wrapText="1"/>
    </xf>
    <xf numFmtId="0" fontId="7" fillId="21" borderId="15" xfId="0" applyFont="1" applyFill="1" applyBorder="1" applyAlignment="1">
      <alignment horizontal="justify" vertical="center" wrapText="1"/>
    </xf>
    <xf numFmtId="0" fontId="51" fillId="0" borderId="10" xfId="15" applyFont="1" applyFill="1" applyBorder="1" applyAlignment="1">
      <alignment horizontal="center" vertical="center" wrapText="1"/>
    </xf>
    <xf numFmtId="0" fontId="6" fillId="0" borderId="15" xfId="15" applyFont="1" applyFill="1" applyBorder="1" applyAlignment="1">
      <alignment horizontal="justify" vertical="center" wrapText="1"/>
    </xf>
    <xf numFmtId="3" fontId="7" fillId="25" borderId="10" xfId="15" applyNumberFormat="1" applyFont="1" applyFill="1" applyBorder="1" applyAlignment="1">
      <alignment horizontal="center" vertical="center" wrapText="1"/>
    </xf>
    <xf numFmtId="0" fontId="7" fillId="20" borderId="15" xfId="15" applyFont="1" applyFill="1" applyBorder="1" applyAlignment="1">
      <alignment horizontal="justify" vertical="center" wrapText="1"/>
    </xf>
    <xf numFmtId="0" fontId="51" fillId="0" borderId="10" xfId="15" applyFont="1" applyBorder="1" applyAlignment="1">
      <alignment horizontal="center" vertical="center" wrapText="1"/>
    </xf>
    <xf numFmtId="0" fontId="6" fillId="20" borderId="15" xfId="15" applyFont="1" applyFill="1" applyBorder="1" applyAlignment="1">
      <alignment horizontal="justify" vertical="center" wrapText="1"/>
    </xf>
    <xf numFmtId="0" fontId="7" fillId="20" borderId="10" xfId="15" applyFont="1" applyFill="1" applyBorder="1" applyAlignment="1">
      <alignment horizontal="center" vertical="center" wrapText="1"/>
    </xf>
    <xf numFmtId="0" fontId="51" fillId="20" borderId="10" xfId="15" applyFont="1" applyFill="1" applyBorder="1" applyAlignment="1">
      <alignment horizontal="center" vertical="center" wrapText="1"/>
    </xf>
    <xf numFmtId="0" fontId="6" fillId="0" borderId="15" xfId="15" applyFont="1" applyFill="1" applyBorder="1" applyAlignment="1">
      <alignment vertical="center" wrapText="1"/>
    </xf>
    <xf numFmtId="0" fontId="51" fillId="25" borderId="10" xfId="0" applyFont="1" applyFill="1" applyBorder="1" applyAlignment="1">
      <alignment horizontal="center" vertical="center" wrapText="1"/>
    </xf>
    <xf numFmtId="3" fontId="51" fillId="25" borderId="10" xfId="0" applyNumberFormat="1" applyFont="1" applyFill="1" applyBorder="1" applyAlignment="1">
      <alignment horizontal="center" vertical="center" wrapText="1"/>
    </xf>
    <xf numFmtId="168" fontId="6" fillId="25" borderId="10" xfId="2" applyNumberFormat="1" applyFont="1" applyFill="1" applyBorder="1" applyAlignment="1">
      <alignment horizontal="center" vertical="center" wrapText="1"/>
    </xf>
    <xf numFmtId="0" fontId="6" fillId="14" borderId="15" xfId="0" applyFont="1" applyFill="1" applyBorder="1" applyAlignment="1">
      <alignment horizontal="center" vertical="center" wrapText="1"/>
    </xf>
    <xf numFmtId="3" fontId="7" fillId="14" borderId="10" xfId="0" applyNumberFormat="1" applyFont="1" applyFill="1" applyBorder="1" applyAlignment="1">
      <alignment horizontal="center" vertical="center" wrapText="1"/>
    </xf>
    <xf numFmtId="3" fontId="7" fillId="14" borderId="10" xfId="15" applyNumberFormat="1" applyFont="1" applyFill="1" applyBorder="1" applyAlignment="1">
      <alignment horizontal="center" vertical="center" wrapText="1"/>
    </xf>
    <xf numFmtId="3" fontId="6" fillId="14" borderId="10" xfId="15" applyNumberFormat="1" applyFont="1" applyFill="1" applyBorder="1" applyAlignment="1">
      <alignment horizontal="center" vertical="center" wrapText="1"/>
    </xf>
    <xf numFmtId="3" fontId="6" fillId="14" borderId="10" xfId="0" applyNumberFormat="1" applyFont="1" applyFill="1" applyBorder="1" applyAlignment="1">
      <alignment horizontal="center" vertical="center" wrapText="1"/>
    </xf>
    <xf numFmtId="0" fontId="6" fillId="25" borderId="10" xfId="0" applyFont="1" applyFill="1" applyBorder="1" applyAlignment="1">
      <alignment horizontal="center" vertical="center" wrapText="1"/>
    </xf>
    <xf numFmtId="3" fontId="51" fillId="0" borderId="10" xfId="15" applyNumberFormat="1" applyFont="1" applyFill="1" applyBorder="1" applyAlignment="1">
      <alignment horizontal="center" vertical="center" wrapText="1"/>
    </xf>
    <xf numFmtId="0" fontId="6" fillId="20" borderId="15" xfId="0" applyFont="1" applyFill="1" applyBorder="1" applyAlignment="1">
      <alignment horizontal="justify" vertical="center" wrapText="1"/>
    </xf>
    <xf numFmtId="0" fontId="62" fillId="20" borderId="10" xfId="0" applyFont="1" applyFill="1" applyBorder="1" applyAlignment="1">
      <alignment horizontal="center" vertical="center"/>
    </xf>
    <xf numFmtId="169" fontId="7" fillId="0" borderId="10" xfId="0" applyNumberFormat="1" applyFont="1" applyFill="1" applyBorder="1" applyAlignment="1">
      <alignment horizontal="center" vertical="center" wrapText="1"/>
    </xf>
    <xf numFmtId="0" fontId="7" fillId="0" borderId="15"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2" fillId="20" borderId="10" xfId="0" applyFont="1" applyFill="1" applyBorder="1" applyAlignment="1">
      <alignment horizontal="center" vertical="center" wrapText="1"/>
    </xf>
    <xf numFmtId="3" fontId="6" fillId="14" borderId="15" xfId="0" applyNumberFormat="1" applyFont="1" applyFill="1" applyBorder="1" applyAlignment="1">
      <alignment horizontal="center" vertical="center" wrapText="1"/>
    </xf>
    <xf numFmtId="0" fontId="7" fillId="21" borderId="15" xfId="0" applyFont="1" applyFill="1" applyBorder="1" applyAlignment="1">
      <alignment horizontal="justify" vertical="center"/>
    </xf>
    <xf numFmtId="0" fontId="6" fillId="25" borderId="15" xfId="15" applyFont="1" applyFill="1" applyBorder="1" applyAlignment="1">
      <alignment horizontal="justify" vertical="center" wrapText="1"/>
    </xf>
    <xf numFmtId="0" fontId="51" fillId="14" borderId="10" xfId="0" applyFont="1" applyFill="1" applyBorder="1" applyAlignment="1">
      <alignment horizontal="center" vertical="center" wrapText="1"/>
    </xf>
    <xf numFmtId="0" fontId="7" fillId="21" borderId="33" xfId="15" applyFont="1" applyFill="1" applyBorder="1" applyAlignment="1">
      <alignment horizontal="justify" vertical="center" wrapText="1"/>
    </xf>
    <xf numFmtId="3" fontId="7" fillId="0" borderId="24" xfId="15" applyNumberFormat="1" applyFont="1" applyFill="1" applyBorder="1" applyAlignment="1">
      <alignment horizontal="right" vertical="center" wrapText="1"/>
    </xf>
    <xf numFmtId="0" fontId="7" fillId="20" borderId="10" xfId="0" applyFont="1" applyFill="1" applyBorder="1" applyAlignment="1">
      <alignment horizontal="justify" vertical="center" wrapText="1"/>
    </xf>
    <xf numFmtId="0" fontId="7" fillId="23" borderId="10" xfId="0" applyFont="1" applyFill="1" applyBorder="1" applyAlignment="1">
      <alignment horizontal="justify" vertical="center" wrapText="1"/>
    </xf>
    <xf numFmtId="0" fontId="7" fillId="24" borderId="10" xfId="0" applyFont="1" applyFill="1" applyBorder="1" applyAlignment="1">
      <alignment horizontal="justify" vertical="center" wrapText="1"/>
    </xf>
    <xf numFmtId="0" fontId="7" fillId="21" borderId="10" xfId="0" applyFont="1" applyFill="1" applyBorder="1" applyAlignment="1">
      <alignment horizontal="justify" vertical="center" wrapText="1"/>
    </xf>
    <xf numFmtId="0" fontId="7" fillId="21" borderId="10" xfId="15" applyFont="1" applyFill="1" applyBorder="1" applyAlignment="1">
      <alignment horizontal="justify" vertical="center" wrapText="1"/>
    </xf>
    <xf numFmtId="0" fontId="7" fillId="0" borderId="15" xfId="15"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169" fontId="6" fillId="0" borderId="10" xfId="0" applyNumberFormat="1" applyFont="1" applyFill="1" applyBorder="1" applyAlignment="1">
      <alignment horizontal="right" vertical="center" wrapText="1"/>
    </xf>
    <xf numFmtId="9" fontId="6" fillId="0" borderId="10" xfId="0" applyNumberFormat="1" applyFont="1" applyFill="1" applyBorder="1" applyAlignment="1">
      <alignment horizontal="right" vertical="center" wrapText="1"/>
    </xf>
    <xf numFmtId="3" fontId="7" fillId="0" borderId="10" xfId="15" applyNumberFormat="1" applyFont="1" applyFill="1" applyBorder="1" applyAlignment="1">
      <alignment horizontal="right" vertical="center" wrapText="1"/>
    </xf>
    <xf numFmtId="0" fontId="6" fillId="0" borderId="10" xfId="15" applyFont="1" applyFill="1" applyBorder="1" applyAlignment="1">
      <alignment vertical="center" wrapText="1"/>
    </xf>
    <xf numFmtId="3" fontId="6" fillId="0" borderId="10" xfId="15" applyNumberFormat="1" applyFont="1" applyFill="1" applyBorder="1" applyAlignment="1">
      <alignment horizontal="center" vertical="center" wrapText="1"/>
    </xf>
    <xf numFmtId="0" fontId="7" fillId="13" borderId="44" xfId="0" applyFont="1" applyFill="1" applyBorder="1" applyAlignment="1">
      <alignment vertical="center" wrapText="1"/>
    </xf>
    <xf numFmtId="3" fontId="7" fillId="0" borderId="0" xfId="0" applyNumberFormat="1" applyFont="1"/>
    <xf numFmtId="0" fontId="7" fillId="0" borderId="0" xfId="0" applyFont="1"/>
    <xf numFmtId="0" fontId="7" fillId="13" borderId="4" xfId="0" applyFont="1" applyFill="1" applyBorder="1" applyAlignment="1">
      <alignment vertical="center" wrapText="1"/>
    </xf>
    <xf numFmtId="0" fontId="7" fillId="13" borderId="5" xfId="0" applyFont="1" applyFill="1" applyBorder="1" applyAlignment="1">
      <alignment vertical="center" wrapText="1"/>
    </xf>
    <xf numFmtId="0" fontId="7" fillId="0" borderId="15" xfId="0" applyFont="1" applyBorder="1"/>
    <xf numFmtId="0" fontId="7" fillId="8" borderId="19" xfId="0" applyFont="1" applyFill="1" applyBorder="1" applyAlignment="1">
      <alignment vertical="center" wrapText="1"/>
    </xf>
    <xf numFmtId="3" fontId="7" fillId="8" borderId="0" xfId="0" applyNumberFormat="1" applyFont="1" applyFill="1" applyAlignment="1">
      <alignment vertical="center" wrapText="1"/>
    </xf>
    <xf numFmtId="0" fontId="7" fillId="8" borderId="0" xfId="0" applyFont="1" applyFill="1" applyAlignment="1">
      <alignment vertical="center" wrapText="1"/>
    </xf>
    <xf numFmtId="0" fontId="7" fillId="0" borderId="0" xfId="0" applyFont="1" applyFill="1" applyAlignment="1">
      <alignment horizontal="center" vertical="center" wrapText="1"/>
    </xf>
    <xf numFmtId="3" fontId="6" fillId="13" borderId="17" xfId="0" applyNumberFormat="1" applyFont="1" applyFill="1" applyBorder="1" applyAlignment="1">
      <alignment horizontal="center" vertical="center" wrapText="1"/>
    </xf>
    <xf numFmtId="4" fontId="6" fillId="22" borderId="17" xfId="0" applyNumberFormat="1" applyFont="1" applyFill="1" applyBorder="1" applyAlignment="1">
      <alignment horizontal="center" vertical="center" wrapText="1"/>
    </xf>
    <xf numFmtId="4" fontId="6" fillId="13" borderId="23" xfId="0" applyNumberFormat="1" applyFont="1" applyFill="1" applyBorder="1" applyAlignment="1">
      <alignment horizontal="center" vertical="center" wrapText="1"/>
    </xf>
    <xf numFmtId="3" fontId="7" fillId="0" borderId="0" xfId="0" applyNumberFormat="1" applyFont="1" applyFill="1" applyAlignment="1">
      <alignment vertical="center" wrapText="1"/>
    </xf>
    <xf numFmtId="0" fontId="6" fillId="0" borderId="24" xfId="0" applyFont="1" applyFill="1" applyBorder="1" applyAlignment="1">
      <alignment horizontal="center" vertical="top" wrapText="1"/>
    </xf>
    <xf numFmtId="3" fontId="7" fillId="11" borderId="0" xfId="0" applyNumberFormat="1" applyFont="1" applyFill="1" applyAlignment="1">
      <alignment vertical="center" wrapText="1"/>
    </xf>
    <xf numFmtId="3" fontId="7" fillId="12" borderId="0" xfId="0" applyNumberFormat="1" applyFont="1" applyFill="1" applyAlignment="1">
      <alignment vertical="center" wrapText="1"/>
    </xf>
    <xf numFmtId="3" fontId="6" fillId="13" borderId="10" xfId="0" applyNumberFormat="1" applyFont="1" applyFill="1" applyBorder="1" applyAlignment="1">
      <alignment horizontal="center" vertical="center" wrapText="1"/>
    </xf>
    <xf numFmtId="4" fontId="6" fillId="22" borderId="10" xfId="0" applyNumberFormat="1" applyFont="1" applyFill="1" applyBorder="1" applyAlignment="1">
      <alignment horizontal="center" vertical="center" wrapText="1"/>
    </xf>
    <xf numFmtId="3" fontId="7" fillId="0" borderId="27" xfId="15"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0" fontId="6" fillId="20" borderId="27" xfId="0" applyFont="1" applyFill="1" applyBorder="1" applyAlignment="1">
      <alignment horizontal="justify" vertical="center" wrapText="1"/>
    </xf>
    <xf numFmtId="3" fontId="7" fillId="0" borderId="20" xfId="15" applyNumberFormat="1" applyFont="1" applyFill="1" applyBorder="1" applyAlignment="1">
      <alignment horizontal="right" vertical="center" wrapText="1"/>
    </xf>
    <xf numFmtId="3" fontId="7" fillId="0" borderId="24" xfId="15" applyNumberFormat="1" applyFont="1" applyFill="1" applyBorder="1" applyAlignment="1">
      <alignment horizontal="center" vertical="center" wrapText="1"/>
    </xf>
    <xf numFmtId="3" fontId="7" fillId="0" borderId="26" xfId="15" applyNumberFormat="1" applyFont="1" applyFill="1" applyBorder="1" applyAlignment="1">
      <alignment horizontal="right" vertical="center" wrapText="1"/>
    </xf>
    <xf numFmtId="0" fontId="6" fillId="20" borderId="10" xfId="0" applyFont="1" applyFill="1" applyBorder="1" applyAlignment="1">
      <alignment horizontal="justify" vertical="center" wrapText="1"/>
    </xf>
    <xf numFmtId="3" fontId="63" fillId="0" borderId="10" xfId="0" applyNumberFormat="1" applyFont="1" applyFill="1" applyBorder="1" applyAlignment="1">
      <alignment horizontal="right" vertical="center" wrapText="1"/>
    </xf>
    <xf numFmtId="3" fontId="64" fillId="0" borderId="10" xfId="0" applyNumberFormat="1" applyFont="1" applyFill="1" applyBorder="1" applyAlignment="1">
      <alignment horizontal="right" vertical="center"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7" fillId="0" borderId="26" xfId="0" applyFont="1" applyFill="1" applyBorder="1"/>
    <xf numFmtId="0" fontId="7" fillId="20" borderId="10" xfId="15" applyFont="1" applyFill="1" applyBorder="1" applyAlignment="1">
      <alignment horizontal="justify" vertical="center" wrapText="1"/>
    </xf>
    <xf numFmtId="0" fontId="6" fillId="0" borderId="10" xfId="15" applyFont="1" applyFill="1" applyBorder="1" applyAlignment="1">
      <alignment horizontal="justify" vertical="center" wrapText="1"/>
    </xf>
    <xf numFmtId="3" fontId="6" fillId="22" borderId="10" xfId="0" applyNumberFormat="1" applyFont="1" applyFill="1" applyBorder="1" applyAlignment="1">
      <alignment horizontal="center" vertical="center" wrapText="1"/>
    </xf>
    <xf numFmtId="3" fontId="6" fillId="13" borderId="12" xfId="0" applyNumberFormat="1" applyFont="1" applyFill="1" applyBorder="1" applyAlignment="1">
      <alignment horizontal="center" vertical="center" wrapText="1"/>
    </xf>
    <xf numFmtId="0" fontId="6" fillId="20" borderId="10" xfId="15" applyFont="1" applyFill="1" applyBorder="1" applyAlignment="1">
      <alignment horizontal="justify" vertical="center" wrapText="1"/>
    </xf>
    <xf numFmtId="171" fontId="7" fillId="21" borderId="10" xfId="2" applyNumberFormat="1" applyFont="1" applyFill="1" applyBorder="1" applyAlignment="1">
      <alignment horizontal="justify" vertical="center" wrapText="1"/>
    </xf>
    <xf numFmtId="3" fontId="6" fillId="0" borderId="10" xfId="15" applyNumberFormat="1" applyFont="1" applyFill="1" applyBorder="1" applyAlignment="1">
      <alignment horizontal="right" vertical="center" wrapText="1"/>
    </xf>
    <xf numFmtId="0" fontId="6" fillId="22" borderId="10" xfId="0" applyFont="1" applyFill="1" applyBorder="1" applyAlignment="1">
      <alignment horizontal="left" vertical="center" wrapText="1"/>
    </xf>
    <xf numFmtId="3" fontId="6" fillId="0" borderId="0" xfId="0" applyNumberFormat="1" applyFont="1" applyFill="1" applyBorder="1" applyAlignment="1">
      <alignment vertical="center" wrapText="1"/>
    </xf>
    <xf numFmtId="0" fontId="7" fillId="20" borderId="17" xfId="0" applyFont="1" applyFill="1" applyBorder="1" applyAlignment="1">
      <alignment horizontal="justify" vertical="center" wrapText="1"/>
    </xf>
    <xf numFmtId="0" fontId="7" fillId="0" borderId="10" xfId="0" applyFont="1" applyFill="1" applyBorder="1" applyAlignment="1">
      <alignment vertical="center" wrapText="1"/>
    </xf>
    <xf numFmtId="9" fontId="6" fillId="0" borderId="18" xfId="23" applyFont="1" applyFill="1" applyBorder="1" applyAlignment="1">
      <alignment horizontal="right" vertical="center" wrapText="1"/>
    </xf>
    <xf numFmtId="0" fontId="7" fillId="0" borderId="0" xfId="0" applyFont="1" applyFill="1"/>
    <xf numFmtId="3" fontId="31" fillId="14" borderId="26" xfId="15" applyNumberFormat="1" applyFont="1" applyFill="1" applyBorder="1" applyAlignment="1">
      <alignment horizontal="right" vertical="center" wrapText="1"/>
    </xf>
    <xf numFmtId="3" fontId="31" fillId="14" borderId="20" xfId="15" applyNumberFormat="1" applyFont="1" applyFill="1" applyBorder="1" applyAlignment="1">
      <alignment horizontal="right" vertical="center" wrapText="1"/>
    </xf>
    <xf numFmtId="3" fontId="31" fillId="14" borderId="0" xfId="15" applyNumberFormat="1" applyFont="1" applyFill="1" applyBorder="1" applyAlignment="1">
      <alignment vertical="center" wrapText="1"/>
    </xf>
    <xf numFmtId="0" fontId="26" fillId="0" borderId="0" xfId="15" applyFont="1" applyBorder="1" applyAlignment="1">
      <alignment vertical="center" wrapText="1"/>
    </xf>
    <xf numFmtId="0" fontId="26" fillId="0" borderId="0" xfId="15" applyFont="1" applyFill="1" applyAlignment="1">
      <alignment vertical="center" wrapText="1"/>
    </xf>
    <xf numFmtId="0" fontId="26" fillId="0" borderId="0" xfId="15" applyFont="1" applyFill="1" applyAlignment="1">
      <alignment horizontal="center" vertical="center" wrapText="1"/>
    </xf>
    <xf numFmtId="3" fontId="26" fillId="0" borderId="0" xfId="15" applyNumberFormat="1" applyFont="1" applyFill="1" applyAlignment="1">
      <alignment vertical="center" wrapText="1"/>
    </xf>
    <xf numFmtId="37" fontId="26" fillId="0" borderId="0" xfId="15" applyNumberFormat="1" applyFont="1" applyFill="1" applyAlignment="1">
      <alignment vertical="center" wrapText="1"/>
    </xf>
    <xf numFmtId="3" fontId="26" fillId="0" borderId="0" xfId="15" applyNumberFormat="1" applyFont="1" applyFill="1" applyBorder="1" applyAlignment="1">
      <alignment horizontal="right" vertical="center" wrapText="1"/>
    </xf>
    <xf numFmtId="171" fontId="26" fillId="0" borderId="0" xfId="15" applyNumberFormat="1" applyFont="1" applyFill="1" applyAlignment="1">
      <alignment vertical="center" wrapText="1"/>
    </xf>
    <xf numFmtId="3" fontId="54" fillId="0" borderId="10" xfId="0" applyNumberFormat="1" applyFont="1" applyFill="1" applyBorder="1" applyAlignment="1">
      <alignment horizontal="right" vertical="center" wrapText="1"/>
    </xf>
    <xf numFmtId="3" fontId="54" fillId="0" borderId="26" xfId="0" applyNumberFormat="1" applyFont="1" applyFill="1" applyBorder="1" applyAlignment="1">
      <alignment horizontal="right" vertical="center" wrapText="1"/>
    </xf>
    <xf numFmtId="168" fontId="26" fillId="0" borderId="0" xfId="15" applyNumberFormat="1" applyFont="1" applyFill="1" applyAlignment="1">
      <alignment vertical="center" wrapText="1"/>
    </xf>
    <xf numFmtId="3" fontId="31" fillId="26" borderId="26" xfId="15" applyNumberFormat="1" applyFont="1" applyFill="1" applyBorder="1" applyAlignment="1">
      <alignment horizontal="right" vertical="center" wrapText="1"/>
    </xf>
    <xf numFmtId="0" fontId="28" fillId="26" borderId="10" xfId="15" applyFont="1" applyFill="1" applyBorder="1" applyAlignment="1">
      <alignment horizontal="right" vertical="center" wrapText="1"/>
    </xf>
    <xf numFmtId="169" fontId="7" fillId="0" borderId="43" xfId="15" applyNumberFormat="1" applyFont="1" applyFill="1" applyBorder="1" applyAlignment="1">
      <alignment horizontal="right" vertical="center" wrapText="1"/>
    </xf>
    <xf numFmtId="2" fontId="26" fillId="0" borderId="0" xfId="15" applyNumberFormat="1" applyFont="1" applyFill="1" applyAlignment="1">
      <alignment vertical="center" wrapText="1"/>
    </xf>
    <xf numFmtId="4" fontId="26" fillId="0" borderId="0" xfId="15" applyNumberFormat="1" applyFont="1" applyFill="1" applyAlignment="1">
      <alignment vertical="center" wrapText="1"/>
    </xf>
    <xf numFmtId="0" fontId="47" fillId="28" borderId="10" xfId="15" applyFont="1" applyFill="1" applyBorder="1" applyAlignment="1">
      <alignment horizontal="center" vertical="center" wrapText="1"/>
    </xf>
    <xf numFmtId="3" fontId="28" fillId="28" borderId="27" xfId="15" applyNumberFormat="1" applyFont="1" applyFill="1" applyBorder="1" applyAlignment="1">
      <alignment horizontal="right" vertical="center" wrapText="1"/>
    </xf>
    <xf numFmtId="3" fontId="28" fillId="28" borderId="27" xfId="15" applyNumberFormat="1" applyFont="1" applyFill="1" applyBorder="1" applyAlignment="1">
      <alignment horizontal="center" vertical="center" wrapText="1"/>
    </xf>
    <xf numFmtId="3" fontId="28" fillId="29" borderId="26" xfId="15" applyNumberFormat="1" applyFont="1" applyFill="1" applyBorder="1" applyAlignment="1">
      <alignment horizontal="right" vertical="center" wrapText="1"/>
    </xf>
    <xf numFmtId="3" fontId="28" fillId="29" borderId="10" xfId="15" applyNumberFormat="1" applyFont="1" applyFill="1" applyBorder="1" applyAlignment="1">
      <alignment horizontal="right" vertical="center" wrapText="1"/>
    </xf>
    <xf numFmtId="3" fontId="28" fillId="29" borderId="27" xfId="15" applyNumberFormat="1" applyFont="1" applyFill="1" applyBorder="1" applyAlignment="1">
      <alignment horizontal="right" vertical="center" wrapText="1"/>
    </xf>
    <xf numFmtId="3" fontId="28" fillId="29" borderId="20" xfId="15" applyNumberFormat="1" applyFont="1" applyFill="1" applyBorder="1" applyAlignment="1">
      <alignment horizontal="right" vertical="center" wrapText="1"/>
    </xf>
    <xf numFmtId="167" fontId="7" fillId="0" borderId="10" xfId="15" applyNumberFormat="1" applyFont="1" applyFill="1" applyBorder="1" applyAlignment="1">
      <alignment horizontal="center" vertical="center" wrapText="1"/>
    </xf>
    <xf numFmtId="0" fontId="7" fillId="0" borderId="0" xfId="0" applyFont="1" applyFill="1" applyBorder="1" applyAlignment="1">
      <alignment vertical="top" wrapText="1"/>
    </xf>
    <xf numFmtId="4" fontId="6" fillId="14" borderId="7" xfId="0" applyNumberFormat="1" applyFont="1" applyFill="1" applyBorder="1" applyAlignment="1">
      <alignment horizontal="center" vertical="center" wrapText="1"/>
    </xf>
    <xf numFmtId="4" fontId="7" fillId="25" borderId="10" xfId="15"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8" fontId="6" fillId="0" borderId="10" xfId="0" applyNumberFormat="1" applyFont="1" applyFill="1" applyBorder="1" applyAlignment="1">
      <alignment horizontal="center" vertical="top" wrapText="1"/>
    </xf>
    <xf numFmtId="1" fontId="7" fillId="14" borderId="10" xfId="15" applyNumberFormat="1" applyFont="1" applyFill="1" applyBorder="1" applyAlignment="1">
      <alignment horizontal="center" vertical="center" wrapText="1"/>
    </xf>
    <xf numFmtId="1" fontId="7" fillId="25" borderId="10" xfId="15" applyNumberFormat="1" applyFont="1" applyFill="1" applyBorder="1" applyAlignment="1">
      <alignment horizontal="center" vertical="center" wrapText="1"/>
    </xf>
    <xf numFmtId="4" fontId="28" fillId="0" borderId="27" xfId="15" applyNumberFormat="1" applyFont="1" applyFill="1" applyBorder="1" applyAlignment="1">
      <alignment horizontal="center" vertical="center" wrapText="1"/>
    </xf>
    <xf numFmtId="4" fontId="28" fillId="28" borderId="10" xfId="15" applyNumberFormat="1" applyFont="1" applyFill="1" applyBorder="1" applyAlignment="1">
      <alignment horizontal="right" vertical="center" wrapText="1"/>
    </xf>
    <xf numFmtId="0" fontId="54" fillId="28" borderId="26" xfId="0" applyFont="1" applyFill="1" applyBorder="1" applyAlignment="1">
      <alignment horizontal="right" vertical="center"/>
    </xf>
    <xf numFmtId="9" fontId="6" fillId="0" borderId="10" xfId="23" applyFont="1" applyFill="1" applyBorder="1" applyAlignment="1">
      <alignment horizontal="right" vertical="center" wrapText="1"/>
    </xf>
    <xf numFmtId="1" fontId="28" fillId="26" borderId="10" xfId="15" applyNumberFormat="1" applyFont="1" applyFill="1" applyBorder="1" applyAlignment="1">
      <alignment horizontal="right" vertical="center" wrapText="1"/>
    </xf>
    <xf numFmtId="3" fontId="6" fillId="0" borderId="21" xfId="0" applyNumberFormat="1" applyFont="1" applyFill="1" applyBorder="1" applyAlignment="1">
      <alignment vertical="center" wrapText="1"/>
    </xf>
    <xf numFmtId="3" fontId="6" fillId="0" borderId="45" xfId="0" applyNumberFormat="1" applyFont="1" applyFill="1" applyBorder="1" applyAlignment="1">
      <alignment vertical="center" wrapText="1"/>
    </xf>
    <xf numFmtId="3" fontId="28" fillId="28" borderId="10" xfId="15" applyNumberFormat="1" applyFont="1" applyFill="1" applyBorder="1" applyAlignment="1">
      <alignment horizontal="right" vertical="center" wrapText="1"/>
    </xf>
    <xf numFmtId="169" fontId="28" fillId="29" borderId="10" xfId="15" applyNumberFormat="1" applyFont="1" applyFill="1" applyBorder="1" applyAlignment="1">
      <alignment horizontal="right" vertical="center" wrapText="1"/>
    </xf>
    <xf numFmtId="0" fontId="28" fillId="29" borderId="0" xfId="15" applyFont="1" applyFill="1" applyAlignment="1">
      <alignment vertical="center" wrapText="1"/>
    </xf>
    <xf numFmtId="3" fontId="28" fillId="0" borderId="0" xfId="15" applyNumberFormat="1" applyFont="1" applyFill="1" applyAlignment="1">
      <alignment vertical="center" wrapText="1"/>
    </xf>
    <xf numFmtId="167" fontId="6" fillId="14" borderId="10" xfId="0" applyNumberFormat="1" applyFont="1" applyFill="1" applyBorder="1" applyAlignment="1">
      <alignment horizontal="center" vertical="center" wrapText="1"/>
    </xf>
    <xf numFmtId="167" fontId="6" fillId="25" borderId="10" xfId="0" applyNumberFormat="1" applyFont="1" applyFill="1" applyBorder="1" applyAlignment="1">
      <alignment horizontal="center" vertical="center" wrapText="1"/>
    </xf>
    <xf numFmtId="173" fontId="7" fillId="0" borderId="10" xfId="0" applyNumberFormat="1" applyFont="1" applyFill="1" applyBorder="1" applyAlignment="1">
      <alignment horizontal="center" vertical="center" wrapText="1"/>
    </xf>
    <xf numFmtId="167" fontId="7" fillId="25" borderId="10" xfId="15"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165" fontId="6" fillId="14" borderId="7" xfId="2" applyNumberFormat="1" applyFont="1" applyFill="1" applyBorder="1" applyAlignment="1">
      <alignment horizontal="center" vertical="center" wrapText="1"/>
    </xf>
    <xf numFmtId="168" fontId="6" fillId="14" borderId="7" xfId="2" applyNumberFormat="1" applyFont="1" applyFill="1" applyBorder="1" applyAlignment="1">
      <alignment horizontal="center" vertical="center" wrapText="1"/>
    </xf>
    <xf numFmtId="166" fontId="21" fillId="0" borderId="10" xfId="2" applyFont="1" applyFill="1" applyBorder="1" applyAlignment="1">
      <alignment horizontal="center" vertical="center" wrapText="1"/>
    </xf>
    <xf numFmtId="171" fontId="6" fillId="14" borderId="10" xfId="0" applyNumberFormat="1"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13" borderId="2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6" fillId="0" borderId="28" xfId="0" applyFont="1" applyFill="1" applyBorder="1" applyAlignment="1">
      <alignment horizontal="center" vertical="top" wrapText="1"/>
    </xf>
    <xf numFmtId="4" fontId="6" fillId="13" borderId="10" xfId="0" applyNumberFormat="1" applyFont="1" applyFill="1" applyBorder="1" applyAlignment="1">
      <alignment horizontal="center" vertical="center" wrapText="1"/>
    </xf>
    <xf numFmtId="4" fontId="6" fillId="13" borderId="12" xfId="0" applyNumberFormat="1" applyFont="1" applyFill="1" applyBorder="1" applyAlignment="1">
      <alignment horizontal="center" vertical="center" wrapText="1"/>
    </xf>
    <xf numFmtId="0" fontId="7" fillId="0" borderId="12" xfId="0" applyFont="1" applyBorder="1"/>
    <xf numFmtId="0" fontId="7" fillId="0" borderId="10" xfId="0" applyFont="1" applyFill="1" applyBorder="1"/>
    <xf numFmtId="0" fontId="7" fillId="0" borderId="20" xfId="0" applyFont="1" applyFill="1" applyBorder="1"/>
    <xf numFmtId="0" fontId="6" fillId="22" borderId="7" xfId="0" applyFont="1" applyFill="1" applyBorder="1" applyAlignment="1">
      <alignment horizontal="center" vertical="center" wrapText="1"/>
    </xf>
    <xf numFmtId="0" fontId="6" fillId="22" borderId="17" xfId="0" applyFont="1" applyFill="1" applyBorder="1" applyAlignment="1">
      <alignment horizontal="center" vertical="center" wrapText="1"/>
    </xf>
    <xf numFmtId="0" fontId="6" fillId="0" borderId="26" xfId="0" applyFont="1" applyFill="1" applyBorder="1" applyAlignment="1">
      <alignment horizontal="center" vertical="top" wrapText="1"/>
    </xf>
    <xf numFmtId="0" fontId="6" fillId="22" borderId="20" xfId="0" applyFont="1" applyFill="1" applyBorder="1" applyAlignment="1">
      <alignment horizontal="center" vertical="center" wrapText="1"/>
    </xf>
    <xf numFmtId="0" fontId="6" fillId="22" borderId="26" xfId="0" applyFont="1" applyFill="1" applyBorder="1" applyAlignment="1">
      <alignment horizontal="center" vertical="center" wrapText="1"/>
    </xf>
    <xf numFmtId="173" fontId="7" fillId="0" borderId="0" xfId="0" applyNumberFormat="1" applyFont="1" applyFill="1" applyAlignment="1">
      <alignment vertical="center" wrapText="1"/>
    </xf>
    <xf numFmtId="167" fontId="28" fillId="26" borderId="10" xfId="15" applyNumberFormat="1" applyFont="1" applyFill="1" applyBorder="1" applyAlignment="1">
      <alignment horizontal="right" vertical="center" wrapText="1"/>
    </xf>
    <xf numFmtId="167" fontId="7" fillId="14" borderId="10" xfId="15" applyNumberFormat="1" applyFont="1" applyFill="1" applyBorder="1" applyAlignment="1">
      <alignment horizontal="center" vertical="center" wrapText="1"/>
    </xf>
    <xf numFmtId="0" fontId="7" fillId="0" borderId="26" xfId="15" applyFont="1" applyFill="1" applyBorder="1" applyAlignment="1">
      <alignment horizontal="center" vertical="center" wrapText="1"/>
    </xf>
    <xf numFmtId="3" fontId="7" fillId="0" borderId="26" xfId="15" applyNumberFormat="1" applyFont="1" applyFill="1" applyBorder="1" applyAlignment="1">
      <alignment horizontal="center" vertical="center" wrapText="1"/>
    </xf>
    <xf numFmtId="0" fontId="51" fillId="20" borderId="20" xfId="15" applyFont="1" applyFill="1" applyBorder="1" applyAlignment="1">
      <alignment horizontal="center" vertical="center" wrapText="1"/>
    </xf>
    <xf numFmtId="1" fontId="7" fillId="0" borderId="10" xfId="15" applyNumberFormat="1" applyFont="1" applyFill="1" applyBorder="1" applyAlignment="1">
      <alignment horizontal="right" vertical="center" wrapText="1"/>
    </xf>
    <xf numFmtId="0" fontId="31" fillId="0" borderId="0" xfId="0" applyFont="1" applyAlignment="1">
      <alignment vertical="center" wrapText="1"/>
    </xf>
    <xf numFmtId="9" fontId="64" fillId="0" borderId="10" xfId="0" applyNumberFormat="1" applyFont="1" applyFill="1" applyBorder="1" applyAlignment="1">
      <alignment horizontal="right" vertical="center" wrapText="1"/>
    </xf>
    <xf numFmtId="3" fontId="28" fillId="29" borderId="10" xfId="15" applyNumberFormat="1" applyFont="1" applyFill="1" applyBorder="1" applyAlignment="1">
      <alignment vertical="center" wrapText="1"/>
    </xf>
    <xf numFmtId="167" fontId="26" fillId="0" borderId="0" xfId="15" applyNumberFormat="1" applyFont="1" applyFill="1" applyAlignment="1">
      <alignment vertical="center" wrapText="1"/>
    </xf>
    <xf numFmtId="1" fontId="7" fillId="0" borderId="0" xfId="0" applyNumberFormat="1" applyFont="1" applyFill="1" applyAlignment="1">
      <alignment vertical="center" wrapText="1"/>
    </xf>
    <xf numFmtId="0" fontId="6" fillId="0" borderId="25" xfId="0" applyFont="1" applyFill="1" applyBorder="1" applyAlignment="1">
      <alignment horizontal="center" vertical="top" wrapText="1"/>
    </xf>
    <xf numFmtId="0" fontId="4" fillId="30" borderId="0" xfId="16" applyFill="1"/>
    <xf numFmtId="0" fontId="4" fillId="0" borderId="0" xfId="16"/>
    <xf numFmtId="0" fontId="23" fillId="0" borderId="0" xfId="16" applyFont="1" applyAlignment="1" applyProtection="1">
      <alignment horizontal="center"/>
    </xf>
    <xf numFmtId="0" fontId="4" fillId="0" borderId="0" xfId="16" applyFont="1"/>
    <xf numFmtId="0" fontId="23" fillId="0" borderId="31" xfId="16" applyFont="1" applyBorder="1" applyAlignment="1" applyProtection="1"/>
    <xf numFmtId="0" fontId="4" fillId="0" borderId="0" xfId="16" applyFont="1" applyProtection="1"/>
    <xf numFmtId="0" fontId="4" fillId="0" borderId="0" xfId="16" applyFont="1" applyAlignment="1">
      <alignment vertical="center"/>
    </xf>
    <xf numFmtId="3" fontId="4" fillId="0" borderId="0" xfId="16" applyNumberFormat="1" applyFont="1"/>
    <xf numFmtId="0" fontId="18" fillId="0" borderId="0" xfId="16" applyFont="1"/>
    <xf numFmtId="0" fontId="21" fillId="0" borderId="0" xfId="16" applyFont="1"/>
    <xf numFmtId="3" fontId="4" fillId="0" borderId="0" xfId="16" applyNumberFormat="1"/>
    <xf numFmtId="0" fontId="4" fillId="0" borderId="0" xfId="16" applyAlignment="1">
      <alignment vertical="center"/>
    </xf>
    <xf numFmtId="0" fontId="21" fillId="0" borderId="0" xfId="16" applyFont="1" applyAlignment="1">
      <alignment vertical="center"/>
    </xf>
    <xf numFmtId="0" fontId="18" fillId="0" borderId="0" xfId="16" applyFont="1" applyAlignment="1">
      <alignment vertical="center"/>
    </xf>
    <xf numFmtId="3" fontId="4" fillId="0" borderId="0" xfId="16" applyNumberFormat="1" applyFont="1" applyAlignment="1">
      <alignment vertical="center"/>
    </xf>
    <xf numFmtId="3" fontId="4" fillId="0" borderId="0" xfId="16" applyNumberFormat="1" applyAlignment="1">
      <alignment vertical="center"/>
    </xf>
    <xf numFmtId="3"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169" fontId="7" fillId="0" borderId="0" xfId="0" applyNumberFormat="1" applyFont="1" applyFill="1" applyAlignment="1">
      <alignment vertical="center" wrapText="1"/>
    </xf>
    <xf numFmtId="4" fontId="28" fillId="0" borderId="10" xfId="15" applyNumberFormat="1" applyFont="1" applyFill="1" applyBorder="1" applyAlignment="1">
      <alignment horizontal="center" vertical="center" wrapText="1"/>
    </xf>
    <xf numFmtId="3" fontId="28" fillId="15" borderId="10" xfId="15" applyNumberFormat="1" applyFont="1" applyFill="1" applyBorder="1" applyAlignment="1">
      <alignment horizontal="center" vertical="center" wrapText="1"/>
    </xf>
    <xf numFmtId="167" fontId="28" fillId="15" borderId="10" xfId="15" applyNumberFormat="1" applyFont="1" applyFill="1" applyBorder="1" applyAlignment="1">
      <alignment horizontal="center" vertical="center" wrapText="1"/>
    </xf>
    <xf numFmtId="3" fontId="28" fillId="20" borderId="10" xfId="15" applyNumberFormat="1" applyFont="1" applyFill="1" applyBorder="1" applyAlignment="1">
      <alignment horizontal="center" vertical="center" wrapText="1"/>
    </xf>
    <xf numFmtId="4" fontId="28" fillId="15" borderId="10" xfId="15" applyNumberFormat="1" applyFont="1" applyFill="1" applyBorder="1" applyAlignment="1">
      <alignment horizontal="center" vertical="center" wrapText="1"/>
    </xf>
    <xf numFmtId="171" fontId="24" fillId="0" borderId="31" xfId="5" applyNumberFormat="1" applyFont="1" applyFill="1" applyBorder="1" applyAlignment="1">
      <alignment horizontal="center" vertical="center" wrapText="1"/>
    </xf>
    <xf numFmtId="171" fontId="24" fillId="0" borderId="0" xfId="5" applyNumberFormat="1" applyFont="1" applyFill="1" applyAlignment="1">
      <alignment horizontal="center" vertical="center" wrapText="1"/>
    </xf>
    <xf numFmtId="3" fontId="24" fillId="0" borderId="0" xfId="5" applyNumberFormat="1" applyFont="1" applyFill="1" applyAlignment="1">
      <alignment horizontal="center" vertical="center" wrapText="1"/>
    </xf>
    <xf numFmtId="173" fontId="6" fillId="0" borderId="10" xfId="0" applyNumberFormat="1" applyFont="1" applyFill="1" applyBorder="1" applyAlignment="1">
      <alignment horizontal="right" vertical="center" wrapText="1"/>
    </xf>
    <xf numFmtId="167" fontId="6" fillId="13" borderId="10" xfId="0" applyNumberFormat="1" applyFont="1" applyFill="1" applyBorder="1" applyAlignment="1">
      <alignment horizontal="center" vertical="center" wrapText="1"/>
    </xf>
    <xf numFmtId="167" fontId="6" fillId="22" borderId="17" xfId="0" applyNumberFormat="1" applyFont="1" applyFill="1" applyBorder="1" applyAlignment="1">
      <alignment horizontal="center" vertical="center" wrapText="1"/>
    </xf>
    <xf numFmtId="167" fontId="7" fillId="8" borderId="0" xfId="0" applyNumberFormat="1" applyFont="1" applyFill="1" applyAlignment="1">
      <alignment horizontal="center" vertical="center" wrapText="1"/>
    </xf>
    <xf numFmtId="167" fontId="28" fillId="18" borderId="10" xfId="15" applyNumberFormat="1" applyFont="1" applyFill="1" applyBorder="1" applyAlignment="1">
      <alignment horizontal="center" vertical="center" wrapText="1"/>
    </xf>
    <xf numFmtId="167" fontId="7" fillId="0" borderId="26" xfId="15" applyNumberFormat="1" applyFont="1" applyFill="1" applyBorder="1" applyAlignment="1">
      <alignment horizontal="center" vertical="center" wrapText="1"/>
    </xf>
    <xf numFmtId="3" fontId="28" fillId="0" borderId="10" xfId="16" applyNumberFormat="1" applyFont="1" applyFill="1" applyBorder="1" applyAlignment="1">
      <alignment horizontal="right" vertical="center" wrapText="1"/>
    </xf>
    <xf numFmtId="167" fontId="28" fillId="0" borderId="10" xfId="15" applyNumberFormat="1" applyFont="1" applyFill="1" applyBorder="1" applyAlignment="1">
      <alignment horizontal="center" vertical="center" wrapText="1"/>
    </xf>
    <xf numFmtId="4" fontId="61" fillId="0" borderId="10" xfId="15" applyNumberFormat="1" applyFont="1" applyFill="1" applyBorder="1" applyAlignment="1">
      <alignment horizontal="center" vertical="center" wrapText="1"/>
    </xf>
    <xf numFmtId="169" fontId="54" fillId="0" borderId="10" xfId="0" applyNumberFormat="1" applyFont="1" applyFill="1" applyBorder="1" applyAlignment="1">
      <alignment horizontal="right" vertical="center" wrapText="1"/>
    </xf>
    <xf numFmtId="167" fontId="28" fillId="15" borderId="20" xfId="15" applyNumberFormat="1" applyFont="1" applyFill="1" applyBorder="1" applyAlignment="1">
      <alignment horizontal="center" vertical="center" wrapText="1"/>
    </xf>
    <xf numFmtId="167" fontId="28" fillId="0" borderId="20" xfId="15" applyNumberFormat="1" applyFont="1" applyFill="1" applyBorder="1" applyAlignment="1">
      <alignment horizontal="center" vertical="center" wrapText="1"/>
    </xf>
    <xf numFmtId="167" fontId="28" fillId="20" borderId="10" xfId="15" applyNumberFormat="1" applyFont="1" applyFill="1" applyBorder="1" applyAlignment="1">
      <alignment horizontal="center" vertical="center" wrapText="1"/>
    </xf>
    <xf numFmtId="167" fontId="7" fillId="0" borderId="18" xfId="15" applyNumberFormat="1" applyFont="1" applyFill="1" applyBorder="1" applyAlignment="1">
      <alignment horizontal="center" vertical="center" wrapText="1"/>
    </xf>
    <xf numFmtId="3" fontId="61" fillId="0" borderId="10" xfId="15" applyNumberFormat="1" applyFont="1" applyFill="1" applyBorder="1" applyAlignment="1">
      <alignment horizontal="center" vertical="center" wrapText="1"/>
    </xf>
    <xf numFmtId="3" fontId="7" fillId="0" borderId="18" xfId="15" applyNumberFormat="1" applyFont="1" applyFill="1" applyBorder="1" applyAlignment="1">
      <alignment horizontal="center" vertical="center" wrapText="1"/>
    </xf>
    <xf numFmtId="178" fontId="54" fillId="0" borderId="10" xfId="0" applyNumberFormat="1" applyFont="1" applyFill="1" applyBorder="1" applyAlignment="1">
      <alignment horizontal="center" vertical="center" wrapText="1"/>
    </xf>
    <xf numFmtId="3" fontId="31" fillId="19" borderId="26" xfId="16" applyNumberFormat="1" applyFont="1" applyFill="1" applyBorder="1" applyAlignment="1">
      <alignment horizontal="right" vertical="center" wrapText="1"/>
    </xf>
    <xf numFmtId="3" fontId="31" fillId="19" borderId="10" xfId="16" applyNumberFormat="1" applyFont="1" applyFill="1" applyBorder="1" applyAlignment="1">
      <alignment horizontal="right" vertical="center" wrapText="1"/>
    </xf>
    <xf numFmtId="0" fontId="69" fillId="0" borderId="20" xfId="0" applyFont="1" applyFill="1" applyBorder="1" applyAlignment="1">
      <alignment horizontal="center" vertical="top" wrapText="1"/>
    </xf>
    <xf numFmtId="1" fontId="7" fillId="0" borderId="10" xfId="0" applyNumberFormat="1" applyFont="1" applyFill="1" applyBorder="1" applyAlignment="1">
      <alignment horizontal="center" vertical="center" wrapText="1"/>
    </xf>
    <xf numFmtId="3" fontId="6" fillId="0" borderId="18" xfId="15" applyNumberFormat="1" applyFont="1" applyFill="1" applyBorder="1" applyAlignment="1">
      <alignment vertical="center" wrapText="1"/>
    </xf>
    <xf numFmtId="0" fontId="34" fillId="0" borderId="10" xfId="27" applyFont="1" applyBorder="1" applyProtection="1"/>
    <xf numFmtId="0" fontId="35" fillId="0" borderId="10" xfId="27" applyFont="1" applyBorder="1" applyAlignment="1" applyProtection="1">
      <alignment horizontal="center" vertical="top"/>
    </xf>
    <xf numFmtId="1" fontId="36" fillId="6" borderId="10" xfId="27" applyNumberFormat="1" applyFont="1" applyFill="1" applyBorder="1" applyProtection="1"/>
    <xf numFmtId="0" fontId="35" fillId="6" borderId="10" xfId="27" applyFont="1" applyFill="1" applyBorder="1" applyProtection="1"/>
    <xf numFmtId="3" fontId="35" fillId="6" borderId="10" xfId="28" applyNumberFormat="1" applyFont="1" applyFill="1" applyBorder="1" applyProtection="1"/>
    <xf numFmtId="1" fontId="36" fillId="7" borderId="10" xfId="27" applyNumberFormat="1" applyFont="1" applyFill="1" applyBorder="1" applyProtection="1"/>
    <xf numFmtId="0" fontId="35" fillId="7" borderId="10" xfId="27" applyFont="1" applyFill="1" applyBorder="1" applyProtection="1"/>
    <xf numFmtId="3" fontId="35" fillId="7" borderId="10" xfId="28" applyNumberFormat="1" applyFont="1" applyFill="1" applyBorder="1" applyProtection="1"/>
    <xf numFmtId="1" fontId="36" fillId="2" borderId="10" xfId="27" applyNumberFormat="1" applyFont="1" applyFill="1" applyBorder="1" applyProtection="1"/>
    <xf numFmtId="0" fontId="35" fillId="2" borderId="10" xfId="27" applyFont="1" applyFill="1" applyBorder="1" applyProtection="1"/>
    <xf numFmtId="3" fontId="35" fillId="2" borderId="10" xfId="28" applyNumberFormat="1" applyFont="1" applyFill="1" applyBorder="1" applyProtection="1"/>
    <xf numFmtId="1" fontId="36" fillId="0" borderId="10" xfId="27" applyNumberFormat="1" applyFont="1" applyBorder="1" applyProtection="1"/>
    <xf numFmtId="0" fontId="34" fillId="0" borderId="10" xfId="27" applyFont="1" applyFill="1" applyBorder="1" applyProtection="1"/>
    <xf numFmtId="3" fontId="34" fillId="0" borderId="10" xfId="28" applyNumberFormat="1" applyFont="1" applyFill="1" applyBorder="1" applyProtection="1"/>
    <xf numFmtId="0" fontId="36" fillId="0" borderId="10" xfId="27" applyFont="1" applyFill="1" applyBorder="1" applyProtection="1"/>
    <xf numFmtId="3" fontId="36" fillId="0" borderId="10" xfId="28" applyNumberFormat="1" applyFont="1" applyFill="1" applyBorder="1" applyProtection="1"/>
    <xf numFmtId="0" fontId="35" fillId="0" borderId="10" xfId="27" applyFont="1" applyBorder="1" applyProtection="1"/>
    <xf numFmtId="3" fontId="35" fillId="0" borderId="10" xfId="28" applyNumberFormat="1" applyFont="1" applyBorder="1" applyProtection="1"/>
    <xf numFmtId="1" fontId="34" fillId="0" borderId="10" xfId="27" applyNumberFormat="1" applyFont="1" applyBorder="1" applyProtection="1"/>
    <xf numFmtId="3" fontId="36" fillId="0" borderId="10" xfId="28" applyNumberFormat="1" applyFont="1" applyBorder="1" applyProtection="1"/>
    <xf numFmtId="1" fontId="35" fillId="6" borderId="10" xfId="27" applyNumberFormat="1" applyFont="1" applyFill="1" applyBorder="1" applyProtection="1"/>
    <xf numFmtId="1" fontId="36" fillId="8" borderId="10" xfId="27" applyNumberFormat="1" applyFont="1" applyFill="1" applyBorder="1" applyProtection="1"/>
    <xf numFmtId="1" fontId="35" fillId="8" borderId="10" xfId="27" applyNumberFormat="1" applyFont="1" applyFill="1" applyBorder="1" applyProtection="1"/>
    <xf numFmtId="3" fontId="36" fillId="8" borderId="10" xfId="28" applyNumberFormat="1" applyFont="1" applyFill="1" applyBorder="1" applyProtection="1"/>
    <xf numFmtId="3" fontId="35" fillId="8" borderId="10" xfId="28" applyNumberFormat="1" applyFont="1" applyFill="1" applyBorder="1" applyProtection="1"/>
    <xf numFmtId="3" fontId="7" fillId="18"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3" fontId="31" fillId="19" borderId="12" xfId="16" applyNumberFormat="1" applyFont="1" applyFill="1" applyBorder="1" applyAlignment="1">
      <alignment horizontal="right" vertical="center" wrapText="1"/>
    </xf>
    <xf numFmtId="3" fontId="31" fillId="14" borderId="12" xfId="16" applyNumberFormat="1" applyFont="1" applyFill="1" applyBorder="1" applyAlignment="1">
      <alignment horizontal="right" vertical="center" wrapText="1"/>
    </xf>
    <xf numFmtId="3" fontId="31" fillId="19" borderId="21" xfId="16" applyNumberFormat="1" applyFont="1" applyFill="1" applyBorder="1" applyAlignment="1">
      <alignment horizontal="right" vertical="center" wrapText="1"/>
    </xf>
    <xf numFmtId="171" fontId="31" fillId="14" borderId="29" xfId="16" applyNumberFormat="1" applyFont="1" applyFill="1" applyBorder="1" applyAlignment="1">
      <alignment vertical="center" wrapText="1"/>
    </xf>
    <xf numFmtId="3" fontId="31" fillId="19" borderId="12" xfId="16" applyNumberFormat="1" applyFont="1" applyFill="1" applyBorder="1" applyAlignment="1">
      <alignment vertical="center" wrapText="1"/>
    </xf>
    <xf numFmtId="3" fontId="28" fillId="0" borderId="12" xfId="16" applyNumberFormat="1" applyFont="1" applyFill="1" applyBorder="1" applyAlignment="1">
      <alignment horizontal="right" vertical="center" wrapText="1"/>
    </xf>
    <xf numFmtId="3" fontId="31" fillId="14" borderId="12" xfId="16" applyNumberFormat="1" applyFont="1" applyFill="1" applyBorder="1" applyAlignment="1">
      <alignment vertical="center" wrapText="1"/>
    </xf>
    <xf numFmtId="3" fontId="31" fillId="19" borderId="21" xfId="16" applyNumberFormat="1" applyFont="1" applyFill="1" applyBorder="1" applyAlignment="1">
      <alignment vertical="center" wrapText="1"/>
    </xf>
    <xf numFmtId="3" fontId="7" fillId="0" borderId="10" xfId="16" applyNumberFormat="1" applyFont="1" applyFill="1" applyBorder="1" applyAlignment="1">
      <alignment horizontal="center" vertical="center" wrapText="1"/>
    </xf>
    <xf numFmtId="3" fontId="6" fillId="25" borderId="10" xfId="16" applyNumberFormat="1" applyFont="1" applyFill="1" applyBorder="1" applyAlignment="1">
      <alignment horizontal="center" vertical="center" wrapText="1"/>
    </xf>
    <xf numFmtId="3" fontId="6" fillId="14" borderId="10" xfId="16" applyNumberFormat="1" applyFont="1" applyFill="1" applyBorder="1" applyAlignment="1">
      <alignment horizontal="center" vertical="center" wrapText="1"/>
    </xf>
    <xf numFmtId="4" fontId="7" fillId="0" borderId="10" xfId="16" applyNumberFormat="1" applyFont="1" applyFill="1" applyBorder="1" applyAlignment="1">
      <alignment horizontal="center" vertical="center" wrapText="1"/>
    </xf>
    <xf numFmtId="171" fontId="6" fillId="14" borderId="10" xfId="16" applyNumberFormat="1" applyFont="1" applyFill="1" applyBorder="1" applyAlignment="1">
      <alignment horizontal="center" vertical="center" wrapText="1"/>
    </xf>
    <xf numFmtId="1" fontId="7" fillId="0" borderId="10" xfId="16" applyNumberFormat="1" applyFont="1" applyFill="1" applyBorder="1" applyAlignment="1">
      <alignment horizontal="center" vertical="center" wrapText="1"/>
    </xf>
    <xf numFmtId="3" fontId="51" fillId="0" borderId="10" xfId="16" applyNumberFormat="1" applyFont="1" applyFill="1" applyBorder="1" applyAlignment="1">
      <alignment horizontal="center" vertical="center" wrapText="1"/>
    </xf>
    <xf numFmtId="0" fontId="7" fillId="25" borderId="10" xfId="16" applyFont="1" applyFill="1" applyBorder="1" applyAlignment="1">
      <alignment horizontal="center" vertical="center" wrapText="1"/>
    </xf>
    <xf numFmtId="167" fontId="7" fillId="25" borderId="10" xfId="16" applyNumberFormat="1" applyFont="1" applyFill="1" applyBorder="1" applyAlignment="1">
      <alignment horizontal="center" vertical="center" wrapText="1"/>
    </xf>
    <xf numFmtId="167" fontId="7" fillId="14" borderId="10" xfId="16" applyNumberFormat="1" applyFont="1" applyFill="1" applyBorder="1" applyAlignment="1">
      <alignment horizontal="center" vertical="center" wrapText="1"/>
    </xf>
    <xf numFmtId="3" fontId="7" fillId="14" borderId="10" xfId="16" applyNumberFormat="1" applyFont="1" applyFill="1" applyBorder="1" applyAlignment="1">
      <alignment horizontal="center" vertical="center" wrapText="1"/>
    </xf>
    <xf numFmtId="3" fontId="7" fillId="0" borderId="10" xfId="0" applyNumberFormat="1" applyFont="1" applyFill="1" applyBorder="1" applyAlignment="1">
      <alignment vertical="center" wrapText="1"/>
    </xf>
    <xf numFmtId="3" fontId="7" fillId="0" borderId="18" xfId="0" applyNumberFormat="1" applyFont="1" applyFill="1" applyBorder="1" applyAlignment="1">
      <alignment vertical="center" wrapText="1"/>
    </xf>
    <xf numFmtId="167" fontId="7" fillId="0" borderId="0" xfId="0" applyNumberFormat="1" applyFont="1" applyFill="1" applyAlignment="1">
      <alignment horizontal="center" vertical="center" wrapText="1"/>
    </xf>
    <xf numFmtId="0" fontId="7" fillId="20" borderId="0" xfId="0" applyFont="1" applyFill="1" applyAlignment="1">
      <alignment vertical="center" wrapText="1"/>
    </xf>
    <xf numFmtId="0" fontId="7" fillId="20" borderId="0" xfId="0" applyFont="1" applyFill="1" applyAlignment="1">
      <alignment horizontal="center" vertical="center" wrapText="1"/>
    </xf>
    <xf numFmtId="167" fontId="7" fillId="20" borderId="0" xfId="0" applyNumberFormat="1" applyFont="1" applyFill="1" applyAlignment="1">
      <alignment horizontal="center" vertical="center" wrapText="1"/>
    </xf>
    <xf numFmtId="4" fontId="7" fillId="20" borderId="0" xfId="0" applyNumberFormat="1" applyFont="1" applyFill="1" applyAlignment="1">
      <alignment horizontal="right" vertical="center" wrapText="1"/>
    </xf>
    <xf numFmtId="179" fontId="54" fillId="0" borderId="10" xfId="0" applyNumberFormat="1" applyFont="1" applyFill="1" applyBorder="1" applyAlignment="1">
      <alignment horizontal="center" vertical="center" wrapText="1"/>
    </xf>
    <xf numFmtId="4" fontId="7" fillId="0" borderId="10" xfId="15"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179" fontId="54" fillId="0" borderId="20" xfId="0" applyNumberFormat="1" applyFont="1" applyFill="1" applyBorder="1" applyAlignment="1">
      <alignment horizontal="center" vertical="center" wrapText="1"/>
    </xf>
    <xf numFmtId="4" fontId="7" fillId="0" borderId="20" xfId="15" applyNumberFormat="1" applyFont="1" applyFill="1" applyBorder="1" applyAlignment="1">
      <alignment horizontal="center" vertical="center" wrapText="1"/>
    </xf>
    <xf numFmtId="0" fontId="59" fillId="0" borderId="10" xfId="0" applyFont="1" applyFill="1" applyBorder="1" applyAlignment="1">
      <alignment vertical="center"/>
    </xf>
    <xf numFmtId="167" fontId="7" fillId="0" borderId="10" xfId="16" applyNumberFormat="1" applyFont="1" applyFill="1" applyBorder="1" applyAlignment="1">
      <alignment horizontal="center" vertical="center" wrapText="1"/>
    </xf>
    <xf numFmtId="167" fontId="51" fillId="0" borderId="10" xfId="15" applyNumberFormat="1" applyFont="1" applyFill="1" applyBorder="1" applyAlignment="1">
      <alignment horizontal="center" vertical="center" wrapText="1"/>
    </xf>
    <xf numFmtId="9" fontId="6" fillId="0" borderId="10" xfId="23" applyNumberFormat="1" applyFont="1" applyFill="1" applyBorder="1" applyAlignment="1">
      <alignment horizontal="right" vertical="center" wrapText="1"/>
    </xf>
    <xf numFmtId="3" fontId="27" fillId="20" borderId="64" xfId="0" applyNumberFormat="1" applyFont="1" applyFill="1" applyBorder="1" applyAlignment="1">
      <alignment horizontal="right" vertical="center" wrapText="1"/>
    </xf>
    <xf numFmtId="0" fontId="23" fillId="31" borderId="20" xfId="0" applyFont="1" applyFill="1" applyBorder="1" applyAlignment="1">
      <alignment horizontal="center" vertical="top" wrapText="1"/>
    </xf>
    <xf numFmtId="3" fontId="7" fillId="31" borderId="10" xfId="0" applyNumberFormat="1" applyFont="1" applyFill="1" applyBorder="1" applyAlignment="1">
      <alignment horizontal="center" vertical="center" wrapText="1"/>
    </xf>
    <xf numFmtId="168" fontId="7" fillId="31" borderId="10" xfId="2" applyNumberFormat="1" applyFont="1" applyFill="1" applyBorder="1" applyAlignment="1">
      <alignment horizontal="center" vertical="center" wrapText="1"/>
    </xf>
    <xf numFmtId="168" fontId="21" fillId="31" borderId="0" xfId="2" applyNumberFormat="1" applyFont="1" applyFill="1" applyAlignment="1">
      <alignment vertical="center" wrapText="1"/>
    </xf>
    <xf numFmtId="3" fontId="7" fillId="31" borderId="10" xfId="16" applyNumberFormat="1" applyFont="1" applyFill="1" applyBorder="1" applyAlignment="1">
      <alignment horizontal="center" vertical="center" wrapText="1"/>
    </xf>
    <xf numFmtId="0" fontId="21" fillId="31" borderId="0" xfId="0" applyFont="1" applyFill="1" applyAlignment="1">
      <alignment vertical="center" wrapText="1"/>
    </xf>
    <xf numFmtId="3" fontId="50" fillId="14" borderId="17" xfId="0" applyNumberFormat="1" applyFont="1" applyFill="1" applyBorder="1" applyAlignment="1">
      <alignment horizontal="center" vertical="center" wrapText="1"/>
    </xf>
    <xf numFmtId="3" fontId="6" fillId="14" borderId="17" xfId="0" applyNumberFormat="1" applyFont="1" applyFill="1" applyBorder="1" applyAlignment="1">
      <alignment horizontal="center" vertical="center" wrapText="1"/>
    </xf>
    <xf numFmtId="9" fontId="64" fillId="0" borderId="10" xfId="23" applyFont="1" applyFill="1" applyBorder="1" applyAlignment="1">
      <alignment horizontal="right" vertical="center" wrapText="1"/>
    </xf>
    <xf numFmtId="3" fontId="70" fillId="0" borderId="0" xfId="15" applyNumberFormat="1" applyFont="1" applyFill="1" applyAlignment="1">
      <alignment vertical="center" wrapText="1"/>
    </xf>
    <xf numFmtId="167" fontId="54" fillId="0" borderId="10" xfId="0" applyNumberFormat="1" applyFont="1" applyFill="1" applyBorder="1" applyAlignment="1">
      <alignment horizontal="center" vertical="center" wrapText="1"/>
    </xf>
    <xf numFmtId="0" fontId="31" fillId="14" borderId="41" xfId="15" applyFont="1" applyFill="1" applyBorder="1" applyAlignment="1">
      <alignment horizontal="center" vertical="center" wrapText="1"/>
    </xf>
    <xf numFmtId="3" fontId="27" fillId="20" borderId="3" xfId="0" applyNumberFormat="1" applyFont="1" applyFill="1" applyBorder="1" applyAlignment="1">
      <alignment horizontal="right" vertical="center" wrapText="1"/>
    </xf>
    <xf numFmtId="9" fontId="27" fillId="20" borderId="69" xfId="0" applyNumberFormat="1" applyFont="1" applyFill="1" applyBorder="1" applyAlignment="1">
      <alignment horizontal="right" vertical="center" wrapText="1"/>
    </xf>
    <xf numFmtId="9" fontId="27" fillId="20" borderId="23" xfId="23" applyNumberFormat="1" applyFont="1" applyFill="1" applyBorder="1" applyAlignment="1">
      <alignment horizontal="right" vertical="center" wrapText="1"/>
    </xf>
    <xf numFmtId="0" fontId="28" fillId="14" borderId="26" xfId="15" applyFont="1" applyFill="1" applyBorder="1" applyAlignment="1">
      <alignment horizontal="center" vertical="center" wrapText="1"/>
    </xf>
    <xf numFmtId="0" fontId="28" fillId="19" borderId="10" xfId="15" applyFont="1" applyFill="1" applyBorder="1" applyAlignment="1">
      <alignment horizontal="center" vertical="center" wrapText="1"/>
    </xf>
    <xf numFmtId="171" fontId="31" fillId="19" borderId="10" xfId="5" applyNumberFormat="1" applyFont="1" applyFill="1" applyBorder="1" applyAlignment="1">
      <alignment horizontal="center" vertical="center" wrapText="1"/>
    </xf>
    <xf numFmtId="0" fontId="28" fillId="14" borderId="10" xfId="15" applyFont="1" applyFill="1" applyBorder="1" applyAlignment="1">
      <alignment horizontal="center" vertical="center" wrapText="1"/>
    </xf>
    <xf numFmtId="0" fontId="28" fillId="19" borderId="0" xfId="15" applyFont="1" applyFill="1" applyBorder="1" applyAlignment="1">
      <alignment horizontal="center" vertical="center" wrapText="1"/>
    </xf>
    <xf numFmtId="175" fontId="28" fillId="0" borderId="10" xfId="15"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top" wrapText="1"/>
    </xf>
    <xf numFmtId="0" fontId="7" fillId="0" borderId="55" xfId="0" applyFont="1" applyFill="1" applyBorder="1" applyAlignment="1">
      <alignment vertical="top" wrapText="1"/>
    </xf>
    <xf numFmtId="3" fontId="7" fillId="0" borderId="55" xfId="0" applyNumberFormat="1" applyFont="1" applyFill="1" applyBorder="1" applyAlignment="1">
      <alignment vertical="top" wrapText="1"/>
    </xf>
    <xf numFmtId="3" fontId="18" fillId="20" borderId="0" xfId="0" applyNumberFormat="1" applyFont="1" applyFill="1" applyAlignment="1">
      <alignment horizontal="right" vertical="center" wrapText="1"/>
    </xf>
    <xf numFmtId="178" fontId="54" fillId="0" borderId="10" xfId="0" applyNumberFormat="1" applyFont="1" applyFill="1" applyBorder="1" applyAlignment="1">
      <alignment horizontal="right" vertical="center" wrapText="1"/>
    </xf>
    <xf numFmtId="4" fontId="51" fillId="0" borderId="10" xfId="15" applyNumberFormat="1" applyFont="1" applyFill="1" applyBorder="1" applyAlignment="1">
      <alignment horizontal="center" vertical="center" wrapText="1"/>
    </xf>
    <xf numFmtId="181" fontId="6" fillId="0" borderId="10" xfId="23" applyNumberFormat="1" applyFont="1" applyFill="1" applyBorder="1" applyAlignment="1">
      <alignment horizontal="right" vertical="center" wrapText="1"/>
    </xf>
    <xf numFmtId="2" fontId="7" fillId="0" borderId="10" xfId="16" applyNumberFormat="1" applyFont="1" applyFill="1" applyBorder="1" applyAlignment="1">
      <alignment horizontal="center" vertical="center" wrapText="1"/>
    </xf>
    <xf numFmtId="171" fontId="4" fillId="0" borderId="0" xfId="5" applyNumberFormat="1" applyFont="1" applyFill="1" applyAlignment="1">
      <alignment vertical="center" wrapText="1"/>
    </xf>
    <xf numFmtId="171" fontId="28" fillId="0" borderId="70" xfId="5" applyNumberFormat="1" applyFont="1" applyFill="1" applyBorder="1" applyAlignment="1">
      <alignment vertical="center" wrapText="1"/>
    </xf>
    <xf numFmtId="180" fontId="28" fillId="0" borderId="10" xfId="5" applyNumberFormat="1" applyFont="1" applyFill="1" applyBorder="1" applyAlignment="1">
      <alignment vertical="center" wrapText="1"/>
    </xf>
    <xf numFmtId="171" fontId="28" fillId="0" borderId="10" xfId="5" applyNumberFormat="1" applyFont="1" applyFill="1" applyBorder="1" applyAlignment="1">
      <alignment horizontal="left" vertical="center" wrapText="1"/>
    </xf>
    <xf numFmtId="3" fontId="7" fillId="0" borderId="20" xfId="15" applyNumberFormat="1"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13" borderId="10"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13" borderId="10" xfId="0" applyNumberFormat="1" applyFont="1" applyFill="1" applyBorder="1" applyAlignment="1">
      <alignment horizontal="center" vertical="center" wrapText="1"/>
    </xf>
    <xf numFmtId="4" fontId="6" fillId="13" borderId="12" xfId="0" applyNumberFormat="1" applyFont="1" applyFill="1" applyBorder="1" applyAlignment="1">
      <alignment horizontal="center" vertical="center" wrapText="1"/>
    </xf>
    <xf numFmtId="0" fontId="7" fillId="0" borderId="12" xfId="0" applyFont="1" applyBorder="1"/>
    <xf numFmtId="0" fontId="6" fillId="22" borderId="7" xfId="0" applyFont="1" applyFill="1" applyBorder="1" applyAlignment="1">
      <alignment horizontal="center" vertical="center" wrapText="1"/>
    </xf>
    <xf numFmtId="0" fontId="6" fillId="22" borderId="17" xfId="0" applyFont="1" applyFill="1" applyBorder="1" applyAlignment="1">
      <alignment horizontal="center" vertical="center" wrapText="1"/>
    </xf>
    <xf numFmtId="0" fontId="7" fillId="0" borderId="10" xfId="0" applyFont="1" applyFill="1" applyBorder="1"/>
    <xf numFmtId="0" fontId="7" fillId="0" borderId="20" xfId="0" applyFont="1" applyFill="1" applyBorder="1"/>
    <xf numFmtId="0" fontId="6" fillId="0" borderId="26" xfId="0" applyFont="1" applyFill="1" applyBorder="1" applyAlignment="1">
      <alignment horizontal="center" vertical="top" wrapText="1"/>
    </xf>
    <xf numFmtId="0" fontId="6" fillId="22" borderId="20" xfId="0" applyFont="1" applyFill="1" applyBorder="1" applyAlignment="1">
      <alignment horizontal="center" vertical="center" wrapText="1"/>
    </xf>
    <xf numFmtId="0" fontId="6" fillId="22" borderId="26" xfId="0" applyFont="1" applyFill="1" applyBorder="1" applyAlignment="1">
      <alignment horizontal="center" vertical="center" wrapText="1"/>
    </xf>
    <xf numFmtId="0" fontId="28" fillId="21" borderId="15" xfId="16" applyFont="1" applyFill="1" applyBorder="1" applyAlignment="1">
      <alignment horizontal="justify" vertical="center" wrapText="1"/>
    </xf>
    <xf numFmtId="0" fontId="28" fillId="0" borderId="18" xfId="16" applyFont="1" applyFill="1" applyBorder="1" applyAlignment="1">
      <alignment vertical="center" wrapText="1"/>
    </xf>
    <xf numFmtId="0" fontId="6" fillId="0" borderId="15" xfId="16" applyFont="1" applyFill="1" applyBorder="1" applyAlignment="1">
      <alignment horizontal="justify" vertical="center" wrapText="1"/>
    </xf>
    <xf numFmtId="3" fontId="6" fillId="22" borderId="17" xfId="0" applyNumberFormat="1" applyFont="1" applyFill="1" applyBorder="1" applyAlignment="1">
      <alignment horizontal="center" vertical="center" wrapText="1"/>
    </xf>
    <xf numFmtId="3" fontId="7" fillId="20" borderId="0" xfId="0" applyNumberFormat="1" applyFont="1" applyFill="1" applyAlignment="1">
      <alignment horizontal="center" vertical="center" wrapText="1"/>
    </xf>
    <xf numFmtId="3" fontId="7" fillId="8" borderId="0" xfId="0" applyNumberFormat="1" applyFont="1" applyFill="1" applyAlignment="1">
      <alignment horizontal="center" vertical="center" wrapText="1"/>
    </xf>
    <xf numFmtId="0" fontId="28" fillId="0" borderId="15" xfId="16" applyFont="1" applyFill="1" applyBorder="1" applyAlignment="1">
      <alignment horizontal="justify" vertical="center" wrapText="1"/>
    </xf>
    <xf numFmtId="0" fontId="28" fillId="0" borderId="10" xfId="16" applyFont="1" applyFill="1" applyBorder="1" applyAlignment="1">
      <alignment horizontal="center" vertical="center" wrapText="1"/>
    </xf>
    <xf numFmtId="3" fontId="7" fillId="18" borderId="10" xfId="15" applyNumberFormat="1" applyFont="1" applyFill="1" applyBorder="1" applyAlignment="1">
      <alignment horizontal="center" vertical="center" wrapText="1"/>
    </xf>
    <xf numFmtId="0" fontId="51" fillId="0" borderId="10" xfId="16" applyFont="1" applyFill="1" applyBorder="1" applyAlignment="1">
      <alignment horizontal="center" vertical="center" wrapText="1"/>
    </xf>
    <xf numFmtId="41" fontId="7" fillId="0" borderId="0" xfId="29" applyFont="1"/>
    <xf numFmtId="41" fontId="7" fillId="0" borderId="0" xfId="29" applyFont="1" applyFill="1" applyAlignment="1">
      <alignment vertical="center" wrapText="1"/>
    </xf>
    <xf numFmtId="41" fontId="6" fillId="0" borderId="0" xfId="29" applyFont="1" applyFill="1" applyAlignment="1">
      <alignment vertical="center" wrapText="1"/>
    </xf>
    <xf numFmtId="41" fontId="7" fillId="8" borderId="0" xfId="29" applyFont="1" applyFill="1" applyAlignment="1">
      <alignment vertical="center" wrapText="1"/>
    </xf>
    <xf numFmtId="0" fontId="6" fillId="0" borderId="71" xfId="0" applyFont="1" applyFill="1" applyBorder="1" applyAlignment="1">
      <alignment horizontal="center" vertical="top" wrapText="1"/>
    </xf>
    <xf numFmtId="3" fontId="27" fillId="20" borderId="55" xfId="0" applyNumberFormat="1" applyFont="1" applyFill="1" applyBorder="1" applyAlignment="1">
      <alignment horizontal="right" vertical="center" wrapText="1"/>
    </xf>
    <xf numFmtId="9" fontId="27" fillId="20" borderId="72" xfId="23" applyFont="1" applyFill="1" applyBorder="1" applyAlignment="1">
      <alignment horizontal="right" vertical="center" wrapText="1"/>
    </xf>
    <xf numFmtId="175" fontId="7" fillId="0" borderId="10" xfId="16" applyNumberFormat="1" applyFont="1" applyFill="1" applyBorder="1" applyAlignment="1">
      <alignment horizontal="center" vertical="center" wrapText="1"/>
    </xf>
    <xf numFmtId="3" fontId="28" fillId="32" borderId="10" xfId="15" applyNumberFormat="1" applyFont="1" applyFill="1" applyBorder="1" applyAlignment="1">
      <alignment horizontal="center" vertical="center" wrapText="1"/>
    </xf>
    <xf numFmtId="167" fontId="28" fillId="32" borderId="10" xfId="15" applyNumberFormat="1" applyFont="1" applyFill="1" applyBorder="1" applyAlignment="1">
      <alignment horizontal="center" vertical="center" wrapText="1"/>
    </xf>
    <xf numFmtId="9" fontId="27" fillId="20" borderId="72" xfId="23" applyNumberFormat="1" applyFont="1" applyFill="1" applyBorder="1" applyAlignment="1">
      <alignment horizontal="right" vertical="center" wrapText="1"/>
    </xf>
    <xf numFmtId="167" fontId="6" fillId="25" borderId="10" xfId="16" applyNumberFormat="1" applyFont="1" applyFill="1" applyBorder="1" applyAlignment="1">
      <alignment horizontal="center" vertical="center" wrapText="1"/>
    </xf>
    <xf numFmtId="3" fontId="18" fillId="0" borderId="0" xfId="16" applyNumberFormat="1" applyFont="1"/>
    <xf numFmtId="3" fontId="21" fillId="0" borderId="0" xfId="16" applyNumberFormat="1" applyFont="1"/>
    <xf numFmtId="3" fontId="21" fillId="0" borderId="0" xfId="16" applyNumberFormat="1" applyFont="1" applyAlignment="1">
      <alignment vertical="center"/>
    </xf>
    <xf numFmtId="3" fontId="18" fillId="0" borderId="0" xfId="16" applyNumberFormat="1" applyFont="1" applyAlignment="1">
      <alignment vertical="center"/>
    </xf>
    <xf numFmtId="4" fontId="7" fillId="0" borderId="26" xfId="15" applyNumberFormat="1" applyFont="1" applyFill="1" applyBorder="1" applyAlignment="1">
      <alignment horizontal="center" vertical="center" wrapText="1"/>
    </xf>
    <xf numFmtId="3" fontId="4" fillId="0" borderId="0" xfId="0" applyNumberFormat="1" applyFont="1" applyFill="1" applyAlignment="1">
      <alignment vertical="center" wrapText="1"/>
    </xf>
    <xf numFmtId="0" fontId="23" fillId="30" borderId="0" xfId="16" applyFont="1" applyFill="1" applyBorder="1" applyAlignment="1">
      <alignment horizontal="center" vertical="center"/>
    </xf>
    <xf numFmtId="3" fontId="6" fillId="25" borderId="10" xfId="15" applyNumberFormat="1" applyFont="1" applyFill="1" applyBorder="1" applyAlignment="1">
      <alignment horizontal="center" vertical="center" wrapText="1"/>
    </xf>
    <xf numFmtId="0" fontId="31" fillId="5" borderId="39" xfId="15" applyFont="1" applyFill="1" applyBorder="1" applyAlignment="1">
      <alignment horizontal="center" vertical="center" wrapText="1"/>
    </xf>
    <xf numFmtId="0" fontId="31" fillId="14" borderId="41" xfId="15" applyFont="1" applyFill="1" applyBorder="1" applyAlignment="1">
      <alignment horizontal="center" vertical="center" wrapText="1"/>
    </xf>
    <xf numFmtId="0" fontId="31" fillId="5" borderId="35" xfId="15" applyFont="1" applyFill="1" applyBorder="1" applyAlignment="1">
      <alignment horizontal="center" vertical="center" wrapText="1"/>
    </xf>
    <xf numFmtId="0" fontId="48" fillId="9" borderId="51" xfId="15" applyFont="1" applyFill="1" applyBorder="1" applyAlignment="1">
      <alignment horizontal="center" vertical="center" wrapText="1"/>
    </xf>
    <xf numFmtId="0" fontId="48" fillId="9" borderId="52" xfId="15" applyFont="1" applyFill="1" applyBorder="1" applyAlignment="1">
      <alignment horizontal="center" vertical="center" wrapText="1"/>
    </xf>
    <xf numFmtId="0" fontId="48" fillId="9" borderId="53" xfId="15" applyFont="1" applyFill="1" applyBorder="1" applyAlignment="1">
      <alignment horizontal="center" vertical="center" wrapText="1"/>
    </xf>
    <xf numFmtId="0" fontId="31" fillId="0" borderId="30" xfId="15" applyFont="1" applyFill="1" applyBorder="1" applyAlignment="1">
      <alignment horizontal="center" vertical="center" wrapText="1"/>
    </xf>
    <xf numFmtId="0" fontId="31" fillId="0" borderId="31" xfId="15" applyFont="1" applyFill="1" applyBorder="1" applyAlignment="1">
      <alignment horizontal="center" vertical="center" wrapText="1"/>
    </xf>
    <xf numFmtId="0" fontId="31" fillId="13" borderId="46" xfId="15" applyFont="1" applyFill="1" applyBorder="1" applyAlignment="1">
      <alignment horizontal="center" vertical="center" wrapText="1"/>
    </xf>
    <xf numFmtId="0" fontId="31" fillId="13" borderId="54" xfId="15" applyFont="1" applyFill="1" applyBorder="1" applyAlignment="1">
      <alignment horizontal="center" vertical="center" wrapText="1"/>
    </xf>
    <xf numFmtId="0" fontId="31" fillId="13" borderId="47" xfId="15" applyFont="1" applyFill="1" applyBorder="1" applyAlignment="1">
      <alignment horizontal="center" vertical="center" wrapText="1"/>
    </xf>
    <xf numFmtId="0" fontId="31" fillId="13" borderId="48" xfId="15" applyFont="1" applyFill="1" applyBorder="1" applyAlignment="1">
      <alignment horizontal="center" vertical="center" wrapText="1"/>
    </xf>
    <xf numFmtId="0" fontId="31" fillId="13" borderId="49" xfId="15" applyFont="1" applyFill="1" applyBorder="1" applyAlignment="1">
      <alignment horizontal="center" vertical="center" wrapText="1"/>
    </xf>
    <xf numFmtId="0" fontId="31" fillId="13" borderId="50" xfId="15"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57" xfId="0" applyFont="1" applyFill="1" applyBorder="1" applyAlignment="1">
      <alignment horizontal="left" vertical="center" wrapText="1"/>
    </xf>
    <xf numFmtId="0" fontId="0" fillId="0" borderId="54" xfId="0" applyBorder="1"/>
    <xf numFmtId="0" fontId="0" fillId="0" borderId="48" xfId="0" applyBorder="1"/>
    <xf numFmtId="0" fontId="6" fillId="0" borderId="2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8"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27" borderId="59" xfId="0" applyFont="1" applyFill="1" applyBorder="1" applyAlignment="1">
      <alignment horizontal="left" vertical="justify" wrapText="1"/>
    </xf>
    <xf numFmtId="0" fontId="6" fillId="27" borderId="60" xfId="0" applyFont="1" applyFill="1" applyBorder="1" applyAlignment="1">
      <alignment horizontal="left" vertical="justify" wrapText="1"/>
    </xf>
    <xf numFmtId="0" fontId="6" fillId="27" borderId="61" xfId="0" applyFont="1" applyFill="1" applyBorder="1" applyAlignment="1">
      <alignment horizontal="left" vertical="justify" wrapText="1"/>
    </xf>
    <xf numFmtId="0" fontId="6" fillId="22"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0" borderId="2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27" borderId="51" xfId="0" applyFont="1" applyFill="1" applyBorder="1" applyAlignment="1">
      <alignment horizontal="left" vertical="center" wrapText="1"/>
    </xf>
    <xf numFmtId="0" fontId="6" fillId="27" borderId="52" xfId="0" applyFont="1" applyFill="1" applyBorder="1" applyAlignment="1">
      <alignment horizontal="left" vertical="center" wrapText="1"/>
    </xf>
    <xf numFmtId="0" fontId="6" fillId="27" borderId="68" xfId="0" applyFont="1" applyFill="1" applyBorder="1" applyAlignment="1">
      <alignment horizontal="left" vertical="center" wrapText="1"/>
    </xf>
    <xf numFmtId="0" fontId="6" fillId="27" borderId="57" xfId="0" applyFont="1" applyFill="1" applyBorder="1" applyAlignment="1">
      <alignment horizontal="left" vertical="justify" wrapText="1"/>
    </xf>
    <xf numFmtId="0" fontId="6" fillId="27" borderId="54" xfId="0" applyFont="1" applyFill="1" applyBorder="1" applyAlignment="1">
      <alignment horizontal="left" vertical="justify" wrapText="1"/>
    </xf>
    <xf numFmtId="0" fontId="6" fillId="27" borderId="47" xfId="0" applyFont="1" applyFill="1" applyBorder="1" applyAlignment="1">
      <alignment horizontal="left" vertical="justify" wrapText="1"/>
    </xf>
    <xf numFmtId="0" fontId="6" fillId="27" borderId="66" xfId="0" applyFont="1" applyFill="1" applyBorder="1" applyAlignment="1">
      <alignment horizontal="left" vertical="justify" wrapText="1"/>
    </xf>
    <xf numFmtId="0" fontId="6" fillId="27" borderId="67" xfId="0" applyFont="1" applyFill="1" applyBorder="1" applyAlignment="1">
      <alignment horizontal="left" vertical="justify" wrapText="1"/>
    </xf>
    <xf numFmtId="3" fontId="6" fillId="0" borderId="18" xfId="0" applyNumberFormat="1" applyFont="1" applyFill="1" applyBorder="1" applyAlignment="1">
      <alignment horizontal="left" vertical="center" wrapText="1"/>
    </xf>
    <xf numFmtId="3" fontId="6" fillId="0" borderId="25" xfId="0" applyNumberFormat="1" applyFont="1" applyFill="1" applyBorder="1" applyAlignment="1">
      <alignment horizontal="left" vertical="center" wrapText="1"/>
    </xf>
    <xf numFmtId="3" fontId="6" fillId="0" borderId="27" xfId="0" applyNumberFormat="1" applyFont="1" applyFill="1" applyBorder="1" applyAlignment="1">
      <alignment horizontal="left" vertical="center" wrapText="1"/>
    </xf>
    <xf numFmtId="4" fontId="6" fillId="13" borderId="10" xfId="0" applyNumberFormat="1" applyFont="1" applyFill="1" applyBorder="1" applyAlignment="1">
      <alignment horizontal="center" vertical="center" wrapText="1"/>
    </xf>
    <xf numFmtId="4" fontId="6" fillId="13" borderId="12"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65"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12" xfId="0" applyNumberFormat="1" applyFont="1" applyFill="1" applyBorder="1" applyAlignment="1">
      <alignment horizontal="right" vertical="center" wrapText="1"/>
    </xf>
    <xf numFmtId="0" fontId="6" fillId="13" borderId="20"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6" fillId="22" borderId="20" xfId="0" applyFont="1" applyFill="1" applyBorder="1" applyAlignment="1">
      <alignment horizontal="center" vertical="center" wrapText="1"/>
    </xf>
    <xf numFmtId="0" fontId="6" fillId="22" borderId="2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xf numFmtId="3" fontId="6" fillId="0" borderId="26" xfId="0" applyNumberFormat="1"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13" borderId="15" xfId="0" applyFont="1" applyFill="1" applyBorder="1" applyAlignment="1">
      <alignment horizontal="center" vertical="center" wrapText="1"/>
    </xf>
    <xf numFmtId="0" fontId="7" fillId="0" borderId="12" xfId="0" applyFont="1" applyBorder="1"/>
    <xf numFmtId="0" fontId="6" fillId="13" borderId="34" xfId="0" applyFont="1" applyFill="1" applyBorder="1" applyAlignment="1">
      <alignment horizontal="center" vertical="center" wrapText="1"/>
    </xf>
    <xf numFmtId="0" fontId="6" fillId="13" borderId="35" xfId="0" applyFont="1" applyFill="1" applyBorder="1" applyAlignment="1">
      <alignment horizontal="center" vertical="center" wrapText="1"/>
    </xf>
    <xf numFmtId="0" fontId="6" fillId="0" borderId="38" xfId="0" applyFont="1" applyFill="1" applyBorder="1" applyAlignment="1">
      <alignment horizontal="center" vertical="top" wrapText="1"/>
    </xf>
    <xf numFmtId="0" fontId="6" fillId="0" borderId="26" xfId="0" applyFont="1" applyFill="1" applyBorder="1" applyAlignment="1">
      <alignment horizontal="center" vertical="top"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3" borderId="17" xfId="0" applyFont="1" applyFill="1" applyBorder="1" applyAlignment="1">
      <alignment horizontal="center" vertical="center" wrapText="1"/>
    </xf>
    <xf numFmtId="4" fontId="6" fillId="13" borderId="7" xfId="0" applyNumberFormat="1" applyFont="1" applyFill="1" applyBorder="1" applyAlignment="1">
      <alignment horizontal="center" vertical="center" wrapText="1"/>
    </xf>
    <xf numFmtId="4" fontId="6" fillId="13" borderId="14" xfId="0" applyNumberFormat="1"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22" borderId="7" xfId="0" applyFont="1" applyFill="1" applyBorder="1" applyAlignment="1">
      <alignment horizontal="center" vertical="center" wrapText="1"/>
    </xf>
    <xf numFmtId="0" fontId="6" fillId="22" borderId="17" xfId="0" applyFont="1" applyFill="1" applyBorder="1" applyAlignment="1">
      <alignment horizontal="center" vertical="center" wrapText="1"/>
    </xf>
    <xf numFmtId="0" fontId="7" fillId="0" borderId="20" xfId="0" applyFont="1" applyFill="1" applyBorder="1"/>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9" xfId="0" applyFont="1" applyFill="1" applyBorder="1" applyAlignment="1">
      <alignment horizontal="center" vertical="top" wrapText="1"/>
    </xf>
    <xf numFmtId="0" fontId="6" fillId="13" borderId="19" xfId="0" applyFont="1" applyFill="1" applyBorder="1" applyAlignment="1">
      <alignment horizontal="center" vertical="center" wrapText="1"/>
    </xf>
    <xf numFmtId="0" fontId="6" fillId="13" borderId="33" xfId="0" applyFont="1" applyFill="1" applyBorder="1" applyAlignment="1">
      <alignment horizontal="center" vertical="center" wrapText="1"/>
    </xf>
    <xf numFmtId="0" fontId="6" fillId="0" borderId="62"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27" borderId="9" xfId="0" applyFont="1" applyFill="1" applyBorder="1" applyAlignment="1">
      <alignment horizontal="left" vertical="justify" wrapText="1"/>
    </xf>
    <xf numFmtId="0" fontId="6" fillId="27" borderId="0" xfId="0" applyFont="1" applyFill="1" applyBorder="1" applyAlignment="1">
      <alignment horizontal="left" vertical="justify" wrapText="1"/>
    </xf>
    <xf numFmtId="0" fontId="6" fillId="27" borderId="51" xfId="0" applyFont="1" applyFill="1" applyBorder="1" applyAlignment="1">
      <alignment horizontal="left" vertical="justify" wrapText="1"/>
    </xf>
    <xf numFmtId="0" fontId="6" fillId="27" borderId="52" xfId="0" applyFont="1" applyFill="1" applyBorder="1" applyAlignment="1">
      <alignment horizontal="left" vertical="justify" wrapText="1"/>
    </xf>
    <xf numFmtId="0" fontId="6" fillId="27" borderId="53" xfId="0" applyFont="1" applyFill="1" applyBorder="1" applyAlignment="1">
      <alignment horizontal="left" vertical="justify" wrapText="1"/>
    </xf>
    <xf numFmtId="0" fontId="23" fillId="0" borderId="0" xfId="16" applyFont="1" applyBorder="1" applyAlignment="1" applyProtection="1">
      <alignment horizontal="center"/>
    </xf>
    <xf numFmtId="0" fontId="23" fillId="0" borderId="31" xfId="16" applyFont="1" applyBorder="1" applyAlignment="1" applyProtection="1">
      <alignment horizontal="center"/>
    </xf>
    <xf numFmtId="0" fontId="23" fillId="30" borderId="0" xfId="16" applyFont="1" applyFill="1" applyBorder="1" applyAlignment="1">
      <alignment horizontal="center" vertical="center"/>
    </xf>
    <xf numFmtId="0" fontId="23" fillId="0" borderId="8" xfId="16" applyFont="1" applyBorder="1" applyAlignment="1" applyProtection="1">
      <alignment horizontal="center" vertical="center"/>
    </xf>
    <xf numFmtId="0" fontId="23" fillId="0" borderId="55" xfId="16" applyFont="1" applyBorder="1" applyAlignment="1" applyProtection="1">
      <alignment horizontal="center" vertical="center"/>
    </xf>
    <xf numFmtId="0" fontId="23" fillId="0" borderId="56" xfId="16" applyFont="1" applyBorder="1" applyAlignment="1" applyProtection="1">
      <alignment horizontal="center" vertical="center"/>
    </xf>
    <xf numFmtId="0" fontId="23" fillId="0" borderId="9" xfId="16" applyFont="1" applyBorder="1" applyAlignment="1" applyProtection="1">
      <alignment horizontal="center" vertical="center"/>
    </xf>
    <xf numFmtId="0" fontId="23" fillId="0" borderId="0" xfId="16" applyFont="1" applyBorder="1" applyAlignment="1" applyProtection="1">
      <alignment horizontal="center" vertical="center"/>
    </xf>
    <xf numFmtId="0" fontId="23" fillId="0" borderId="13" xfId="16" applyFont="1" applyBorder="1" applyAlignment="1" applyProtection="1">
      <alignment horizontal="center" vertical="center"/>
    </xf>
    <xf numFmtId="0" fontId="27" fillId="13" borderId="15" xfId="0" applyFont="1" applyFill="1" applyBorder="1" applyAlignment="1">
      <alignment horizontal="left" vertical="center" wrapText="1"/>
    </xf>
    <xf numFmtId="0" fontId="27" fillId="13" borderId="10" xfId="0" applyFont="1" applyFill="1" applyBorder="1" applyAlignment="1">
      <alignment horizontal="left" vertical="center" wrapText="1"/>
    </xf>
    <xf numFmtId="0" fontId="27" fillId="13" borderId="12" xfId="0" applyFont="1" applyFill="1" applyBorder="1" applyAlignment="1">
      <alignment horizontal="left" vertical="center" wrapText="1"/>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13" xfId="0" applyFont="1" applyFill="1" applyBorder="1" applyAlignment="1">
      <alignment horizontal="center" vertical="center" wrapText="1"/>
    </xf>
    <xf numFmtId="166" fontId="27" fillId="13" borderId="15" xfId="3" applyNumberFormat="1" applyFont="1" applyFill="1" applyBorder="1" applyAlignment="1">
      <alignment horizontal="left" vertical="center" wrapText="1"/>
    </xf>
    <xf numFmtId="166" fontId="27" fillId="13" borderId="10" xfId="3" applyNumberFormat="1" applyFont="1" applyFill="1" applyBorder="1" applyAlignment="1">
      <alignment horizontal="left" vertical="center" wrapText="1"/>
    </xf>
    <xf numFmtId="166" fontId="27" fillId="13" borderId="12" xfId="3" applyNumberFormat="1" applyFont="1" applyFill="1" applyBorder="1" applyAlignment="1">
      <alignment horizontal="left" vertical="center" wrapText="1"/>
    </xf>
    <xf numFmtId="0" fontId="16" fillId="0" borderId="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7" xfId="0" applyFont="1" applyBorder="1" applyAlignment="1" applyProtection="1">
      <alignment horizontal="center" vertical="center"/>
    </xf>
    <xf numFmtId="0" fontId="16" fillId="0" borderId="14" xfId="0" applyFont="1" applyBorder="1" applyAlignment="1" applyProtection="1">
      <alignment horizontal="center" vertical="center"/>
    </xf>
    <xf numFmtId="0" fontId="12" fillId="2" borderId="8" xfId="0" applyFont="1" applyFill="1" applyBorder="1" applyAlignment="1">
      <alignment horizontal="center" wrapText="1"/>
    </xf>
    <xf numFmtId="0" fontId="12" fillId="2" borderId="63" xfId="0" applyFont="1" applyFill="1" applyBorder="1" applyAlignment="1">
      <alignment horizontal="center" wrapText="1"/>
    </xf>
    <xf numFmtId="0" fontId="12" fillId="2" borderId="30" xfId="0" applyFont="1" applyFill="1" applyBorder="1" applyAlignment="1">
      <alignment horizontal="center" wrapText="1"/>
    </xf>
    <xf numFmtId="0" fontId="12" fillId="2" borderId="2" xfId="0" applyFont="1" applyFill="1" applyBorder="1" applyAlignment="1">
      <alignment horizontal="center" wrapText="1"/>
    </xf>
    <xf numFmtId="0" fontId="12" fillId="0" borderId="31" xfId="0" applyFont="1" applyBorder="1" applyAlignment="1">
      <alignment horizontal="center"/>
    </xf>
    <xf numFmtId="0" fontId="65"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3" fontId="67" fillId="0" borderId="39" xfId="0" applyNumberFormat="1" applyFont="1" applyFill="1" applyBorder="1" applyAlignment="1" applyProtection="1">
      <alignment vertical="center"/>
    </xf>
    <xf numFmtId="0" fontId="34" fillId="0" borderId="10" xfId="0" applyFont="1" applyBorder="1" applyProtection="1"/>
    <xf numFmtId="0" fontId="35" fillId="0" borderId="10" xfId="0" applyFont="1" applyBorder="1" applyAlignment="1" applyProtection="1">
      <alignment horizontal="center" vertical="top"/>
    </xf>
    <xf numFmtId="1" fontId="36" fillId="6" borderId="10" xfId="0" applyNumberFormat="1" applyFont="1" applyFill="1" applyBorder="1" applyProtection="1"/>
    <xf numFmtId="0" fontId="35" fillId="6" borderId="10" xfId="0" applyFont="1" applyFill="1" applyBorder="1" applyProtection="1"/>
    <xf numFmtId="3" fontId="35" fillId="6" borderId="10" xfId="2" applyNumberFormat="1" applyFont="1" applyFill="1" applyBorder="1" applyProtection="1"/>
    <xf numFmtId="1" fontId="36" fillId="7" borderId="10" xfId="0" applyNumberFormat="1" applyFont="1" applyFill="1" applyBorder="1" applyProtection="1"/>
    <xf numFmtId="0" fontId="35" fillId="7" borderId="10" xfId="0" applyFont="1" applyFill="1" applyBorder="1" applyProtection="1"/>
    <xf numFmtId="3" fontId="35" fillId="7" borderId="10" xfId="2" applyNumberFormat="1" applyFont="1" applyFill="1" applyBorder="1" applyProtection="1"/>
    <xf numFmtId="1" fontId="36" fillId="2" borderId="10" xfId="0" applyNumberFormat="1" applyFont="1" applyFill="1" applyBorder="1" applyProtection="1"/>
    <xf numFmtId="0" fontId="35" fillId="2" borderId="10" xfId="0" applyFont="1" applyFill="1" applyBorder="1" applyProtection="1"/>
    <xf numFmtId="3" fontId="35" fillId="2" borderId="10" xfId="2" applyNumberFormat="1" applyFont="1" applyFill="1" applyBorder="1" applyProtection="1"/>
    <xf numFmtId="1" fontId="36" fillId="0" borderId="10" xfId="0" applyNumberFormat="1" applyFont="1" applyBorder="1" applyProtection="1"/>
    <xf numFmtId="0" fontId="34" fillId="0" borderId="10" xfId="0" applyFont="1" applyFill="1" applyBorder="1" applyProtection="1"/>
    <xf numFmtId="3" fontId="34" fillId="0" borderId="10" xfId="2" applyNumberFormat="1" applyFont="1" applyFill="1" applyBorder="1" applyProtection="1"/>
    <xf numFmtId="0" fontId="36" fillId="0" borderId="10" xfId="0" applyFont="1" applyFill="1" applyBorder="1" applyProtection="1"/>
    <xf numFmtId="3" fontId="36" fillId="0" borderId="10" xfId="2" applyNumberFormat="1" applyFont="1" applyFill="1" applyBorder="1" applyProtection="1"/>
    <xf numFmtId="0" fontId="35" fillId="0" borderId="10" xfId="0" applyFont="1" applyBorder="1" applyProtection="1"/>
    <xf numFmtId="3" fontId="35" fillId="0" borderId="10" xfId="2" applyNumberFormat="1" applyFont="1" applyBorder="1" applyProtection="1"/>
    <xf numFmtId="1" fontId="34" fillId="0" borderId="10" xfId="0" applyNumberFormat="1" applyFont="1" applyBorder="1" applyProtection="1"/>
    <xf numFmtId="3" fontId="36" fillId="0" borderId="10" xfId="2" applyNumberFormat="1" applyFont="1" applyBorder="1" applyProtection="1"/>
    <xf numFmtId="1" fontId="35" fillId="6" borderId="10" xfId="0" applyNumberFormat="1" applyFont="1" applyFill="1" applyBorder="1" applyProtection="1"/>
    <xf numFmtId="1" fontId="36" fillId="8" borderId="10" xfId="0" applyNumberFormat="1" applyFont="1" applyFill="1" applyBorder="1" applyProtection="1"/>
    <xf numFmtId="1" fontId="35" fillId="8" borderId="10" xfId="0" applyNumberFormat="1" applyFont="1" applyFill="1" applyBorder="1" applyProtection="1"/>
    <xf numFmtId="3" fontId="36" fillId="8" borderId="10" xfId="2" applyNumberFormat="1" applyFont="1" applyFill="1" applyBorder="1" applyProtection="1"/>
    <xf numFmtId="3" fontId="35" fillId="8" borderId="10" xfId="2" applyNumberFormat="1" applyFont="1" applyFill="1" applyBorder="1" applyProtection="1"/>
    <xf numFmtId="0" fontId="23" fillId="0" borderId="51" xfId="0" applyFont="1" applyBorder="1" applyAlignment="1" applyProtection="1">
      <alignment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66" fillId="0" borderId="20" xfId="0" applyFont="1" applyBorder="1" applyAlignment="1" applyProtection="1">
      <alignment horizontal="center" vertical="center" wrapText="1"/>
    </xf>
    <xf numFmtId="0" fontId="66" fillId="0" borderId="21" xfId="0" applyFont="1" applyBorder="1" applyAlignment="1" applyProtection="1">
      <alignment horizontal="center" vertical="center" wrapText="1"/>
    </xf>
    <xf numFmtId="3" fontId="67" fillId="0" borderId="51" xfId="0" applyNumberFormat="1" applyFont="1" applyFill="1" applyBorder="1" applyAlignment="1" applyProtection="1">
      <alignment vertical="center"/>
    </xf>
    <xf numFmtId="3" fontId="67" fillId="0" borderId="41" xfId="0" applyNumberFormat="1" applyFont="1" applyFill="1" applyBorder="1" applyAlignment="1" applyProtection="1">
      <alignment vertical="center"/>
    </xf>
    <xf numFmtId="3" fontId="67" fillId="0" borderId="42" xfId="0" applyNumberFormat="1" applyFont="1" applyFill="1" applyBorder="1" applyAlignment="1" applyProtection="1">
      <alignment vertical="center"/>
    </xf>
    <xf numFmtId="3" fontId="34" fillId="0" borderId="15" xfId="0" applyNumberFormat="1" applyFont="1" applyFill="1" applyBorder="1" applyAlignment="1" applyProtection="1">
      <alignment vertical="center"/>
    </xf>
    <xf numFmtId="3" fontId="67" fillId="0" borderId="57" xfId="0" applyNumberFormat="1" applyFont="1" applyFill="1" applyBorder="1" applyAlignment="1" applyProtection="1">
      <alignment vertical="center"/>
    </xf>
    <xf numFmtId="3" fontId="67" fillId="0" borderId="6" xfId="0" applyNumberFormat="1" applyFont="1" applyFill="1" applyBorder="1" applyAlignment="1" applyProtection="1">
      <alignment vertical="center"/>
    </xf>
    <xf numFmtId="3" fontId="67" fillId="0" borderId="7" xfId="0" applyNumberFormat="1" applyFont="1" applyFill="1" applyBorder="1" applyAlignment="1" applyProtection="1">
      <alignment vertical="center"/>
    </xf>
    <xf numFmtId="3" fontId="67" fillId="0" borderId="14" xfId="0" applyNumberFormat="1" applyFont="1" applyFill="1" applyBorder="1" applyAlignment="1" applyProtection="1">
      <alignment vertical="center"/>
    </xf>
    <xf numFmtId="3" fontId="34" fillId="0" borderId="58" xfId="0" applyNumberFormat="1" applyFont="1" applyFill="1" applyBorder="1" applyAlignment="1" applyProtection="1">
      <alignment vertical="center"/>
    </xf>
    <xf numFmtId="3" fontId="34" fillId="0" borderId="10" xfId="0" applyNumberFormat="1" applyFont="1" applyFill="1" applyBorder="1" applyAlignment="1" applyProtection="1">
      <alignment vertical="center"/>
    </xf>
    <xf numFmtId="3" fontId="34" fillId="0" borderId="12" xfId="0" applyNumberFormat="1" applyFont="1" applyFill="1" applyBorder="1" applyAlignment="1" applyProtection="1">
      <alignment vertical="center"/>
    </xf>
    <xf numFmtId="3" fontId="34" fillId="0" borderId="59" xfId="0" applyNumberFormat="1" applyFont="1" applyFill="1" applyBorder="1" applyAlignment="1" applyProtection="1">
      <alignment vertical="center"/>
    </xf>
    <xf numFmtId="3" fontId="34" fillId="0" borderId="16" xfId="0" applyNumberFormat="1" applyFont="1" applyFill="1" applyBorder="1" applyAlignment="1" applyProtection="1">
      <alignment vertical="center"/>
    </xf>
    <xf numFmtId="3" fontId="34" fillId="0" borderId="17" xfId="0" applyNumberFormat="1" applyFont="1" applyFill="1" applyBorder="1" applyAlignment="1" applyProtection="1">
      <alignment vertical="center"/>
    </xf>
    <xf numFmtId="3" fontId="34" fillId="0" borderId="23" xfId="0" applyNumberFormat="1" applyFont="1" applyFill="1" applyBorder="1" applyAlignment="1" applyProtection="1">
      <alignment vertical="center"/>
    </xf>
    <xf numFmtId="3" fontId="35" fillId="0" borderId="58" xfId="0" applyNumberFormat="1" applyFont="1" applyFill="1" applyBorder="1" applyAlignment="1" applyProtection="1">
      <alignment vertical="center"/>
    </xf>
    <xf numFmtId="3" fontId="35" fillId="0" borderId="15" xfId="0" applyNumberFormat="1" applyFont="1" applyFill="1" applyBorder="1" applyAlignment="1" applyProtection="1">
      <alignment vertical="center"/>
    </xf>
    <xf numFmtId="3" fontId="35" fillId="0" borderId="10" xfId="0" applyNumberFormat="1" applyFont="1" applyFill="1" applyBorder="1" applyAlignment="1" applyProtection="1">
      <alignment vertical="center"/>
    </xf>
    <xf numFmtId="3" fontId="35" fillId="0" borderId="12" xfId="0" applyNumberFormat="1" applyFont="1" applyFill="1" applyBorder="1" applyAlignment="1" applyProtection="1">
      <alignment vertical="center"/>
    </xf>
    <xf numFmtId="3" fontId="67" fillId="0" borderId="58" xfId="0" applyNumberFormat="1" applyFont="1" applyFill="1" applyBorder="1" applyAlignment="1" applyProtection="1">
      <alignment vertical="center"/>
    </xf>
    <xf numFmtId="3" fontId="67" fillId="0" borderId="15" xfId="0" applyNumberFormat="1" applyFont="1" applyFill="1" applyBorder="1" applyAlignment="1" applyProtection="1">
      <alignment vertical="center"/>
    </xf>
    <xf numFmtId="3" fontId="67" fillId="0" borderId="10" xfId="0" applyNumberFormat="1" applyFont="1" applyFill="1" applyBorder="1" applyAlignment="1" applyProtection="1">
      <alignment vertical="center"/>
    </xf>
    <xf numFmtId="3" fontId="67" fillId="0" borderId="12" xfId="0" applyNumberFormat="1" applyFont="1" applyFill="1" applyBorder="1" applyAlignment="1" applyProtection="1">
      <alignment vertical="center"/>
    </xf>
    <xf numFmtId="3" fontId="35" fillId="0" borderId="59" xfId="0" applyNumberFormat="1" applyFont="1" applyFill="1" applyBorder="1" applyAlignment="1" applyProtection="1">
      <alignment vertical="center"/>
    </xf>
    <xf numFmtId="3" fontId="35" fillId="0" borderId="16" xfId="0" applyNumberFormat="1" applyFont="1" applyFill="1" applyBorder="1" applyAlignment="1" applyProtection="1">
      <alignment vertical="center"/>
    </xf>
    <xf numFmtId="3" fontId="35" fillId="0" borderId="17" xfId="0" applyNumberFormat="1" applyFont="1" applyFill="1" applyBorder="1" applyAlignment="1" applyProtection="1">
      <alignment vertical="center"/>
    </xf>
    <xf numFmtId="3" fontId="35" fillId="0" borderId="23" xfId="0" applyNumberFormat="1" applyFont="1" applyFill="1" applyBorder="1" applyAlignment="1" applyProtection="1">
      <alignment vertical="center"/>
    </xf>
    <xf numFmtId="3" fontId="34" fillId="0" borderId="9" xfId="0" applyNumberFormat="1" applyFont="1" applyBorder="1" applyAlignment="1" applyProtection="1">
      <alignment vertical="center"/>
    </xf>
    <xf numFmtId="3" fontId="34" fillId="0" borderId="38" xfId="0" applyNumberFormat="1" applyFont="1" applyBorder="1" applyAlignment="1" applyProtection="1">
      <alignment vertical="center"/>
    </xf>
    <xf numFmtId="3" fontId="34" fillId="0" borderId="28" xfId="0" applyNumberFormat="1" applyFont="1" applyBorder="1" applyAlignment="1" applyProtection="1">
      <alignment vertical="center"/>
    </xf>
    <xf numFmtId="3" fontId="34" fillId="0" borderId="45" xfId="0" applyNumberFormat="1" applyFont="1" applyBorder="1" applyAlignment="1" applyProtection="1">
      <alignment vertical="center"/>
    </xf>
    <xf numFmtId="3" fontId="34" fillId="0" borderId="10" xfId="0" applyNumberFormat="1" applyFont="1" applyFill="1" applyBorder="1" applyAlignment="1" applyProtection="1">
      <alignment vertical="center" wrapText="1"/>
      <protection locked="0"/>
    </xf>
    <xf numFmtId="3" fontId="34" fillId="0" borderId="15" xfId="0" applyNumberFormat="1" applyFont="1" applyFill="1" applyBorder="1" applyAlignment="1" applyProtection="1">
      <alignment vertical="center" wrapText="1"/>
      <protection locked="0"/>
    </xf>
    <xf numFmtId="3" fontId="34" fillId="0" borderId="12" xfId="0" applyNumberFormat="1" applyFont="1" applyFill="1" applyBorder="1" applyAlignment="1" applyProtection="1">
      <alignment vertical="center" wrapText="1"/>
      <protection locked="0"/>
    </xf>
    <xf numFmtId="3" fontId="35" fillId="0" borderId="73" xfId="0" applyNumberFormat="1" applyFont="1" applyFill="1" applyBorder="1" applyAlignment="1" applyProtection="1">
      <alignment vertical="center" wrapText="1"/>
      <protection locked="0"/>
    </xf>
    <xf numFmtId="3" fontId="35" fillId="0" borderId="33" xfId="0" applyNumberFormat="1" applyFont="1" applyFill="1" applyBorder="1" applyAlignment="1" applyProtection="1">
      <alignment vertical="center" wrapText="1"/>
      <protection locked="0"/>
    </xf>
    <xf numFmtId="3" fontId="35" fillId="0" borderId="26" xfId="0" applyNumberFormat="1" applyFont="1" applyFill="1" applyBorder="1" applyAlignment="1" applyProtection="1">
      <alignment vertical="center" wrapText="1"/>
      <protection locked="0"/>
    </xf>
    <xf numFmtId="3" fontId="35" fillId="0" borderId="29" xfId="0" applyNumberFormat="1" applyFont="1" applyFill="1" applyBorder="1" applyAlignment="1" applyProtection="1">
      <alignment vertical="center" wrapText="1"/>
      <protection locked="0"/>
    </xf>
    <xf numFmtId="3" fontId="39" fillId="0" borderId="10" xfId="0" applyNumberFormat="1" applyFont="1" applyBorder="1" applyAlignment="1">
      <alignment wrapText="1"/>
    </xf>
    <xf numFmtId="3" fontId="35" fillId="0" borderId="58" xfId="0" applyNumberFormat="1" applyFont="1" applyFill="1" applyBorder="1" applyAlignment="1" applyProtection="1">
      <alignment vertical="center" wrapText="1"/>
      <protection locked="0"/>
    </xf>
    <xf numFmtId="3" fontId="35" fillId="0" borderId="15" xfId="0" applyNumberFormat="1" applyFont="1" applyFill="1" applyBorder="1" applyAlignment="1" applyProtection="1">
      <alignment vertical="center" wrapText="1"/>
      <protection locked="0"/>
    </xf>
    <xf numFmtId="3" fontId="35" fillId="0" borderId="10" xfId="0" applyNumberFormat="1" applyFont="1" applyFill="1" applyBorder="1" applyAlignment="1" applyProtection="1">
      <alignment vertical="center" wrapText="1"/>
      <protection locked="0"/>
    </xf>
    <xf numFmtId="3" fontId="35" fillId="0" borderId="12" xfId="0" applyNumberFormat="1" applyFont="1" applyFill="1" applyBorder="1" applyAlignment="1" applyProtection="1">
      <alignment vertical="center" wrapText="1"/>
      <protection locked="0"/>
    </xf>
    <xf numFmtId="3" fontId="4" fillId="0" borderId="10" xfId="0" applyNumberFormat="1" applyFont="1" applyBorder="1" applyAlignment="1">
      <alignment wrapText="1"/>
    </xf>
    <xf numFmtId="3" fontId="68" fillId="0" borderId="10" xfId="0" applyNumberFormat="1" applyFont="1" applyFill="1" applyBorder="1" applyAlignment="1" applyProtection="1">
      <alignment vertical="center" wrapText="1"/>
      <protection locked="0"/>
    </xf>
    <xf numFmtId="3" fontId="39" fillId="0" borderId="10" xfId="0" applyNumberFormat="1" applyFont="1" applyBorder="1" applyAlignment="1">
      <alignment horizontal="justify"/>
    </xf>
    <xf numFmtId="0" fontId="34" fillId="0" borderId="36" xfId="0" applyFont="1" applyFill="1" applyBorder="1" applyAlignment="1" applyProtection="1">
      <alignment vertical="center" wrapText="1"/>
      <protection locked="0"/>
    </xf>
    <xf numFmtId="3" fontId="68" fillId="0" borderId="15" xfId="0" applyNumberFormat="1" applyFont="1" applyFill="1" applyBorder="1" applyAlignment="1" applyProtection="1">
      <alignment vertical="center" wrapText="1"/>
      <protection locked="0"/>
    </xf>
    <xf numFmtId="3" fontId="68" fillId="0" borderId="12" xfId="0" applyNumberFormat="1" applyFont="1" applyFill="1" applyBorder="1" applyAlignment="1" applyProtection="1">
      <alignment vertical="center" wrapText="1"/>
      <protection locked="0"/>
    </xf>
    <xf numFmtId="3" fontId="4" fillId="0" borderId="10" xfId="0" applyNumberFormat="1" applyFont="1" applyBorder="1" applyAlignment="1">
      <alignment vertical="center" wrapText="1"/>
    </xf>
    <xf numFmtId="3" fontId="41" fillId="0" borderId="9" xfId="0" applyNumberFormat="1" applyFont="1" applyBorder="1" applyAlignment="1" applyProtection="1">
      <alignment vertical="center"/>
    </xf>
    <xf numFmtId="3" fontId="41" fillId="0" borderId="38" xfId="0" applyNumberFormat="1" applyFont="1" applyBorder="1" applyAlignment="1" applyProtection="1">
      <alignment vertical="center"/>
    </xf>
    <xf numFmtId="3" fontId="41" fillId="0" borderId="28" xfId="0" applyNumberFormat="1" applyFont="1" applyBorder="1" applyAlignment="1" applyProtection="1">
      <alignment vertical="center"/>
    </xf>
    <xf numFmtId="3" fontId="41" fillId="0" borderId="45" xfId="0" applyNumberFormat="1" applyFont="1" applyBorder="1" applyAlignment="1" applyProtection="1">
      <alignment vertical="center"/>
    </xf>
    <xf numFmtId="4" fontId="72" fillId="0" borderId="0" xfId="0" applyNumberFormat="1" applyFont="1" applyFill="1" applyBorder="1" applyAlignment="1" applyProtection="1">
      <alignment horizontal="right" vertical="top" wrapText="1" shrinkToFit="1"/>
    </xf>
    <xf numFmtId="41" fontId="21" fillId="0" borderId="0" xfId="29" applyFont="1" applyFill="1" applyAlignment="1">
      <alignment vertical="center" wrapText="1"/>
    </xf>
    <xf numFmtId="41" fontId="21" fillId="0" borderId="0" xfId="0" applyNumberFormat="1" applyFont="1" applyFill="1" applyAlignment="1">
      <alignment vertical="center" wrapText="1"/>
    </xf>
    <xf numFmtId="168" fontId="21" fillId="0" borderId="0" xfId="2" applyNumberFormat="1" applyFont="1" applyFill="1" applyAlignment="1">
      <alignment vertical="center" wrapText="1"/>
    </xf>
  </cellXfs>
  <cellStyles count="32">
    <cellStyle name="Euro" xfId="1"/>
    <cellStyle name="Millares" xfId="2" builtinId="3"/>
    <cellStyle name="Millares [0]" xfId="29" builtinId="6"/>
    <cellStyle name="Millares 2" xfId="3"/>
    <cellStyle name="Millares 2 2" xfId="4"/>
    <cellStyle name="Millares 3" xfId="5"/>
    <cellStyle name="Millares 3 2" xfId="6"/>
    <cellStyle name="Millares 4" xfId="7"/>
    <cellStyle name="Millares 5" xfId="8"/>
    <cellStyle name="Millares 6" xfId="9"/>
    <cellStyle name="Millares 7" xfId="26"/>
    <cellStyle name="Millares 8" xfId="28"/>
    <cellStyle name="Millares 9" xfId="31"/>
    <cellStyle name="Moneda [0] 2" xfId="10"/>
    <cellStyle name="Moneda 2" xfId="11"/>
    <cellStyle name="Moneda 2 2" xfId="12"/>
    <cellStyle name="Moneda 3" xfId="13"/>
    <cellStyle name="Normal" xfId="0" builtinId="0"/>
    <cellStyle name="Normal 2" xfId="14"/>
    <cellStyle name="Normal 2 2" xfId="15"/>
    <cellStyle name="Normal 2 2 2" xfId="16"/>
    <cellStyle name="Normal 2 3" xfId="17"/>
    <cellStyle name="Normal 3" xfId="18"/>
    <cellStyle name="Normal 3 2" xfId="19"/>
    <cellStyle name="Normal 3 3" xfId="20"/>
    <cellStyle name="Normal 4" xfId="21"/>
    <cellStyle name="Normal 5" xfId="22"/>
    <cellStyle name="Normal 6" xfId="25"/>
    <cellStyle name="Normal 7" xfId="27"/>
    <cellStyle name="Normal 8" xfId="30"/>
    <cellStyle name="Porcentaje" xfId="23" builtinId="5"/>
    <cellStyle name="Porcentaje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6773"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2984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1892" name="Imagen 2" descr="C:\Users\acortes.CAM\Desktop\CAM 20 AÑOS FIN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DISNEY\POAI%202019\Ok2-Final-%20OPL-%20POAI%20CONSOLIDADO%202019%20-21-01-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dussan\Downloads\ingresos-gastos2016-2019octub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DISNEY\POAI%202017\ENERO%202017\POAI%202017%20CAM%20PUBLICADO%2030%20ENERO%20D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DDUSSAN\INFORME%20DE%20GESTI&#211;N%202019\MATRIZ%20MINISTERIO%20MARZO\MATRIZ%20%2031%20MARZO%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TRIZ%20%20MINISTERIO%20DE%20AMBIENTE%2030%20NOVIEMBRE%20%202019%20FINAL%20%20FINAL%20AJUST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DUSSAN/INFORME%20DE%20GESTI&#211;N%202019/MATRIZ%20MINISTERIO/MATRIZ%20OCTUBRE/MATRIZ%20%20MINISTERIO%20DE%20AMBIENTE%2030%20OCTUBRE%20%202019%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barrera\Documents\presupeusto2018\EJECUCIONES\DIRECTOR\ANASIS%20DIRECTIVO%20CAMJUNIO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barrera\Documents\presupuesto2019\EJECUCIONES\INGRESOS%20Y%20GASTOSOCTUBR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1.1  (10)"/>
      <sheetName val="PROYECTO 1.1  (8)"/>
      <sheetName val="PROYECTO 1.2 (6)"/>
      <sheetName val="PROYECTO 1.3 (2)"/>
      <sheetName val="PROYECTO 2.1  (2)"/>
      <sheetName val="PROYECTO 2.2 (2)"/>
      <sheetName val="PROYECTO 3.1 (5)"/>
      <sheetName val="con valor real"/>
      <sheetName val="PROYECTO 5.2 (6)"/>
      <sheetName val="PROYECTO 3.2"/>
      <sheetName val="PROYECTO 4.1 (6)"/>
      <sheetName val="PROYECTO 5.1"/>
      <sheetName val="PROYECTO 5.2 (7)"/>
      <sheetName val="PROYECTO 6.1 (3)"/>
      <sheetName val="PROYECTO 6.2 (4)"/>
      <sheetName val="FUENTES Y USOS"/>
      <sheetName val="Hoja2"/>
      <sheetName val="Hoja1"/>
    </sheetNames>
    <sheetDataSet>
      <sheetData sheetId="0" refreshError="1"/>
      <sheetData sheetId="1" refreshError="1"/>
      <sheetData sheetId="2" refreshError="1">
        <row r="21">
          <cell r="E21">
            <v>127162361.52</v>
          </cell>
        </row>
        <row r="22">
          <cell r="E22">
            <v>13000000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row>
        <row r="37">
          <cell r="F37">
            <v>31033711871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
      <sheetName val="GASTOS "/>
    </sheetNames>
    <sheetDataSet>
      <sheetData sheetId="0">
        <row r="3">
          <cell r="A3" t="str">
            <v>CORPORACION AUTONOMA REGIONAL DEL ALTO MAGDALENA CAM</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1.1"/>
      <sheetName val="PROYECTO 1.2"/>
      <sheetName val="PROYECTO 1.3"/>
      <sheetName val="PROYECTO 2.1 "/>
      <sheetName val="PROYECTO 2.2"/>
      <sheetName val="PROYECTO 3.1"/>
      <sheetName val="PROYECTO 3.2"/>
      <sheetName val="PROYECTO 4.1"/>
      <sheetName val="PROYECTO 5.1"/>
      <sheetName val="PROYECTO 5.2"/>
      <sheetName val="PROYECTO 6.1"/>
      <sheetName val="PROYECTO 6.2"/>
      <sheetName val="FUENTES Y U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4">
          <cell r="E14">
            <v>260000000</v>
          </cell>
        </row>
        <row r="15">
          <cell r="E15">
            <v>100000000</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ANEXO 5.1 INGRESOS "/>
      <sheetName val="5.2 GASTOS"/>
      <sheetName val="Anexo 3 Matriz Ind Min Jun"/>
      <sheetName val="Anexos 5-1 Ingresos "/>
      <sheetName val="Anexo 5-2 Gastos"/>
      <sheetName val="Anexo 2 Protocolo Inf Gestión"/>
      <sheetName val="Anexo 4 ProtocoloMatrizINdica"/>
      <sheetName val="Hoja1"/>
      <sheetName val="Hoja2"/>
    </sheetNames>
    <sheetDataSet>
      <sheetData sheetId="0" refreshError="1">
        <row r="7">
          <cell r="T7">
            <v>14</v>
          </cell>
        </row>
        <row r="8">
          <cell r="T8">
            <v>1</v>
          </cell>
        </row>
        <row r="9">
          <cell r="T9">
            <v>100</v>
          </cell>
        </row>
        <row r="10">
          <cell r="T10">
            <v>2</v>
          </cell>
        </row>
        <row r="11">
          <cell r="T11">
            <v>100</v>
          </cell>
        </row>
        <row r="12">
          <cell r="T12">
            <v>3</v>
          </cell>
        </row>
        <row r="13">
          <cell r="T13">
            <v>0</v>
          </cell>
        </row>
        <row r="14">
          <cell r="T14">
            <v>0</v>
          </cell>
        </row>
        <row r="15">
          <cell r="T15">
            <v>1</v>
          </cell>
        </row>
        <row r="16">
          <cell r="T16">
            <v>37</v>
          </cell>
        </row>
        <row r="17">
          <cell r="T17">
            <v>5</v>
          </cell>
        </row>
        <row r="18">
          <cell r="T18">
            <v>0</v>
          </cell>
        </row>
        <row r="20">
          <cell r="T20">
            <v>100</v>
          </cell>
        </row>
        <row r="21">
          <cell r="T21">
            <v>5</v>
          </cell>
        </row>
        <row r="22">
          <cell r="T22">
            <v>25</v>
          </cell>
        </row>
        <row r="23">
          <cell r="T23">
            <v>100</v>
          </cell>
        </row>
        <row r="24">
          <cell r="T24">
            <v>20</v>
          </cell>
        </row>
        <row r="25">
          <cell r="T25">
            <v>141</v>
          </cell>
        </row>
        <row r="26">
          <cell r="T26">
            <v>500</v>
          </cell>
        </row>
        <row r="27">
          <cell r="T27">
            <v>1963</v>
          </cell>
        </row>
        <row r="28">
          <cell r="T28">
            <v>200</v>
          </cell>
        </row>
        <row r="29">
          <cell r="T29">
            <v>30</v>
          </cell>
        </row>
        <row r="31">
          <cell r="P31">
            <v>1</v>
          </cell>
        </row>
        <row r="32">
          <cell r="P32">
            <v>1</v>
          </cell>
        </row>
        <row r="57">
          <cell r="T57">
            <v>25</v>
          </cell>
        </row>
        <row r="58">
          <cell r="T58">
            <v>27</v>
          </cell>
        </row>
        <row r="59">
          <cell r="T59">
            <v>3</v>
          </cell>
        </row>
        <row r="60">
          <cell r="T60">
            <v>1</v>
          </cell>
        </row>
        <row r="61">
          <cell r="T61">
            <v>2</v>
          </cell>
        </row>
        <row r="62">
          <cell r="T62">
            <v>2</v>
          </cell>
        </row>
        <row r="65">
          <cell r="T65">
            <v>20</v>
          </cell>
        </row>
        <row r="66">
          <cell r="T66">
            <v>2</v>
          </cell>
        </row>
        <row r="68">
          <cell r="T68">
            <v>1</v>
          </cell>
        </row>
        <row r="71">
          <cell r="T71">
            <v>100</v>
          </cell>
        </row>
        <row r="72">
          <cell r="T72">
            <v>100</v>
          </cell>
        </row>
        <row r="73">
          <cell r="T73">
            <v>100</v>
          </cell>
        </row>
        <row r="74">
          <cell r="T74">
            <v>100</v>
          </cell>
        </row>
        <row r="75">
          <cell r="T75">
            <v>60</v>
          </cell>
        </row>
        <row r="76">
          <cell r="T76">
            <v>35</v>
          </cell>
        </row>
        <row r="77">
          <cell r="T77">
            <v>100</v>
          </cell>
        </row>
        <row r="78">
          <cell r="T78">
            <v>1</v>
          </cell>
        </row>
        <row r="79">
          <cell r="T79">
            <v>1</v>
          </cell>
        </row>
        <row r="80">
          <cell r="T80">
            <v>1</v>
          </cell>
        </row>
        <row r="81">
          <cell r="T81">
            <v>1</v>
          </cell>
        </row>
        <row r="82">
          <cell r="T82">
            <v>100</v>
          </cell>
        </row>
        <row r="83">
          <cell r="T83">
            <v>37</v>
          </cell>
        </row>
        <row r="84">
          <cell r="T84">
            <v>1</v>
          </cell>
        </row>
        <row r="85">
          <cell r="T85">
            <v>90</v>
          </cell>
        </row>
        <row r="89">
          <cell r="T89">
            <v>100</v>
          </cell>
        </row>
        <row r="90">
          <cell r="T90">
            <v>100</v>
          </cell>
        </row>
        <row r="91">
          <cell r="T91">
            <v>0</v>
          </cell>
        </row>
        <row r="92">
          <cell r="T92">
            <v>5</v>
          </cell>
        </row>
        <row r="93">
          <cell r="T93">
            <v>0</v>
          </cell>
        </row>
        <row r="96">
          <cell r="T96">
            <v>1</v>
          </cell>
        </row>
        <row r="97">
          <cell r="T97">
            <v>1</v>
          </cell>
        </row>
        <row r="98">
          <cell r="T98">
            <v>100</v>
          </cell>
        </row>
        <row r="99">
          <cell r="T99">
            <v>38</v>
          </cell>
        </row>
        <row r="102">
          <cell r="T102">
            <v>1</v>
          </cell>
        </row>
        <row r="103">
          <cell r="T103">
            <v>100</v>
          </cell>
        </row>
        <row r="104">
          <cell r="T104">
            <v>1</v>
          </cell>
        </row>
        <row r="105">
          <cell r="P105">
            <v>0</v>
          </cell>
          <cell r="W105">
            <v>0</v>
          </cell>
        </row>
        <row r="106">
          <cell r="P106">
            <v>1</v>
          </cell>
        </row>
        <row r="107">
          <cell r="T107">
            <v>0</v>
          </cell>
          <cell r="W107">
            <v>0</v>
          </cell>
        </row>
        <row r="108">
          <cell r="P108">
            <v>1</v>
          </cell>
          <cell r="W108">
            <v>0</v>
          </cell>
        </row>
        <row r="109">
          <cell r="P109">
            <v>0</v>
          </cell>
          <cell r="W109">
            <v>0</v>
          </cell>
        </row>
        <row r="112">
          <cell r="T112">
            <v>100</v>
          </cell>
        </row>
        <row r="113">
          <cell r="T113">
            <v>1</v>
          </cell>
        </row>
        <row r="114">
          <cell r="T114">
            <v>0</v>
          </cell>
        </row>
        <row r="115">
          <cell r="T115">
            <v>1</v>
          </cell>
        </row>
        <row r="116">
          <cell r="T1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CUATRIENIO"/>
      <sheetName val="INGRESOS  "/>
      <sheetName val="GASTOS  "/>
      <sheetName val="ANEXO 5.1 ING"/>
      <sheetName val="Anexo 3 Matriz Ind Min Jun"/>
      <sheetName val="Anexo 5-2 Gastos"/>
      <sheetName val="Anexo 2 Protocolo Inf Gestión"/>
      <sheetName val="Anexo 4 ProtocoloMatrizINdica"/>
      <sheetName val="Hoja1"/>
      <sheetName val="Hoja2"/>
    </sheetNames>
    <sheetDataSet>
      <sheetData sheetId="0">
        <row r="7">
          <cell r="E7">
            <v>0</v>
          </cell>
        </row>
        <row r="8">
          <cell r="E8">
            <v>834632289</v>
          </cell>
        </row>
        <row r="9">
          <cell r="E9">
            <v>0</v>
          </cell>
        </row>
        <row r="10">
          <cell r="E10">
            <v>1547556715</v>
          </cell>
        </row>
        <row r="11">
          <cell r="E11">
            <v>-0.6</v>
          </cell>
        </row>
        <row r="12">
          <cell r="E12">
            <v>4101907165</v>
          </cell>
        </row>
        <row r="13">
          <cell r="E13">
            <v>0</v>
          </cell>
        </row>
        <row r="14">
          <cell r="E14">
            <v>166990717</v>
          </cell>
        </row>
        <row r="15">
          <cell r="E15">
            <v>782754904</v>
          </cell>
        </row>
        <row r="16">
          <cell r="E16">
            <v>3442998455</v>
          </cell>
        </row>
        <row r="17">
          <cell r="E17">
            <v>566249799</v>
          </cell>
        </row>
        <row r="18">
          <cell r="E18">
            <v>943436310</v>
          </cell>
        </row>
        <row r="20">
          <cell r="E20">
            <v>0</v>
          </cell>
        </row>
        <row r="21">
          <cell r="E21">
            <v>15050681185.360001</v>
          </cell>
        </row>
        <row r="22">
          <cell r="E22">
            <v>0</v>
          </cell>
        </row>
        <row r="23">
          <cell r="E23">
            <v>759170561</v>
          </cell>
        </row>
        <row r="24">
          <cell r="E24">
            <v>1242051614</v>
          </cell>
        </row>
        <row r="25">
          <cell r="E25">
            <v>486929498.00899994</v>
          </cell>
        </row>
        <row r="26">
          <cell r="E26">
            <v>7197815867.3479996</v>
          </cell>
        </row>
        <row r="27">
          <cell r="E27">
            <v>5319436527</v>
          </cell>
        </row>
        <row r="28">
          <cell r="E28">
            <v>1380630506.6040001</v>
          </cell>
        </row>
        <row r="29">
          <cell r="E29">
            <v>0</v>
          </cell>
        </row>
        <row r="31">
          <cell r="E31">
            <v>5565382157.9877996</v>
          </cell>
        </row>
        <row r="32">
          <cell r="E32">
            <v>691788913</v>
          </cell>
        </row>
        <row r="35">
          <cell r="E35">
            <v>0</v>
          </cell>
        </row>
        <row r="36">
          <cell r="E36">
            <v>1366192207</v>
          </cell>
        </row>
        <row r="37">
          <cell r="E37">
            <v>49279933</v>
          </cell>
        </row>
        <row r="38">
          <cell r="E38">
            <v>296338658</v>
          </cell>
        </row>
        <row r="39">
          <cell r="E39">
            <v>115380000</v>
          </cell>
        </row>
        <row r="40">
          <cell r="E40">
            <v>2270845778</v>
          </cell>
        </row>
        <row r="41">
          <cell r="E41">
            <v>0</v>
          </cell>
        </row>
        <row r="42">
          <cell r="E42">
            <v>36144000</v>
          </cell>
        </row>
        <row r="43">
          <cell r="E43">
            <v>0</v>
          </cell>
        </row>
        <row r="44">
          <cell r="E44">
            <v>48893429</v>
          </cell>
        </row>
        <row r="45">
          <cell r="E45">
            <v>54623470</v>
          </cell>
        </row>
        <row r="47">
          <cell r="E47">
            <v>0</v>
          </cell>
        </row>
        <row r="48">
          <cell r="E48">
            <v>1798202377</v>
          </cell>
        </row>
        <row r="49">
          <cell r="E49">
            <v>4132104384.3199997</v>
          </cell>
        </row>
        <row r="50">
          <cell r="E50">
            <v>0</v>
          </cell>
        </row>
        <row r="51">
          <cell r="E51">
            <v>557180800.65600002</v>
          </cell>
        </row>
        <row r="52">
          <cell r="E52">
            <v>0</v>
          </cell>
        </row>
        <row r="53">
          <cell r="E53">
            <v>347244118.5</v>
          </cell>
        </row>
        <row r="54">
          <cell r="E54">
            <v>200609558</v>
          </cell>
        </row>
        <row r="57">
          <cell r="E57">
            <v>888909547.79999995</v>
          </cell>
        </row>
        <row r="58">
          <cell r="E58">
            <v>0</v>
          </cell>
        </row>
        <row r="59">
          <cell r="E59">
            <v>2491671683</v>
          </cell>
        </row>
        <row r="60">
          <cell r="E60">
            <v>160033113.48800001</v>
          </cell>
        </row>
        <row r="61">
          <cell r="E61">
            <v>0</v>
          </cell>
        </row>
        <row r="62">
          <cell r="E62">
            <v>15122012618</v>
          </cell>
        </row>
        <row r="63">
          <cell r="E63">
            <v>111345620</v>
          </cell>
        </row>
        <row r="65">
          <cell r="E65">
            <v>52999999.508000001</v>
          </cell>
        </row>
        <row r="66">
          <cell r="E66">
            <v>419638592.88999999</v>
          </cell>
        </row>
        <row r="67">
          <cell r="E67">
            <v>129896750</v>
          </cell>
        </row>
        <row r="68">
          <cell r="E68">
            <v>1384945663.49</v>
          </cell>
        </row>
        <row r="71">
          <cell r="E71">
            <v>0</v>
          </cell>
        </row>
        <row r="72">
          <cell r="E72">
            <v>13432564</v>
          </cell>
        </row>
        <row r="73">
          <cell r="E73">
            <v>0</v>
          </cell>
        </row>
        <row r="74">
          <cell r="E74">
            <v>2378743199.055706</v>
          </cell>
        </row>
        <row r="75">
          <cell r="E75">
            <v>0</v>
          </cell>
        </row>
        <row r="76">
          <cell r="E76">
            <v>445191433.79120207</v>
          </cell>
        </row>
        <row r="77">
          <cell r="E77">
            <v>267780424.62</v>
          </cell>
        </row>
        <row r="78">
          <cell r="E78">
            <v>3740683715.7480001</v>
          </cell>
        </row>
        <row r="79">
          <cell r="E79">
            <v>273481512.44</v>
          </cell>
        </row>
        <row r="80">
          <cell r="E80">
            <v>80995909.439999998</v>
          </cell>
        </row>
        <row r="81">
          <cell r="E81">
            <v>828294580.5</v>
          </cell>
        </row>
        <row r="82">
          <cell r="E82">
            <v>36417200</v>
          </cell>
        </row>
        <row r="83">
          <cell r="E83">
            <v>36947200</v>
          </cell>
        </row>
        <row r="84">
          <cell r="E84">
            <v>581465855.16000009</v>
          </cell>
        </row>
        <row r="85">
          <cell r="E85">
            <v>136928800</v>
          </cell>
        </row>
        <row r="86">
          <cell r="E86">
            <v>188927141</v>
          </cell>
        </row>
        <row r="89">
          <cell r="E89">
            <v>330522381</v>
          </cell>
        </row>
        <row r="90">
          <cell r="E90">
            <v>240041874</v>
          </cell>
        </row>
        <row r="91">
          <cell r="E91">
            <v>211577339</v>
          </cell>
        </row>
        <row r="92">
          <cell r="E92">
            <v>1248906434</v>
          </cell>
        </row>
        <row r="93">
          <cell r="E93">
            <v>50000000</v>
          </cell>
        </row>
        <row r="94">
          <cell r="E94">
            <v>124565885.40000001</v>
          </cell>
        </row>
        <row r="96">
          <cell r="E96">
            <v>2341241156</v>
          </cell>
        </row>
        <row r="97">
          <cell r="E97">
            <v>1175507226.7308002</v>
          </cell>
        </row>
        <row r="98">
          <cell r="E98">
            <v>5006045766.2451992</v>
          </cell>
        </row>
        <row r="99">
          <cell r="E99">
            <v>1304252071.2080002</v>
          </cell>
        </row>
        <row r="102">
          <cell r="E102">
            <v>549032596.39999998</v>
          </cell>
        </row>
        <row r="103">
          <cell r="E103">
            <v>2685643574</v>
          </cell>
        </row>
        <row r="104">
          <cell r="E104">
            <v>270886656.39999998</v>
          </cell>
        </row>
        <row r="105">
          <cell r="E105">
            <v>0</v>
          </cell>
        </row>
        <row r="106">
          <cell r="E106">
            <v>3367270132</v>
          </cell>
        </row>
        <row r="107">
          <cell r="E107">
            <v>94671399</v>
          </cell>
        </row>
        <row r="108">
          <cell r="E108">
            <v>21682030</v>
          </cell>
        </row>
        <row r="109">
          <cell r="E109">
            <v>50191686</v>
          </cell>
        </row>
        <row r="110">
          <cell r="E110">
            <v>23398434</v>
          </cell>
        </row>
        <row r="112">
          <cell r="E112">
            <v>0</v>
          </cell>
        </row>
        <row r="113">
          <cell r="E113">
            <v>2609816117.7600002</v>
          </cell>
        </row>
        <row r="114">
          <cell r="E114">
            <v>1650410735</v>
          </cell>
        </row>
        <row r="115">
          <cell r="E115">
            <v>1065021941.452</v>
          </cell>
        </row>
        <row r="116">
          <cell r="E116">
            <v>995390015</v>
          </cell>
        </row>
        <row r="117">
          <cell r="E117">
            <v>121027238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CUATRENIO"/>
      <sheetName val="INGRESOS "/>
      <sheetName val="GASTOS "/>
      <sheetName val="ANEXO 5.1 ING"/>
      <sheetName val="Anexo 3 Matriz Ind Min Jun"/>
      <sheetName val="Anexo 5-2 Gastos"/>
      <sheetName val="Anexo 2 Protocolo Inf Gestión"/>
      <sheetName val="Anexo 4 ProtocoloMatrizINdica"/>
      <sheetName val="Hoja1"/>
      <sheetName val="Hoja2"/>
    </sheetNames>
    <sheetDataSet>
      <sheetData sheetId="0">
        <row r="8">
          <cell r="G8">
            <v>834632289</v>
          </cell>
        </row>
        <row r="9">
          <cell r="G9">
            <v>0</v>
          </cell>
        </row>
        <row r="10">
          <cell r="G10">
            <v>1547556715</v>
          </cell>
        </row>
        <row r="11">
          <cell r="G11">
            <v>0</v>
          </cell>
        </row>
        <row r="12">
          <cell r="G12">
            <v>4101182466.1079998</v>
          </cell>
        </row>
        <row r="13">
          <cell r="G13">
            <v>0</v>
          </cell>
        </row>
        <row r="14">
          <cell r="G14">
            <v>166990717</v>
          </cell>
        </row>
        <row r="15">
          <cell r="G15">
            <v>782742904</v>
          </cell>
        </row>
        <row r="16">
          <cell r="G16">
            <v>3401354544.744</v>
          </cell>
        </row>
        <row r="17">
          <cell r="G17">
            <v>510553484.74400002</v>
          </cell>
        </row>
        <row r="18">
          <cell r="G18">
            <v>943436310</v>
          </cell>
        </row>
        <row r="20">
          <cell r="G20">
            <v>0</v>
          </cell>
        </row>
        <row r="21">
          <cell r="G21">
            <v>14159006457.544001</v>
          </cell>
        </row>
        <row r="22">
          <cell r="G22">
            <v>0</v>
          </cell>
        </row>
        <row r="23">
          <cell r="G23">
            <v>734846432.704</v>
          </cell>
        </row>
        <row r="24">
          <cell r="G24">
            <v>1210930748.464</v>
          </cell>
        </row>
        <row r="25">
          <cell r="G25">
            <v>486795199.17299998</v>
          </cell>
        </row>
        <row r="26">
          <cell r="G26">
            <v>6719332076.3479996</v>
          </cell>
        </row>
        <row r="27">
          <cell r="G27">
            <v>5295302840.7679996</v>
          </cell>
        </row>
        <row r="28">
          <cell r="G28">
            <v>1380262665.816</v>
          </cell>
        </row>
        <row r="29">
          <cell r="G29">
            <v>0</v>
          </cell>
        </row>
        <row r="31">
          <cell r="G31">
            <v>4546788341</v>
          </cell>
        </row>
        <row r="32">
          <cell r="G32">
            <v>691742609</v>
          </cell>
        </row>
        <row r="35">
          <cell r="G35">
            <v>0</v>
          </cell>
        </row>
        <row r="36">
          <cell r="G36">
            <v>1366192207.0999999</v>
          </cell>
        </row>
        <row r="37">
          <cell r="G37">
            <v>49279933.395999998</v>
          </cell>
        </row>
        <row r="38">
          <cell r="G38">
            <v>236445484</v>
          </cell>
        </row>
        <row r="39">
          <cell r="G39">
            <v>115380000</v>
          </cell>
        </row>
        <row r="40">
          <cell r="G40">
            <v>2244936021.632</v>
          </cell>
        </row>
        <row r="41">
          <cell r="G41">
            <v>0</v>
          </cell>
        </row>
        <row r="42">
          <cell r="G42">
            <v>36144000</v>
          </cell>
        </row>
        <row r="43">
          <cell r="G43">
            <v>0</v>
          </cell>
        </row>
        <row r="44">
          <cell r="G44">
            <v>8639219</v>
          </cell>
        </row>
        <row r="45">
          <cell r="G45">
            <v>54623470</v>
          </cell>
        </row>
        <row r="47">
          <cell r="G47">
            <v>0</v>
          </cell>
        </row>
        <row r="48">
          <cell r="G48">
            <v>1769794197</v>
          </cell>
        </row>
        <row r="49">
          <cell r="G49">
            <v>3865539439.3280001</v>
          </cell>
        </row>
        <row r="50">
          <cell r="G50">
            <v>0</v>
          </cell>
        </row>
        <row r="51">
          <cell r="G51">
            <v>461496748.65600002</v>
          </cell>
        </row>
        <row r="52">
          <cell r="G52">
            <v>0</v>
          </cell>
        </row>
        <row r="53">
          <cell r="G53">
            <v>324949294.5</v>
          </cell>
        </row>
        <row r="54">
          <cell r="G54">
            <v>174718347</v>
          </cell>
        </row>
        <row r="57">
          <cell r="G57">
            <v>885467060</v>
          </cell>
        </row>
        <row r="58">
          <cell r="G58">
            <v>0</v>
          </cell>
        </row>
        <row r="59">
          <cell r="G59">
            <v>2336508615.448</v>
          </cell>
        </row>
        <row r="60">
          <cell r="G60">
            <v>159704480</v>
          </cell>
        </row>
        <row r="61">
          <cell r="G61">
            <v>0</v>
          </cell>
        </row>
        <row r="62">
          <cell r="G62">
            <v>13862827777.044001</v>
          </cell>
        </row>
        <row r="63">
          <cell r="G63">
            <v>97104795</v>
          </cell>
        </row>
        <row r="65">
          <cell r="G65">
            <v>52999999.508000001</v>
          </cell>
        </row>
        <row r="66">
          <cell r="G66">
            <v>369637896.88999999</v>
          </cell>
        </row>
        <row r="67">
          <cell r="G67">
            <v>129896750</v>
          </cell>
        </row>
        <row r="68">
          <cell r="G68">
            <v>1279882419.49</v>
          </cell>
        </row>
        <row r="71">
          <cell r="G71">
            <v>0</v>
          </cell>
        </row>
        <row r="72">
          <cell r="G72">
            <v>13432564</v>
          </cell>
        </row>
        <row r="73">
          <cell r="G73">
            <v>0</v>
          </cell>
        </row>
        <row r="74">
          <cell r="G74">
            <v>2320703967.5</v>
          </cell>
        </row>
        <row r="75">
          <cell r="G75">
            <v>0</v>
          </cell>
        </row>
        <row r="76">
          <cell r="G76">
            <v>379907185.30400002</v>
          </cell>
        </row>
        <row r="77">
          <cell r="G77">
            <v>254879024.5</v>
          </cell>
        </row>
        <row r="78">
          <cell r="G78">
            <v>3699870253.9920001</v>
          </cell>
        </row>
        <row r="79">
          <cell r="G79">
            <v>273481512</v>
          </cell>
        </row>
        <row r="80">
          <cell r="G80">
            <v>80995909.299999997</v>
          </cell>
        </row>
        <row r="81">
          <cell r="G81">
            <v>802588581.5</v>
          </cell>
        </row>
        <row r="82">
          <cell r="G82">
            <v>36417200</v>
          </cell>
        </row>
        <row r="83">
          <cell r="G83">
            <v>36947200</v>
          </cell>
        </row>
        <row r="84">
          <cell r="G84">
            <v>581465797</v>
          </cell>
        </row>
        <row r="85">
          <cell r="G85">
            <v>136928800</v>
          </cell>
        </row>
        <row r="86">
          <cell r="G86">
            <v>171859140.54800001</v>
          </cell>
        </row>
        <row r="89">
          <cell r="G89">
            <v>318494473</v>
          </cell>
        </row>
        <row r="90">
          <cell r="G90">
            <v>225383874</v>
          </cell>
        </row>
        <row r="91">
          <cell r="G91">
            <v>211577339</v>
          </cell>
        </row>
        <row r="92">
          <cell r="G92">
            <v>1192923305</v>
          </cell>
        </row>
        <row r="93">
          <cell r="G93">
            <v>50000000</v>
          </cell>
        </row>
        <row r="94">
          <cell r="G94">
            <v>121579788</v>
          </cell>
        </row>
        <row r="96">
          <cell r="G96">
            <v>2341241155</v>
          </cell>
        </row>
        <row r="97">
          <cell r="G97">
            <v>260000000</v>
          </cell>
        </row>
        <row r="98">
          <cell r="G98">
            <v>5001262040.3999996</v>
          </cell>
        </row>
        <row r="99">
          <cell r="G99">
            <v>1239718172.8080001</v>
          </cell>
        </row>
        <row r="102">
          <cell r="G102">
            <v>545819796</v>
          </cell>
        </row>
        <row r="103">
          <cell r="G103">
            <v>2679980639</v>
          </cell>
        </row>
        <row r="104">
          <cell r="G104">
            <v>245002100</v>
          </cell>
        </row>
        <row r="105">
          <cell r="G105">
            <v>0</v>
          </cell>
        </row>
        <row r="106">
          <cell r="G106">
            <v>3299240132</v>
          </cell>
        </row>
        <row r="107">
          <cell r="G107">
            <v>94671399</v>
          </cell>
        </row>
        <row r="108">
          <cell r="G108">
            <v>21682030</v>
          </cell>
        </row>
        <row r="109">
          <cell r="G109">
            <v>50191686</v>
          </cell>
        </row>
        <row r="110">
          <cell r="G110">
            <v>23398434</v>
          </cell>
        </row>
        <row r="112">
          <cell r="G112">
            <v>0</v>
          </cell>
        </row>
        <row r="113">
          <cell r="G113">
            <v>2232936891.2600002</v>
          </cell>
        </row>
        <row r="114">
          <cell r="G114">
            <v>1650410735</v>
          </cell>
        </row>
        <row r="115">
          <cell r="G115">
            <v>1023431287.76</v>
          </cell>
        </row>
        <row r="116">
          <cell r="G116">
            <v>991549645</v>
          </cell>
        </row>
        <row r="117">
          <cell r="G117">
            <v>121027238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as 2015"/>
      <sheetName val="Reserv 2017"/>
      <sheetName val="GASTOS 2018"/>
      <sheetName val="INGRESOS A "/>
    </sheetNames>
    <sheetDataSet>
      <sheetData sheetId="0" refreshError="1"/>
      <sheetData sheetId="1" refreshError="1"/>
      <sheetData sheetId="2" refreshError="1"/>
      <sheetData sheetId="3" refreshError="1">
        <row r="9">
          <cell r="D9">
            <v>9133016496</v>
          </cell>
        </row>
        <row r="13">
          <cell r="F13">
            <v>1324022079</v>
          </cell>
        </row>
        <row r="14">
          <cell r="D14">
            <v>1070506847</v>
          </cell>
        </row>
        <row r="15">
          <cell r="D15">
            <v>151754308</v>
          </cell>
        </row>
        <row r="16">
          <cell r="D16">
            <v>253747000</v>
          </cell>
        </row>
        <row r="17">
          <cell r="D17">
            <v>907653683</v>
          </cell>
        </row>
        <row r="18">
          <cell r="D18">
            <v>7195334584</v>
          </cell>
        </row>
        <row r="19">
          <cell r="D19">
            <v>56702815</v>
          </cell>
        </row>
        <row r="30">
          <cell r="E30">
            <v>5210149325</v>
          </cell>
        </row>
        <row r="31">
          <cell r="E31">
            <v>4828952214</v>
          </cell>
        </row>
        <row r="32">
          <cell r="D32">
            <v>720000000</v>
          </cell>
        </row>
        <row r="33">
          <cell r="D33">
            <v>4042566415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
      <sheetName val="GASTOS "/>
    </sheetNames>
    <sheetDataSet>
      <sheetData sheetId="0" refreshError="1"/>
      <sheetData sheetId="1" refreshError="1">
        <row r="39">
          <cell r="D39">
            <v>175120153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3"/>
  <sheetViews>
    <sheetView zoomScale="60" zoomScaleNormal="60" workbookViewId="0">
      <pane xSplit="1" ySplit="4" topLeftCell="B8" activePane="bottomRight" state="frozen"/>
      <selection pane="topRight" activeCell="B1" sqref="B1"/>
      <selection pane="bottomLeft" activeCell="A5" sqref="A5"/>
      <selection pane="bottomRight" activeCell="F12" sqref="F12"/>
    </sheetView>
  </sheetViews>
  <sheetFormatPr baseColWidth="10" defaultRowHeight="15"/>
  <cols>
    <col min="1" max="1" width="62.7109375" style="62" customWidth="1"/>
    <col min="2" max="2" width="13.85546875" style="62" customWidth="1"/>
    <col min="3" max="3" width="22.28515625" style="62" customWidth="1"/>
    <col min="4" max="4" width="17.42578125" style="62" customWidth="1"/>
    <col min="5" max="5" width="28" style="67" customWidth="1"/>
    <col min="6" max="6" width="30.5703125" style="63" customWidth="1"/>
    <col min="7" max="7" width="25.28515625" style="68" customWidth="1"/>
    <col min="8" max="8" width="22.85546875" style="62" customWidth="1"/>
    <col min="9" max="9" width="34" style="62" customWidth="1"/>
    <col min="10" max="10" width="20.28515625" style="367" customWidth="1"/>
    <col min="11" max="11" width="34.5703125" style="63" customWidth="1"/>
    <col min="12" max="12" width="14.140625" style="62" customWidth="1"/>
    <col min="13" max="13" width="38.7109375" style="62" customWidth="1"/>
    <col min="14" max="14" width="18.5703125" style="62" bestFit="1" customWidth="1"/>
    <col min="15" max="15" width="20.85546875" style="62" bestFit="1" customWidth="1"/>
    <col min="16" max="16" width="18.85546875" style="62" customWidth="1"/>
    <col min="17" max="17" width="32.7109375" style="65" customWidth="1"/>
    <col min="18" max="18" width="20" style="601" customWidth="1"/>
    <col min="19" max="19" width="29.140625" style="66" customWidth="1"/>
    <col min="20" max="20" width="13.5703125" style="62" customWidth="1"/>
    <col min="21" max="21" width="32" style="65" customWidth="1"/>
    <col min="22" max="22" width="16.28515625" style="226" customWidth="1"/>
    <col min="23" max="23" width="23.85546875" style="66" customWidth="1"/>
    <col min="24" max="24" width="13.85546875" style="497" customWidth="1"/>
    <col min="25" max="25" width="19.140625" style="497" customWidth="1"/>
    <col min="26" max="26" width="20.42578125" style="497" customWidth="1"/>
    <col min="27" max="27" width="14.85546875" style="62" bestFit="1" customWidth="1"/>
    <col min="28" max="29" width="11.42578125" style="62"/>
    <col min="30" max="30" width="16.42578125" style="62" customWidth="1"/>
    <col min="31" max="16384" width="11.42578125" style="62"/>
  </cols>
  <sheetData>
    <row r="1" spans="1:30" s="241" customFormat="1" ht="54" customHeight="1" thickBot="1">
      <c r="A1" s="775" t="s">
        <v>514</v>
      </c>
      <c r="B1" s="776"/>
      <c r="C1" s="776"/>
      <c r="D1" s="776"/>
      <c r="E1" s="776"/>
      <c r="F1" s="776"/>
      <c r="G1" s="776"/>
      <c r="H1" s="776"/>
      <c r="I1" s="776"/>
      <c r="J1" s="776"/>
      <c r="K1" s="776"/>
      <c r="L1" s="776"/>
      <c r="M1" s="776"/>
      <c r="N1" s="776"/>
      <c r="O1" s="776"/>
      <c r="P1" s="776"/>
      <c r="Q1" s="776"/>
      <c r="R1" s="776"/>
      <c r="S1" s="776"/>
      <c r="T1" s="776"/>
      <c r="U1" s="776"/>
      <c r="V1" s="776"/>
      <c r="W1" s="777"/>
      <c r="X1" s="496"/>
      <c r="Y1" s="496"/>
      <c r="Z1" s="496"/>
    </row>
    <row r="2" spans="1:30" s="61" customFormat="1" ht="11.25" customHeight="1" thickBot="1">
      <c r="A2" s="778"/>
      <c r="B2" s="779"/>
      <c r="C2" s="779"/>
      <c r="D2" s="779"/>
      <c r="E2" s="779"/>
      <c r="F2" s="779"/>
      <c r="G2" s="779"/>
      <c r="H2" s="779"/>
      <c r="I2" s="779"/>
      <c r="J2" s="779"/>
      <c r="K2" s="779"/>
      <c r="L2" s="779"/>
      <c r="M2" s="779"/>
      <c r="N2" s="779"/>
      <c r="O2" s="779"/>
      <c r="P2" s="779"/>
      <c r="Q2" s="779"/>
      <c r="R2" s="779"/>
      <c r="S2" s="779"/>
      <c r="T2" s="779"/>
      <c r="U2" s="779"/>
      <c r="V2" s="222"/>
      <c r="W2" s="170"/>
      <c r="X2" s="496"/>
      <c r="Y2" s="496"/>
      <c r="Z2" s="496"/>
    </row>
    <row r="3" spans="1:30" ht="50.25" customHeight="1">
      <c r="A3" s="784" t="s">
        <v>394</v>
      </c>
      <c r="B3" s="277" t="s">
        <v>183</v>
      </c>
      <c r="C3" s="780" t="s">
        <v>484</v>
      </c>
      <c r="D3" s="781"/>
      <c r="E3" s="782"/>
      <c r="F3" s="780" t="s">
        <v>351</v>
      </c>
      <c r="G3" s="782"/>
      <c r="H3" s="780" t="s">
        <v>352</v>
      </c>
      <c r="I3" s="782"/>
      <c r="J3" s="780" t="s">
        <v>353</v>
      </c>
      <c r="K3" s="782"/>
      <c r="L3" s="780" t="s">
        <v>354</v>
      </c>
      <c r="M3" s="782"/>
      <c r="N3" s="780" t="s">
        <v>355</v>
      </c>
      <c r="O3" s="782"/>
      <c r="P3" s="780" t="s">
        <v>356</v>
      </c>
      <c r="Q3" s="782"/>
      <c r="R3" s="780" t="s">
        <v>357</v>
      </c>
      <c r="S3" s="782"/>
      <c r="T3" s="780" t="s">
        <v>358</v>
      </c>
      <c r="U3" s="782"/>
      <c r="V3" s="780" t="s">
        <v>359</v>
      </c>
      <c r="W3" s="783"/>
    </row>
    <row r="4" spans="1:30" s="63" customFormat="1" ht="54.75" customHeight="1" thickBot="1">
      <c r="A4" s="785"/>
      <c r="B4" s="278"/>
      <c r="C4" s="171" t="s">
        <v>96</v>
      </c>
      <c r="D4" s="255" t="s">
        <v>184</v>
      </c>
      <c r="E4" s="256" t="s">
        <v>185</v>
      </c>
      <c r="F4" s="255" t="s">
        <v>186</v>
      </c>
      <c r="G4" s="256" t="s">
        <v>185</v>
      </c>
      <c r="H4" s="171" t="s">
        <v>184</v>
      </c>
      <c r="I4" s="171" t="s">
        <v>185</v>
      </c>
      <c r="J4" s="370" t="s">
        <v>186</v>
      </c>
      <c r="K4" s="171" t="s">
        <v>185</v>
      </c>
      <c r="L4" s="171"/>
      <c r="M4" s="171" t="s">
        <v>185</v>
      </c>
      <c r="N4" s="171" t="s">
        <v>186</v>
      </c>
      <c r="O4" s="171" t="s">
        <v>185</v>
      </c>
      <c r="P4" s="171" t="s">
        <v>186</v>
      </c>
      <c r="Q4" s="217" t="s">
        <v>185</v>
      </c>
      <c r="R4" s="171" t="s">
        <v>186</v>
      </c>
      <c r="S4" s="171" t="s">
        <v>185</v>
      </c>
      <c r="T4" s="171" t="s">
        <v>186</v>
      </c>
      <c r="U4" s="217" t="s">
        <v>185</v>
      </c>
      <c r="V4" s="223" t="s">
        <v>186</v>
      </c>
      <c r="W4" s="219" t="s">
        <v>185</v>
      </c>
      <c r="X4" s="498"/>
      <c r="Y4" s="498"/>
      <c r="Z4" s="498"/>
    </row>
    <row r="5" spans="1:30" ht="53.25" customHeight="1" thickBot="1">
      <c r="A5" s="314" t="s">
        <v>349</v>
      </c>
      <c r="B5" s="325"/>
      <c r="C5" s="325"/>
      <c r="D5" s="325"/>
      <c r="E5" s="326">
        <f>+E6+E19+E30</f>
        <v>51239856201.87458</v>
      </c>
      <c r="F5" s="699"/>
      <c r="G5" s="327">
        <f>+G6+G19+G30</f>
        <v>47513456801.413002</v>
      </c>
      <c r="H5" s="325"/>
      <c r="I5" s="327">
        <f>+I6+I19+I30</f>
        <v>14764257775</v>
      </c>
      <c r="J5" s="349"/>
      <c r="K5" s="328">
        <f>+K6+K19+K30</f>
        <v>14440329809</v>
      </c>
      <c r="L5" s="327"/>
      <c r="M5" s="327">
        <f>+M6+M19+M30</f>
        <v>13940007898</v>
      </c>
      <c r="N5" s="327">
        <f t="shared" ref="N5:W5" si="0">+N6+N19+N30</f>
        <v>0</v>
      </c>
      <c r="O5" s="327">
        <f t="shared" si="0"/>
        <v>12888876940</v>
      </c>
      <c r="P5" s="327">
        <f t="shared" si="0"/>
        <v>0</v>
      </c>
      <c r="Q5" s="327">
        <f>+Q6+Q19+Q30</f>
        <v>12224040589.75058</v>
      </c>
      <c r="R5" s="328"/>
      <c r="S5" s="327">
        <f t="shared" si="0"/>
        <v>11913254867.197001</v>
      </c>
      <c r="T5" s="327">
        <f t="shared" si="0"/>
        <v>0</v>
      </c>
      <c r="U5" s="327">
        <f t="shared" si="0"/>
        <v>10311549938.124001</v>
      </c>
      <c r="V5" s="327"/>
      <c r="W5" s="327">
        <f t="shared" si="0"/>
        <v>8270995185.2159996</v>
      </c>
      <c r="X5" s="505"/>
    </row>
    <row r="6" spans="1:30" ht="81.75" customHeight="1">
      <c r="A6" s="304" t="s">
        <v>507</v>
      </c>
      <c r="B6" s="179"/>
      <c r="C6" s="321"/>
      <c r="D6" s="322"/>
      <c r="E6" s="323">
        <f>SUM(E7:E18)</f>
        <v>13178601142.264</v>
      </c>
      <c r="F6" s="324"/>
      <c r="G6" s="384">
        <f>SUM(G7:G18)</f>
        <v>12288449430.595999</v>
      </c>
      <c r="H6" s="323"/>
      <c r="I6" s="323">
        <f>SUM(I7:I18)</f>
        <v>5001933067</v>
      </c>
      <c r="J6" s="369"/>
      <c r="K6" s="374">
        <f>SUM(K8:K18)</f>
        <v>4770303616</v>
      </c>
      <c r="L6" s="324"/>
      <c r="M6" s="493">
        <f>SUM(M7:M18)</f>
        <v>2554691754</v>
      </c>
      <c r="N6" s="506"/>
      <c r="O6" s="323">
        <f>SUM(O7:O18)</f>
        <v>2186699573</v>
      </c>
      <c r="P6" s="323"/>
      <c r="Q6" s="323">
        <f>SUM(Q7:Q18)</f>
        <v>3894642839.2639999</v>
      </c>
      <c r="R6" s="324"/>
      <c r="S6" s="323">
        <f>SUM(S7:S18)</f>
        <v>3702189782</v>
      </c>
      <c r="T6" s="323"/>
      <c r="U6" s="620">
        <f t="shared" ref="U6" si="1">SUM(U7:U18)</f>
        <v>1727333482</v>
      </c>
      <c r="V6" s="620"/>
      <c r="W6" s="620">
        <f>SUM(W7:W18)</f>
        <v>1629256459.596</v>
      </c>
      <c r="X6" s="499"/>
      <c r="AD6" s="64"/>
    </row>
    <row r="7" spans="1:30" ht="81.75" customHeight="1">
      <c r="A7" s="242" t="s">
        <v>365</v>
      </c>
      <c r="B7" s="210" t="s">
        <v>189</v>
      </c>
      <c r="C7" s="178" t="s">
        <v>403</v>
      </c>
      <c r="D7" s="247">
        <f>AVERAGE(H7,L7,P7,T7)</f>
        <v>25</v>
      </c>
      <c r="E7" s="297">
        <v>0</v>
      </c>
      <c r="F7" s="312">
        <f>AVERAGE(J7,N7,R7,V7)</f>
        <v>25</v>
      </c>
      <c r="G7" s="62"/>
      <c r="H7" s="263">
        <v>60</v>
      </c>
      <c r="J7" s="350">
        <v>60</v>
      </c>
      <c r="L7" s="268">
        <v>26</v>
      </c>
      <c r="M7" s="514">
        <v>0</v>
      </c>
      <c r="N7" s="528">
        <v>26</v>
      </c>
      <c r="O7" s="72">
        <v>0</v>
      </c>
      <c r="P7" s="266">
        <v>0</v>
      </c>
      <c r="Q7" s="295">
        <v>0</v>
      </c>
      <c r="R7" s="209">
        <v>0</v>
      </c>
      <c r="S7" s="72">
        <v>0</v>
      </c>
      <c r="T7" s="276">
        <v>14</v>
      </c>
      <c r="U7" s="72">
        <v>0</v>
      </c>
      <c r="V7" s="229">
        <v>14</v>
      </c>
      <c r="W7" s="220">
        <v>0</v>
      </c>
      <c r="X7" s="499"/>
      <c r="AD7" s="64"/>
    </row>
    <row r="8" spans="1:30" ht="81.75" customHeight="1">
      <c r="A8" s="329" t="s">
        <v>369</v>
      </c>
      <c r="B8" s="177" t="s">
        <v>189</v>
      </c>
      <c r="C8" s="73" t="s">
        <v>128</v>
      </c>
      <c r="D8" s="247">
        <f>AVERAGE(H8,L8,P8,T8)</f>
        <v>2.25</v>
      </c>
      <c r="E8" s="72">
        <f>+I8+M8+Q8+U8</f>
        <v>901901995</v>
      </c>
      <c r="F8" s="312">
        <f>AVERAGE(J8,N8,R8,V8)</f>
        <v>2.25</v>
      </c>
      <c r="G8" s="72">
        <f>+K8+O8+S8+W8</f>
        <v>834632289</v>
      </c>
      <c r="H8" s="263">
        <v>3</v>
      </c>
      <c r="I8" s="313">
        <v>651901995</v>
      </c>
      <c r="J8" s="351">
        <v>3</v>
      </c>
      <c r="K8" s="371">
        <v>585239009</v>
      </c>
      <c r="L8" s="270">
        <v>5</v>
      </c>
      <c r="M8" s="515">
        <v>100000000</v>
      </c>
      <c r="N8" s="533">
        <v>5</v>
      </c>
      <c r="O8" s="72">
        <v>99993280</v>
      </c>
      <c r="P8" s="266">
        <v>0</v>
      </c>
      <c r="Q8" s="295">
        <v>150000000</v>
      </c>
      <c r="R8" s="209">
        <v>0</v>
      </c>
      <c r="S8" s="72">
        <v>149400000</v>
      </c>
      <c r="T8" s="276">
        <v>1</v>
      </c>
      <c r="U8" s="72">
        <v>0</v>
      </c>
      <c r="V8" s="698">
        <v>1</v>
      </c>
      <c r="W8" s="220">
        <v>0</v>
      </c>
      <c r="X8" s="499"/>
      <c r="Z8" s="509"/>
      <c r="AD8" s="64"/>
    </row>
    <row r="9" spans="1:30" ht="81.75" customHeight="1">
      <c r="A9" s="330" t="s">
        <v>362</v>
      </c>
      <c r="B9" s="177" t="s">
        <v>189</v>
      </c>
      <c r="C9" s="176" t="s">
        <v>403</v>
      </c>
      <c r="D9" s="247">
        <f t="shared" ref="D9" si="2">AVERAGE(H9,L9,P9,T9)</f>
        <v>65</v>
      </c>
      <c r="E9" s="72">
        <f>+I9+M9+Q9+U9</f>
        <v>0</v>
      </c>
      <c r="F9" s="209">
        <f>AVERAGE(J9,N9,R9,V9)</f>
        <v>65</v>
      </c>
      <c r="G9" s="72">
        <f t="shared" ref="G9:G15" si="3">+K9+O9+S9+W9</f>
        <v>0</v>
      </c>
      <c r="H9" s="266">
        <v>30</v>
      </c>
      <c r="I9" s="175"/>
      <c r="J9" s="351">
        <v>30</v>
      </c>
      <c r="K9" s="315">
        <v>0</v>
      </c>
      <c r="L9" s="266">
        <v>50</v>
      </c>
      <c r="M9" s="515">
        <v>0</v>
      </c>
      <c r="N9" s="533">
        <v>50</v>
      </c>
      <c r="O9" s="72">
        <v>0</v>
      </c>
      <c r="P9" s="266">
        <v>80</v>
      </c>
      <c r="Q9" s="295">
        <v>0</v>
      </c>
      <c r="R9" s="209">
        <v>80</v>
      </c>
      <c r="S9" s="72">
        <v>0</v>
      </c>
      <c r="T9" s="276">
        <v>100</v>
      </c>
      <c r="U9" s="72">
        <v>0</v>
      </c>
      <c r="V9" s="229">
        <v>100</v>
      </c>
      <c r="W9" s="220">
        <v>0</v>
      </c>
      <c r="X9" s="497">
        <f>+P9*0.6</f>
        <v>48</v>
      </c>
      <c r="AD9" s="64"/>
    </row>
    <row r="10" spans="1:30" ht="81.75" customHeight="1">
      <c r="A10" s="331" t="s">
        <v>362</v>
      </c>
      <c r="B10" s="177" t="s">
        <v>187</v>
      </c>
      <c r="C10" s="73" t="s">
        <v>133</v>
      </c>
      <c r="D10" s="247">
        <f>+H10+L10+P10+T10</f>
        <v>10</v>
      </c>
      <c r="E10" s="72">
        <f>+I10+M10+Q10+U10</f>
        <v>1548289216</v>
      </c>
      <c r="F10" s="209">
        <f>+J10+N10+R10+V10</f>
        <v>10</v>
      </c>
      <c r="G10" s="72">
        <f t="shared" si="3"/>
        <v>1547556715</v>
      </c>
      <c r="H10" s="266">
        <v>3</v>
      </c>
      <c r="I10" s="175">
        <v>498289216</v>
      </c>
      <c r="J10" s="351">
        <v>3</v>
      </c>
      <c r="K10" s="372">
        <v>497990024</v>
      </c>
      <c r="L10" s="266">
        <v>2</v>
      </c>
      <c r="M10" s="515">
        <v>650000000</v>
      </c>
      <c r="N10" s="533">
        <v>2</v>
      </c>
      <c r="O10" s="72">
        <v>649793920</v>
      </c>
      <c r="P10" s="266">
        <v>3</v>
      </c>
      <c r="Q10" s="295">
        <v>400000000</v>
      </c>
      <c r="R10" s="610">
        <v>3</v>
      </c>
      <c r="S10" s="72">
        <v>399772771</v>
      </c>
      <c r="T10" s="276">
        <v>2</v>
      </c>
      <c r="U10" s="72">
        <v>0</v>
      </c>
      <c r="V10" s="698">
        <v>2</v>
      </c>
      <c r="W10" s="220">
        <v>0</v>
      </c>
      <c r="X10" s="497">
        <f>+R10/P10*100</f>
        <v>100</v>
      </c>
      <c r="AD10" s="64"/>
    </row>
    <row r="11" spans="1:30" ht="87" customHeight="1">
      <c r="A11" s="332" t="s">
        <v>367</v>
      </c>
      <c r="B11" s="173" t="s">
        <v>189</v>
      </c>
      <c r="C11" s="174" t="s">
        <v>1</v>
      </c>
      <c r="D11" s="247">
        <v>100</v>
      </c>
      <c r="E11" s="72"/>
      <c r="F11" s="760">
        <f>AVERAGE(J11,N11,R11,V11)+R11+J11+3</f>
        <v>82.5</v>
      </c>
      <c r="G11" s="72">
        <f t="shared" si="3"/>
        <v>0</v>
      </c>
      <c r="H11" s="267">
        <v>17</v>
      </c>
      <c r="I11" s="175"/>
      <c r="J11" s="351">
        <v>17</v>
      </c>
      <c r="K11" s="375"/>
      <c r="L11" s="270">
        <v>34</v>
      </c>
      <c r="M11" s="515">
        <v>0</v>
      </c>
      <c r="N11" s="533">
        <v>0</v>
      </c>
      <c r="O11" s="72">
        <v>0</v>
      </c>
      <c r="P11" s="270">
        <v>30</v>
      </c>
      <c r="Q11" s="295">
        <v>0</v>
      </c>
      <c r="R11" s="209">
        <v>30</v>
      </c>
      <c r="S11" s="72">
        <v>0</v>
      </c>
      <c r="T11" s="270">
        <v>100</v>
      </c>
      <c r="U11" s="72">
        <v>0</v>
      </c>
      <c r="V11" s="71">
        <v>83</v>
      </c>
      <c r="W11" s="220">
        <v>0</v>
      </c>
      <c r="AD11" s="64"/>
    </row>
    <row r="12" spans="1:30" ht="93.75" customHeight="1">
      <c r="A12" s="329" t="s">
        <v>366</v>
      </c>
      <c r="B12" s="173" t="s">
        <v>189</v>
      </c>
      <c r="C12" s="174" t="s">
        <v>133</v>
      </c>
      <c r="D12" s="247">
        <v>3</v>
      </c>
      <c r="E12" s="72">
        <f t="shared" ref="E12:E18" si="4">+I12+M12+Q12+U12</f>
        <v>4694350336.2639999</v>
      </c>
      <c r="F12" s="761">
        <f>AVERAGE(J12,N12,R12,V12)+J12+R12+J12-0.3</f>
        <v>2.5750000000000002</v>
      </c>
      <c r="G12" s="72">
        <f t="shared" si="3"/>
        <v>4101182466.1079998</v>
      </c>
      <c r="H12" s="267">
        <v>0.5</v>
      </c>
      <c r="I12" s="175">
        <v>1660126213</v>
      </c>
      <c r="J12" s="379">
        <v>0.5</v>
      </c>
      <c r="K12" s="372">
        <v>1517228834</v>
      </c>
      <c r="L12" s="270">
        <v>1</v>
      </c>
      <c r="M12" s="515">
        <v>661941284</v>
      </c>
      <c r="N12" s="527">
        <v>0</v>
      </c>
      <c r="O12" s="72">
        <v>354924827</v>
      </c>
      <c r="P12" s="607">
        <v>0.9</v>
      </c>
      <c r="Q12" s="295">
        <v>2141282839.2639999</v>
      </c>
      <c r="R12" s="610">
        <v>0.9</v>
      </c>
      <c r="S12" s="72">
        <v>1998753504</v>
      </c>
      <c r="T12" s="270">
        <v>3</v>
      </c>
      <c r="U12" s="72">
        <v>231000000</v>
      </c>
      <c r="V12" s="619">
        <v>2.5</v>
      </c>
      <c r="W12" s="220">
        <v>230275301.10799998</v>
      </c>
      <c r="AD12" s="64"/>
    </row>
    <row r="13" spans="1:30" ht="81.75" customHeight="1">
      <c r="A13" s="249" t="s">
        <v>368</v>
      </c>
      <c r="B13" s="173" t="s">
        <v>189</v>
      </c>
      <c r="C13" s="267" t="s">
        <v>1</v>
      </c>
      <c r="D13" s="247">
        <v>100</v>
      </c>
      <c r="E13" s="72">
        <f t="shared" si="4"/>
        <v>0</v>
      </c>
      <c r="F13" s="247">
        <f>+J13+N13+R13+V13</f>
        <v>100</v>
      </c>
      <c r="G13" s="72">
        <f t="shared" si="3"/>
        <v>0</v>
      </c>
      <c r="H13" s="267">
        <v>60</v>
      </c>
      <c r="I13" s="175"/>
      <c r="J13" s="351">
        <v>60</v>
      </c>
      <c r="K13" s="372">
        <v>0</v>
      </c>
      <c r="L13" s="270">
        <v>40</v>
      </c>
      <c r="M13" s="515">
        <v>0</v>
      </c>
      <c r="N13" s="348">
        <v>40</v>
      </c>
      <c r="O13" s="72">
        <v>0</v>
      </c>
      <c r="P13" s="270">
        <v>0</v>
      </c>
      <c r="Q13" s="295">
        <v>0</v>
      </c>
      <c r="R13" s="209">
        <v>0</v>
      </c>
      <c r="S13" s="72">
        <v>0</v>
      </c>
      <c r="T13" s="270">
        <v>0</v>
      </c>
      <c r="U13" s="72">
        <v>0</v>
      </c>
      <c r="V13" s="71">
        <v>0</v>
      </c>
      <c r="W13" s="220">
        <v>0</v>
      </c>
      <c r="AD13" s="64"/>
    </row>
    <row r="14" spans="1:30" ht="81.75" customHeight="1">
      <c r="A14" s="307" t="s">
        <v>370</v>
      </c>
      <c r="B14" s="177" t="s">
        <v>187</v>
      </c>
      <c r="C14" s="265" t="s">
        <v>379</v>
      </c>
      <c r="D14" s="247">
        <f>+H14+L14+P14+T14</f>
        <v>6</v>
      </c>
      <c r="E14" s="72">
        <f t="shared" si="4"/>
        <v>167405011</v>
      </c>
      <c r="F14" s="247">
        <f>+J14+N14+R14+V14</f>
        <v>6</v>
      </c>
      <c r="G14" s="72">
        <f t="shared" si="3"/>
        <v>166990717</v>
      </c>
      <c r="H14" s="267">
        <v>0</v>
      </c>
      <c r="I14" s="175">
        <v>147411261</v>
      </c>
      <c r="J14" s="352">
        <v>0</v>
      </c>
      <c r="K14" s="380">
        <v>147411261</v>
      </c>
      <c r="L14" s="511">
        <v>6</v>
      </c>
      <c r="M14" s="516">
        <v>19993750</v>
      </c>
      <c r="N14" s="512">
        <v>6</v>
      </c>
      <c r="O14" s="247">
        <v>19579456</v>
      </c>
      <c r="P14" s="267">
        <v>0</v>
      </c>
      <c r="Q14" s="385">
        <v>0</v>
      </c>
      <c r="R14" s="247">
        <v>0</v>
      </c>
      <c r="S14" s="247">
        <v>0</v>
      </c>
      <c r="T14" s="267">
        <v>0</v>
      </c>
      <c r="U14" s="175">
        <v>0</v>
      </c>
      <c r="V14" s="247">
        <v>0</v>
      </c>
      <c r="W14" s="220">
        <v>0</v>
      </c>
      <c r="AD14" s="64"/>
    </row>
    <row r="15" spans="1:30" ht="81.75" customHeight="1">
      <c r="A15" s="289" t="s">
        <v>364</v>
      </c>
      <c r="B15" s="177" t="s">
        <v>189</v>
      </c>
      <c r="C15" s="209" t="s">
        <v>378</v>
      </c>
      <c r="D15" s="247">
        <f>AVERAGE(H15,L15,P15,T15)</f>
        <v>1</v>
      </c>
      <c r="E15" s="72">
        <f t="shared" si="4"/>
        <v>782778952</v>
      </c>
      <c r="F15" s="209">
        <f>AVERAGE(J15,N15,R15,V15)</f>
        <v>1</v>
      </c>
      <c r="G15" s="72">
        <f t="shared" si="3"/>
        <v>782742904</v>
      </c>
      <c r="H15" s="280">
        <v>1</v>
      </c>
      <c r="I15" s="72">
        <v>102678952</v>
      </c>
      <c r="J15" s="353">
        <v>1</v>
      </c>
      <c r="K15" s="373">
        <v>102678852</v>
      </c>
      <c r="L15" s="270">
        <v>1</v>
      </c>
      <c r="M15" s="515">
        <v>260000000</v>
      </c>
      <c r="N15" s="348">
        <v>1</v>
      </c>
      <c r="O15" s="72">
        <v>259998852</v>
      </c>
      <c r="P15" s="270">
        <v>1</v>
      </c>
      <c r="Q15" s="295">
        <v>170000000</v>
      </c>
      <c r="R15" s="595">
        <v>1</v>
      </c>
      <c r="S15" s="72">
        <v>169977200</v>
      </c>
      <c r="T15" s="270">
        <v>1</v>
      </c>
      <c r="U15" s="612">
        <v>250100000</v>
      </c>
      <c r="V15" s="720">
        <v>1</v>
      </c>
      <c r="W15" s="719">
        <v>250088000</v>
      </c>
      <c r="AD15" s="64"/>
    </row>
    <row r="16" spans="1:30" ht="81.75" customHeight="1">
      <c r="A16" s="289" t="s">
        <v>371</v>
      </c>
      <c r="B16" s="177" t="s">
        <v>189</v>
      </c>
      <c r="C16" s="209" t="s">
        <v>493</v>
      </c>
      <c r="D16" s="247">
        <f>AVERAGE(H16,L16,P16,T16)</f>
        <v>37</v>
      </c>
      <c r="E16" s="72">
        <f t="shared" si="4"/>
        <v>3573857196</v>
      </c>
      <c r="F16" s="209">
        <f>AVERAGE(J16,N16,R16,V16)</f>
        <v>37</v>
      </c>
      <c r="G16" s="72">
        <f>+K16+O16+S16+W16</f>
        <v>3401354544.744</v>
      </c>
      <c r="H16" s="280">
        <v>37</v>
      </c>
      <c r="I16" s="72">
        <v>893357238</v>
      </c>
      <c r="J16" s="353">
        <v>37</v>
      </c>
      <c r="K16" s="373">
        <v>871587445</v>
      </c>
      <c r="L16" s="270">
        <v>37</v>
      </c>
      <c r="M16" s="515">
        <v>862756720</v>
      </c>
      <c r="N16" s="348">
        <v>37</v>
      </c>
      <c r="O16" s="72">
        <v>802409238</v>
      </c>
      <c r="P16" s="270">
        <v>37</v>
      </c>
      <c r="Q16" s="572">
        <v>783192000</v>
      </c>
      <c r="R16" s="209">
        <v>37</v>
      </c>
      <c r="S16" s="72">
        <v>734450533</v>
      </c>
      <c r="T16" s="270">
        <v>37</v>
      </c>
      <c r="U16" s="612">
        <v>1034551238</v>
      </c>
      <c r="V16" s="721">
        <v>37</v>
      </c>
      <c r="W16" s="719">
        <v>992907328.74399996</v>
      </c>
      <c r="X16" s="499"/>
      <c r="AD16" s="64"/>
    </row>
    <row r="17" spans="1:26" ht="116.25" customHeight="1">
      <c r="A17" s="307" t="s">
        <v>372</v>
      </c>
      <c r="B17" s="177" t="s">
        <v>189</v>
      </c>
      <c r="C17" s="174" t="s">
        <v>373</v>
      </c>
      <c r="D17" s="247">
        <f>+H17+L17+P17+T17</f>
        <v>18</v>
      </c>
      <c r="E17" s="72">
        <f t="shared" si="4"/>
        <v>566582125</v>
      </c>
      <c r="F17" s="247">
        <f>+J17+N17+R17+V17</f>
        <v>17.5</v>
      </c>
      <c r="G17" s="72">
        <f>+K17+O17+S17+W17</f>
        <v>510553484.74400002</v>
      </c>
      <c r="H17" s="267">
        <v>5</v>
      </c>
      <c r="I17" s="72">
        <v>146899881</v>
      </c>
      <c r="J17" s="351">
        <v>5</v>
      </c>
      <c r="K17" s="373">
        <v>146899881</v>
      </c>
      <c r="L17" s="270">
        <v>0</v>
      </c>
      <c r="M17" s="515">
        <v>0</v>
      </c>
      <c r="N17" s="348">
        <v>0</v>
      </c>
      <c r="O17" s="72">
        <v>0</v>
      </c>
      <c r="P17" s="270">
        <v>8</v>
      </c>
      <c r="Q17" s="572">
        <v>208000000</v>
      </c>
      <c r="R17" s="209">
        <v>8</v>
      </c>
      <c r="S17" s="72">
        <v>207667774</v>
      </c>
      <c r="T17" s="270">
        <v>5</v>
      </c>
      <c r="U17" s="72">
        <v>211682244</v>
      </c>
      <c r="V17" s="714">
        <v>4.5</v>
      </c>
      <c r="W17" s="220">
        <v>155985829.74400002</v>
      </c>
      <c r="X17" s="499"/>
      <c r="Z17" s="500"/>
    </row>
    <row r="18" spans="1:26" ht="116.25" customHeight="1">
      <c r="A18" s="307" t="s">
        <v>374</v>
      </c>
      <c r="B18" s="173" t="s">
        <v>187</v>
      </c>
      <c r="C18" s="243" t="s">
        <v>193</v>
      </c>
      <c r="D18" s="247">
        <f>++H18+L18+P18+T18</f>
        <v>2</v>
      </c>
      <c r="E18" s="72">
        <f t="shared" si="4"/>
        <v>943436311</v>
      </c>
      <c r="F18" s="247">
        <f>+J18+N18+R18+V18</f>
        <v>2</v>
      </c>
      <c r="G18" s="72">
        <f>+K18+O18+S18+W18</f>
        <v>943436310</v>
      </c>
      <c r="H18" s="267">
        <v>0</v>
      </c>
      <c r="I18" s="72">
        <v>901268311</v>
      </c>
      <c r="J18" s="351">
        <v>0</v>
      </c>
      <c r="K18" s="373">
        <v>901268310</v>
      </c>
      <c r="L18" s="270">
        <v>1</v>
      </c>
      <c r="M18" s="515">
        <v>0</v>
      </c>
      <c r="N18" s="348">
        <v>1</v>
      </c>
      <c r="O18" s="72">
        <v>0</v>
      </c>
      <c r="P18" s="270">
        <v>1</v>
      </c>
      <c r="Q18" s="295">
        <v>42168000</v>
      </c>
      <c r="R18" s="610">
        <v>1</v>
      </c>
      <c r="S18" s="72">
        <v>42168000</v>
      </c>
      <c r="T18" s="270">
        <v>0</v>
      </c>
      <c r="U18" s="72">
        <v>0</v>
      </c>
      <c r="V18" s="71">
        <v>0</v>
      </c>
      <c r="W18" s="220">
        <v>0</v>
      </c>
      <c r="X18" s="499"/>
      <c r="Z18" s="500"/>
    </row>
    <row r="19" spans="1:26" ht="68.25" customHeight="1">
      <c r="A19" s="304" t="s">
        <v>506</v>
      </c>
      <c r="B19" s="179"/>
      <c r="C19" s="180"/>
      <c r="D19" s="181"/>
      <c r="E19" s="182">
        <f>SUM(E20:E29)</f>
        <v>31804059099.124001</v>
      </c>
      <c r="F19" s="183"/>
      <c r="G19" s="182">
        <f>SUM(G20:G29)</f>
        <v>29986476420.817001</v>
      </c>
      <c r="H19" s="268"/>
      <c r="I19" s="389">
        <f>SUM(I20:I29)-1</f>
        <v>7885091339</v>
      </c>
      <c r="J19" s="354"/>
      <c r="K19" s="316">
        <f>SUM(K20:K29)</f>
        <v>7792792986</v>
      </c>
      <c r="L19" s="270"/>
      <c r="M19" s="193">
        <f>SUM(M20:M29)</f>
        <v>9531164364</v>
      </c>
      <c r="N19" s="183"/>
      <c r="O19" s="182">
        <f>SUM(O20:O29)</f>
        <v>8848045258</v>
      </c>
      <c r="P19" s="279"/>
      <c r="Q19" s="182">
        <f>SUM(Q20:Q29)</f>
        <v>6937385860</v>
      </c>
      <c r="R19" s="316"/>
      <c r="S19" s="182">
        <f>SUM(S20:S29)</f>
        <v>6819058251.1970005</v>
      </c>
      <c r="T19" s="182"/>
      <c r="U19" s="621">
        <f>SUM(U20:U29)</f>
        <v>7450417535.1240005</v>
      </c>
      <c r="V19" s="225"/>
      <c r="W19" s="652">
        <f>SUM(W20:W29)</f>
        <v>6526579925.6199999</v>
      </c>
      <c r="X19" s="499"/>
      <c r="Z19" s="499"/>
    </row>
    <row r="20" spans="1:26" ht="116.25" customHeight="1">
      <c r="A20" s="332" t="s">
        <v>485</v>
      </c>
      <c r="B20" s="281" t="s">
        <v>189</v>
      </c>
      <c r="C20" s="176" t="s">
        <v>180</v>
      </c>
      <c r="D20" s="247">
        <f>AVERAGE(H20,L20,P20,T20)</f>
        <v>100</v>
      </c>
      <c r="E20" s="72">
        <f>+I20+M20+Q20+U20</f>
        <v>0</v>
      </c>
      <c r="F20" s="247">
        <f>AVERAGE(H20,L20,P20,T20)</f>
        <v>100</v>
      </c>
      <c r="G20" s="72">
        <f t="shared" ref="G20:G29" si="5">+K20+O20+S20+W20</f>
        <v>0</v>
      </c>
      <c r="H20" s="267">
        <v>100</v>
      </c>
      <c r="I20" s="72"/>
      <c r="J20" s="348">
        <v>100</v>
      </c>
      <c r="K20" s="209"/>
      <c r="L20" s="270">
        <v>100</v>
      </c>
      <c r="M20" s="515">
        <v>0</v>
      </c>
      <c r="N20" s="348">
        <v>100</v>
      </c>
      <c r="O20" s="72"/>
      <c r="P20" s="270">
        <v>100</v>
      </c>
      <c r="Q20" s="72"/>
      <c r="R20" s="209">
        <v>100</v>
      </c>
      <c r="S20" s="72">
        <v>0</v>
      </c>
      <c r="T20" s="270">
        <v>100</v>
      </c>
      <c r="U20" s="609"/>
      <c r="V20" s="71">
        <v>100</v>
      </c>
      <c r="W20" s="220"/>
      <c r="X20" s="499">
        <f>0.8*100</f>
        <v>80</v>
      </c>
      <c r="Y20" s="499"/>
      <c r="Z20" s="499"/>
    </row>
    <row r="21" spans="1:26" ht="116.25" customHeight="1">
      <c r="A21" s="329" t="s">
        <v>486</v>
      </c>
      <c r="B21" s="173" t="s">
        <v>189</v>
      </c>
      <c r="C21" s="243" t="s">
        <v>487</v>
      </c>
      <c r="D21" s="247">
        <v>5</v>
      </c>
      <c r="E21" s="72">
        <f>+I21+M21+Q21+U21</f>
        <v>15086835320</v>
      </c>
      <c r="F21" s="247">
        <f>AVERAGE(J21,N21,R21,V21)+1</f>
        <v>4.5</v>
      </c>
      <c r="G21" s="72">
        <f t="shared" si="5"/>
        <v>14159006457.544001</v>
      </c>
      <c r="H21" s="267">
        <v>3</v>
      </c>
      <c r="I21" s="72">
        <v>2716742169</v>
      </c>
      <c r="J21" s="348">
        <v>3</v>
      </c>
      <c r="K21" s="209">
        <v>2714204176</v>
      </c>
      <c r="L21" s="270">
        <v>3</v>
      </c>
      <c r="M21" s="515">
        <v>3986763644</v>
      </c>
      <c r="N21" s="348">
        <v>3</v>
      </c>
      <c r="O21" s="72">
        <v>3941311330</v>
      </c>
      <c r="P21" s="270">
        <v>3</v>
      </c>
      <c r="Q21" s="72">
        <v>3793155426</v>
      </c>
      <c r="R21" s="209">
        <v>3</v>
      </c>
      <c r="S21" s="72">
        <v>3759539284.3600001</v>
      </c>
      <c r="T21" s="270">
        <v>5</v>
      </c>
      <c r="U21" s="609">
        <v>4590174081</v>
      </c>
      <c r="V21" s="71">
        <v>5</v>
      </c>
      <c r="W21" s="220">
        <v>3743951667.184</v>
      </c>
      <c r="X21" s="683">
        <v>4</v>
      </c>
      <c r="Z21" s="500"/>
    </row>
    <row r="22" spans="1:26" ht="68.25" customHeight="1">
      <c r="A22" s="332" t="s">
        <v>375</v>
      </c>
      <c r="B22" s="173" t="s">
        <v>187</v>
      </c>
      <c r="C22" s="176" t="s">
        <v>403</v>
      </c>
      <c r="D22" s="247">
        <f>++H22+L22+P22+T22</f>
        <v>100</v>
      </c>
      <c r="E22" s="72">
        <f t="shared" ref="E22:E29" si="6">+I22+M22+Q22+U22</f>
        <v>0</v>
      </c>
      <c r="F22" s="247">
        <f>+J22+N22+R22+V22</f>
        <v>100</v>
      </c>
      <c r="G22" s="72">
        <f t="shared" si="5"/>
        <v>0</v>
      </c>
      <c r="H22" s="269">
        <v>0</v>
      </c>
      <c r="I22" s="209">
        <v>0</v>
      </c>
      <c r="J22" s="348">
        <v>0</v>
      </c>
      <c r="K22" s="209">
        <v>0</v>
      </c>
      <c r="L22" s="270">
        <v>50</v>
      </c>
      <c r="M22" s="515">
        <v>0</v>
      </c>
      <c r="N22" s="348">
        <v>50</v>
      </c>
      <c r="O22" s="72">
        <v>0</v>
      </c>
      <c r="P22" s="270">
        <v>25</v>
      </c>
      <c r="Q22" s="72">
        <v>0</v>
      </c>
      <c r="R22" s="209">
        <v>25</v>
      </c>
      <c r="S22" s="72">
        <v>0</v>
      </c>
      <c r="T22" s="270">
        <v>25</v>
      </c>
      <c r="U22" s="609"/>
      <c r="V22" s="229">
        <v>25</v>
      </c>
      <c r="W22" s="220">
        <v>0</v>
      </c>
    </row>
    <row r="23" spans="1:26" ht="68.25" customHeight="1">
      <c r="A23" s="244" t="s">
        <v>350</v>
      </c>
      <c r="B23" s="173" t="s">
        <v>187</v>
      </c>
      <c r="C23" s="184" t="s">
        <v>454</v>
      </c>
      <c r="D23" s="282">
        <f>+H23+L23+P23+T23</f>
        <v>400</v>
      </c>
      <c r="E23" s="72">
        <f t="shared" si="6"/>
        <v>783716603</v>
      </c>
      <c r="F23" s="247">
        <f t="shared" ref="F23:F29" si="7">+J23+N23+R23+V23</f>
        <v>400</v>
      </c>
      <c r="G23" s="72">
        <f t="shared" si="5"/>
        <v>734846432.704</v>
      </c>
      <c r="H23" s="269">
        <v>0</v>
      </c>
      <c r="I23" s="72">
        <v>212364591</v>
      </c>
      <c r="J23" s="348">
        <v>0</v>
      </c>
      <c r="K23" s="209">
        <v>198668508</v>
      </c>
      <c r="L23" s="270">
        <v>200</v>
      </c>
      <c r="M23" s="515">
        <v>227193657</v>
      </c>
      <c r="N23" s="348">
        <v>200</v>
      </c>
      <c r="O23" s="72">
        <v>202879535</v>
      </c>
      <c r="P23" s="270">
        <v>100</v>
      </c>
      <c r="Q23" s="72">
        <v>140981019</v>
      </c>
      <c r="R23" s="209">
        <v>100</v>
      </c>
      <c r="S23" s="72">
        <v>130131060</v>
      </c>
      <c r="T23" s="270">
        <v>100</v>
      </c>
      <c r="U23" s="609">
        <v>203177336</v>
      </c>
      <c r="V23" s="71">
        <v>100</v>
      </c>
      <c r="W23" s="220">
        <v>203167329.704</v>
      </c>
    </row>
    <row r="24" spans="1:26" ht="68.25" customHeight="1">
      <c r="A24" s="308" t="s">
        <v>526</v>
      </c>
      <c r="B24" s="218" t="s">
        <v>187</v>
      </c>
      <c r="C24" s="185" t="s">
        <v>454</v>
      </c>
      <c r="D24" s="282">
        <f>+H24+L24+P24+T24</f>
        <v>100</v>
      </c>
      <c r="E24" s="72">
        <f t="shared" si="6"/>
        <v>1257405157</v>
      </c>
      <c r="F24" s="247">
        <f t="shared" si="7"/>
        <v>114</v>
      </c>
      <c r="G24" s="72">
        <f t="shared" si="5"/>
        <v>1210930748.464</v>
      </c>
      <c r="H24" s="269">
        <v>0</v>
      </c>
      <c r="I24" s="72">
        <v>417414361</v>
      </c>
      <c r="J24" s="348">
        <v>0</v>
      </c>
      <c r="K24" s="209">
        <v>402061124</v>
      </c>
      <c r="L24" s="270">
        <v>50</v>
      </c>
      <c r="M24" s="515">
        <v>223072583</v>
      </c>
      <c r="N24" s="348">
        <v>37</v>
      </c>
      <c r="O24" s="72">
        <v>191952110</v>
      </c>
      <c r="P24" s="270">
        <v>30</v>
      </c>
      <c r="Q24" s="72">
        <v>462255152</v>
      </c>
      <c r="R24" s="209">
        <v>60</v>
      </c>
      <c r="S24" s="72">
        <v>462254846</v>
      </c>
      <c r="T24" s="270">
        <v>20</v>
      </c>
      <c r="U24" s="609">
        <v>154663061</v>
      </c>
      <c r="V24" s="71">
        <v>17</v>
      </c>
      <c r="W24" s="220">
        <v>154662668.46399999</v>
      </c>
    </row>
    <row r="25" spans="1:26" ht="68.25" customHeight="1">
      <c r="A25" s="308" t="s">
        <v>360</v>
      </c>
      <c r="B25" s="218" t="s">
        <v>187</v>
      </c>
      <c r="C25" s="246" t="s">
        <v>454</v>
      </c>
      <c r="D25" s="282">
        <f>+H25+L25+P25+T25</f>
        <v>489</v>
      </c>
      <c r="E25" s="72">
        <f t="shared" si="6"/>
        <v>486929741.51999998</v>
      </c>
      <c r="F25" s="209">
        <f t="shared" si="7"/>
        <v>438</v>
      </c>
      <c r="G25" s="72">
        <f t="shared" si="5"/>
        <v>486795199.17299998</v>
      </c>
      <c r="H25" s="269">
        <v>46</v>
      </c>
      <c r="I25" s="72">
        <v>154147067</v>
      </c>
      <c r="J25" s="348">
        <v>46</v>
      </c>
      <c r="K25" s="209">
        <v>154146824</v>
      </c>
      <c r="L25" s="270">
        <v>100</v>
      </c>
      <c r="M25" s="515">
        <v>98088332</v>
      </c>
      <c r="N25" s="348">
        <v>100</v>
      </c>
      <c r="O25" s="72">
        <v>97955990</v>
      </c>
      <c r="P25" s="270">
        <v>202</v>
      </c>
      <c r="Q25" s="72">
        <v>94531981</v>
      </c>
      <c r="R25" s="209">
        <v>202</v>
      </c>
      <c r="S25" s="72">
        <v>94531980.488999993</v>
      </c>
      <c r="T25" s="270">
        <v>141</v>
      </c>
      <c r="U25" s="609">
        <f>+'[1]PROYECTO 1.2 (6)'!$E$21+'[1]PROYECTO 1.2 (6)'!$E$22</f>
        <v>140162361.51999998</v>
      </c>
      <c r="V25" s="71">
        <v>90</v>
      </c>
      <c r="W25" s="220">
        <v>140160404.68400002</v>
      </c>
    </row>
    <row r="26" spans="1:26" ht="68.25" customHeight="1">
      <c r="A26" s="308" t="s">
        <v>509</v>
      </c>
      <c r="B26" s="218" t="s">
        <v>187</v>
      </c>
      <c r="C26" s="246" t="s">
        <v>454</v>
      </c>
      <c r="D26" s="282">
        <f>+H26+L26+P26+T26</f>
        <v>4963</v>
      </c>
      <c r="E26" s="72">
        <f t="shared" si="6"/>
        <v>7426465558</v>
      </c>
      <c r="F26" s="209">
        <f>+J26+N26+R26+V26</f>
        <v>14107</v>
      </c>
      <c r="G26" s="72">
        <f t="shared" si="5"/>
        <v>6719332076.3479996</v>
      </c>
      <c r="H26" s="269">
        <v>2500</v>
      </c>
      <c r="I26" s="72">
        <v>2886116492</v>
      </c>
      <c r="J26" s="348">
        <v>9463</v>
      </c>
      <c r="K26" s="209">
        <v>2841461229</v>
      </c>
      <c r="L26" s="270">
        <v>1463</v>
      </c>
      <c r="M26" s="515">
        <v>3151895283</v>
      </c>
      <c r="N26" s="348">
        <v>3844</v>
      </c>
      <c r="O26" s="72">
        <v>2570172581</v>
      </c>
      <c r="P26" s="270">
        <v>500</v>
      </c>
      <c r="Q26" s="72">
        <v>394785872</v>
      </c>
      <c r="R26" s="209">
        <v>500</v>
      </c>
      <c r="S26" s="72">
        <v>367627868.34799999</v>
      </c>
      <c r="T26" s="270">
        <v>500</v>
      </c>
      <c r="U26" s="609">
        <v>993667911</v>
      </c>
      <c r="V26" s="71">
        <v>300</v>
      </c>
      <c r="W26" s="220">
        <v>940070398</v>
      </c>
    </row>
    <row r="27" spans="1:26" ht="68.25" customHeight="1">
      <c r="A27" s="308" t="s">
        <v>363</v>
      </c>
      <c r="B27" s="218" t="s">
        <v>187</v>
      </c>
      <c r="C27" s="245" t="s">
        <v>454</v>
      </c>
      <c r="D27" s="282">
        <v>14536</v>
      </c>
      <c r="E27" s="72">
        <f t="shared" si="6"/>
        <v>5340947972</v>
      </c>
      <c r="F27" s="209">
        <f t="shared" si="7"/>
        <v>13773</v>
      </c>
      <c r="G27" s="72">
        <f t="shared" si="5"/>
        <v>5295302840.7679996</v>
      </c>
      <c r="H27" s="269">
        <v>863</v>
      </c>
      <c r="I27" s="72">
        <v>1434050660</v>
      </c>
      <c r="J27" s="348">
        <v>863</v>
      </c>
      <c r="K27" s="209">
        <v>1417995125</v>
      </c>
      <c r="L27" s="270">
        <v>3450</v>
      </c>
      <c r="M27" s="515">
        <v>1504390865</v>
      </c>
      <c r="N27" s="348">
        <v>3450</v>
      </c>
      <c r="O27" s="72">
        <v>1504381552</v>
      </c>
      <c r="P27" s="270">
        <v>8260</v>
      </c>
      <c r="Q27" s="72">
        <v>1550766410</v>
      </c>
      <c r="R27" s="209">
        <v>8260</v>
      </c>
      <c r="S27" s="72">
        <v>1545191453</v>
      </c>
      <c r="T27" s="270">
        <v>1963</v>
      </c>
      <c r="U27" s="609">
        <v>851740037</v>
      </c>
      <c r="V27" s="71">
        <v>1200</v>
      </c>
      <c r="W27" s="220">
        <v>827734710.76800001</v>
      </c>
      <c r="X27" s="502"/>
    </row>
    <row r="28" spans="1:26" ht="54" customHeight="1">
      <c r="A28" s="333" t="s">
        <v>361</v>
      </c>
      <c r="B28" s="218" t="s">
        <v>187</v>
      </c>
      <c r="C28" s="245" t="s">
        <v>454</v>
      </c>
      <c r="D28" s="282">
        <f>+H28+L28+P28+T28</f>
        <v>1100</v>
      </c>
      <c r="E28" s="72">
        <f t="shared" si="6"/>
        <v>1421758747.6040001</v>
      </c>
      <c r="F28" s="209">
        <f t="shared" si="7"/>
        <v>1527.08</v>
      </c>
      <c r="G28" s="72">
        <f t="shared" si="5"/>
        <v>1380262665.816</v>
      </c>
      <c r="H28" s="269">
        <v>250</v>
      </c>
      <c r="I28" s="72">
        <v>64256000</v>
      </c>
      <c r="J28" s="391">
        <v>250</v>
      </c>
      <c r="K28" s="209">
        <v>64256000</v>
      </c>
      <c r="L28" s="270">
        <v>300</v>
      </c>
      <c r="M28" s="515">
        <v>339760000</v>
      </c>
      <c r="N28" s="348">
        <v>300</v>
      </c>
      <c r="O28" s="72">
        <v>339392160</v>
      </c>
      <c r="P28" s="270">
        <v>350</v>
      </c>
      <c r="Q28" s="72">
        <v>500910000</v>
      </c>
      <c r="R28" s="611">
        <v>577.08000000000004</v>
      </c>
      <c r="S28" s="72">
        <v>459781759</v>
      </c>
      <c r="T28" s="270">
        <v>200</v>
      </c>
      <c r="U28" s="609">
        <v>516832747.60399997</v>
      </c>
      <c r="V28" s="678">
        <v>400</v>
      </c>
      <c r="W28" s="220">
        <v>516832746.81599998</v>
      </c>
      <c r="X28" s="499"/>
    </row>
    <row r="29" spans="1:26" ht="46.5" customHeight="1">
      <c r="A29" s="307" t="s">
        <v>480</v>
      </c>
      <c r="B29" s="211" t="s">
        <v>189</v>
      </c>
      <c r="C29" s="176" t="s">
        <v>403</v>
      </c>
      <c r="D29" s="247">
        <f>+H29+L29+P29+T29</f>
        <v>100</v>
      </c>
      <c r="E29" s="72">
        <f t="shared" si="6"/>
        <v>0</v>
      </c>
      <c r="F29" s="209">
        <f t="shared" si="7"/>
        <v>100</v>
      </c>
      <c r="G29" s="72">
        <f t="shared" si="5"/>
        <v>0</v>
      </c>
      <c r="H29" s="269">
        <v>10</v>
      </c>
      <c r="I29" s="175">
        <v>0</v>
      </c>
      <c r="J29" s="348">
        <v>10</v>
      </c>
      <c r="K29" s="315">
        <v>0</v>
      </c>
      <c r="L29" s="270">
        <v>30</v>
      </c>
      <c r="M29" s="515">
        <v>0</v>
      </c>
      <c r="N29" s="348">
        <v>30</v>
      </c>
      <c r="O29" s="72">
        <v>0</v>
      </c>
      <c r="P29" s="270">
        <v>30</v>
      </c>
      <c r="Q29" s="72">
        <v>0</v>
      </c>
      <c r="R29" s="209">
        <v>30</v>
      </c>
      <c r="S29" s="72">
        <v>0</v>
      </c>
      <c r="T29" s="270">
        <v>30</v>
      </c>
      <c r="U29" s="609">
        <v>0</v>
      </c>
      <c r="V29" s="71">
        <v>30</v>
      </c>
      <c r="W29" s="220">
        <v>0</v>
      </c>
    </row>
    <row r="30" spans="1:26" ht="36">
      <c r="A30" s="309" t="s">
        <v>532</v>
      </c>
      <c r="B30" s="187"/>
      <c r="C30" s="188"/>
      <c r="D30" s="183"/>
      <c r="E30" s="182">
        <f>SUM(E31:E32)</f>
        <v>6257195960.4865799</v>
      </c>
      <c r="F30" s="183"/>
      <c r="G30" s="182">
        <f>SUM(G31:G32)</f>
        <v>5238530950</v>
      </c>
      <c r="H30" s="270"/>
      <c r="I30" s="182">
        <f>SUM(I31:I32)</f>
        <v>1877233369</v>
      </c>
      <c r="J30" s="354"/>
      <c r="K30" s="316">
        <f>SUM(K31:K32)</f>
        <v>1877233207</v>
      </c>
      <c r="L30" s="270"/>
      <c r="M30" s="193">
        <f>SUM(M31:M32)</f>
        <v>1854151780</v>
      </c>
      <c r="N30" s="183"/>
      <c r="O30" s="182">
        <f>SUM(O31:O32)</f>
        <v>1854132109</v>
      </c>
      <c r="P30" s="279"/>
      <c r="Q30" s="182">
        <f>SUM(Q31:Q32)</f>
        <v>1392011890.4865797</v>
      </c>
      <c r="R30" s="316"/>
      <c r="S30" s="182">
        <f>SUM(S31:S32)</f>
        <v>1392006834</v>
      </c>
      <c r="T30" s="182"/>
      <c r="U30" s="182">
        <f t="shared" ref="U30" si="8">SUM(U31:U32)</f>
        <v>1133798921</v>
      </c>
      <c r="V30" s="225"/>
      <c r="W30" s="221">
        <f>SUM(W31:W32)</f>
        <v>115158800</v>
      </c>
      <c r="X30" s="499"/>
      <c r="Z30" s="499"/>
    </row>
    <row r="31" spans="1:26" ht="54" customHeight="1">
      <c r="A31" s="307" t="s">
        <v>376</v>
      </c>
      <c r="B31" s="177" t="s">
        <v>189</v>
      </c>
      <c r="C31" s="174" t="s">
        <v>377</v>
      </c>
      <c r="D31" s="247">
        <f>AVERAGE(H31,L31,P31,T31)</f>
        <v>1</v>
      </c>
      <c r="E31" s="72">
        <f>+I31+M31+Q31+U31</f>
        <v>5565382157.9877996</v>
      </c>
      <c r="F31" s="526">
        <f>AVERAGE(J31,N31,R31,V31)</f>
        <v>0.9375</v>
      </c>
      <c r="G31" s="72">
        <f>+K31+O31+S31+W31</f>
        <v>4546788341</v>
      </c>
      <c r="H31" s="267">
        <v>1</v>
      </c>
      <c r="I31" s="175">
        <v>1569912321</v>
      </c>
      <c r="J31" s="348">
        <v>1</v>
      </c>
      <c r="K31" s="315">
        <v>1569912321</v>
      </c>
      <c r="L31" s="270">
        <v>1</v>
      </c>
      <c r="M31" s="515">
        <v>1723977897</v>
      </c>
      <c r="N31" s="348">
        <v>1</v>
      </c>
      <c r="O31" s="72">
        <v>1723977897</v>
      </c>
      <c r="P31" s="270">
        <v>1</v>
      </c>
      <c r="Q31" s="72">
        <v>1252898122.9877999</v>
      </c>
      <c r="R31" s="610">
        <v>1</v>
      </c>
      <c r="S31" s="72">
        <v>1252898123</v>
      </c>
      <c r="T31" s="270">
        <v>1</v>
      </c>
      <c r="U31" s="72">
        <v>1018593817</v>
      </c>
      <c r="V31" s="678">
        <v>0.75</v>
      </c>
      <c r="W31" s="220">
        <v>0</v>
      </c>
      <c r="X31" s="499"/>
      <c r="Z31" s="499"/>
    </row>
    <row r="32" spans="1:26" ht="69" customHeight="1">
      <c r="A32" s="307" t="s">
        <v>481</v>
      </c>
      <c r="B32" s="177" t="s">
        <v>189</v>
      </c>
      <c r="C32" s="174" t="s">
        <v>513</v>
      </c>
      <c r="D32" s="247">
        <f>AVERAGE(H32,L32,P32,T32)</f>
        <v>1</v>
      </c>
      <c r="E32" s="72">
        <f>+I32+M32+Q32+U32</f>
        <v>691813802.49877977</v>
      </c>
      <c r="F32" s="526">
        <f>AVERAGE(J32,N32,R32,V32)</f>
        <v>0.875</v>
      </c>
      <c r="G32" s="72">
        <f>+K32+O32+S32+W32</f>
        <v>691742609</v>
      </c>
      <c r="H32" s="267">
        <v>1</v>
      </c>
      <c r="I32" s="175">
        <v>307321048</v>
      </c>
      <c r="J32" s="348">
        <v>1</v>
      </c>
      <c r="K32" s="315">
        <v>307320886</v>
      </c>
      <c r="L32" s="270">
        <v>1</v>
      </c>
      <c r="M32" s="515">
        <v>130173883</v>
      </c>
      <c r="N32" s="348">
        <v>1</v>
      </c>
      <c r="O32" s="72">
        <v>130154212</v>
      </c>
      <c r="P32" s="270">
        <v>1</v>
      </c>
      <c r="Q32" s="72">
        <v>139113767.49877983</v>
      </c>
      <c r="R32" s="610">
        <v>1</v>
      </c>
      <c r="S32" s="72">
        <v>139108711</v>
      </c>
      <c r="T32" s="270">
        <v>1</v>
      </c>
      <c r="U32" s="72">
        <v>115205104</v>
      </c>
      <c r="V32" s="678">
        <v>0.5</v>
      </c>
      <c r="W32" s="220">
        <v>115158800</v>
      </c>
      <c r="X32" s="499"/>
    </row>
    <row r="33" spans="1:26" ht="46.5" customHeight="1">
      <c r="A33" s="248" t="s">
        <v>482</v>
      </c>
      <c r="B33" s="191"/>
      <c r="C33" s="172"/>
      <c r="D33" s="192"/>
      <c r="E33" s="193">
        <f>+E34+E46</f>
        <v>11766635627.1</v>
      </c>
      <c r="F33" s="192"/>
      <c r="G33" s="193">
        <f>+G34+G46</f>
        <v>10708138361.612</v>
      </c>
      <c r="H33" s="271">
        <v>0</v>
      </c>
      <c r="I33" s="193">
        <f>+I34+I46</f>
        <v>1985679556</v>
      </c>
      <c r="J33" s="354"/>
      <c r="K33" s="192">
        <f>+K34+K46</f>
        <v>1947426231</v>
      </c>
      <c r="L33" s="193"/>
      <c r="M33" s="193">
        <f>+M34+M46</f>
        <v>2239437028</v>
      </c>
      <c r="N33" s="193"/>
      <c r="O33" s="193">
        <f>+O34+O46</f>
        <v>2000649744.3199999</v>
      </c>
      <c r="P33" s="193"/>
      <c r="Q33" s="193">
        <f>+Q34+Q46</f>
        <v>2945436111.0999999</v>
      </c>
      <c r="R33" s="192"/>
      <c r="S33" s="193">
        <f>+S34+S46</f>
        <v>2728879807.652</v>
      </c>
      <c r="T33" s="193">
        <f t="shared" ref="T33:U33" si="9">+T34+T46</f>
        <v>0</v>
      </c>
      <c r="U33" s="193">
        <f t="shared" si="9"/>
        <v>4596082932</v>
      </c>
      <c r="V33" s="193"/>
      <c r="W33" s="653">
        <f>+W34+W46</f>
        <v>4031182578.6399999</v>
      </c>
      <c r="X33" s="499"/>
    </row>
    <row r="34" spans="1:26" ht="44.25" customHeight="1">
      <c r="A34" s="310" t="s">
        <v>505</v>
      </c>
      <c r="B34" s="194"/>
      <c r="C34" s="188"/>
      <c r="D34" s="195"/>
      <c r="E34" s="182">
        <f>SUM(E35:E45)</f>
        <v>4317907292.1000004</v>
      </c>
      <c r="F34" s="183"/>
      <c r="G34" s="182">
        <f>SUM(G35:G45)</f>
        <v>4111640335.1279998</v>
      </c>
      <c r="H34" s="272">
        <v>0</v>
      </c>
      <c r="I34" s="182">
        <f>SUM(I35:I45)</f>
        <v>323895252</v>
      </c>
      <c r="J34" s="354"/>
      <c r="K34" s="316">
        <f>SUM(K35:K45)</f>
        <v>300920390</v>
      </c>
      <c r="L34" s="183">
        <v>0</v>
      </c>
      <c r="M34" s="193">
        <f>SUM(M35:M45)</f>
        <v>781000000</v>
      </c>
      <c r="N34" s="183">
        <v>0</v>
      </c>
      <c r="O34" s="182">
        <f>SUM(O35:O45)</f>
        <v>774695167</v>
      </c>
      <c r="P34" s="182">
        <v>0</v>
      </c>
      <c r="Q34" s="182">
        <f>SUM(Q35:Q45)</f>
        <v>1541139112.0999999</v>
      </c>
      <c r="R34" s="316">
        <v>0</v>
      </c>
      <c r="S34" s="182">
        <f>SUM(S35:S45)</f>
        <v>1490208991.4960001</v>
      </c>
      <c r="T34" s="182"/>
      <c r="U34" s="182">
        <f>SUM(U35:U45)</f>
        <v>1671872928</v>
      </c>
      <c r="V34" s="225"/>
      <c r="W34" s="652">
        <f>SUM(W35:W45)</f>
        <v>1545815786.632</v>
      </c>
      <c r="X34" s="499"/>
      <c r="Z34" s="499"/>
    </row>
    <row r="35" spans="1:26" ht="113.25" customHeight="1">
      <c r="A35" s="249" t="s">
        <v>483</v>
      </c>
      <c r="B35" s="177" t="s">
        <v>191</v>
      </c>
      <c r="C35" s="209" t="s">
        <v>1</v>
      </c>
      <c r="D35" s="247">
        <f t="shared" ref="D35:E36" si="10">+H35+L35+P35+T35</f>
        <v>100</v>
      </c>
      <c r="E35" s="72">
        <f t="shared" si="10"/>
        <v>0</v>
      </c>
      <c r="F35" s="247">
        <f>AVERAGE(J35,N35,R35,V35)</f>
        <v>22.25</v>
      </c>
      <c r="G35" s="72">
        <f t="shared" ref="G35:G45" si="11">+K35+O35+S35+W35</f>
        <v>0</v>
      </c>
      <c r="H35" s="267">
        <v>15</v>
      </c>
      <c r="I35" s="175">
        <v>0</v>
      </c>
      <c r="J35" s="348">
        <v>15</v>
      </c>
      <c r="K35" s="315">
        <v>0</v>
      </c>
      <c r="L35" s="270">
        <v>0</v>
      </c>
      <c r="M35" s="515">
        <v>0</v>
      </c>
      <c r="N35" s="348">
        <v>0</v>
      </c>
      <c r="O35" s="72">
        <v>0</v>
      </c>
      <c r="P35" s="270">
        <v>55</v>
      </c>
      <c r="Q35" s="72">
        <v>0</v>
      </c>
      <c r="R35" s="209">
        <v>55</v>
      </c>
      <c r="S35" s="72">
        <v>0</v>
      </c>
      <c r="T35" s="270">
        <v>30</v>
      </c>
      <c r="U35" s="72">
        <v>0</v>
      </c>
      <c r="V35" s="619">
        <v>19</v>
      </c>
      <c r="W35" s="220">
        <v>0</v>
      </c>
      <c r="X35" s="499">
        <f>+P35*0.2</f>
        <v>11</v>
      </c>
      <c r="Z35" s="499"/>
    </row>
    <row r="36" spans="1:26" ht="88.5" customHeight="1">
      <c r="A36" s="334" t="s">
        <v>382</v>
      </c>
      <c r="B36" s="177" t="s">
        <v>187</v>
      </c>
      <c r="C36" s="245" t="s">
        <v>454</v>
      </c>
      <c r="D36" s="247">
        <f t="shared" si="10"/>
        <v>227184</v>
      </c>
      <c r="E36" s="72">
        <f>+I36+M36+Q36+U36</f>
        <v>1390849972.0999999</v>
      </c>
      <c r="F36" s="209">
        <f>+J36+N36+R36+V36</f>
        <v>201747.36</v>
      </c>
      <c r="G36" s="72">
        <f t="shared" si="11"/>
        <v>1366192207.0999999</v>
      </c>
      <c r="H36" s="269">
        <v>32894</v>
      </c>
      <c r="I36" s="175">
        <v>153110000</v>
      </c>
      <c r="J36" s="381">
        <v>33160.36</v>
      </c>
      <c r="K36" s="315">
        <v>134742824</v>
      </c>
      <c r="L36" s="270">
        <v>0</v>
      </c>
      <c r="M36" s="515">
        <v>518460040</v>
      </c>
      <c r="N36" s="348">
        <v>0</v>
      </c>
      <c r="O36" s="72">
        <v>512169451</v>
      </c>
      <c r="P36" s="270">
        <v>123839</v>
      </c>
      <c r="Q36" s="72">
        <v>719279932.10000002</v>
      </c>
      <c r="R36" s="617">
        <v>123839</v>
      </c>
      <c r="S36" s="72">
        <v>719279932.10000002</v>
      </c>
      <c r="T36" s="270">
        <v>70451</v>
      </c>
      <c r="U36" s="503">
        <v>0</v>
      </c>
      <c r="V36" s="71">
        <v>44748</v>
      </c>
      <c r="W36" s="220">
        <v>0</v>
      </c>
      <c r="X36" s="499">
        <f>+R36/P36*100</f>
        <v>100</v>
      </c>
    </row>
    <row r="37" spans="1:26" ht="88.5" customHeight="1">
      <c r="A37" s="570" t="s">
        <v>533</v>
      </c>
      <c r="B37" s="177" t="s">
        <v>189</v>
      </c>
      <c r="C37" s="209" t="s">
        <v>488</v>
      </c>
      <c r="D37" s="247">
        <f>AVERAGE(H37,L37,P37,T37)</f>
        <v>33.333333333333336</v>
      </c>
      <c r="E37" s="72">
        <f t="shared" ref="E37:E45" si="12">+I37+M37+Q37+U37</f>
        <v>49279933</v>
      </c>
      <c r="F37" s="247">
        <f>AVERAGE(J37,N37,R37,V37)-1</f>
        <v>32.333333333333336</v>
      </c>
      <c r="G37" s="72">
        <f t="shared" si="11"/>
        <v>49279933.395999998</v>
      </c>
      <c r="H37" s="280" t="s">
        <v>519</v>
      </c>
      <c r="I37" s="72">
        <v>0</v>
      </c>
      <c r="J37" s="280" t="s">
        <v>519</v>
      </c>
      <c r="K37" s="209">
        <v>0</v>
      </c>
      <c r="L37" s="270">
        <v>20</v>
      </c>
      <c r="M37" s="515">
        <v>0</v>
      </c>
      <c r="N37" s="348">
        <v>20</v>
      </c>
      <c r="O37" s="200">
        <v>0</v>
      </c>
      <c r="P37" s="270">
        <v>30</v>
      </c>
      <c r="Q37" s="72">
        <v>49279933</v>
      </c>
      <c r="R37" s="209">
        <v>30</v>
      </c>
      <c r="S37" s="72">
        <v>49279933.395999998</v>
      </c>
      <c r="T37" s="270">
        <v>50</v>
      </c>
      <c r="U37" s="503"/>
      <c r="V37" s="71">
        <v>50</v>
      </c>
      <c r="W37" s="220">
        <v>0</v>
      </c>
      <c r="X37" s="499"/>
    </row>
    <row r="38" spans="1:26" ht="61.5" customHeight="1">
      <c r="A38" s="334" t="s">
        <v>384</v>
      </c>
      <c r="B38" s="189" t="s">
        <v>187</v>
      </c>
      <c r="C38" s="174" t="s">
        <v>510</v>
      </c>
      <c r="D38" s="247">
        <f>+H38+L38+P38+T38</f>
        <v>120</v>
      </c>
      <c r="E38" s="72">
        <f t="shared" si="12"/>
        <v>303669547</v>
      </c>
      <c r="F38" s="209">
        <f>+J38+N38+R38+V38</f>
        <v>119</v>
      </c>
      <c r="G38" s="72">
        <f t="shared" si="11"/>
        <v>236445484</v>
      </c>
      <c r="H38" s="267">
        <v>30</v>
      </c>
      <c r="I38" s="72">
        <v>50638283</v>
      </c>
      <c r="J38" s="348">
        <v>30</v>
      </c>
      <c r="K38" s="315">
        <v>46680811</v>
      </c>
      <c r="L38" s="270">
        <v>30</v>
      </c>
      <c r="M38" s="515">
        <v>47188000</v>
      </c>
      <c r="N38" s="348">
        <v>30</v>
      </c>
      <c r="O38" s="72">
        <v>47188000</v>
      </c>
      <c r="P38" s="270">
        <v>30</v>
      </c>
      <c r="Q38" s="72">
        <v>90660378</v>
      </c>
      <c r="R38" s="209">
        <v>30</v>
      </c>
      <c r="S38" s="72">
        <v>87286962</v>
      </c>
      <c r="T38" s="270">
        <v>30</v>
      </c>
      <c r="U38" s="72">
        <v>115182886</v>
      </c>
      <c r="V38" s="230">
        <v>29</v>
      </c>
      <c r="W38" s="220">
        <v>55289711</v>
      </c>
      <c r="X38" s="499"/>
    </row>
    <row r="39" spans="1:26" ht="61.5" customHeight="1">
      <c r="A39" s="334" t="s">
        <v>385</v>
      </c>
      <c r="B39" s="177" t="s">
        <v>189</v>
      </c>
      <c r="C39" s="250" t="s">
        <v>190</v>
      </c>
      <c r="D39" s="247">
        <f>AVERAGE(H39,L39,P39,T39)</f>
        <v>3</v>
      </c>
      <c r="E39" s="72">
        <f t="shared" si="12"/>
        <v>134161259</v>
      </c>
      <c r="F39" s="247">
        <f>AVERAGE(J39,N39,R39,V39)</f>
        <v>2.85</v>
      </c>
      <c r="G39" s="72">
        <f t="shared" si="11"/>
        <v>115380000</v>
      </c>
      <c r="H39" s="267">
        <v>3</v>
      </c>
      <c r="I39" s="175">
        <v>35140000</v>
      </c>
      <c r="J39" s="348">
        <v>3</v>
      </c>
      <c r="K39" s="315">
        <v>35140000</v>
      </c>
      <c r="L39" s="270">
        <v>3</v>
      </c>
      <c r="M39" s="515">
        <v>15060000</v>
      </c>
      <c r="N39" s="381">
        <v>3</v>
      </c>
      <c r="O39" s="72">
        <v>15060000</v>
      </c>
      <c r="P39" s="270">
        <v>3</v>
      </c>
      <c r="Q39" s="72">
        <v>43881259</v>
      </c>
      <c r="R39" s="209">
        <v>3</v>
      </c>
      <c r="S39" s="72">
        <v>25100000</v>
      </c>
      <c r="T39" s="270">
        <v>3</v>
      </c>
      <c r="U39" s="72">
        <v>40080000</v>
      </c>
      <c r="V39" s="678">
        <v>2.4</v>
      </c>
      <c r="W39" s="220">
        <v>40080000</v>
      </c>
      <c r="X39" s="499"/>
    </row>
    <row r="40" spans="1:26" ht="61.5" customHeight="1">
      <c r="A40" s="334" t="s">
        <v>522</v>
      </c>
      <c r="B40" s="189" t="s">
        <v>187</v>
      </c>
      <c r="C40" s="174" t="s">
        <v>523</v>
      </c>
      <c r="D40" s="247">
        <f>+H40+L40+P40+T40</f>
        <v>7</v>
      </c>
      <c r="E40" s="72">
        <f>+I40+M40+Q40+U40</f>
        <v>2270861677</v>
      </c>
      <c r="F40" s="209">
        <f>+J40+N40+R40+V40</f>
        <v>6.1</v>
      </c>
      <c r="G40" s="72">
        <f t="shared" si="11"/>
        <v>2244936021.632</v>
      </c>
      <c r="H40" s="267">
        <v>1</v>
      </c>
      <c r="I40" s="72">
        <v>49196000</v>
      </c>
      <c r="J40" s="348">
        <v>1</v>
      </c>
      <c r="K40" s="209">
        <v>49194345</v>
      </c>
      <c r="L40" s="270">
        <v>2</v>
      </c>
      <c r="M40" s="515">
        <v>139907860</v>
      </c>
      <c r="N40" s="348">
        <v>2</v>
      </c>
      <c r="O40" s="72">
        <v>139893616</v>
      </c>
      <c r="P40" s="270">
        <v>2</v>
      </c>
      <c r="Q40" s="72">
        <v>605401985</v>
      </c>
      <c r="R40" s="610">
        <v>1.3</v>
      </c>
      <c r="S40" s="72">
        <v>605401985</v>
      </c>
      <c r="T40" s="270">
        <v>2</v>
      </c>
      <c r="U40" s="72">
        <v>1476355832</v>
      </c>
      <c r="V40" s="230">
        <v>1.8</v>
      </c>
      <c r="W40" s="220">
        <v>1450446075.632</v>
      </c>
      <c r="X40" s="499"/>
    </row>
    <row r="41" spans="1:26" ht="58.5" customHeight="1">
      <c r="A41" s="332" t="s">
        <v>534</v>
      </c>
      <c r="B41" s="189" t="s">
        <v>187</v>
      </c>
      <c r="C41" s="174" t="s">
        <v>1</v>
      </c>
      <c r="D41" s="513">
        <v>100</v>
      </c>
      <c r="E41" s="72">
        <f t="shared" si="12"/>
        <v>0</v>
      </c>
      <c r="F41" s="209">
        <f>+J41+N41+R41+V41</f>
        <v>99.6</v>
      </c>
      <c r="G41" s="72">
        <f t="shared" si="11"/>
        <v>0</v>
      </c>
      <c r="H41" s="267">
        <v>0</v>
      </c>
      <c r="I41" s="175">
        <v>0</v>
      </c>
      <c r="J41" s="348">
        <v>0</v>
      </c>
      <c r="K41" s="315">
        <v>0</v>
      </c>
      <c r="L41" s="270">
        <v>33</v>
      </c>
      <c r="M41" s="515">
        <v>0</v>
      </c>
      <c r="N41" s="533">
        <v>33</v>
      </c>
      <c r="O41" s="72">
        <v>0</v>
      </c>
      <c r="P41" s="270">
        <v>66.599999999999994</v>
      </c>
      <c r="Q41" s="72">
        <v>0</v>
      </c>
      <c r="R41" s="209">
        <v>66.599999999999994</v>
      </c>
      <c r="S41" s="72">
        <v>0</v>
      </c>
      <c r="T41" s="270">
        <v>0</v>
      </c>
      <c r="U41" s="72">
        <v>0</v>
      </c>
      <c r="V41" s="71">
        <v>0</v>
      </c>
      <c r="W41" s="220">
        <v>0</v>
      </c>
      <c r="X41" s="499"/>
    </row>
    <row r="42" spans="1:26" ht="43.5" customHeight="1">
      <c r="A42" s="329" t="s">
        <v>386</v>
      </c>
      <c r="B42" s="189" t="s">
        <v>187</v>
      </c>
      <c r="C42" s="174" t="s">
        <v>133</v>
      </c>
      <c r="D42" s="247">
        <f>+H42+L42+P42+T42</f>
        <v>3</v>
      </c>
      <c r="E42" s="72">
        <f t="shared" si="12"/>
        <v>36144000</v>
      </c>
      <c r="F42" s="209">
        <f>+J42+N42+R42+V42</f>
        <v>3</v>
      </c>
      <c r="G42" s="72">
        <f t="shared" si="11"/>
        <v>36144000</v>
      </c>
      <c r="H42" s="267">
        <v>0</v>
      </c>
      <c r="I42" s="175">
        <v>0</v>
      </c>
      <c r="J42" s="348">
        <v>0</v>
      </c>
      <c r="K42" s="315">
        <v>0</v>
      </c>
      <c r="L42" s="270">
        <v>0</v>
      </c>
      <c r="M42" s="515">
        <v>36144000</v>
      </c>
      <c r="N42" s="533">
        <v>0</v>
      </c>
      <c r="O42" s="72">
        <v>36144000</v>
      </c>
      <c r="P42" s="270">
        <v>3</v>
      </c>
      <c r="Q42" s="72">
        <v>0</v>
      </c>
      <c r="R42" s="209">
        <v>3</v>
      </c>
      <c r="S42" s="72">
        <v>0</v>
      </c>
      <c r="T42" s="270">
        <v>0</v>
      </c>
      <c r="U42" s="72">
        <v>0</v>
      </c>
      <c r="V42" s="71">
        <v>0</v>
      </c>
      <c r="W42" s="220">
        <v>0</v>
      </c>
      <c r="X42" s="499"/>
    </row>
    <row r="43" spans="1:26" ht="43.5" customHeight="1">
      <c r="A43" s="332" t="s">
        <v>381</v>
      </c>
      <c r="B43" s="189" t="s">
        <v>189</v>
      </c>
      <c r="C43" s="174" t="s">
        <v>1</v>
      </c>
      <c r="D43" s="513">
        <f>AVERAGE(H43,L43,P43,T43)</f>
        <v>100</v>
      </c>
      <c r="E43" s="72">
        <f t="shared" si="12"/>
        <v>0</v>
      </c>
      <c r="F43" s="247">
        <f>AVERAGE(J43,N43,R43,V43)</f>
        <v>95</v>
      </c>
      <c r="G43" s="72">
        <f t="shared" si="11"/>
        <v>0</v>
      </c>
      <c r="H43" s="267">
        <v>100</v>
      </c>
      <c r="I43" s="175">
        <v>0</v>
      </c>
      <c r="J43" s="348">
        <v>100</v>
      </c>
      <c r="K43" s="315">
        <v>0</v>
      </c>
      <c r="L43" s="270">
        <v>100</v>
      </c>
      <c r="M43" s="515">
        <v>0</v>
      </c>
      <c r="N43" s="348">
        <v>100</v>
      </c>
      <c r="O43" s="72">
        <v>0</v>
      </c>
      <c r="P43" s="270">
        <v>100</v>
      </c>
      <c r="Q43" s="72">
        <v>0</v>
      </c>
      <c r="R43" s="596">
        <v>100</v>
      </c>
      <c r="S43" s="72">
        <v>0</v>
      </c>
      <c r="T43" s="270">
        <v>100</v>
      </c>
      <c r="U43" s="72">
        <v>0</v>
      </c>
      <c r="V43" s="71">
        <v>80</v>
      </c>
      <c r="W43" s="220">
        <v>0</v>
      </c>
      <c r="X43" s="499"/>
    </row>
    <row r="44" spans="1:26" ht="43.5" customHeight="1">
      <c r="A44" s="329" t="s">
        <v>387</v>
      </c>
      <c r="B44" s="189" t="s">
        <v>189</v>
      </c>
      <c r="C44" s="174" t="s">
        <v>388</v>
      </c>
      <c r="D44" s="247">
        <f>AVERAGE(H44,L44,P44,T44)</f>
        <v>1</v>
      </c>
      <c r="E44" s="72">
        <f t="shared" si="12"/>
        <v>77668875</v>
      </c>
      <c r="F44" s="247">
        <f>AVERAGE(J44,N44,R44,V44)</f>
        <v>0.95</v>
      </c>
      <c r="G44" s="72">
        <f t="shared" si="11"/>
        <v>8639219</v>
      </c>
      <c r="H44" s="267">
        <v>1</v>
      </c>
      <c r="I44" s="175">
        <v>0</v>
      </c>
      <c r="J44" s="378">
        <v>1</v>
      </c>
      <c r="K44" s="315">
        <v>0</v>
      </c>
      <c r="L44" s="270">
        <v>1</v>
      </c>
      <c r="M44" s="515">
        <v>4779040</v>
      </c>
      <c r="N44" s="348">
        <v>1</v>
      </c>
      <c r="O44" s="72">
        <v>4779040</v>
      </c>
      <c r="P44" s="270">
        <v>1</v>
      </c>
      <c r="Q44" s="72">
        <v>32635625</v>
      </c>
      <c r="R44" s="597">
        <v>1</v>
      </c>
      <c r="S44" s="72">
        <v>3860179</v>
      </c>
      <c r="T44" s="270">
        <v>1</v>
      </c>
      <c r="U44" s="72">
        <v>40254210</v>
      </c>
      <c r="V44" s="678">
        <v>0.8</v>
      </c>
      <c r="W44" s="220">
        <v>0</v>
      </c>
      <c r="X44" s="499"/>
    </row>
    <row r="45" spans="1:26" ht="43.5" customHeight="1">
      <c r="A45" s="334" t="s">
        <v>515</v>
      </c>
      <c r="B45" s="290"/>
      <c r="C45" s="174" t="s">
        <v>516</v>
      </c>
      <c r="D45" s="292">
        <v>0</v>
      </c>
      <c r="E45" s="72">
        <f t="shared" si="12"/>
        <v>55272029</v>
      </c>
      <c r="F45" s="209">
        <v>0</v>
      </c>
      <c r="G45" s="72">
        <f t="shared" si="11"/>
        <v>54623470</v>
      </c>
      <c r="H45" s="267"/>
      <c r="I45" s="72">
        <v>35810969</v>
      </c>
      <c r="J45" s="355"/>
      <c r="K45" s="317">
        <v>35162410</v>
      </c>
      <c r="L45" s="272"/>
      <c r="M45" s="517">
        <v>19461060</v>
      </c>
      <c r="N45" s="355"/>
      <c r="O45" s="215">
        <v>19461060</v>
      </c>
      <c r="P45" s="272"/>
      <c r="Q45" s="215">
        <v>0</v>
      </c>
      <c r="R45" s="216">
        <v>0</v>
      </c>
      <c r="S45" s="215"/>
      <c r="T45" s="272"/>
      <c r="U45" s="215">
        <v>0</v>
      </c>
      <c r="V45" s="293"/>
      <c r="W45" s="294"/>
      <c r="X45" s="499"/>
    </row>
    <row r="46" spans="1:26" ht="75.75" customHeight="1">
      <c r="A46" s="305" t="s">
        <v>504</v>
      </c>
      <c r="B46" s="196"/>
      <c r="C46" s="197"/>
      <c r="D46" s="198"/>
      <c r="E46" s="199">
        <f>SUM(E47:E54)</f>
        <v>7448728335</v>
      </c>
      <c r="F46" s="183"/>
      <c r="G46" s="182">
        <f>SUM(G47:G54)</f>
        <v>6596498026.4840002</v>
      </c>
      <c r="H46" s="265"/>
      <c r="I46" s="182">
        <f>SUM(I47:I54)</f>
        <v>1661784304</v>
      </c>
      <c r="J46" s="356"/>
      <c r="K46" s="228">
        <f>SUM(K47:K54)</f>
        <v>1646505841</v>
      </c>
      <c r="L46" s="283"/>
      <c r="M46" s="494">
        <f>SUM(M47:M54)</f>
        <v>1458437028</v>
      </c>
      <c r="N46" s="199"/>
      <c r="O46" s="199">
        <f>SUM(O47:O54)</f>
        <v>1225954577.3199999</v>
      </c>
      <c r="P46" s="283"/>
      <c r="Q46" s="199">
        <f>SUM(Q47:Q54)</f>
        <v>1404296999</v>
      </c>
      <c r="R46" s="228"/>
      <c r="S46" s="199">
        <f>SUM(S47:S54)</f>
        <v>1238670816.1559999</v>
      </c>
      <c r="T46" s="199"/>
      <c r="U46" s="199">
        <f>SUM(U47:U54)</f>
        <v>2924210004</v>
      </c>
      <c r="V46" s="224">
        <f>SUM(V47:V52)</f>
        <v>216296.61499999999</v>
      </c>
      <c r="W46" s="654">
        <f>SUM(W47:W54)</f>
        <v>2485366792.0079999</v>
      </c>
      <c r="X46" s="499"/>
      <c r="Z46" s="499"/>
    </row>
    <row r="47" spans="1:26" ht="42.75" customHeight="1">
      <c r="A47" s="332" t="s">
        <v>389</v>
      </c>
      <c r="B47" s="251" t="s">
        <v>489</v>
      </c>
      <c r="C47" s="209" t="s">
        <v>1</v>
      </c>
      <c r="D47" s="247">
        <f>AVERAGE(H47,L47,P47,T47)</f>
        <v>100</v>
      </c>
      <c r="E47" s="72">
        <f>+I47+M47+Q47+U47</f>
        <v>0</v>
      </c>
      <c r="F47" s="247">
        <f>AVERAGE(J47,N47,R47,V47)</f>
        <v>92.5</v>
      </c>
      <c r="G47" s="383">
        <f t="shared" ref="G47:G54" si="13">+K47+O47+S47+W47</f>
        <v>0</v>
      </c>
      <c r="H47" s="306">
        <v>100</v>
      </c>
      <c r="J47" s="369">
        <v>100</v>
      </c>
      <c r="K47" s="209">
        <v>0</v>
      </c>
      <c r="L47" s="270">
        <v>100</v>
      </c>
      <c r="M47" s="515">
        <v>0</v>
      </c>
      <c r="N47" s="348">
        <v>100</v>
      </c>
      <c r="O47" s="200">
        <v>0</v>
      </c>
      <c r="P47" s="270">
        <v>100</v>
      </c>
      <c r="Q47" s="72">
        <v>0</v>
      </c>
      <c r="R47" s="596">
        <v>100</v>
      </c>
      <c r="S47" s="72">
        <v>0</v>
      </c>
      <c r="T47" s="270">
        <v>100</v>
      </c>
      <c r="U47" s="503">
        <v>0</v>
      </c>
      <c r="V47" s="71">
        <v>70</v>
      </c>
      <c r="W47" s="220">
        <v>0</v>
      </c>
      <c r="X47" s="499"/>
      <c r="Z47" s="499"/>
    </row>
    <row r="48" spans="1:26" ht="46.5" customHeight="1">
      <c r="A48" s="329" t="s">
        <v>524</v>
      </c>
      <c r="B48" s="251" t="s">
        <v>489</v>
      </c>
      <c r="C48" s="245" t="s">
        <v>454</v>
      </c>
      <c r="D48" s="247">
        <v>99948</v>
      </c>
      <c r="E48" s="72">
        <f>+I48+M48+Q48+U48</f>
        <v>1848056983</v>
      </c>
      <c r="F48" s="513">
        <f>AVERAGE(J48,N48,R48+V48)+25636.64</f>
        <v>115666.40666666666</v>
      </c>
      <c r="G48" s="383">
        <f t="shared" si="13"/>
        <v>1769794197</v>
      </c>
      <c r="H48" s="280">
        <v>35140</v>
      </c>
      <c r="I48" s="72">
        <v>1418862043</v>
      </c>
      <c r="J48" s="369">
        <v>35140</v>
      </c>
      <c r="K48" s="209">
        <v>1413507357</v>
      </c>
      <c r="L48" s="270">
        <v>66787</v>
      </c>
      <c r="M48" s="515">
        <v>115460000</v>
      </c>
      <c r="N48" s="348">
        <v>66787</v>
      </c>
      <c r="O48" s="200">
        <v>72466080</v>
      </c>
      <c r="P48" s="270">
        <v>99948</v>
      </c>
      <c r="Q48" s="72">
        <v>165850760</v>
      </c>
      <c r="R48" s="596">
        <v>99948</v>
      </c>
      <c r="S48" s="72">
        <v>164344760</v>
      </c>
      <c r="T48" s="270">
        <v>99948</v>
      </c>
      <c r="U48" s="503">
        <v>147884180</v>
      </c>
      <c r="V48" s="71">
        <v>68214.3</v>
      </c>
      <c r="W48" s="220">
        <v>119476000</v>
      </c>
      <c r="X48" s="499"/>
    </row>
    <row r="49" spans="1:31" ht="46.5" customHeight="1">
      <c r="A49" s="329" t="s">
        <v>525</v>
      </c>
      <c r="B49" s="251"/>
      <c r="C49" s="245" t="s">
        <v>454</v>
      </c>
      <c r="D49" s="247">
        <v>216462</v>
      </c>
      <c r="E49" s="72">
        <f t="shared" ref="E49:E54" si="14">+I49+M49+Q49+U49</f>
        <v>4295025169</v>
      </c>
      <c r="F49" s="513">
        <f t="shared" ref="F49" si="15">AVERAGE(J49,N49,R49,V49)</f>
        <v>156670.07874999999</v>
      </c>
      <c r="G49" s="383">
        <f t="shared" si="13"/>
        <v>3865539439.3280001</v>
      </c>
      <c r="H49" s="280">
        <v>186743</v>
      </c>
      <c r="I49" s="72"/>
      <c r="J49" s="369">
        <v>186743</v>
      </c>
      <c r="K49" s="209"/>
      <c r="L49" s="270">
        <v>137106</v>
      </c>
      <c r="M49" s="515">
        <v>978406730</v>
      </c>
      <c r="N49" s="348">
        <v>137106</v>
      </c>
      <c r="O49" s="72">
        <v>915531581.31999993</v>
      </c>
      <c r="P49" s="270">
        <v>155096</v>
      </c>
      <c r="Q49" s="72">
        <v>919158485</v>
      </c>
      <c r="R49" s="596">
        <v>155096</v>
      </c>
      <c r="S49" s="72">
        <v>819112849</v>
      </c>
      <c r="T49" s="270">
        <v>216462</v>
      </c>
      <c r="U49" s="503">
        <v>2397459954</v>
      </c>
      <c r="V49" s="71">
        <v>147735.315</v>
      </c>
      <c r="W49" s="220">
        <v>2130895009.0079999</v>
      </c>
      <c r="X49" s="499"/>
    </row>
    <row r="50" spans="1:31" ht="46.5" customHeight="1">
      <c r="A50" s="332" t="s">
        <v>390</v>
      </c>
      <c r="B50" s="251" t="s">
        <v>189</v>
      </c>
      <c r="C50" s="209" t="s">
        <v>1</v>
      </c>
      <c r="D50" s="209">
        <f>+H50+L50+P50+T50</f>
        <v>100</v>
      </c>
      <c r="E50" s="72">
        <f t="shared" si="14"/>
        <v>0</v>
      </c>
      <c r="F50" s="209">
        <f>+J50+N50+R50+V50</f>
        <v>91.7</v>
      </c>
      <c r="G50" s="383">
        <f t="shared" si="13"/>
        <v>0</v>
      </c>
      <c r="H50" s="280">
        <v>25</v>
      </c>
      <c r="I50" s="72">
        <v>0</v>
      </c>
      <c r="J50" s="369">
        <v>25</v>
      </c>
      <c r="K50" s="209">
        <v>0</v>
      </c>
      <c r="L50" s="270">
        <v>25</v>
      </c>
      <c r="M50" s="515">
        <v>0</v>
      </c>
      <c r="N50" s="564">
        <v>24.7</v>
      </c>
      <c r="O50" s="200">
        <v>0</v>
      </c>
      <c r="P50" s="270">
        <v>25</v>
      </c>
      <c r="Q50" s="72">
        <v>0</v>
      </c>
      <c r="R50" s="596">
        <v>25</v>
      </c>
      <c r="S50" s="72">
        <v>0</v>
      </c>
      <c r="T50" s="270">
        <v>25</v>
      </c>
      <c r="U50" s="503"/>
      <c r="V50" s="71">
        <v>17</v>
      </c>
      <c r="W50" s="220">
        <v>0</v>
      </c>
      <c r="X50" s="499">
        <f>+P50*0.73</f>
        <v>18.25</v>
      </c>
    </row>
    <row r="51" spans="1:31" ht="42.75" customHeight="1">
      <c r="A51" s="329" t="s">
        <v>392</v>
      </c>
      <c r="B51" s="251" t="s">
        <v>189</v>
      </c>
      <c r="C51" s="174" t="s">
        <v>188</v>
      </c>
      <c r="D51" s="247">
        <v>267</v>
      </c>
      <c r="E51" s="72">
        <f t="shared" si="14"/>
        <v>681189723</v>
      </c>
      <c r="F51" s="209">
        <f>AVERAGE(J51,N51,R51,V51)+38</f>
        <v>245</v>
      </c>
      <c r="G51" s="383">
        <f t="shared" si="13"/>
        <v>461496748.65600002</v>
      </c>
      <c r="H51" s="284">
        <v>192</v>
      </c>
      <c r="I51" s="72">
        <v>168042178</v>
      </c>
      <c r="J51" s="369">
        <v>192</v>
      </c>
      <c r="K51" s="209">
        <v>160448537</v>
      </c>
      <c r="L51" s="270">
        <v>217</v>
      </c>
      <c r="M51" s="515">
        <v>232236751</v>
      </c>
      <c r="N51" s="348">
        <v>214</v>
      </c>
      <c r="O51" s="200">
        <v>131044683</v>
      </c>
      <c r="P51" s="270">
        <v>242</v>
      </c>
      <c r="Q51" s="72">
        <v>125192987</v>
      </c>
      <c r="R51" s="596">
        <v>242</v>
      </c>
      <c r="S51" s="72">
        <v>109969773.656</v>
      </c>
      <c r="T51" s="270">
        <v>267</v>
      </c>
      <c r="U51" s="72">
        <v>155717807</v>
      </c>
      <c r="V51" s="231">
        <v>180</v>
      </c>
      <c r="W51" s="220">
        <v>60033755</v>
      </c>
      <c r="X51" s="499">
        <f>+R51/P51*100</f>
        <v>100</v>
      </c>
      <c r="Y51" s="499"/>
      <c r="Z51" s="499"/>
      <c r="AA51" s="499"/>
    </row>
    <row r="52" spans="1:31" ht="49.5" customHeight="1">
      <c r="A52" s="332" t="s">
        <v>391</v>
      </c>
      <c r="B52" s="189" t="s">
        <v>191</v>
      </c>
      <c r="C52" s="174" t="s">
        <v>180</v>
      </c>
      <c r="D52" s="247">
        <f>AVERAGE(H52,L52,P52,T52)</f>
        <v>100</v>
      </c>
      <c r="E52" s="72">
        <f t="shared" si="14"/>
        <v>0</v>
      </c>
      <c r="F52" s="209">
        <f>AVERAGE(J52,N52,R52,V52)</f>
        <v>95</v>
      </c>
      <c r="G52" s="383">
        <f t="shared" si="13"/>
        <v>0</v>
      </c>
      <c r="H52" s="267">
        <v>100</v>
      </c>
      <c r="I52" s="175">
        <v>0</v>
      </c>
      <c r="J52" s="348">
        <v>100</v>
      </c>
      <c r="K52" s="315">
        <v>0</v>
      </c>
      <c r="L52" s="270">
        <v>100</v>
      </c>
      <c r="M52" s="515">
        <v>0</v>
      </c>
      <c r="N52" s="381">
        <v>100</v>
      </c>
      <c r="O52" s="72">
        <v>0</v>
      </c>
      <c r="P52" s="270">
        <v>100</v>
      </c>
      <c r="Q52" s="72">
        <v>0</v>
      </c>
      <c r="R52" s="209">
        <v>100</v>
      </c>
      <c r="S52" s="72">
        <v>0</v>
      </c>
      <c r="T52" s="270">
        <v>100</v>
      </c>
      <c r="U52" s="72"/>
      <c r="V52" s="71">
        <v>80</v>
      </c>
      <c r="W52" s="220">
        <v>0</v>
      </c>
      <c r="X52" s="499">
        <f>+P52*0.75</f>
        <v>75</v>
      </c>
      <c r="Z52" s="499"/>
    </row>
    <row r="53" spans="1:31" ht="41.25" customHeight="1">
      <c r="A53" s="329" t="s">
        <v>456</v>
      </c>
      <c r="B53" s="176" t="s">
        <v>189</v>
      </c>
      <c r="C53" s="176" t="s">
        <v>388</v>
      </c>
      <c r="D53" s="247">
        <f>AVERAGE(H53,L53,P53,T53)</f>
        <v>4</v>
      </c>
      <c r="E53" s="72">
        <f t="shared" si="14"/>
        <v>421667180</v>
      </c>
      <c r="F53" s="610">
        <f>AVERAGE(J53,N53,R53,V53)</f>
        <v>3.8</v>
      </c>
      <c r="G53" s="383">
        <f t="shared" si="13"/>
        <v>324949294.5</v>
      </c>
      <c r="H53" s="265">
        <v>4</v>
      </c>
      <c r="I53" s="295">
        <v>65978274</v>
      </c>
      <c r="J53" s="357">
        <v>4</v>
      </c>
      <c r="K53" s="209">
        <v>64018744</v>
      </c>
      <c r="L53" s="270">
        <v>4</v>
      </c>
      <c r="M53" s="515">
        <v>103719547</v>
      </c>
      <c r="N53" s="348">
        <v>4</v>
      </c>
      <c r="O53" s="72">
        <v>80107349</v>
      </c>
      <c r="P53" s="270">
        <v>4</v>
      </c>
      <c r="Q53" s="72">
        <v>114735679</v>
      </c>
      <c r="R53" s="209">
        <v>4</v>
      </c>
      <c r="S53" s="72">
        <v>65884345.5</v>
      </c>
      <c r="T53" s="270">
        <v>4</v>
      </c>
      <c r="U53" s="503">
        <v>137233680</v>
      </c>
      <c r="V53" s="71">
        <v>3.2</v>
      </c>
      <c r="W53" s="220">
        <v>114938856</v>
      </c>
      <c r="X53" s="499">
        <f>+R53/P53*100</f>
        <v>100</v>
      </c>
    </row>
    <row r="54" spans="1:31" ht="41.25" customHeight="1">
      <c r="A54" s="334" t="s">
        <v>515</v>
      </c>
      <c r="B54" s="290"/>
      <c r="C54" s="291" t="s">
        <v>516</v>
      </c>
      <c r="D54" s="292">
        <v>0</v>
      </c>
      <c r="E54" s="72">
        <f t="shared" si="14"/>
        <v>202789280</v>
      </c>
      <c r="F54" s="178"/>
      <c r="G54" s="383">
        <f t="shared" si="13"/>
        <v>174718347</v>
      </c>
      <c r="H54" s="263"/>
      <c r="I54" s="296">
        <v>8901809</v>
      </c>
      <c r="J54" s="358"/>
      <c r="K54" s="312">
        <v>8531203</v>
      </c>
      <c r="L54" s="268"/>
      <c r="M54" s="514">
        <v>28614000</v>
      </c>
      <c r="N54" s="369"/>
      <c r="O54" s="298">
        <v>26804884</v>
      </c>
      <c r="P54" s="268">
        <v>0</v>
      </c>
      <c r="Q54" s="297">
        <v>79359088</v>
      </c>
      <c r="R54" s="312"/>
      <c r="S54" s="297">
        <v>79359088</v>
      </c>
      <c r="T54" s="268"/>
      <c r="U54" s="504">
        <v>85914383</v>
      </c>
      <c r="V54" s="300"/>
      <c r="W54" s="301">
        <v>60023172</v>
      </c>
      <c r="X54" s="499"/>
    </row>
    <row r="55" spans="1:31" ht="52.5" customHeight="1">
      <c r="A55" s="257" t="s">
        <v>393</v>
      </c>
      <c r="B55" s="172"/>
      <c r="C55" s="202"/>
      <c r="D55" s="202"/>
      <c r="E55" s="258">
        <f>+E56+E64</f>
        <v>22530339832.288002</v>
      </c>
      <c r="F55" s="703"/>
      <c r="G55" s="259">
        <f>+G56+G64</f>
        <v>19174029793.380001</v>
      </c>
      <c r="H55" s="273">
        <v>0</v>
      </c>
      <c r="I55" s="259">
        <f>+I56+I64</f>
        <v>6601341452</v>
      </c>
      <c r="J55" s="359"/>
      <c r="K55" s="318">
        <f>+K56+K64</f>
        <v>6311475737</v>
      </c>
      <c r="L55" s="259"/>
      <c r="M55" s="493">
        <f>+M56+M64</f>
        <v>2912925458</v>
      </c>
      <c r="N55" s="259"/>
      <c r="O55" s="259">
        <f>+O56+O64</f>
        <v>2823953580</v>
      </c>
      <c r="P55" s="259"/>
      <c r="Q55" s="493">
        <f>+Q56+Q64</f>
        <v>9623071163</v>
      </c>
      <c r="R55" s="318"/>
      <c r="S55" s="259">
        <f>+S56+S64</f>
        <v>8092939416.8880005</v>
      </c>
      <c r="T55" s="259">
        <f t="shared" ref="T55:U55" si="16">+T56+T64</f>
        <v>0</v>
      </c>
      <c r="U55" s="259">
        <f t="shared" si="16"/>
        <v>3393001759.2880001</v>
      </c>
      <c r="V55" s="259"/>
      <c r="W55" s="655">
        <f>+W56+W64</f>
        <v>1945661059.4919999</v>
      </c>
      <c r="X55" s="499"/>
    </row>
    <row r="56" spans="1:31" ht="51" customHeight="1">
      <c r="A56" s="309" t="s">
        <v>503</v>
      </c>
      <c r="B56" s="187"/>
      <c r="C56" s="205"/>
      <c r="D56" s="206"/>
      <c r="E56" s="207">
        <f>SUM(E57:E63)</f>
        <v>20489361899.288002</v>
      </c>
      <c r="F56" s="704"/>
      <c r="G56" s="207">
        <f>SUM(G57:G63)</f>
        <v>17341612727.492001</v>
      </c>
      <c r="H56" s="274">
        <v>0</v>
      </c>
      <c r="I56" s="323">
        <f>SUM(I57:I63)</f>
        <v>6454547219</v>
      </c>
      <c r="J56" s="360"/>
      <c r="K56" s="316">
        <f>SUM(K57:K63)</f>
        <v>6187869567</v>
      </c>
      <c r="L56" s="206">
        <v>0</v>
      </c>
      <c r="M56" s="259">
        <f>SUM(M57:M63)</f>
        <v>2068741758</v>
      </c>
      <c r="N56" s="206">
        <v>0</v>
      </c>
      <c r="O56" s="207">
        <f>SUM(O57:O63)</f>
        <v>2009962043</v>
      </c>
      <c r="P56" s="207">
        <v>0</v>
      </c>
      <c r="Q56" s="207">
        <f>SUM(Q57:Q63)</f>
        <v>9123071163</v>
      </c>
      <c r="R56" s="316">
        <v>0</v>
      </c>
      <c r="S56" s="207">
        <f>SUM(S57:S63)</f>
        <v>7593056118</v>
      </c>
      <c r="T56" s="207"/>
      <c r="U56" s="207">
        <f t="shared" ref="U56" si="17">SUM(U57:U63)</f>
        <v>2843001759.2880001</v>
      </c>
      <c r="V56" s="225"/>
      <c r="W56" s="656">
        <f>SUM(W57:W63)</f>
        <v>1550724999.4919999</v>
      </c>
      <c r="X56" s="499"/>
      <c r="Z56" s="499"/>
    </row>
    <row r="57" spans="1:31" ht="41.25" customHeight="1">
      <c r="A57" s="249" t="s">
        <v>395</v>
      </c>
      <c r="B57" s="251" t="s">
        <v>187</v>
      </c>
      <c r="C57" s="174" t="s">
        <v>1</v>
      </c>
      <c r="D57" s="247">
        <f>+H57+L57+P57+T57</f>
        <v>100</v>
      </c>
      <c r="E57" s="72">
        <f>+I57+M57+Q57+U57</f>
        <v>890629421.79999995</v>
      </c>
      <c r="F57" s="209">
        <f>+J57+N57+R57+V57</f>
        <v>99</v>
      </c>
      <c r="G57" s="72">
        <f t="shared" ref="G57:G63" si="18">+K57+O57+S57+W57</f>
        <v>885467060</v>
      </c>
      <c r="H57" s="270">
        <v>25</v>
      </c>
      <c r="I57" s="72">
        <v>80922400</v>
      </c>
      <c r="J57" s="348">
        <v>25</v>
      </c>
      <c r="K57" s="209">
        <v>80922400</v>
      </c>
      <c r="L57" s="270">
        <v>25</v>
      </c>
      <c r="M57" s="515">
        <v>229560741</v>
      </c>
      <c r="N57" s="348">
        <v>25</v>
      </c>
      <c r="O57" s="72">
        <v>227840867</v>
      </c>
      <c r="P57" s="270">
        <v>25</v>
      </c>
      <c r="Q57" s="72">
        <v>230538722</v>
      </c>
      <c r="R57" s="209">
        <v>25</v>
      </c>
      <c r="S57" s="72">
        <v>230114750</v>
      </c>
      <c r="T57" s="270">
        <v>25</v>
      </c>
      <c r="U57" s="72">
        <v>349607558.80000001</v>
      </c>
      <c r="V57" s="71">
        <v>24</v>
      </c>
      <c r="W57" s="220">
        <v>346589043</v>
      </c>
      <c r="X57" s="499"/>
      <c r="Z57" s="499"/>
    </row>
    <row r="58" spans="1:31" ht="54">
      <c r="A58" s="332" t="s">
        <v>396</v>
      </c>
      <c r="B58" s="251" t="s">
        <v>187</v>
      </c>
      <c r="C58" s="174" t="s">
        <v>1</v>
      </c>
      <c r="D58" s="247">
        <f>+H58+L58+P58+T58</f>
        <v>100</v>
      </c>
      <c r="E58" s="72">
        <f t="shared" ref="E58:E68" si="19">+I58+M58+Q58+U58</f>
        <v>0</v>
      </c>
      <c r="F58" s="209">
        <f>+J58+N58+R58+V58</f>
        <v>100</v>
      </c>
      <c r="G58" s="72">
        <f t="shared" si="18"/>
        <v>0</v>
      </c>
      <c r="H58" s="270">
        <v>19</v>
      </c>
      <c r="I58" s="72">
        <v>0</v>
      </c>
      <c r="J58" s="348">
        <v>19</v>
      </c>
      <c r="K58" s="209">
        <v>0</v>
      </c>
      <c r="L58" s="280">
        <v>27</v>
      </c>
      <c r="M58" s="515">
        <v>0</v>
      </c>
      <c r="N58" s="348">
        <v>27</v>
      </c>
      <c r="O58" s="72">
        <v>0</v>
      </c>
      <c r="P58" s="270">
        <v>27</v>
      </c>
      <c r="Q58" s="72">
        <v>0</v>
      </c>
      <c r="R58" s="596">
        <v>27</v>
      </c>
      <c r="S58" s="72">
        <v>0</v>
      </c>
      <c r="T58" s="270">
        <v>27</v>
      </c>
      <c r="U58" s="72">
        <v>0</v>
      </c>
      <c r="V58" s="209">
        <v>27</v>
      </c>
      <c r="W58" s="657">
        <v>0</v>
      </c>
      <c r="X58" s="499">
        <f>+P58*0.67</f>
        <v>18.09</v>
      </c>
      <c r="Y58" s="501"/>
      <c r="Z58" s="501"/>
      <c r="AA58" s="260"/>
      <c r="AB58" s="260"/>
      <c r="AC58" s="260"/>
      <c r="AD58" s="261"/>
      <c r="AE58" s="262"/>
    </row>
    <row r="59" spans="1:31" ht="54">
      <c r="A59" s="335" t="s">
        <v>397</v>
      </c>
      <c r="B59" s="251" t="s">
        <v>187</v>
      </c>
      <c r="C59" s="174" t="s">
        <v>490</v>
      </c>
      <c r="D59" s="247">
        <v>11</v>
      </c>
      <c r="E59" s="72">
        <f>+I59+M59+Q59+U59</f>
        <v>2760641222</v>
      </c>
      <c r="F59" s="209">
        <f>+J59+N59+R59+V59</f>
        <v>11</v>
      </c>
      <c r="G59" s="72">
        <f t="shared" si="18"/>
        <v>2336508615.448</v>
      </c>
      <c r="H59" s="270">
        <v>2</v>
      </c>
      <c r="I59" s="72">
        <v>1655479575</v>
      </c>
      <c r="J59" s="348">
        <v>2</v>
      </c>
      <c r="K59" s="209">
        <v>1397054484</v>
      </c>
      <c r="L59" s="270">
        <v>3</v>
      </c>
      <c r="M59" s="515">
        <v>610000000</v>
      </c>
      <c r="N59" s="348">
        <v>3</v>
      </c>
      <c r="O59" s="72">
        <v>570006056</v>
      </c>
      <c r="P59" s="270">
        <v>3</v>
      </c>
      <c r="Q59" s="72">
        <v>207914483</v>
      </c>
      <c r="R59" s="597">
        <v>3</v>
      </c>
      <c r="S59" s="72">
        <v>177923158</v>
      </c>
      <c r="T59" s="270">
        <v>3</v>
      </c>
      <c r="U59" s="72">
        <v>287247164</v>
      </c>
      <c r="V59" s="678">
        <v>3</v>
      </c>
      <c r="W59" s="220">
        <v>191524917.44800001</v>
      </c>
      <c r="X59" s="499">
        <f>+R59/P59*100</f>
        <v>100</v>
      </c>
    </row>
    <row r="60" spans="1:31" ht="44.25" customHeight="1">
      <c r="A60" s="336" t="s">
        <v>520</v>
      </c>
      <c r="B60" s="251" t="s">
        <v>189</v>
      </c>
      <c r="C60" s="174" t="s">
        <v>398</v>
      </c>
      <c r="D60" s="247">
        <f>AVERAGE(H60,L60,P60,T60)</f>
        <v>1</v>
      </c>
      <c r="E60" s="72">
        <f t="shared" si="19"/>
        <v>162118603.48800001</v>
      </c>
      <c r="F60" s="209">
        <f>AVERAGE(J60,N60,R60,V60)</f>
        <v>1</v>
      </c>
      <c r="G60" s="72">
        <f t="shared" si="18"/>
        <v>159704480</v>
      </c>
      <c r="H60" s="265">
        <v>1</v>
      </c>
      <c r="I60" s="72">
        <v>23493600</v>
      </c>
      <c r="J60" s="358">
        <v>1</v>
      </c>
      <c r="K60" s="209">
        <v>23493600</v>
      </c>
      <c r="L60" s="270">
        <v>1</v>
      </c>
      <c r="M60" s="515">
        <v>49818800</v>
      </c>
      <c r="N60" s="348">
        <v>1</v>
      </c>
      <c r="O60" s="72">
        <v>47733310</v>
      </c>
      <c r="P60" s="270">
        <v>1</v>
      </c>
      <c r="Q60" s="72">
        <v>45564303</v>
      </c>
      <c r="R60" s="610">
        <v>1</v>
      </c>
      <c r="S60" s="72">
        <v>45235670</v>
      </c>
      <c r="T60" s="270">
        <v>1</v>
      </c>
      <c r="U60" s="72">
        <v>43241900.487999998</v>
      </c>
      <c r="V60" s="678">
        <v>1</v>
      </c>
      <c r="W60" s="220">
        <v>43241900</v>
      </c>
      <c r="X60" s="499"/>
    </row>
    <row r="61" spans="1:31" ht="47.25" customHeight="1">
      <c r="A61" s="336" t="s">
        <v>399</v>
      </c>
      <c r="B61" s="251" t="s">
        <v>187</v>
      </c>
      <c r="C61" s="174" t="s">
        <v>400</v>
      </c>
      <c r="D61" s="247">
        <f>+H61+L61+P61+T61</f>
        <v>8</v>
      </c>
      <c r="E61" s="72">
        <f t="shared" si="19"/>
        <v>10000000</v>
      </c>
      <c r="F61" s="209">
        <f>+J61+N61+R61+V61</f>
        <v>8</v>
      </c>
      <c r="G61" s="72">
        <f t="shared" si="18"/>
        <v>0</v>
      </c>
      <c r="H61" s="270">
        <v>2</v>
      </c>
      <c r="I61" s="72">
        <v>0</v>
      </c>
      <c r="J61" s="358">
        <v>2</v>
      </c>
      <c r="K61" s="209">
        <v>0</v>
      </c>
      <c r="L61" s="270">
        <v>2</v>
      </c>
      <c r="M61" s="515">
        <v>10000000</v>
      </c>
      <c r="N61" s="348">
        <v>2</v>
      </c>
      <c r="O61" s="72">
        <v>0</v>
      </c>
      <c r="P61" s="270">
        <v>2</v>
      </c>
      <c r="Q61" s="72"/>
      <c r="R61" s="597">
        <v>2</v>
      </c>
      <c r="S61" s="72">
        <v>0</v>
      </c>
      <c r="T61" s="270">
        <v>2</v>
      </c>
      <c r="U61" s="72">
        <v>0</v>
      </c>
      <c r="V61" s="71">
        <v>2</v>
      </c>
      <c r="W61" s="220">
        <v>0</v>
      </c>
      <c r="X61" s="499"/>
    </row>
    <row r="62" spans="1:31" ht="108">
      <c r="A62" s="336" t="s">
        <v>401</v>
      </c>
      <c r="B62" s="251" t="s">
        <v>191</v>
      </c>
      <c r="C62" s="174" t="s">
        <v>400</v>
      </c>
      <c r="D62" s="247">
        <f>AVERAGE(H62,L62,P62,T62)</f>
        <v>1.5</v>
      </c>
      <c r="E62" s="72">
        <f>+I62+M62+Q62+U62</f>
        <v>16554626253</v>
      </c>
      <c r="F62" s="209">
        <f>AVERAGE(J62,N62,R62,V62)</f>
        <v>1.5</v>
      </c>
      <c r="G62" s="72">
        <f t="shared" si="18"/>
        <v>13862827777.044001</v>
      </c>
      <c r="H62" s="270">
        <v>1</v>
      </c>
      <c r="I62" s="72">
        <v>4676133681</v>
      </c>
      <c r="J62" s="348">
        <v>1</v>
      </c>
      <c r="K62" s="209">
        <v>4668911244</v>
      </c>
      <c r="L62" s="270">
        <v>2</v>
      </c>
      <c r="M62" s="515">
        <v>1153441758</v>
      </c>
      <c r="N62" s="348">
        <v>2</v>
      </c>
      <c r="O62" s="72">
        <v>1148462321</v>
      </c>
      <c r="P62" s="270">
        <v>1</v>
      </c>
      <c r="Q62" s="72">
        <v>8620137242</v>
      </c>
      <c r="R62" s="597">
        <v>1</v>
      </c>
      <c r="S62" s="72">
        <v>7120866127</v>
      </c>
      <c r="T62" s="270">
        <v>2</v>
      </c>
      <c r="U62" s="72">
        <v>2104913572</v>
      </c>
      <c r="V62" s="71">
        <v>2</v>
      </c>
      <c r="W62" s="220">
        <v>924588085.04399991</v>
      </c>
      <c r="X62" s="499"/>
    </row>
    <row r="63" spans="1:31" ht="69.75" customHeight="1">
      <c r="A63" s="334" t="s">
        <v>515</v>
      </c>
      <c r="B63" s="290"/>
      <c r="C63" s="174" t="s">
        <v>516</v>
      </c>
      <c r="D63" s="174"/>
      <c r="E63" s="72">
        <f>+I63+M63+Q63+U63</f>
        <v>111346399</v>
      </c>
      <c r="F63" s="209"/>
      <c r="G63" s="72">
        <f t="shared" si="18"/>
        <v>97104795</v>
      </c>
      <c r="H63" s="270"/>
      <c r="I63" s="72">
        <v>18517963</v>
      </c>
      <c r="J63" s="348">
        <v>0</v>
      </c>
      <c r="K63" s="209">
        <v>17487839</v>
      </c>
      <c r="L63" s="270"/>
      <c r="M63" s="515">
        <v>15920459</v>
      </c>
      <c r="N63" s="348"/>
      <c r="O63" s="209">
        <v>15919489</v>
      </c>
      <c r="P63" s="270">
        <v>0</v>
      </c>
      <c r="Q63" s="72">
        <v>18916413</v>
      </c>
      <c r="R63" s="209">
        <v>0</v>
      </c>
      <c r="S63" s="72">
        <v>18916413</v>
      </c>
      <c r="T63" s="270"/>
      <c r="U63" s="72">
        <v>57991564</v>
      </c>
      <c r="V63" s="299"/>
      <c r="W63" s="301">
        <v>44781054</v>
      </c>
      <c r="X63" s="499"/>
    </row>
    <row r="64" spans="1:31" ht="36">
      <c r="A64" s="305" t="s">
        <v>502</v>
      </c>
      <c r="B64" s="187"/>
      <c r="C64" s="206"/>
      <c r="D64" s="208"/>
      <c r="E64" s="207">
        <f>SUM(E65:E68)</f>
        <v>2040977933</v>
      </c>
      <c r="F64" s="705"/>
      <c r="G64" s="207">
        <f>SUM(G65:G68)</f>
        <v>1832417065.888</v>
      </c>
      <c r="H64" s="265">
        <v>0</v>
      </c>
      <c r="I64" s="207">
        <f>SUM(I65:I68)</f>
        <v>146794233</v>
      </c>
      <c r="J64" s="360"/>
      <c r="K64" s="316">
        <f>SUM(K65:K68)</f>
        <v>123606170</v>
      </c>
      <c r="L64" s="265">
        <v>0</v>
      </c>
      <c r="M64" s="207">
        <f>SUM(M65:M68)</f>
        <v>844183700</v>
      </c>
      <c r="N64" s="206">
        <v>0</v>
      </c>
      <c r="O64" s="207">
        <f>SUM(O65:O68)</f>
        <v>813991537</v>
      </c>
      <c r="P64" s="286"/>
      <c r="Q64" s="207">
        <f>SUM(Q65:Q68)</f>
        <v>500000000</v>
      </c>
      <c r="R64" s="316">
        <v>0</v>
      </c>
      <c r="S64" s="207">
        <f>SUM(S65:S68)</f>
        <v>499883298.88800001</v>
      </c>
      <c r="T64" s="207"/>
      <c r="U64" s="207">
        <f t="shared" ref="U64" si="20">SUM(U65:U68)</f>
        <v>550000000</v>
      </c>
      <c r="V64" s="225"/>
      <c r="W64" s="656">
        <f>SUM(W65:W68)</f>
        <v>394936060</v>
      </c>
      <c r="X64" s="499"/>
      <c r="Z64" s="499"/>
    </row>
    <row r="65" spans="1:26" ht="64.5" customHeight="1">
      <c r="A65" s="249" t="s">
        <v>402</v>
      </c>
      <c r="B65" s="178" t="s">
        <v>187</v>
      </c>
      <c r="C65" s="174" t="s">
        <v>1</v>
      </c>
      <c r="D65" s="247">
        <f>+H65+L65+P65+T65</f>
        <v>100</v>
      </c>
      <c r="E65" s="72">
        <f t="shared" si="19"/>
        <v>53000000</v>
      </c>
      <c r="F65" s="209">
        <f t="shared" ref="F65:G68" si="21">+J65+N65+R65+V65</f>
        <v>100</v>
      </c>
      <c r="G65" s="72">
        <f t="shared" si="21"/>
        <v>52999999.508000001</v>
      </c>
      <c r="H65" s="270">
        <v>30</v>
      </c>
      <c r="I65" s="72">
        <v>0</v>
      </c>
      <c r="J65" s="348">
        <v>30</v>
      </c>
      <c r="K65" s="209">
        <v>0</v>
      </c>
      <c r="L65" s="270">
        <v>30</v>
      </c>
      <c r="M65" s="515">
        <v>0</v>
      </c>
      <c r="N65" s="348">
        <v>30</v>
      </c>
      <c r="O65" s="72">
        <v>0</v>
      </c>
      <c r="P65" s="270">
        <v>20</v>
      </c>
      <c r="Q65" s="72">
        <v>53000000</v>
      </c>
      <c r="R65" s="596">
        <v>20</v>
      </c>
      <c r="S65" s="295">
        <v>52999999.508000001</v>
      </c>
      <c r="T65" s="285">
        <v>20</v>
      </c>
      <c r="U65" s="72">
        <v>0</v>
      </c>
      <c r="V65" s="73">
        <v>20</v>
      </c>
      <c r="W65" s="220">
        <v>0</v>
      </c>
      <c r="X65" s="499">
        <f>+R65/P65*100</f>
        <v>100</v>
      </c>
      <c r="Z65" s="499"/>
    </row>
    <row r="66" spans="1:26" ht="49.5" customHeight="1">
      <c r="A66" s="308" t="s">
        <v>404</v>
      </c>
      <c r="B66" s="178" t="s">
        <v>187</v>
      </c>
      <c r="C66" s="178" t="s">
        <v>131</v>
      </c>
      <c r="D66" s="247">
        <f>+H66+L66+P66+T66</f>
        <v>8</v>
      </c>
      <c r="E66" s="72">
        <f t="shared" si="19"/>
        <v>447000000</v>
      </c>
      <c r="F66" s="209">
        <f t="shared" si="21"/>
        <v>8</v>
      </c>
      <c r="G66" s="72">
        <f t="shared" si="21"/>
        <v>369637896.88999999</v>
      </c>
      <c r="H66" s="270">
        <v>2</v>
      </c>
      <c r="I66" s="72">
        <v>0</v>
      </c>
      <c r="J66" s="348">
        <v>2</v>
      </c>
      <c r="K66" s="209">
        <v>0</v>
      </c>
      <c r="L66" s="270">
        <v>2</v>
      </c>
      <c r="M66" s="515">
        <v>150000000</v>
      </c>
      <c r="N66" s="348">
        <v>2</v>
      </c>
      <c r="O66" s="72">
        <v>122638600</v>
      </c>
      <c r="P66" s="270">
        <v>2</v>
      </c>
      <c r="Q66" s="72">
        <v>147000000</v>
      </c>
      <c r="R66" s="597">
        <v>2</v>
      </c>
      <c r="S66" s="72">
        <v>146999992.89000002</v>
      </c>
      <c r="T66" s="270">
        <v>2</v>
      </c>
      <c r="U66" s="72">
        <v>150000000</v>
      </c>
      <c r="V66" s="71">
        <v>2</v>
      </c>
      <c r="W66" s="220">
        <v>99999304</v>
      </c>
      <c r="X66" s="499">
        <f>+R66/P66*100</f>
        <v>100</v>
      </c>
    </row>
    <row r="67" spans="1:26" ht="61.5" customHeight="1">
      <c r="A67" s="307" t="s">
        <v>405</v>
      </c>
      <c r="B67" s="178" t="s">
        <v>187</v>
      </c>
      <c r="C67" s="174" t="s">
        <v>407</v>
      </c>
      <c r="D67" s="247">
        <f>+H67+L67+P67+T67</f>
        <v>2</v>
      </c>
      <c r="E67" s="72">
        <f t="shared" si="19"/>
        <v>130200000</v>
      </c>
      <c r="F67" s="209">
        <f t="shared" si="21"/>
        <v>2</v>
      </c>
      <c r="G67" s="72">
        <f t="shared" si="21"/>
        <v>129896750</v>
      </c>
      <c r="H67" s="270">
        <v>1</v>
      </c>
      <c r="I67" s="72">
        <v>50200000</v>
      </c>
      <c r="J67" s="392">
        <v>1</v>
      </c>
      <c r="K67" s="209">
        <v>50200000</v>
      </c>
      <c r="L67" s="265">
        <v>1</v>
      </c>
      <c r="M67" s="515">
        <v>80000000</v>
      </c>
      <c r="N67" s="530">
        <v>1</v>
      </c>
      <c r="O67" s="72">
        <v>79696750</v>
      </c>
      <c r="P67" s="270">
        <v>0</v>
      </c>
      <c r="Q67" s="72"/>
      <c r="R67" s="209">
        <v>0</v>
      </c>
      <c r="S67" s="72">
        <v>0</v>
      </c>
      <c r="T67" s="270">
        <v>0</v>
      </c>
      <c r="U67" s="72">
        <v>0</v>
      </c>
      <c r="V67" s="680">
        <v>0</v>
      </c>
      <c r="W67" s="220">
        <v>0</v>
      </c>
      <c r="X67" s="499"/>
    </row>
    <row r="68" spans="1:26" ht="90.75" customHeight="1">
      <c r="A68" s="307" t="s">
        <v>406</v>
      </c>
      <c r="B68" s="178" t="s">
        <v>187</v>
      </c>
      <c r="C68" s="174" t="s">
        <v>131</v>
      </c>
      <c r="D68" s="247">
        <f>+H68+L68+P68+T68</f>
        <v>4</v>
      </c>
      <c r="E68" s="72">
        <f t="shared" si="19"/>
        <v>1410777933</v>
      </c>
      <c r="F68" s="209">
        <f t="shared" si="21"/>
        <v>4</v>
      </c>
      <c r="G68" s="72">
        <f t="shared" si="21"/>
        <v>1279882419.49</v>
      </c>
      <c r="H68" s="270">
        <v>1</v>
      </c>
      <c r="I68" s="72">
        <v>96594233</v>
      </c>
      <c r="J68" s="351">
        <v>1</v>
      </c>
      <c r="K68" s="209">
        <v>73406170</v>
      </c>
      <c r="L68" s="265">
        <v>1</v>
      </c>
      <c r="M68" s="515">
        <v>614183700</v>
      </c>
      <c r="N68" s="507">
        <v>1</v>
      </c>
      <c r="O68" s="72">
        <v>611656187</v>
      </c>
      <c r="P68" s="270">
        <v>1</v>
      </c>
      <c r="Q68" s="72">
        <v>300000000</v>
      </c>
      <c r="R68" s="209">
        <v>1</v>
      </c>
      <c r="S68" s="72">
        <v>299883306.49000001</v>
      </c>
      <c r="T68" s="270">
        <v>1</v>
      </c>
      <c r="U68" s="72">
        <v>400000000</v>
      </c>
      <c r="V68" s="698">
        <v>1</v>
      </c>
      <c r="W68" s="220">
        <v>294936756</v>
      </c>
      <c r="X68" s="499"/>
      <c r="Z68" s="502"/>
    </row>
    <row r="69" spans="1:26" ht="51" customHeight="1">
      <c r="A69" s="190" t="s">
        <v>408</v>
      </c>
      <c r="B69" s="191"/>
      <c r="C69" s="203"/>
      <c r="D69" s="203"/>
      <c r="E69" s="204">
        <f>+E70</f>
        <v>9117062806.5629063</v>
      </c>
      <c r="F69" s="706"/>
      <c r="G69" s="204">
        <f>+G70</f>
        <v>8789477135.644001</v>
      </c>
      <c r="H69" s="204"/>
      <c r="I69" s="204">
        <f>+I70</f>
        <v>2036722815</v>
      </c>
      <c r="J69" s="360"/>
      <c r="K69" s="192">
        <f>+K70</f>
        <v>2000666263</v>
      </c>
      <c r="L69" s="204"/>
      <c r="M69" s="204">
        <f>+M70</f>
        <v>2487631738</v>
      </c>
      <c r="N69" s="204"/>
      <c r="O69" s="204">
        <f>+O70</f>
        <v>2462938495.152</v>
      </c>
      <c r="P69" s="204"/>
      <c r="Q69" s="204">
        <f>+Q70</f>
        <v>2823968903.5559998</v>
      </c>
      <c r="R69" s="192"/>
      <c r="S69" s="204">
        <f>+S70</f>
        <v>2776544039.5959997</v>
      </c>
      <c r="T69" s="204">
        <f t="shared" ref="T69:U69" si="22">+T70</f>
        <v>0</v>
      </c>
      <c r="U69" s="204">
        <f t="shared" si="22"/>
        <v>1768739350.0069082</v>
      </c>
      <c r="V69" s="204"/>
      <c r="W69" s="658">
        <f>+W70</f>
        <v>1549328337.8959999</v>
      </c>
      <c r="X69" s="499">
        <v>1768739350.1519477</v>
      </c>
    </row>
    <row r="70" spans="1:26" ht="39.75" customHeight="1">
      <c r="A70" s="309" t="s">
        <v>501</v>
      </c>
      <c r="B70" s="187"/>
      <c r="C70" s="206"/>
      <c r="D70" s="208"/>
      <c r="E70" s="207">
        <f>SUM(E71:E86)</f>
        <v>9117062806.5629063</v>
      </c>
      <c r="F70" s="704"/>
      <c r="G70" s="207">
        <f>SUM(G71:G86)</f>
        <v>8789477135.644001</v>
      </c>
      <c r="H70" s="274">
        <v>0</v>
      </c>
      <c r="I70" s="207">
        <f>SUM(I71:I86)</f>
        <v>2036722815</v>
      </c>
      <c r="J70" s="360"/>
      <c r="K70" s="316">
        <f>SUM(K71:K86)</f>
        <v>2000666263</v>
      </c>
      <c r="L70" s="206"/>
      <c r="M70" s="204">
        <f>SUM(M71:M86)</f>
        <v>2487631738</v>
      </c>
      <c r="N70" s="206"/>
      <c r="O70" s="207">
        <f>SUM(O71:O86)</f>
        <v>2462938495.152</v>
      </c>
      <c r="P70" s="207"/>
      <c r="Q70" s="207">
        <f>SUM(Q71:Q86)</f>
        <v>2823968903.5559998</v>
      </c>
      <c r="R70" s="316">
        <v>0</v>
      </c>
      <c r="S70" s="207">
        <f>SUM(S71:S86)</f>
        <v>2776544039.5959997</v>
      </c>
      <c r="T70" s="207"/>
      <c r="U70" s="207">
        <f t="shared" ref="U70" si="23">SUM(U71:U86)</f>
        <v>1768739350.0069082</v>
      </c>
      <c r="V70" s="225"/>
      <c r="W70" s="656">
        <f>SUM(W71:W86)</f>
        <v>1549328337.8959999</v>
      </c>
      <c r="X70" s="499">
        <v>1774829179.0069082</v>
      </c>
      <c r="Z70" s="502"/>
    </row>
    <row r="71" spans="1:26" ht="54.75" customHeight="1">
      <c r="A71" s="249" t="s">
        <v>409</v>
      </c>
      <c r="B71" s="211" t="s">
        <v>189</v>
      </c>
      <c r="C71" s="174" t="s">
        <v>180</v>
      </c>
      <c r="D71" s="247">
        <f>AVERAGE(H71,L71,P71,T71)</f>
        <v>100</v>
      </c>
      <c r="E71" s="72">
        <f t="shared" ref="E71:E86" si="24">+I71+M71+Q71+U71</f>
        <v>0</v>
      </c>
      <c r="F71" s="209">
        <f t="shared" ref="F71:F77" si="25">AVERAGE(J71,N71,R71,V71)</f>
        <v>93.75</v>
      </c>
      <c r="G71" s="72">
        <f t="shared" ref="G71:G86" si="26">+K71+O71+S71+W71</f>
        <v>0</v>
      </c>
      <c r="H71" s="270">
        <v>100</v>
      </c>
      <c r="I71" s="72">
        <v>0</v>
      </c>
      <c r="J71" s="348">
        <v>100</v>
      </c>
      <c r="K71" s="209"/>
      <c r="L71" s="270">
        <v>100</v>
      </c>
      <c r="M71" s="534">
        <v>0</v>
      </c>
      <c r="N71" s="348">
        <v>100</v>
      </c>
      <c r="O71" s="72">
        <v>0</v>
      </c>
      <c r="P71" s="270">
        <v>100</v>
      </c>
      <c r="Q71" s="72">
        <v>0</v>
      </c>
      <c r="R71" s="209">
        <v>100</v>
      </c>
      <c r="S71" s="295">
        <v>0</v>
      </c>
      <c r="T71" s="285">
        <v>100</v>
      </c>
      <c r="U71" s="72">
        <v>0</v>
      </c>
      <c r="V71" s="73">
        <v>75</v>
      </c>
      <c r="W71" s="382">
        <v>0</v>
      </c>
      <c r="X71" s="697">
        <f>+X70-X69</f>
        <v>6089828.8549604416</v>
      </c>
      <c r="Z71" s="502"/>
    </row>
    <row r="72" spans="1:26" ht="66" customHeight="1">
      <c r="A72" s="332" t="s">
        <v>410</v>
      </c>
      <c r="B72" s="211" t="s">
        <v>189</v>
      </c>
      <c r="C72" s="174" t="s">
        <v>180</v>
      </c>
      <c r="D72" s="247">
        <f>AVERAGE(H72,L72,P72,T72)</f>
        <v>100</v>
      </c>
      <c r="E72" s="72">
        <f t="shared" si="24"/>
        <v>13432564</v>
      </c>
      <c r="F72" s="209">
        <f t="shared" si="25"/>
        <v>93.75</v>
      </c>
      <c r="G72" s="72">
        <f t="shared" si="26"/>
        <v>13432564</v>
      </c>
      <c r="H72" s="270">
        <v>100</v>
      </c>
      <c r="I72" s="72">
        <v>13432564</v>
      </c>
      <c r="J72" s="348">
        <v>100</v>
      </c>
      <c r="K72" s="209">
        <v>13432564</v>
      </c>
      <c r="L72" s="270">
        <v>100</v>
      </c>
      <c r="M72" s="534">
        <v>0</v>
      </c>
      <c r="N72" s="348">
        <v>100</v>
      </c>
      <c r="O72" s="72">
        <v>0</v>
      </c>
      <c r="P72" s="270">
        <v>100</v>
      </c>
      <c r="Q72" s="72">
        <v>0</v>
      </c>
      <c r="R72" s="209">
        <v>100</v>
      </c>
      <c r="S72" s="295">
        <v>0</v>
      </c>
      <c r="T72" s="285">
        <v>100</v>
      </c>
      <c r="U72" s="72">
        <v>0</v>
      </c>
      <c r="V72" s="73">
        <v>75</v>
      </c>
      <c r="W72" s="220">
        <v>0</v>
      </c>
      <c r="X72" s="499"/>
    </row>
    <row r="73" spans="1:26" ht="54.75" customHeight="1">
      <c r="A73" s="332" t="s">
        <v>411</v>
      </c>
      <c r="B73" s="211" t="s">
        <v>189</v>
      </c>
      <c r="C73" s="174" t="s">
        <v>180</v>
      </c>
      <c r="D73" s="247">
        <f>AVERAGE(H73,L73,P73,T73)</f>
        <v>100</v>
      </c>
      <c r="E73" s="72">
        <f t="shared" si="24"/>
        <v>0</v>
      </c>
      <c r="F73" s="209">
        <f t="shared" si="25"/>
        <v>93.75</v>
      </c>
      <c r="G73" s="72">
        <f t="shared" si="26"/>
        <v>0</v>
      </c>
      <c r="H73" s="270">
        <v>100</v>
      </c>
      <c r="I73" s="72"/>
      <c r="J73" s="348">
        <v>100</v>
      </c>
      <c r="K73" s="209"/>
      <c r="L73" s="270">
        <v>100</v>
      </c>
      <c r="M73" s="534">
        <v>0</v>
      </c>
      <c r="N73" s="348">
        <v>100</v>
      </c>
      <c r="O73" s="72">
        <v>0</v>
      </c>
      <c r="P73" s="270">
        <v>100</v>
      </c>
      <c r="Q73" s="72">
        <v>0</v>
      </c>
      <c r="R73" s="209">
        <v>100</v>
      </c>
      <c r="S73" s="295">
        <v>0</v>
      </c>
      <c r="T73" s="285">
        <v>100</v>
      </c>
      <c r="U73" s="72">
        <v>0</v>
      </c>
      <c r="V73" s="73">
        <v>75</v>
      </c>
      <c r="W73" s="220">
        <v>0</v>
      </c>
      <c r="X73" s="499"/>
    </row>
    <row r="74" spans="1:26" ht="41.25" customHeight="1">
      <c r="A74" s="249" t="s">
        <v>412</v>
      </c>
      <c r="B74" s="211" t="s">
        <v>189</v>
      </c>
      <c r="C74" s="174" t="s">
        <v>1</v>
      </c>
      <c r="D74" s="247">
        <f>AVERAGE(H74,L74,P74,T74)</f>
        <v>100</v>
      </c>
      <c r="E74" s="72">
        <f t="shared" si="24"/>
        <v>2392351455.055706</v>
      </c>
      <c r="F74" s="209">
        <f t="shared" si="25"/>
        <v>99.5</v>
      </c>
      <c r="G74" s="72">
        <f t="shared" si="26"/>
        <v>2320703967.5</v>
      </c>
      <c r="H74" s="270">
        <v>100</v>
      </c>
      <c r="I74" s="72">
        <v>372108950</v>
      </c>
      <c r="J74" s="348">
        <v>100</v>
      </c>
      <c r="K74" s="209">
        <v>371160657</v>
      </c>
      <c r="L74" s="270">
        <v>100</v>
      </c>
      <c r="M74" s="534">
        <v>667926550</v>
      </c>
      <c r="N74" s="348">
        <v>100</v>
      </c>
      <c r="O74" s="72">
        <v>666987069</v>
      </c>
      <c r="P74" s="270">
        <v>100</v>
      </c>
      <c r="Q74" s="72">
        <v>867125207</v>
      </c>
      <c r="R74" s="209">
        <v>100</v>
      </c>
      <c r="S74" s="295">
        <v>855404725</v>
      </c>
      <c r="T74" s="285">
        <v>100</v>
      </c>
      <c r="U74" s="72">
        <v>485190748.05570596</v>
      </c>
      <c r="V74" s="73">
        <v>98</v>
      </c>
      <c r="W74" s="220">
        <v>427151516.5</v>
      </c>
      <c r="X74" s="499"/>
      <c r="Z74" s="502"/>
    </row>
    <row r="75" spans="1:26" ht="61.5" customHeight="1">
      <c r="A75" s="249" t="s">
        <v>413</v>
      </c>
      <c r="B75" s="211" t="s">
        <v>189</v>
      </c>
      <c r="C75" s="174" t="s">
        <v>491</v>
      </c>
      <c r="D75" s="247">
        <f>AVERAGE(H75,L75,P75,T75)</f>
        <v>60</v>
      </c>
      <c r="E75" s="72">
        <f t="shared" si="24"/>
        <v>0</v>
      </c>
      <c r="F75" s="209">
        <f t="shared" si="25"/>
        <v>60</v>
      </c>
      <c r="G75" s="72">
        <f t="shared" si="26"/>
        <v>0</v>
      </c>
      <c r="H75" s="270">
        <v>60</v>
      </c>
      <c r="I75" s="72"/>
      <c r="J75" s="348">
        <v>60</v>
      </c>
      <c r="K75" s="209"/>
      <c r="L75" s="270">
        <v>60</v>
      </c>
      <c r="M75" s="534">
        <v>0</v>
      </c>
      <c r="N75" s="348">
        <v>60</v>
      </c>
      <c r="O75" s="72">
        <f>+I75-K75</f>
        <v>0</v>
      </c>
      <c r="P75" s="270">
        <v>60</v>
      </c>
      <c r="Q75" s="72">
        <v>0</v>
      </c>
      <c r="R75" s="209">
        <v>60</v>
      </c>
      <c r="S75" s="295">
        <v>0</v>
      </c>
      <c r="T75" s="285">
        <v>60</v>
      </c>
      <c r="U75" s="72">
        <v>0</v>
      </c>
      <c r="V75" s="73">
        <v>60</v>
      </c>
      <c r="W75" s="220">
        <v>0</v>
      </c>
      <c r="X75" s="499"/>
    </row>
    <row r="76" spans="1:26" ht="61.5" customHeight="1">
      <c r="A76" s="249" t="s">
        <v>414</v>
      </c>
      <c r="B76" s="211" t="s">
        <v>189</v>
      </c>
      <c r="C76" s="174" t="s">
        <v>180</v>
      </c>
      <c r="D76" s="247">
        <v>35</v>
      </c>
      <c r="E76" s="72">
        <f t="shared" si="24"/>
        <v>469141636.81920207</v>
      </c>
      <c r="F76" s="209">
        <f t="shared" si="25"/>
        <v>27.5</v>
      </c>
      <c r="G76" s="72">
        <f t="shared" si="26"/>
        <v>379907185.30400002</v>
      </c>
      <c r="H76" s="270">
        <v>20</v>
      </c>
      <c r="I76" s="72">
        <v>0</v>
      </c>
      <c r="J76" s="348">
        <v>20</v>
      </c>
      <c r="K76" s="209"/>
      <c r="L76" s="270">
        <v>25</v>
      </c>
      <c r="M76" s="534">
        <v>0</v>
      </c>
      <c r="N76" s="348">
        <v>25</v>
      </c>
      <c r="O76" s="72">
        <f>+I76-K76</f>
        <v>0</v>
      </c>
      <c r="P76" s="270">
        <v>30</v>
      </c>
      <c r="Q76" s="72">
        <v>321262248.028</v>
      </c>
      <c r="R76" s="209">
        <v>30</v>
      </c>
      <c r="S76" s="295">
        <v>297312045</v>
      </c>
      <c r="T76" s="285">
        <v>35</v>
      </c>
      <c r="U76" s="72">
        <v>147879388.7912021</v>
      </c>
      <c r="V76" s="73">
        <v>35</v>
      </c>
      <c r="W76" s="220">
        <v>82595140.30399999</v>
      </c>
      <c r="X76" s="499"/>
    </row>
    <row r="77" spans="1:26" ht="61.5" customHeight="1">
      <c r="A77" s="329" t="s">
        <v>415</v>
      </c>
      <c r="B77" s="211" t="s">
        <v>189</v>
      </c>
      <c r="C77" s="174" t="s">
        <v>180</v>
      </c>
      <c r="D77" s="247">
        <f>AVERAGE(H77,L77,P77,T77)</f>
        <v>100</v>
      </c>
      <c r="E77" s="72">
        <f t="shared" si="24"/>
        <v>267780425.12</v>
      </c>
      <c r="F77" s="209">
        <f t="shared" si="25"/>
        <v>100</v>
      </c>
      <c r="G77" s="72">
        <f t="shared" si="26"/>
        <v>254879024.5</v>
      </c>
      <c r="H77" s="270">
        <v>100</v>
      </c>
      <c r="I77" s="72">
        <v>68322200</v>
      </c>
      <c r="J77" s="348">
        <v>100</v>
      </c>
      <c r="K77" s="209">
        <v>68322200</v>
      </c>
      <c r="L77" s="270">
        <v>100</v>
      </c>
      <c r="M77" s="534">
        <v>75011225</v>
      </c>
      <c r="N77" s="348">
        <v>100</v>
      </c>
      <c r="O77" s="72">
        <v>75011224.5</v>
      </c>
      <c r="P77" s="270">
        <v>100</v>
      </c>
      <c r="Q77" s="72">
        <v>75000000</v>
      </c>
      <c r="R77" s="598">
        <v>100</v>
      </c>
      <c r="S77" s="295">
        <v>75000000</v>
      </c>
      <c r="T77" s="285">
        <v>100</v>
      </c>
      <c r="U77" s="72">
        <v>49447000.119999997</v>
      </c>
      <c r="V77" s="73">
        <v>100</v>
      </c>
      <c r="W77" s="220">
        <v>36545600</v>
      </c>
      <c r="X77" s="499"/>
    </row>
    <row r="78" spans="1:26" ht="61.5" customHeight="1">
      <c r="A78" s="308" t="s">
        <v>521</v>
      </c>
      <c r="B78" s="211" t="s">
        <v>189</v>
      </c>
      <c r="C78" s="174" t="s">
        <v>182</v>
      </c>
      <c r="D78" s="247">
        <f>AVERAGE(H78,L78,P78,T78)</f>
        <v>1</v>
      </c>
      <c r="E78" s="72">
        <f t="shared" si="24"/>
        <v>3780465184.0279999</v>
      </c>
      <c r="F78" s="209">
        <f t="shared" ref="F78:F85" si="27">AVERAGE(J78,N78,R78,V78)</f>
        <v>1</v>
      </c>
      <c r="G78" s="72">
        <f t="shared" si="26"/>
        <v>3699870253.9920001</v>
      </c>
      <c r="H78" s="270">
        <v>1</v>
      </c>
      <c r="I78" s="72">
        <v>1012371660</v>
      </c>
      <c r="J78" s="348">
        <v>1</v>
      </c>
      <c r="K78" s="209">
        <v>979258541</v>
      </c>
      <c r="L78" s="270">
        <v>1</v>
      </c>
      <c r="M78" s="534">
        <v>1236053295</v>
      </c>
      <c r="N78" s="348">
        <v>1</v>
      </c>
      <c r="O78" s="200">
        <v>1229244033.152</v>
      </c>
      <c r="P78" s="270">
        <v>1</v>
      </c>
      <c r="Q78" s="72">
        <v>921732843.028</v>
      </c>
      <c r="R78" s="598">
        <v>1</v>
      </c>
      <c r="S78" s="295">
        <v>921472367.59599996</v>
      </c>
      <c r="T78" s="285">
        <v>1</v>
      </c>
      <c r="U78" s="72">
        <v>610307386</v>
      </c>
      <c r="V78" s="73">
        <v>1</v>
      </c>
      <c r="W78" s="220">
        <v>569895312.24399996</v>
      </c>
      <c r="X78" s="499"/>
    </row>
    <row r="79" spans="1:26" ht="78.75" customHeight="1">
      <c r="A79" s="308" t="s">
        <v>417</v>
      </c>
      <c r="B79" s="287" t="s">
        <v>492</v>
      </c>
      <c r="C79" s="174" t="s">
        <v>418</v>
      </c>
      <c r="D79" s="247">
        <f>+H79+L79+P79+T79</f>
        <v>4</v>
      </c>
      <c r="E79" s="72">
        <f>+I79+M79+Q79+U79</f>
        <v>273611970.94</v>
      </c>
      <c r="F79" s="209">
        <f>+J79+N79+R79+V79</f>
        <v>4</v>
      </c>
      <c r="G79" s="72">
        <f t="shared" si="26"/>
        <v>273481512</v>
      </c>
      <c r="H79" s="270">
        <v>1</v>
      </c>
      <c r="I79" s="72">
        <v>182828000</v>
      </c>
      <c r="J79" s="348">
        <v>1</v>
      </c>
      <c r="K79" s="209">
        <v>182697542</v>
      </c>
      <c r="L79" s="270">
        <v>1</v>
      </c>
      <c r="M79" s="534">
        <v>11707025</v>
      </c>
      <c r="N79" s="348">
        <v>1</v>
      </c>
      <c r="O79" s="72">
        <v>11707025</v>
      </c>
      <c r="P79" s="270">
        <v>1</v>
      </c>
      <c r="Q79" s="72">
        <v>68644087.5</v>
      </c>
      <c r="R79" s="615">
        <v>1</v>
      </c>
      <c r="S79" s="72">
        <v>68644087</v>
      </c>
      <c r="T79" s="270">
        <v>1</v>
      </c>
      <c r="U79" s="72">
        <v>10432858.439999999</v>
      </c>
      <c r="V79" s="73">
        <v>1</v>
      </c>
      <c r="W79" s="220">
        <v>10432858</v>
      </c>
      <c r="X79" s="499"/>
    </row>
    <row r="80" spans="1:26" ht="54" customHeight="1">
      <c r="A80" s="334" t="s">
        <v>419</v>
      </c>
      <c r="B80" s="287" t="s">
        <v>191</v>
      </c>
      <c r="C80" s="174" t="s">
        <v>182</v>
      </c>
      <c r="D80" s="247">
        <f t="shared" ref="D80:D85" si="28">AVERAGE(H80,L80,P80,T80)</f>
        <v>1</v>
      </c>
      <c r="E80" s="72">
        <f t="shared" si="24"/>
        <v>80995909.439999998</v>
      </c>
      <c r="F80" s="209">
        <f t="shared" si="27"/>
        <v>1</v>
      </c>
      <c r="G80" s="72">
        <f t="shared" si="26"/>
        <v>80995909.299999997</v>
      </c>
      <c r="H80" s="270">
        <v>1</v>
      </c>
      <c r="I80" s="72">
        <v>39256400</v>
      </c>
      <c r="J80" s="348">
        <v>1</v>
      </c>
      <c r="K80" s="209">
        <v>39256400</v>
      </c>
      <c r="L80" s="270">
        <v>1</v>
      </c>
      <c r="M80" s="534">
        <v>11707025</v>
      </c>
      <c r="N80" s="348">
        <v>1</v>
      </c>
      <c r="O80" s="72">
        <v>11707025</v>
      </c>
      <c r="P80" s="270">
        <v>1</v>
      </c>
      <c r="Q80" s="72">
        <v>13509797</v>
      </c>
      <c r="R80" s="615">
        <v>1</v>
      </c>
      <c r="S80" s="295">
        <v>13509797</v>
      </c>
      <c r="T80" s="270">
        <v>1</v>
      </c>
      <c r="U80" s="72">
        <v>16522687.439999999</v>
      </c>
      <c r="V80" s="73">
        <v>1</v>
      </c>
      <c r="W80" s="220">
        <v>16522687.300000001</v>
      </c>
      <c r="X80" s="499"/>
    </row>
    <row r="81" spans="1:26" ht="93" customHeight="1">
      <c r="A81" s="308" t="s">
        <v>420</v>
      </c>
      <c r="B81" s="287" t="s">
        <v>191</v>
      </c>
      <c r="C81" s="174" t="s">
        <v>192</v>
      </c>
      <c r="D81" s="247">
        <f t="shared" si="28"/>
        <v>1</v>
      </c>
      <c r="E81" s="72">
        <f t="shared" si="24"/>
        <v>834168675</v>
      </c>
      <c r="F81" s="209">
        <f t="shared" si="27"/>
        <v>1</v>
      </c>
      <c r="G81" s="72">
        <f t="shared" si="26"/>
        <v>802588581.5</v>
      </c>
      <c r="H81" s="270">
        <v>1</v>
      </c>
      <c r="I81" s="72">
        <v>167667134</v>
      </c>
      <c r="J81" s="348">
        <v>1</v>
      </c>
      <c r="K81" s="209">
        <v>165886540</v>
      </c>
      <c r="L81" s="270">
        <v>1</v>
      </c>
      <c r="M81" s="534">
        <v>250721334</v>
      </c>
      <c r="N81" s="348">
        <v>1</v>
      </c>
      <c r="O81" s="72">
        <v>246627833.5</v>
      </c>
      <c r="P81" s="270">
        <v>1</v>
      </c>
      <c r="Q81" s="72">
        <v>238800565</v>
      </c>
      <c r="R81" s="615">
        <v>1</v>
      </c>
      <c r="S81" s="72">
        <v>238800565</v>
      </c>
      <c r="T81" s="270">
        <v>1</v>
      </c>
      <c r="U81" s="72">
        <v>176979642</v>
      </c>
      <c r="V81" s="73">
        <v>1</v>
      </c>
      <c r="W81" s="220">
        <v>151273643</v>
      </c>
      <c r="X81" s="499"/>
    </row>
    <row r="82" spans="1:26" ht="83.25" customHeight="1">
      <c r="A82" s="334" t="s">
        <v>421</v>
      </c>
      <c r="B82" s="287" t="s">
        <v>191</v>
      </c>
      <c r="C82" s="174" t="s">
        <v>1</v>
      </c>
      <c r="D82" s="247">
        <f t="shared" si="28"/>
        <v>100</v>
      </c>
      <c r="E82" s="72">
        <f t="shared" si="24"/>
        <v>36435160</v>
      </c>
      <c r="F82" s="209">
        <f t="shared" si="27"/>
        <v>100</v>
      </c>
      <c r="G82" s="72">
        <f t="shared" si="26"/>
        <v>36417200</v>
      </c>
      <c r="H82" s="270">
        <v>100</v>
      </c>
      <c r="I82" s="72">
        <v>0</v>
      </c>
      <c r="J82" s="348">
        <v>100</v>
      </c>
      <c r="K82" s="209">
        <v>0</v>
      </c>
      <c r="L82" s="270">
        <v>100</v>
      </c>
      <c r="M82" s="534">
        <v>20481600</v>
      </c>
      <c r="N82" s="348">
        <v>100</v>
      </c>
      <c r="O82" s="72">
        <v>20481600</v>
      </c>
      <c r="P82" s="270">
        <v>100</v>
      </c>
      <c r="Q82" s="72">
        <v>8523960</v>
      </c>
      <c r="R82" s="598">
        <v>100</v>
      </c>
      <c r="S82" s="295">
        <v>8506000</v>
      </c>
      <c r="T82" s="285">
        <v>100</v>
      </c>
      <c r="U82" s="72">
        <v>7429600</v>
      </c>
      <c r="V82" s="73">
        <v>100</v>
      </c>
      <c r="W82" s="220">
        <v>7429600</v>
      </c>
      <c r="X82" s="499"/>
    </row>
    <row r="83" spans="1:26" ht="64.5" customHeight="1">
      <c r="A83" s="334" t="s">
        <v>422</v>
      </c>
      <c r="B83" s="287" t="s">
        <v>191</v>
      </c>
      <c r="C83" s="174" t="s">
        <v>181</v>
      </c>
      <c r="D83" s="247">
        <f t="shared" si="28"/>
        <v>37</v>
      </c>
      <c r="E83" s="72">
        <f t="shared" si="24"/>
        <v>36947200</v>
      </c>
      <c r="F83" s="209">
        <f t="shared" si="27"/>
        <v>37</v>
      </c>
      <c r="G83" s="72">
        <f t="shared" si="26"/>
        <v>36947200</v>
      </c>
      <c r="H83" s="270">
        <v>37</v>
      </c>
      <c r="I83" s="72">
        <v>0</v>
      </c>
      <c r="J83" s="348">
        <v>37</v>
      </c>
      <c r="K83" s="209">
        <v>0</v>
      </c>
      <c r="L83" s="270">
        <v>37</v>
      </c>
      <c r="M83" s="534">
        <v>20481600</v>
      </c>
      <c r="N83" s="348">
        <v>37</v>
      </c>
      <c r="O83" s="72">
        <v>20481600</v>
      </c>
      <c r="P83" s="270">
        <v>37</v>
      </c>
      <c r="Q83" s="72">
        <v>9036000</v>
      </c>
      <c r="R83" s="598">
        <v>37</v>
      </c>
      <c r="S83" s="295">
        <v>9036000</v>
      </c>
      <c r="T83" s="270">
        <v>37</v>
      </c>
      <c r="U83" s="72">
        <v>7429600</v>
      </c>
      <c r="V83" s="73">
        <v>37</v>
      </c>
      <c r="W83" s="220">
        <v>7429600</v>
      </c>
      <c r="X83" s="510"/>
    </row>
    <row r="84" spans="1:26" ht="51" customHeight="1">
      <c r="A84" s="334" t="s">
        <v>0</v>
      </c>
      <c r="B84" s="287" t="s">
        <v>191</v>
      </c>
      <c r="C84" s="288" t="s">
        <v>423</v>
      </c>
      <c r="D84" s="247">
        <f t="shared" si="28"/>
        <v>1</v>
      </c>
      <c r="E84" s="72">
        <f>+I84+M84+Q84+U84</f>
        <v>594316854.16000009</v>
      </c>
      <c r="F84" s="209">
        <f t="shared" si="27"/>
        <v>1</v>
      </c>
      <c r="G84" s="72">
        <f t="shared" si="26"/>
        <v>581465797</v>
      </c>
      <c r="H84" s="270">
        <v>1</v>
      </c>
      <c r="I84" s="72">
        <v>142467600</v>
      </c>
      <c r="J84" s="348">
        <v>1</v>
      </c>
      <c r="K84" s="209">
        <v>142467600</v>
      </c>
      <c r="L84" s="270">
        <v>1</v>
      </c>
      <c r="M84" s="534">
        <v>160209284</v>
      </c>
      <c r="N84" s="348">
        <v>1</v>
      </c>
      <c r="O84" s="72">
        <v>147358285</v>
      </c>
      <c r="P84" s="270">
        <v>1</v>
      </c>
      <c r="Q84" s="609">
        <v>136744800</v>
      </c>
      <c r="R84" s="615">
        <v>1</v>
      </c>
      <c r="S84" s="72">
        <v>136744800</v>
      </c>
      <c r="T84" s="270">
        <v>1</v>
      </c>
      <c r="U84" s="72">
        <v>154895170.16000003</v>
      </c>
      <c r="V84" s="73">
        <v>1</v>
      </c>
      <c r="W84" s="220">
        <v>154895112</v>
      </c>
      <c r="X84" s="499"/>
    </row>
    <row r="85" spans="1:26" ht="44.25" customHeight="1">
      <c r="A85" s="337" t="s">
        <v>424</v>
      </c>
      <c r="B85" s="287" t="s">
        <v>191</v>
      </c>
      <c r="C85" s="174" t="s">
        <v>1</v>
      </c>
      <c r="D85" s="247">
        <f t="shared" si="28"/>
        <v>90</v>
      </c>
      <c r="E85" s="72">
        <f t="shared" si="24"/>
        <v>136945600</v>
      </c>
      <c r="F85" s="209">
        <f t="shared" si="27"/>
        <v>90</v>
      </c>
      <c r="G85" s="72">
        <f t="shared" si="26"/>
        <v>136928800</v>
      </c>
      <c r="H85" s="270">
        <v>90</v>
      </c>
      <c r="I85" s="72">
        <v>0</v>
      </c>
      <c r="J85" s="361">
        <v>90</v>
      </c>
      <c r="K85" s="209"/>
      <c r="L85" s="270">
        <v>90</v>
      </c>
      <c r="M85" s="534">
        <v>33332800</v>
      </c>
      <c r="N85" s="348">
        <v>90</v>
      </c>
      <c r="O85" s="72">
        <v>33332800</v>
      </c>
      <c r="P85" s="270">
        <v>90</v>
      </c>
      <c r="Q85" s="72">
        <v>66464800</v>
      </c>
      <c r="R85" s="598">
        <v>90</v>
      </c>
      <c r="S85" s="295">
        <v>66448000</v>
      </c>
      <c r="T85" s="270">
        <v>90</v>
      </c>
      <c r="U85" s="72">
        <v>37148000</v>
      </c>
      <c r="V85" s="73">
        <v>90</v>
      </c>
      <c r="W85" s="220">
        <v>37148000</v>
      </c>
      <c r="X85" s="499"/>
    </row>
    <row r="86" spans="1:26" ht="44.25" customHeight="1">
      <c r="A86" s="334" t="s">
        <v>515</v>
      </c>
      <c r="B86" s="287"/>
      <c r="C86" s="174" t="s">
        <v>516</v>
      </c>
      <c r="D86" s="247"/>
      <c r="E86" s="72">
        <f t="shared" si="24"/>
        <v>200470172</v>
      </c>
      <c r="F86" s="209"/>
      <c r="G86" s="72">
        <f t="shared" si="26"/>
        <v>171859140.54800001</v>
      </c>
      <c r="H86" s="270"/>
      <c r="I86" s="390">
        <v>38268307</v>
      </c>
      <c r="J86" s="348"/>
      <c r="K86" s="209">
        <v>38184219</v>
      </c>
      <c r="L86" s="270"/>
      <c r="M86" s="534"/>
      <c r="N86" s="348"/>
      <c r="O86" s="72"/>
      <c r="P86" s="270">
        <v>0</v>
      </c>
      <c r="Q86" s="72">
        <v>97124596</v>
      </c>
      <c r="R86" s="209">
        <v>0</v>
      </c>
      <c r="S86" s="295">
        <v>85665653</v>
      </c>
      <c r="T86" s="270"/>
      <c r="U86" s="72">
        <v>65077269</v>
      </c>
      <c r="V86" s="73" t="s">
        <v>519</v>
      </c>
      <c r="W86" s="220">
        <v>48009268.548</v>
      </c>
      <c r="X86" s="499"/>
    </row>
    <row r="87" spans="1:26" ht="36">
      <c r="A87" s="190" t="s">
        <v>425</v>
      </c>
      <c r="B87" s="191"/>
      <c r="C87" s="203"/>
      <c r="D87" s="203"/>
      <c r="E87" s="204">
        <f>+E88+E95</f>
        <v>12303553509.675999</v>
      </c>
      <c r="F87" s="706"/>
      <c r="G87" s="204">
        <f>+G88+G95</f>
        <v>10962180147.208</v>
      </c>
      <c r="H87" s="204"/>
      <c r="I87" s="204">
        <f>+I88+I95</f>
        <v>2323036400</v>
      </c>
      <c r="J87" s="360"/>
      <c r="K87" s="192">
        <f>+K88+K95</f>
        <v>2267296514</v>
      </c>
      <c r="L87" s="204"/>
      <c r="M87" s="204">
        <f>+M88+M95</f>
        <v>2684364557</v>
      </c>
      <c r="N87" s="204"/>
      <c r="O87" s="204">
        <f>+O88+O95</f>
        <v>2675153540</v>
      </c>
      <c r="P87" s="204"/>
      <c r="Q87" s="204">
        <f>+Q88+Q95</f>
        <v>1672444893.9000001</v>
      </c>
      <c r="R87" s="192"/>
      <c r="S87" s="204">
        <f>+S88+S95</f>
        <v>1461719761.8080001</v>
      </c>
      <c r="T87" s="204">
        <f t="shared" ref="T87:U87" si="29">+T88+T95</f>
        <v>140</v>
      </c>
      <c r="U87" s="204">
        <f t="shared" si="29"/>
        <v>5623707658.7759991</v>
      </c>
      <c r="V87" s="204"/>
      <c r="W87" s="658">
        <f>+W88+W95</f>
        <v>4558010331.3999996</v>
      </c>
      <c r="X87" s="499"/>
    </row>
    <row r="88" spans="1:26" ht="36">
      <c r="A88" s="186" t="s">
        <v>497</v>
      </c>
      <c r="B88" s="194"/>
      <c r="C88" s="227"/>
      <c r="D88" s="227"/>
      <c r="E88" s="252">
        <f>SUM(E89:E94)</f>
        <v>2450731294.4000001</v>
      </c>
      <c r="F88" s="707"/>
      <c r="G88" s="252">
        <f>SUM(G89:G94)</f>
        <v>2119958779</v>
      </c>
      <c r="H88" s="275">
        <v>0</v>
      </c>
      <c r="I88" s="252">
        <f>SUM(I89:I94)</f>
        <v>473036400</v>
      </c>
      <c r="J88" s="362"/>
      <c r="K88" s="228">
        <f>SUM(K89:K94)</f>
        <v>426062257</v>
      </c>
      <c r="L88" s="212">
        <v>0</v>
      </c>
      <c r="M88" s="495">
        <f>SUM(M89:M94)</f>
        <v>720000000</v>
      </c>
      <c r="N88" s="212">
        <v>0</v>
      </c>
      <c r="O88" s="252">
        <f>SUM(O89:O94)</f>
        <v>717110126</v>
      </c>
      <c r="P88" s="252">
        <v>0</v>
      </c>
      <c r="Q88" s="252">
        <f>SUM(Q89:Q94)</f>
        <v>701444894</v>
      </c>
      <c r="R88" s="228">
        <v>0</v>
      </c>
      <c r="S88" s="252">
        <f>SUM(S89:S94)</f>
        <v>506191530</v>
      </c>
      <c r="T88" s="252"/>
      <c r="U88" s="252">
        <f t="shared" ref="U88" si="30">SUM(U89:U94)</f>
        <v>556250000.39999998</v>
      </c>
      <c r="V88" s="253"/>
      <c r="W88" s="659">
        <f>SUM(W89:W94)</f>
        <v>470594866</v>
      </c>
      <c r="X88" s="499"/>
      <c r="Z88" s="499"/>
    </row>
    <row r="89" spans="1:26" ht="92.25" customHeight="1">
      <c r="A89" s="338" t="s">
        <v>426</v>
      </c>
      <c r="B89" s="211" t="s">
        <v>189</v>
      </c>
      <c r="C89" s="174" t="s">
        <v>180</v>
      </c>
      <c r="D89" s="247">
        <f>AVERAGE(H89,L89,P89,T89)</f>
        <v>100</v>
      </c>
      <c r="E89" s="72">
        <f t="shared" ref="E89:E99" si="31">+I89+M89+Q89+U89</f>
        <v>330600000</v>
      </c>
      <c r="F89" s="209">
        <f>AVERAGE(J89,N89,R89,V89)</f>
        <v>100</v>
      </c>
      <c r="G89" s="72">
        <f t="shared" ref="G89:G94" si="32">+K89+O89+S89+W89</f>
        <v>318494473</v>
      </c>
      <c r="H89" s="270">
        <v>100</v>
      </c>
      <c r="I89" s="72"/>
      <c r="J89" s="348">
        <v>100</v>
      </c>
      <c r="K89" s="209"/>
      <c r="L89" s="270">
        <v>100</v>
      </c>
      <c r="M89" s="515">
        <v>109100000</v>
      </c>
      <c r="N89" s="348">
        <v>100</v>
      </c>
      <c r="O89" s="72">
        <v>109092381</v>
      </c>
      <c r="P89" s="270">
        <v>100</v>
      </c>
      <c r="Q89" s="72">
        <v>108000000</v>
      </c>
      <c r="R89" s="209">
        <v>100</v>
      </c>
      <c r="S89" s="295">
        <v>107930000</v>
      </c>
      <c r="T89" s="270">
        <v>100</v>
      </c>
      <c r="U89" s="72">
        <v>113500000</v>
      </c>
      <c r="V89" s="73">
        <v>100</v>
      </c>
      <c r="W89" s="220">
        <v>101472092</v>
      </c>
      <c r="X89" s="499"/>
      <c r="Y89" s="499"/>
      <c r="Z89" s="499"/>
    </row>
    <row r="90" spans="1:26" ht="92.25" customHeight="1">
      <c r="A90" s="330" t="s">
        <v>427</v>
      </c>
      <c r="B90" s="211" t="s">
        <v>189</v>
      </c>
      <c r="C90" s="174" t="s">
        <v>180</v>
      </c>
      <c r="D90" s="247">
        <f>AVERAGE(H90,L90,P90,T90)</f>
        <v>100</v>
      </c>
      <c r="E90" s="72">
        <f t="shared" si="31"/>
        <v>245472800</v>
      </c>
      <c r="F90" s="209">
        <f>AVERAGE(J90,N90,R90,V90)</f>
        <v>100</v>
      </c>
      <c r="G90" s="72">
        <f t="shared" si="32"/>
        <v>225383874</v>
      </c>
      <c r="H90" s="270">
        <v>100</v>
      </c>
      <c r="I90" s="72">
        <v>114548800</v>
      </c>
      <c r="J90" s="348">
        <v>100</v>
      </c>
      <c r="K90" s="209">
        <v>109118666</v>
      </c>
      <c r="L90" s="270">
        <v>100</v>
      </c>
      <c r="M90" s="515">
        <v>43674000</v>
      </c>
      <c r="N90" s="348">
        <v>100</v>
      </c>
      <c r="O90" s="72">
        <v>43674000</v>
      </c>
      <c r="P90" s="270">
        <v>100</v>
      </c>
      <c r="Q90" s="72">
        <v>49500000</v>
      </c>
      <c r="R90" s="209">
        <v>100</v>
      </c>
      <c r="S90" s="295">
        <v>49499208</v>
      </c>
      <c r="T90" s="270">
        <v>100</v>
      </c>
      <c r="U90" s="72">
        <v>37750000</v>
      </c>
      <c r="V90" s="73">
        <v>100</v>
      </c>
      <c r="W90" s="220">
        <v>23092000</v>
      </c>
      <c r="X90" s="499"/>
    </row>
    <row r="91" spans="1:26" ht="62.25" customHeight="1">
      <c r="A91" s="330" t="s">
        <v>428</v>
      </c>
      <c r="B91" s="211" t="s">
        <v>492</v>
      </c>
      <c r="C91" s="174" t="s">
        <v>1</v>
      </c>
      <c r="D91" s="247">
        <f>+H91+L91+P91+T91</f>
        <v>100</v>
      </c>
      <c r="E91" s="72">
        <f t="shared" si="31"/>
        <v>242504400</v>
      </c>
      <c r="F91" s="209">
        <f>+J91+N91+R91+V91</f>
        <v>100</v>
      </c>
      <c r="G91" s="72">
        <f t="shared" si="32"/>
        <v>211577339</v>
      </c>
      <c r="H91" s="270">
        <v>70</v>
      </c>
      <c r="I91" s="72">
        <v>100000000</v>
      </c>
      <c r="J91" s="348">
        <v>70</v>
      </c>
      <c r="K91" s="209">
        <v>70451225</v>
      </c>
      <c r="L91" s="270">
        <v>10</v>
      </c>
      <c r="M91" s="515">
        <v>142504400</v>
      </c>
      <c r="N91" s="348">
        <v>10</v>
      </c>
      <c r="O91" s="72">
        <v>141126114</v>
      </c>
      <c r="P91" s="270">
        <v>20</v>
      </c>
      <c r="Q91" s="72"/>
      <c r="R91" s="209">
        <v>20</v>
      </c>
      <c r="S91" s="295">
        <v>0</v>
      </c>
      <c r="T91" s="270">
        <v>0</v>
      </c>
      <c r="U91" s="72">
        <v>0</v>
      </c>
      <c r="V91" s="73">
        <v>0</v>
      </c>
      <c r="W91" s="220">
        <v>0</v>
      </c>
      <c r="X91" s="499"/>
    </row>
    <row r="92" spans="1:26" ht="82.5" customHeight="1">
      <c r="A92" s="307" t="s">
        <v>429</v>
      </c>
      <c r="B92" s="177" t="s">
        <v>187</v>
      </c>
      <c r="C92" s="174" t="s">
        <v>430</v>
      </c>
      <c r="D92" s="247">
        <f>+H92+L92+P92+T92</f>
        <v>26</v>
      </c>
      <c r="E92" s="72">
        <f t="shared" si="31"/>
        <v>1436625194</v>
      </c>
      <c r="F92" s="209">
        <f>+J92+N92+R92+V92</f>
        <v>26</v>
      </c>
      <c r="G92" s="72">
        <f t="shared" si="32"/>
        <v>1192923305</v>
      </c>
      <c r="H92" s="270">
        <v>5</v>
      </c>
      <c r="I92" s="72">
        <v>225358700</v>
      </c>
      <c r="J92" s="348">
        <v>5</v>
      </c>
      <c r="K92" s="209">
        <v>221356634</v>
      </c>
      <c r="L92" s="270">
        <v>8</v>
      </c>
      <c r="M92" s="515">
        <v>331321600</v>
      </c>
      <c r="N92" s="348">
        <v>8</v>
      </c>
      <c r="O92" s="72">
        <v>331320000</v>
      </c>
      <c r="P92" s="270">
        <v>8</v>
      </c>
      <c r="Q92" s="72">
        <v>504944894</v>
      </c>
      <c r="R92" s="209">
        <v>8</v>
      </c>
      <c r="S92" s="72">
        <v>321229800</v>
      </c>
      <c r="T92" s="270">
        <v>5</v>
      </c>
      <c r="U92" s="72">
        <v>375000000</v>
      </c>
      <c r="V92" s="71">
        <v>5</v>
      </c>
      <c r="W92" s="220">
        <v>319016871</v>
      </c>
      <c r="X92" s="499"/>
    </row>
    <row r="93" spans="1:26" ht="60.75" customHeight="1">
      <c r="A93" s="336" t="s">
        <v>431</v>
      </c>
      <c r="B93" s="177" t="s">
        <v>187</v>
      </c>
      <c r="C93" s="174" t="s">
        <v>511</v>
      </c>
      <c r="D93" s="247">
        <v>1</v>
      </c>
      <c r="E93" s="72">
        <f t="shared" si="31"/>
        <v>50000000</v>
      </c>
      <c r="F93" s="209">
        <f>+J93+N93+R93+V93</f>
        <v>1</v>
      </c>
      <c r="G93" s="72">
        <f t="shared" si="32"/>
        <v>50000000</v>
      </c>
      <c r="H93" s="270">
        <v>0</v>
      </c>
      <c r="I93" s="72"/>
      <c r="J93" s="348">
        <v>0</v>
      </c>
      <c r="K93" s="209"/>
      <c r="L93" s="270">
        <v>1</v>
      </c>
      <c r="M93" s="515">
        <v>50000000</v>
      </c>
      <c r="N93" s="348">
        <v>1</v>
      </c>
      <c r="O93" s="72">
        <v>50000000</v>
      </c>
      <c r="P93" s="270">
        <v>0</v>
      </c>
      <c r="Q93" s="72"/>
      <c r="R93" s="209">
        <v>0</v>
      </c>
      <c r="S93" s="295">
        <v>0</v>
      </c>
      <c r="T93" s="270">
        <v>0</v>
      </c>
      <c r="U93" s="72">
        <v>0</v>
      </c>
      <c r="V93" s="73">
        <v>0</v>
      </c>
      <c r="W93" s="220">
        <v>0</v>
      </c>
      <c r="X93" s="499"/>
    </row>
    <row r="94" spans="1:26" ht="60.75" customHeight="1">
      <c r="A94" s="334" t="s">
        <v>515</v>
      </c>
      <c r="B94" s="287"/>
      <c r="C94" s="174" t="s">
        <v>516</v>
      </c>
      <c r="D94" s="174">
        <v>0</v>
      </c>
      <c r="E94" s="72">
        <f t="shared" si="31"/>
        <v>145528900.40000001</v>
      </c>
      <c r="F94" s="209"/>
      <c r="G94" s="72">
        <f t="shared" si="32"/>
        <v>121579788</v>
      </c>
      <c r="H94" s="270"/>
      <c r="I94" s="72">
        <v>33128900</v>
      </c>
      <c r="J94" s="348">
        <v>0</v>
      </c>
      <c r="K94" s="209">
        <v>25135732</v>
      </c>
      <c r="L94" s="270"/>
      <c r="M94" s="515">
        <v>43400000</v>
      </c>
      <c r="N94" s="348"/>
      <c r="O94" s="72">
        <v>41897631</v>
      </c>
      <c r="P94" s="270">
        <v>0</v>
      </c>
      <c r="Q94" s="72">
        <v>39000000</v>
      </c>
      <c r="R94" s="209"/>
      <c r="S94" s="295">
        <v>27532522</v>
      </c>
      <c r="T94" s="270"/>
      <c r="U94" s="72">
        <v>30000000.399999999</v>
      </c>
      <c r="V94" s="73"/>
      <c r="W94" s="220">
        <v>27013903</v>
      </c>
      <c r="X94" s="499"/>
    </row>
    <row r="95" spans="1:26" ht="60.75" customHeight="1">
      <c r="A95" s="309" t="s">
        <v>500</v>
      </c>
      <c r="B95" s="187"/>
      <c r="C95" s="208"/>
      <c r="D95" s="208"/>
      <c r="E95" s="207">
        <f>SUM(E96:E99)</f>
        <v>9852822215.2759991</v>
      </c>
      <c r="F95" s="704"/>
      <c r="G95" s="207">
        <f>SUM(G96:G99)</f>
        <v>8842221368.2080002</v>
      </c>
      <c r="H95" s="274">
        <v>0</v>
      </c>
      <c r="I95" s="207">
        <f>SUM(I96:I99)</f>
        <v>1850000000</v>
      </c>
      <c r="J95" s="360"/>
      <c r="K95" s="316">
        <f>SUM(K96:K99)</f>
        <v>1841234257</v>
      </c>
      <c r="L95" s="206">
        <v>0</v>
      </c>
      <c r="M95" s="204">
        <f>SUM(M96:M99)</f>
        <v>1964364557</v>
      </c>
      <c r="N95" s="206">
        <v>0</v>
      </c>
      <c r="O95" s="207">
        <f>SUM(O96:O99)</f>
        <v>1958043414</v>
      </c>
      <c r="P95" s="207">
        <v>0</v>
      </c>
      <c r="Q95" s="207">
        <f>SUM(Q96:Q99)</f>
        <v>970999999.89999998</v>
      </c>
      <c r="R95" s="316">
        <v>0</v>
      </c>
      <c r="S95" s="207">
        <f>SUM(S96:S99)</f>
        <v>955528231.80800009</v>
      </c>
      <c r="T95" s="207">
        <f t="shared" ref="T95:U95" si="33">SUM(T96:T99)</f>
        <v>140</v>
      </c>
      <c r="U95" s="207">
        <f t="shared" si="33"/>
        <v>5067457658.3759995</v>
      </c>
      <c r="V95" s="254"/>
      <c r="W95" s="656">
        <f>SUM(W96:W99)</f>
        <v>4087415465.4000001</v>
      </c>
      <c r="X95" s="499"/>
      <c r="Z95" s="499"/>
    </row>
    <row r="96" spans="1:26" ht="60.75" customHeight="1">
      <c r="A96" s="334" t="s">
        <v>432</v>
      </c>
      <c r="B96" s="211" t="s">
        <v>187</v>
      </c>
      <c r="C96" s="174" t="s">
        <v>433</v>
      </c>
      <c r="D96" s="247">
        <f>+H96+L96+P96+T96</f>
        <v>4</v>
      </c>
      <c r="E96" s="72">
        <f>+I96+M96+Q96+U96</f>
        <v>2342675425</v>
      </c>
      <c r="F96" s="209">
        <f>+J96+N96+R96+V96</f>
        <v>4</v>
      </c>
      <c r="G96" s="72">
        <f>+K96+O96+S96+W96</f>
        <v>2341241155</v>
      </c>
      <c r="H96" s="270">
        <v>1</v>
      </c>
      <c r="I96" s="72">
        <v>1406644400</v>
      </c>
      <c r="J96" s="348">
        <v>1</v>
      </c>
      <c r="K96" s="209">
        <v>1405282284</v>
      </c>
      <c r="L96" s="270">
        <v>1</v>
      </c>
      <c r="M96" s="515">
        <v>586031025</v>
      </c>
      <c r="N96" s="348">
        <v>1</v>
      </c>
      <c r="O96" s="72">
        <v>586031024</v>
      </c>
      <c r="P96" s="270">
        <v>1</v>
      </c>
      <c r="Q96" s="72">
        <v>350000000</v>
      </c>
      <c r="R96" s="599">
        <v>1</v>
      </c>
      <c r="S96" s="72">
        <v>349927847</v>
      </c>
      <c r="T96" s="264">
        <v>1</v>
      </c>
      <c r="U96" s="72">
        <v>0</v>
      </c>
      <c r="V96" s="71">
        <v>1</v>
      </c>
      <c r="W96" s="220">
        <v>0</v>
      </c>
      <c r="X96" s="499"/>
      <c r="Z96" s="499"/>
    </row>
    <row r="97" spans="1:26" ht="60.75" customHeight="1">
      <c r="A97" s="334" t="s">
        <v>434</v>
      </c>
      <c r="B97" s="211" t="s">
        <v>187</v>
      </c>
      <c r="C97" s="174" t="s">
        <v>131</v>
      </c>
      <c r="D97" s="247">
        <f>+H97+L97+P97+T97</f>
        <v>4</v>
      </c>
      <c r="E97" s="72">
        <f t="shared" si="31"/>
        <v>1175507226.7308002</v>
      </c>
      <c r="F97" s="209">
        <f>+J97+N97+R97+V97</f>
        <v>4</v>
      </c>
      <c r="G97" s="72">
        <f>+K97+O97+S97+W97</f>
        <v>260000000</v>
      </c>
      <c r="H97" s="270">
        <v>1</v>
      </c>
      <c r="I97" s="72"/>
      <c r="J97" s="348">
        <v>1</v>
      </c>
      <c r="K97" s="209">
        <v>0</v>
      </c>
      <c r="L97" s="270">
        <v>1</v>
      </c>
      <c r="M97" s="515">
        <v>0</v>
      </c>
      <c r="N97" s="348">
        <v>1</v>
      </c>
      <c r="O97" s="72">
        <v>0</v>
      </c>
      <c r="P97" s="270">
        <v>1</v>
      </c>
      <c r="Q97" s="72">
        <v>260000000</v>
      </c>
      <c r="R97" s="599">
        <v>1</v>
      </c>
      <c r="S97" s="72">
        <v>260000000</v>
      </c>
      <c r="T97" s="264">
        <v>1</v>
      </c>
      <c r="U97" s="72">
        <v>915507226.73080003</v>
      </c>
      <c r="V97" s="71">
        <v>1</v>
      </c>
      <c r="W97" s="220">
        <v>0</v>
      </c>
      <c r="X97" s="499"/>
    </row>
    <row r="98" spans="1:26" ht="60.75" customHeight="1">
      <c r="A98" s="334" t="s">
        <v>435</v>
      </c>
      <c r="B98" s="211" t="s">
        <v>189</v>
      </c>
      <c r="C98" s="174" t="s">
        <v>1</v>
      </c>
      <c r="D98" s="247">
        <v>100</v>
      </c>
      <c r="E98" s="72">
        <f t="shared" si="31"/>
        <v>5009645766.2451992</v>
      </c>
      <c r="F98" s="209">
        <f>+J98+N98+R98+V98-25-70</f>
        <v>100</v>
      </c>
      <c r="G98" s="72">
        <f>+K98+O98+S98+W98</f>
        <v>5001262040.3999996</v>
      </c>
      <c r="H98" s="270">
        <v>0</v>
      </c>
      <c r="I98" s="72">
        <v>104000000</v>
      </c>
      <c r="J98" s="348">
        <v>0</v>
      </c>
      <c r="K98" s="209">
        <v>100400000</v>
      </c>
      <c r="L98" s="270">
        <v>20</v>
      </c>
      <c r="M98" s="515">
        <v>1048695335</v>
      </c>
      <c r="N98" s="348">
        <v>20</v>
      </c>
      <c r="O98" s="72">
        <v>1043911609</v>
      </c>
      <c r="P98" s="270">
        <v>75</v>
      </c>
      <c r="Q98" s="72">
        <v>0</v>
      </c>
      <c r="R98" s="209">
        <v>75</v>
      </c>
      <c r="S98" s="177">
        <v>0</v>
      </c>
      <c r="T98" s="264">
        <v>100</v>
      </c>
      <c r="U98" s="72">
        <v>3856950431.2451997</v>
      </c>
      <c r="V98" s="73">
        <v>100</v>
      </c>
      <c r="W98" s="220">
        <v>3856950431.4000001</v>
      </c>
      <c r="X98" s="499"/>
      <c r="Y98" s="499">
        <f>+AVERAGE(V98,R98,N98,L98,H98)</f>
        <v>43</v>
      </c>
    </row>
    <row r="99" spans="1:26" ht="92.25" customHeight="1">
      <c r="A99" s="334" t="s">
        <v>436</v>
      </c>
      <c r="B99" s="177" t="s">
        <v>189</v>
      </c>
      <c r="C99" s="174" t="s">
        <v>437</v>
      </c>
      <c r="D99" s="247">
        <f>AVERAGE(H99,L99,P99,T99)</f>
        <v>38</v>
      </c>
      <c r="E99" s="72">
        <f t="shared" si="31"/>
        <v>1324993797.3</v>
      </c>
      <c r="F99" s="209">
        <f>AVERAGE(J99,N99,R99,V99)</f>
        <v>38</v>
      </c>
      <c r="G99" s="72">
        <f>+K99+O99+S99+W99</f>
        <v>1239718172.8080001</v>
      </c>
      <c r="H99" s="270">
        <v>38</v>
      </c>
      <c r="I99" s="72">
        <v>339355600</v>
      </c>
      <c r="J99" s="348">
        <v>38</v>
      </c>
      <c r="K99" s="209">
        <v>335551973</v>
      </c>
      <c r="L99" s="270">
        <v>38</v>
      </c>
      <c r="M99" s="515">
        <v>329638197</v>
      </c>
      <c r="N99" s="348">
        <v>38</v>
      </c>
      <c r="O99" s="72">
        <v>328100781</v>
      </c>
      <c r="P99" s="270">
        <v>38</v>
      </c>
      <c r="Q99" s="72">
        <v>360999999.89999998</v>
      </c>
      <c r="R99" s="209">
        <v>38</v>
      </c>
      <c r="S99" s="295">
        <v>345600384.80800003</v>
      </c>
      <c r="T99" s="264">
        <v>38</v>
      </c>
      <c r="U99" s="72">
        <v>295000000.39999998</v>
      </c>
      <c r="V99" s="73">
        <v>38</v>
      </c>
      <c r="W99" s="220">
        <v>230465034</v>
      </c>
      <c r="X99" s="499"/>
    </row>
    <row r="100" spans="1:26" ht="57.75" customHeight="1">
      <c r="A100" s="190" t="s">
        <v>438</v>
      </c>
      <c r="B100" s="213"/>
      <c r="C100" s="203"/>
      <c r="D100" s="203"/>
      <c r="E100" s="204">
        <f>+E101+E111</f>
        <v>13787953668.249121</v>
      </c>
      <c r="F100" s="706"/>
      <c r="G100" s="204">
        <f>+G101+G111</f>
        <v>12979342013.02</v>
      </c>
      <c r="H100" s="204">
        <f>+H101+H111</f>
        <v>0</v>
      </c>
      <c r="I100" s="204">
        <f>+I101+I111</f>
        <v>4172562737</v>
      </c>
      <c r="J100" s="360"/>
      <c r="K100" s="192">
        <f>+K101+K111</f>
        <v>4055938669</v>
      </c>
      <c r="L100" s="204"/>
      <c r="M100" s="204">
        <f>+M101+M111</f>
        <v>3602400893.4651198</v>
      </c>
      <c r="N100" s="204"/>
      <c r="O100" s="204">
        <f>+O101+O111</f>
        <v>3484467633.1199999</v>
      </c>
      <c r="P100" s="204"/>
      <c r="Q100" s="204">
        <f>+Q101+Q111</f>
        <v>3491265233.8920002</v>
      </c>
      <c r="R100" s="192"/>
      <c r="S100" s="204">
        <f>+S101+S111</f>
        <v>3382311449</v>
      </c>
      <c r="T100" s="204">
        <f t="shared" ref="T100:U100" si="34">+T101+T111</f>
        <v>0</v>
      </c>
      <c r="U100" s="204">
        <f t="shared" si="34"/>
        <v>2521724803.8920002</v>
      </c>
      <c r="V100" s="204"/>
      <c r="W100" s="658">
        <f>+W101+W111</f>
        <v>2056624261.9000001</v>
      </c>
      <c r="X100" s="499"/>
    </row>
    <row r="101" spans="1:26" ht="36">
      <c r="A101" s="305" t="s">
        <v>499</v>
      </c>
      <c r="B101" s="214"/>
      <c r="C101" s="208"/>
      <c r="D101" s="208"/>
      <c r="E101" s="207">
        <f>SUM(E102:E110)</f>
        <v>7180636819.1571207</v>
      </c>
      <c r="F101" s="707"/>
      <c r="G101" s="207">
        <f>SUM(G102:G110)</f>
        <v>6959986216</v>
      </c>
      <c r="H101" s="275">
        <v>0</v>
      </c>
      <c r="I101" s="207">
        <f>SUM(I102:I110)</f>
        <v>2562562737</v>
      </c>
      <c r="J101" s="360"/>
      <c r="K101" s="316">
        <f>SUM(K102:K110)</f>
        <v>2493141500</v>
      </c>
      <c r="L101" s="206">
        <v>0</v>
      </c>
      <c r="M101" s="207">
        <f>SUM(M102:M110)</f>
        <v>2202400893.4651198</v>
      </c>
      <c r="N101" s="212">
        <v>0</v>
      </c>
      <c r="O101" s="207">
        <f>SUM(O102:O110)</f>
        <v>2169866016</v>
      </c>
      <c r="P101" s="207"/>
      <c r="Q101" s="207">
        <f>SUM(Q102:Q110)</f>
        <v>1568948384.8920002</v>
      </c>
      <c r="R101" s="316">
        <v>0</v>
      </c>
      <c r="S101" s="207">
        <f>SUM(S102:S110)</f>
        <v>1493044188</v>
      </c>
      <c r="T101" s="207"/>
      <c r="U101" s="207">
        <f>SUM(U102:U110)</f>
        <v>846724803.79999995</v>
      </c>
      <c r="V101" s="225"/>
      <c r="W101" s="656">
        <f>SUM(W102:W110)</f>
        <v>803934512</v>
      </c>
      <c r="X101" s="499"/>
      <c r="Z101" s="499"/>
    </row>
    <row r="102" spans="1:26" ht="36">
      <c r="A102" s="334" t="s">
        <v>439</v>
      </c>
      <c r="B102" s="177" t="s">
        <v>189</v>
      </c>
      <c r="C102" s="174" t="s">
        <v>512</v>
      </c>
      <c r="D102" s="247">
        <f>AVERAGE(H102,L102,P102,T102)</f>
        <v>1</v>
      </c>
      <c r="E102" s="72">
        <f>+I102+M102+Q102+U102</f>
        <v>553277633.96000004</v>
      </c>
      <c r="F102" s="708">
        <f>AVERAGE(J102,N102,R102,V102)</f>
        <v>0.98750000000000004</v>
      </c>
      <c r="G102" s="72">
        <f t="shared" ref="G102:G110" si="35">+K102+O102+S102+W102</f>
        <v>545819796</v>
      </c>
      <c r="H102" s="270">
        <v>1</v>
      </c>
      <c r="I102" s="72">
        <v>119232028</v>
      </c>
      <c r="J102" s="348">
        <v>1</v>
      </c>
      <c r="K102" s="209">
        <v>119232028</v>
      </c>
      <c r="L102" s="270">
        <v>1</v>
      </c>
      <c r="M102" s="515">
        <v>106328258.56</v>
      </c>
      <c r="N102" s="348">
        <v>1</v>
      </c>
      <c r="O102" s="72">
        <v>106328259</v>
      </c>
      <c r="P102" s="270">
        <v>1</v>
      </c>
      <c r="Q102" s="72">
        <v>158887222</v>
      </c>
      <c r="R102" s="599">
        <v>1</v>
      </c>
      <c r="S102" s="72">
        <v>154642184</v>
      </c>
      <c r="T102" s="270">
        <v>1</v>
      </c>
      <c r="U102" s="609">
        <v>168830125.40000001</v>
      </c>
      <c r="V102" s="678">
        <v>0.95</v>
      </c>
      <c r="W102" s="220">
        <v>165617325</v>
      </c>
      <c r="X102" s="499"/>
      <c r="Z102" s="499"/>
    </row>
    <row r="103" spans="1:26" ht="36">
      <c r="A103" s="334" t="s">
        <v>440</v>
      </c>
      <c r="B103" s="177" t="s">
        <v>187</v>
      </c>
      <c r="C103" s="174" t="s">
        <v>1</v>
      </c>
      <c r="D103" s="247">
        <v>100</v>
      </c>
      <c r="E103" s="72">
        <f>+I103+M103+Q103+U103</f>
        <v>2736584298</v>
      </c>
      <c r="F103" s="708">
        <f>50+25+V103-75</f>
        <v>95</v>
      </c>
      <c r="G103" s="72">
        <f t="shared" si="35"/>
        <v>2679980639</v>
      </c>
      <c r="H103" s="270">
        <v>25</v>
      </c>
      <c r="I103" s="72">
        <v>567360065</v>
      </c>
      <c r="J103" s="348">
        <v>25</v>
      </c>
      <c r="K103" s="209">
        <v>567360065</v>
      </c>
      <c r="L103" s="270">
        <v>50</v>
      </c>
      <c r="M103" s="515">
        <v>558123413</v>
      </c>
      <c r="N103" s="348">
        <v>50</v>
      </c>
      <c r="O103" s="72">
        <v>528738428</v>
      </c>
      <c r="P103" s="270">
        <v>75</v>
      </c>
      <c r="Q103" s="72">
        <v>1095295132</v>
      </c>
      <c r="R103" s="597">
        <v>75</v>
      </c>
      <c r="S103" s="295">
        <v>1073739393</v>
      </c>
      <c r="T103" s="270">
        <v>100</v>
      </c>
      <c r="U103" s="609">
        <v>515805688</v>
      </c>
      <c r="V103" s="73">
        <v>95</v>
      </c>
      <c r="W103" s="220">
        <v>510142753</v>
      </c>
      <c r="X103" s="499"/>
    </row>
    <row r="104" spans="1:26" ht="44.25" customHeight="1">
      <c r="A104" s="334" t="s">
        <v>441</v>
      </c>
      <c r="B104" s="177" t="s">
        <v>189</v>
      </c>
      <c r="C104" s="174" t="s">
        <v>179</v>
      </c>
      <c r="D104" s="247">
        <f>AVERAGE(H104,L104,P104,T104)</f>
        <v>1</v>
      </c>
      <c r="E104" s="72">
        <f t="shared" ref="E104:E115" si="36">+I104+M104+Q104+U104</f>
        <v>272352500.80000001</v>
      </c>
      <c r="F104" s="610">
        <f>AVERAGE(J104,N104,R104,V104)</f>
        <v>0.95</v>
      </c>
      <c r="G104" s="72">
        <f t="shared" si="35"/>
        <v>245002100</v>
      </c>
      <c r="H104" s="270">
        <v>1</v>
      </c>
      <c r="I104" s="72">
        <v>0</v>
      </c>
      <c r="J104" s="348">
        <v>1</v>
      </c>
      <c r="K104" s="209">
        <v>0</v>
      </c>
      <c r="L104" s="270">
        <v>1</v>
      </c>
      <c r="M104" s="515">
        <v>120951880</v>
      </c>
      <c r="N104" s="348">
        <v>1</v>
      </c>
      <c r="O104" s="72">
        <v>119907716</v>
      </c>
      <c r="P104" s="270">
        <v>1</v>
      </c>
      <c r="Q104" s="72">
        <v>79131264.400000006</v>
      </c>
      <c r="R104" s="610">
        <v>1</v>
      </c>
      <c r="S104" s="72">
        <v>78709584</v>
      </c>
      <c r="T104" s="270">
        <v>1</v>
      </c>
      <c r="U104" s="609">
        <v>72269356.400000006</v>
      </c>
      <c r="V104" s="678">
        <v>0.8</v>
      </c>
      <c r="W104" s="220">
        <v>46384800</v>
      </c>
      <c r="X104" s="499"/>
    </row>
    <row r="105" spans="1:26" ht="69" customHeight="1">
      <c r="A105" s="334" t="s">
        <v>442</v>
      </c>
      <c r="B105" s="177" t="s">
        <v>187</v>
      </c>
      <c r="C105" s="174" t="s">
        <v>193</v>
      </c>
      <c r="D105" s="247">
        <f>+H105+L105+P105+T105</f>
        <v>1</v>
      </c>
      <c r="E105" s="72">
        <f t="shared" si="36"/>
        <v>0</v>
      </c>
      <c r="F105" s="610">
        <f>+J105+N105+R105+V105</f>
        <v>1</v>
      </c>
      <c r="G105" s="72">
        <f t="shared" si="35"/>
        <v>0</v>
      </c>
      <c r="H105" s="270">
        <v>1</v>
      </c>
      <c r="I105" s="72">
        <v>0</v>
      </c>
      <c r="J105" s="348">
        <v>1</v>
      </c>
      <c r="K105" s="209">
        <v>0</v>
      </c>
      <c r="L105" s="270">
        <v>0</v>
      </c>
      <c r="M105" s="515">
        <v>0</v>
      </c>
      <c r="N105" s="348">
        <v>0</v>
      </c>
      <c r="O105" s="72">
        <v>0</v>
      </c>
      <c r="P105" s="270">
        <v>0</v>
      </c>
      <c r="Q105" s="72">
        <v>0</v>
      </c>
      <c r="R105" s="610">
        <v>0</v>
      </c>
      <c r="S105" s="72">
        <v>0</v>
      </c>
      <c r="T105" s="270">
        <v>0</v>
      </c>
      <c r="U105" s="609">
        <v>0</v>
      </c>
      <c r="V105" s="71">
        <v>0</v>
      </c>
      <c r="W105" s="220">
        <v>0</v>
      </c>
      <c r="X105" s="499"/>
    </row>
    <row r="106" spans="1:26" ht="72">
      <c r="A106" s="334" t="s">
        <v>443</v>
      </c>
      <c r="B106" s="177" t="s">
        <v>187</v>
      </c>
      <c r="C106" s="174" t="s">
        <v>444</v>
      </c>
      <c r="D106" s="247">
        <f>+H106+L106+P106+T106</f>
        <v>4</v>
      </c>
      <c r="E106" s="72">
        <f t="shared" si="36"/>
        <v>3378784458.2051201</v>
      </c>
      <c r="F106" s="209">
        <f>+J106+N106+R106+V106</f>
        <v>3.8</v>
      </c>
      <c r="G106" s="72">
        <f t="shared" si="35"/>
        <v>3299240132</v>
      </c>
      <c r="H106" s="270">
        <v>1</v>
      </c>
      <c r="I106" s="72">
        <v>1813723379</v>
      </c>
      <c r="J106" s="348">
        <v>1</v>
      </c>
      <c r="K106" s="209">
        <v>1744310456</v>
      </c>
      <c r="L106" s="270">
        <v>1</v>
      </c>
      <c r="M106" s="515">
        <v>1334481688.71312</v>
      </c>
      <c r="N106" s="381">
        <v>0.9</v>
      </c>
      <c r="O106" s="72">
        <v>1332380306</v>
      </c>
      <c r="P106" s="270">
        <v>1</v>
      </c>
      <c r="Q106" s="72">
        <v>145361610.49200001</v>
      </c>
      <c r="R106" s="610">
        <v>1</v>
      </c>
      <c r="S106" s="72">
        <v>145361590</v>
      </c>
      <c r="T106" s="270">
        <v>1</v>
      </c>
      <c r="U106" s="609">
        <v>85217780</v>
      </c>
      <c r="V106" s="678">
        <v>0.9</v>
      </c>
      <c r="W106" s="220">
        <v>77187780</v>
      </c>
      <c r="X106" s="499"/>
    </row>
    <row r="107" spans="1:26" ht="39.75" customHeight="1">
      <c r="A107" s="334" t="s">
        <v>445</v>
      </c>
      <c r="B107" s="177" t="s">
        <v>187</v>
      </c>
      <c r="C107" s="174" t="s">
        <v>494</v>
      </c>
      <c r="D107" s="247">
        <f>+H107+L107+P107+T107</f>
        <v>3</v>
      </c>
      <c r="E107" s="72">
        <f t="shared" si="36"/>
        <v>144353118</v>
      </c>
      <c r="F107" s="209">
        <f>+J107+N107+R107+V107</f>
        <v>3</v>
      </c>
      <c r="G107" s="72">
        <f t="shared" si="35"/>
        <v>94671399</v>
      </c>
      <c r="H107" s="270">
        <v>1</v>
      </c>
      <c r="I107" s="215">
        <v>0</v>
      </c>
      <c r="J107" s="355">
        <v>1</v>
      </c>
      <c r="K107" s="216">
        <v>0</v>
      </c>
      <c r="L107" s="272">
        <v>1</v>
      </c>
      <c r="M107" s="517">
        <v>64617211</v>
      </c>
      <c r="N107" s="355">
        <v>1</v>
      </c>
      <c r="O107" s="215">
        <v>64617211</v>
      </c>
      <c r="P107" s="272">
        <v>1</v>
      </c>
      <c r="Q107" s="72">
        <v>79735907</v>
      </c>
      <c r="R107" s="614">
        <v>1</v>
      </c>
      <c r="S107" s="215">
        <v>30054188</v>
      </c>
      <c r="T107" s="272">
        <v>0</v>
      </c>
      <c r="U107" s="609"/>
      <c r="V107" s="71">
        <v>0</v>
      </c>
      <c r="W107" s="220">
        <v>0</v>
      </c>
      <c r="X107" s="499"/>
    </row>
    <row r="108" spans="1:26" ht="39.75" customHeight="1">
      <c r="A108" s="334" t="s">
        <v>446</v>
      </c>
      <c r="B108" s="177" t="s">
        <v>189</v>
      </c>
      <c r="C108" s="174" t="s">
        <v>192</v>
      </c>
      <c r="D108" s="247">
        <f>AVERAGE(H108,L108,P108,T108)</f>
        <v>1</v>
      </c>
      <c r="E108" s="72">
        <f t="shared" si="36"/>
        <v>21682030.192000002</v>
      </c>
      <c r="F108" s="610">
        <f>AVERAGE(J108,N108,R108,V108)</f>
        <v>1</v>
      </c>
      <c r="G108" s="72">
        <f t="shared" si="35"/>
        <v>21682030</v>
      </c>
      <c r="H108" s="270">
        <v>1</v>
      </c>
      <c r="I108" s="215">
        <v>4584866</v>
      </c>
      <c r="J108" s="355">
        <v>1</v>
      </c>
      <c r="K108" s="216">
        <v>4584866</v>
      </c>
      <c r="L108" s="272">
        <v>1</v>
      </c>
      <c r="M108" s="517">
        <v>9590256.1919999998</v>
      </c>
      <c r="N108" s="355">
        <v>1</v>
      </c>
      <c r="O108" s="215">
        <v>9590256</v>
      </c>
      <c r="P108" s="272">
        <v>1</v>
      </c>
      <c r="Q108" s="72">
        <v>7506908</v>
      </c>
      <c r="R108" s="614">
        <v>1</v>
      </c>
      <c r="S108" s="215">
        <v>7506908</v>
      </c>
      <c r="T108" s="272">
        <v>1</v>
      </c>
      <c r="U108" s="609">
        <v>0</v>
      </c>
      <c r="V108" s="678">
        <v>1</v>
      </c>
      <c r="W108" s="220">
        <v>0</v>
      </c>
      <c r="X108" s="499"/>
    </row>
    <row r="109" spans="1:26" ht="48.75" customHeight="1">
      <c r="A109" s="334" t="s">
        <v>447</v>
      </c>
      <c r="B109" s="177" t="s">
        <v>187</v>
      </c>
      <c r="C109" s="174" t="s">
        <v>131</v>
      </c>
      <c r="D109" s="247">
        <f>+H109+L109+P109+T109</f>
        <v>2</v>
      </c>
      <c r="E109" s="72">
        <f t="shared" si="36"/>
        <v>50200000</v>
      </c>
      <c r="F109" s="209">
        <f>+J109+N109+R109+V109</f>
        <v>2</v>
      </c>
      <c r="G109" s="72">
        <f t="shared" si="35"/>
        <v>50191686</v>
      </c>
      <c r="H109" s="272">
        <v>1</v>
      </c>
      <c r="I109" s="215">
        <v>50200000</v>
      </c>
      <c r="J109" s="348">
        <v>1</v>
      </c>
      <c r="K109" s="209">
        <v>50191686</v>
      </c>
      <c r="L109" s="270">
        <v>1</v>
      </c>
      <c r="M109" s="515"/>
      <c r="N109" s="348">
        <v>1</v>
      </c>
      <c r="O109" s="72">
        <v>0</v>
      </c>
      <c r="P109" s="270">
        <v>0</v>
      </c>
      <c r="Q109" s="72"/>
      <c r="R109" s="209">
        <v>0</v>
      </c>
      <c r="S109" s="72">
        <v>0</v>
      </c>
      <c r="T109" s="270">
        <v>0</v>
      </c>
      <c r="U109" s="609">
        <v>0</v>
      </c>
      <c r="V109" s="71">
        <v>0</v>
      </c>
      <c r="W109" s="220">
        <v>0</v>
      </c>
      <c r="X109" s="499"/>
    </row>
    <row r="110" spans="1:26" ht="48.75" customHeight="1">
      <c r="A110" s="334" t="s">
        <v>515</v>
      </c>
      <c r="B110" s="287"/>
      <c r="C110" s="174" t="s">
        <v>516</v>
      </c>
      <c r="D110" s="174">
        <v>0</v>
      </c>
      <c r="E110" s="72">
        <f t="shared" si="36"/>
        <v>23402780</v>
      </c>
      <c r="F110" s="216" t="s">
        <v>568</v>
      </c>
      <c r="G110" s="72">
        <f t="shared" si="35"/>
        <v>23398434</v>
      </c>
      <c r="H110" s="272"/>
      <c r="I110" s="215">
        <v>7462399</v>
      </c>
      <c r="J110" s="355">
        <v>0</v>
      </c>
      <c r="K110" s="216">
        <v>7462399</v>
      </c>
      <c r="L110" s="272"/>
      <c r="M110" s="517">
        <v>8308186</v>
      </c>
      <c r="N110" s="355"/>
      <c r="O110" s="215">
        <v>8303840</v>
      </c>
      <c r="P110" s="272">
        <v>0</v>
      </c>
      <c r="Q110" s="72">
        <v>3030341</v>
      </c>
      <c r="R110" s="216"/>
      <c r="S110" s="215">
        <v>3030341</v>
      </c>
      <c r="T110" s="270"/>
      <c r="U110" s="609">
        <v>4601854</v>
      </c>
      <c r="V110" s="300"/>
      <c r="W110" s="301">
        <v>4601854</v>
      </c>
      <c r="X110" s="499"/>
    </row>
    <row r="111" spans="1:26" ht="50.25" customHeight="1">
      <c r="A111" s="311" t="s">
        <v>498</v>
      </c>
      <c r="B111" s="227"/>
      <c r="C111" s="201"/>
      <c r="D111" s="228"/>
      <c r="E111" s="199">
        <f>SUM(E112:E117)</f>
        <v>6607316849.092</v>
      </c>
      <c r="F111" s="228"/>
      <c r="G111" s="199">
        <f>SUM(G112:G117)</f>
        <v>6019355797.0200005</v>
      </c>
      <c r="H111" s="228"/>
      <c r="I111" s="199">
        <f>SUM(I112:I117)</f>
        <v>1610000000</v>
      </c>
      <c r="J111" s="356"/>
      <c r="K111" s="228">
        <f>SUM(K112:K117)</f>
        <v>1562797169</v>
      </c>
      <c r="L111" s="195"/>
      <c r="M111" s="199">
        <f>SUM(M112:M117)</f>
        <v>1400000000</v>
      </c>
      <c r="N111" s="195"/>
      <c r="O111" s="199">
        <f>SUM(O112:O117)</f>
        <v>1314601617.1199999</v>
      </c>
      <c r="P111" s="199"/>
      <c r="Q111" s="199">
        <f>SUM(Q112:Q117)</f>
        <v>1922316849</v>
      </c>
      <c r="R111" s="228"/>
      <c r="S111" s="199">
        <f>SUM(S112:S117)</f>
        <v>1889267261</v>
      </c>
      <c r="T111" s="199"/>
      <c r="U111" s="199">
        <f t="shared" ref="U111" si="37">SUM(U112:U117)</f>
        <v>1675000000.092</v>
      </c>
      <c r="V111" s="225"/>
      <c r="W111" s="654">
        <f>SUM(W112:W117)</f>
        <v>1252689749.9000001</v>
      </c>
      <c r="X111" s="499"/>
      <c r="Z111" s="499"/>
    </row>
    <row r="112" spans="1:26" ht="50.25" customHeight="1">
      <c r="A112" s="332" t="s">
        <v>448</v>
      </c>
      <c r="B112" s="177" t="s">
        <v>189</v>
      </c>
      <c r="C112" s="174" t="s">
        <v>1</v>
      </c>
      <c r="D112" s="247">
        <v>100</v>
      </c>
      <c r="E112" s="72">
        <f>+I112+M112+Q112</f>
        <v>0</v>
      </c>
      <c r="F112" s="595">
        <f>+H112+V112-17</f>
        <v>98</v>
      </c>
      <c r="G112" s="72">
        <f t="shared" ref="G112:G115" si="38">+K112+O112+S112+W112</f>
        <v>0</v>
      </c>
      <c r="H112" s="270">
        <v>25</v>
      </c>
      <c r="I112" s="215"/>
      <c r="J112" s="363">
        <v>25</v>
      </c>
      <c r="K112" s="216">
        <v>0</v>
      </c>
      <c r="L112" s="272">
        <v>50</v>
      </c>
      <c r="M112" s="535">
        <v>0</v>
      </c>
      <c r="N112" s="355">
        <v>50</v>
      </c>
      <c r="O112" s="215">
        <v>0</v>
      </c>
      <c r="P112" s="270">
        <v>75</v>
      </c>
      <c r="Q112" s="215">
        <v>0</v>
      </c>
      <c r="R112" s="597">
        <v>75</v>
      </c>
      <c r="S112" s="215">
        <v>0</v>
      </c>
      <c r="T112" s="270">
        <v>100</v>
      </c>
      <c r="U112" s="60">
        <v>0</v>
      </c>
      <c r="V112" s="71">
        <v>90</v>
      </c>
      <c r="W112" s="233">
        <v>0</v>
      </c>
      <c r="X112" s="573">
        <f>+P112*0.66</f>
        <v>49.5</v>
      </c>
      <c r="Z112" s="499"/>
    </row>
    <row r="113" spans="1:24" ht="50.25" customHeight="1">
      <c r="A113" s="335" t="s">
        <v>449</v>
      </c>
      <c r="B113" s="177" t="s">
        <v>451</v>
      </c>
      <c r="C113" s="174" t="s">
        <v>495</v>
      </c>
      <c r="D113" s="247">
        <f>AVERAGE(H113,L113,P113,T113)</f>
        <v>1</v>
      </c>
      <c r="E113" s="72">
        <f t="shared" si="36"/>
        <v>2647440584</v>
      </c>
      <c r="F113" s="595">
        <f>AVERAGE(J113,N113,R113,V113)</f>
        <v>0.97499999999999998</v>
      </c>
      <c r="G113" s="72">
        <f t="shared" si="38"/>
        <v>2232936891.2600002</v>
      </c>
      <c r="H113" s="270">
        <v>1</v>
      </c>
      <c r="I113" s="215">
        <v>264620800</v>
      </c>
      <c r="J113" s="363">
        <v>1</v>
      </c>
      <c r="K113" s="216">
        <v>259667370</v>
      </c>
      <c r="L113" s="272">
        <v>1</v>
      </c>
      <c r="M113" s="517">
        <v>302686299</v>
      </c>
      <c r="N113" s="355">
        <v>1</v>
      </c>
      <c r="O113" s="215">
        <v>300653194.75999999</v>
      </c>
      <c r="P113" s="272">
        <v>1</v>
      </c>
      <c r="Q113" s="215">
        <v>962906380</v>
      </c>
      <c r="R113" s="613">
        <v>1</v>
      </c>
      <c r="S113" s="215">
        <v>932268448</v>
      </c>
      <c r="T113" s="272">
        <v>1</v>
      </c>
      <c r="U113" s="215">
        <v>1117227105</v>
      </c>
      <c r="V113" s="678">
        <v>0.9</v>
      </c>
      <c r="W113" s="220">
        <v>740347878.5</v>
      </c>
      <c r="X113" s="499">
        <f>+R113/P113*100</f>
        <v>100</v>
      </c>
    </row>
    <row r="114" spans="1:24" ht="50.25" customHeight="1">
      <c r="A114" s="329" t="s">
        <v>450</v>
      </c>
      <c r="B114" s="177" t="s">
        <v>451</v>
      </c>
      <c r="C114" s="174" t="s">
        <v>179</v>
      </c>
      <c r="D114" s="247">
        <f>AVERAGE(H114,L114,P114,T114)</f>
        <v>0.75</v>
      </c>
      <c r="E114" s="72">
        <f t="shared" si="36"/>
        <v>1737695030</v>
      </c>
      <c r="F114" s="526">
        <f>AVERAGE(J114,N114,R114,V114)</f>
        <v>0.75</v>
      </c>
      <c r="G114" s="72">
        <f t="shared" si="38"/>
        <v>1650410735</v>
      </c>
      <c r="H114" s="270">
        <v>1</v>
      </c>
      <c r="I114" s="215">
        <v>1188379200</v>
      </c>
      <c r="J114" s="363">
        <v>1</v>
      </c>
      <c r="K114" s="216">
        <v>1156645716</v>
      </c>
      <c r="L114" s="272">
        <v>1</v>
      </c>
      <c r="M114" s="517">
        <f>+'[2]PROYECTO 6.2'!$E$14+'[2]PROYECTO 6.2'!$E$15</f>
        <v>360000000</v>
      </c>
      <c r="N114" s="355">
        <v>1</v>
      </c>
      <c r="O114" s="215">
        <v>304449785</v>
      </c>
      <c r="P114" s="272">
        <v>1</v>
      </c>
      <c r="Q114" s="215">
        <v>189315830</v>
      </c>
      <c r="R114" s="614">
        <v>1</v>
      </c>
      <c r="S114" s="215">
        <v>189315234</v>
      </c>
      <c r="T114" s="272">
        <v>0</v>
      </c>
      <c r="U114" s="215">
        <v>0</v>
      </c>
      <c r="V114" s="71">
        <v>0</v>
      </c>
      <c r="W114" s="220">
        <v>0</v>
      </c>
      <c r="X114" s="499"/>
    </row>
    <row r="115" spans="1:24" ht="57" customHeight="1">
      <c r="A115" s="329" t="s">
        <v>452</v>
      </c>
      <c r="B115" s="177" t="s">
        <v>187</v>
      </c>
      <c r="C115" s="174" t="s">
        <v>496</v>
      </c>
      <c r="D115" s="247">
        <f>+H115+L115+P115+T115</f>
        <v>4</v>
      </c>
      <c r="E115" s="72">
        <f t="shared" si="36"/>
        <v>1079183608.092</v>
      </c>
      <c r="F115" s="595">
        <f>+J115+N115+R115+V115</f>
        <v>3.9</v>
      </c>
      <c r="G115" s="72">
        <f t="shared" si="38"/>
        <v>1023431287.76</v>
      </c>
      <c r="H115" s="270">
        <v>1</v>
      </c>
      <c r="I115" s="215"/>
      <c r="J115" s="363">
        <v>1</v>
      </c>
      <c r="K115" s="216">
        <v>0</v>
      </c>
      <c r="L115" s="272">
        <v>1</v>
      </c>
      <c r="M115" s="517">
        <v>319029600</v>
      </c>
      <c r="N115" s="355">
        <v>1</v>
      </c>
      <c r="O115" s="215">
        <v>307278993.36000001</v>
      </c>
      <c r="P115" s="272">
        <v>1</v>
      </c>
      <c r="Q115" s="215">
        <v>550086834</v>
      </c>
      <c r="R115" s="614">
        <v>1</v>
      </c>
      <c r="S115" s="215">
        <v>547675774</v>
      </c>
      <c r="T115" s="272">
        <v>1</v>
      </c>
      <c r="U115" s="215">
        <v>210067174.09199998</v>
      </c>
      <c r="V115" s="678">
        <v>0.9</v>
      </c>
      <c r="W115" s="232">
        <v>168476520.40000001</v>
      </c>
      <c r="X115" s="499"/>
    </row>
    <row r="116" spans="1:24" ht="80.25" customHeight="1" thickBot="1">
      <c r="A116" s="339" t="s">
        <v>453</v>
      </c>
      <c r="B116" s="177" t="s">
        <v>189</v>
      </c>
      <c r="C116" s="174" t="s">
        <v>192</v>
      </c>
      <c r="D116" s="302">
        <f>AVERAGE(H116,L116,P116,T116)</f>
        <v>1</v>
      </c>
      <c r="E116" s="72">
        <f>+I116+M116+Q116+U116</f>
        <v>1018003885</v>
      </c>
      <c r="F116" s="526">
        <f>AVERAGE(J116,N116,R116,V116)</f>
        <v>0.97499999999999998</v>
      </c>
      <c r="G116" s="72">
        <f>+K116+O116+S116+W116</f>
        <v>991549645</v>
      </c>
      <c r="H116" s="272">
        <v>1</v>
      </c>
      <c r="I116" s="215">
        <v>140000000</v>
      </c>
      <c r="J116" s="363">
        <v>1</v>
      </c>
      <c r="K116" s="216">
        <v>132922987</v>
      </c>
      <c r="L116" s="272">
        <v>1</v>
      </c>
      <c r="M116" s="517">
        <v>404975933</v>
      </c>
      <c r="N116" s="355">
        <v>1</v>
      </c>
      <c r="O116" s="215">
        <v>389439076</v>
      </c>
      <c r="P116" s="272">
        <v>1</v>
      </c>
      <c r="Q116" s="215">
        <v>165480148</v>
      </c>
      <c r="R116" s="613">
        <v>1</v>
      </c>
      <c r="S116" s="215">
        <v>165480148</v>
      </c>
      <c r="T116" s="272">
        <v>1</v>
      </c>
      <c r="U116" s="215">
        <v>307547804</v>
      </c>
      <c r="V116" s="681">
        <v>0.9</v>
      </c>
      <c r="W116" s="294">
        <v>303707434</v>
      </c>
      <c r="X116" s="499"/>
    </row>
    <row r="117" spans="1:24" ht="80.25" customHeight="1" thickBot="1">
      <c r="A117" s="334" t="s">
        <v>515</v>
      </c>
      <c r="B117" s="287"/>
      <c r="C117" s="174" t="s">
        <v>516</v>
      </c>
      <c r="D117" s="174">
        <v>0</v>
      </c>
      <c r="E117" s="72">
        <f>+I117+M117+Q117+U117</f>
        <v>124993742</v>
      </c>
      <c r="F117" s="209"/>
      <c r="G117" s="72">
        <f>+K117+O117+S117+W117</f>
        <v>121027238</v>
      </c>
      <c r="H117" s="270"/>
      <c r="I117" s="72">
        <v>17000000</v>
      </c>
      <c r="J117" s="364"/>
      <c r="K117" s="209">
        <v>13561096</v>
      </c>
      <c r="L117" s="270"/>
      <c r="M117" s="515">
        <v>13308168</v>
      </c>
      <c r="N117" s="348"/>
      <c r="O117" s="72">
        <v>12780568</v>
      </c>
      <c r="P117" s="270">
        <v>0</v>
      </c>
      <c r="Q117" s="215">
        <v>54527657</v>
      </c>
      <c r="R117" s="209"/>
      <c r="S117" s="72">
        <v>54527657</v>
      </c>
      <c r="T117" s="270"/>
      <c r="U117" s="215">
        <v>40157917</v>
      </c>
      <c r="V117" s="71"/>
      <c r="W117" s="220">
        <v>40157917</v>
      </c>
      <c r="X117" s="499"/>
    </row>
    <row r="118" spans="1:24" ht="38.25" customHeight="1" thickBot="1">
      <c r="A118" s="772" t="s">
        <v>194</v>
      </c>
      <c r="B118" s="773"/>
      <c r="C118" s="773"/>
      <c r="D118" s="774"/>
      <c r="E118" s="303">
        <f>+E5+E33++E55+E69+E87+E100</f>
        <v>120745401645.7506</v>
      </c>
      <c r="F118" s="319"/>
      <c r="G118" s="303">
        <f>+G5+G33++G55+G69+G87+G100</f>
        <v>110126624252.27699</v>
      </c>
      <c r="H118" s="303"/>
      <c r="I118" s="303">
        <f>+I5+I33++I55+I69+I87+I100+1</f>
        <v>31883600736</v>
      </c>
      <c r="J118" s="365"/>
      <c r="K118" s="319">
        <f>+K5+K33++K55+K69+K87+K100</f>
        <v>31023133223</v>
      </c>
      <c r="L118" s="303"/>
      <c r="M118" s="303">
        <f>+M100+M87+M69+M55+M33+M5</f>
        <v>27866767572.465118</v>
      </c>
      <c r="N118" s="303"/>
      <c r="O118" s="303">
        <f>+O5+O33++O55+O69+O87+O100</f>
        <v>26336039932.591999</v>
      </c>
      <c r="P118" s="303"/>
      <c r="Q118" s="193">
        <f>+Q5+Q33++Q55+Q69+Q87+Q100</f>
        <v>32780226895.198578</v>
      </c>
      <c r="R118" s="319">
        <f t="shared" ref="R118" si="39">+R5+R33++R55+R69+R87+R100</f>
        <v>0</v>
      </c>
      <c r="S118" s="303">
        <f>+S5+S33++S55+S69+S87+S100</f>
        <v>30355649342.140999</v>
      </c>
      <c r="T118" s="303"/>
      <c r="U118" s="193">
        <f t="shared" ref="U118:V118" si="40">+U5+U33++U55+U69+U87+U100</f>
        <v>28214806442.086906</v>
      </c>
      <c r="V118" s="303">
        <f t="shared" si="40"/>
        <v>0</v>
      </c>
      <c r="W118" s="303">
        <f>+W5+W33++W55+W69+W87+W100</f>
        <v>22411801754.543999</v>
      </c>
    </row>
    <row r="119" spans="1:24" ht="3.75" customHeight="1" thickBot="1">
      <c r="A119" s="234"/>
      <c r="B119" s="235"/>
      <c r="C119" s="235"/>
      <c r="D119" s="235"/>
      <c r="E119" s="236"/>
      <c r="F119" s="320"/>
      <c r="G119" s="236"/>
      <c r="H119" s="235"/>
      <c r="I119" s="235"/>
      <c r="J119" s="366"/>
      <c r="K119" s="320"/>
      <c r="L119" s="235"/>
      <c r="M119" s="235"/>
      <c r="N119" s="235"/>
      <c r="O119" s="235"/>
      <c r="P119" s="235"/>
      <c r="Q119" s="238"/>
      <c r="R119" s="600"/>
      <c r="S119" s="237"/>
      <c r="T119" s="235"/>
      <c r="U119" s="238"/>
      <c r="V119" s="239"/>
      <c r="W119" s="240"/>
    </row>
    <row r="120" spans="1:24" ht="18">
      <c r="E120" s="62"/>
      <c r="G120" s="65"/>
      <c r="H120" s="65"/>
      <c r="I120" s="65"/>
      <c r="J120" s="376"/>
      <c r="K120" s="377"/>
      <c r="M120" s="536"/>
      <c r="N120" s="65"/>
      <c r="O120" s="536"/>
    </row>
    <row r="121" spans="1:24">
      <c r="E121" s="62"/>
      <c r="G121" s="65"/>
      <c r="H121" s="65"/>
      <c r="I121" s="65"/>
      <c r="J121" s="376"/>
      <c r="K121" s="377"/>
      <c r="M121" s="65"/>
      <c r="N121" s="65"/>
      <c r="O121" s="65"/>
      <c r="P121" s="65"/>
      <c r="R121" s="602"/>
      <c r="U121" s="65">
        <v>28214806442</v>
      </c>
      <c r="W121" s="66">
        <v>22411801755</v>
      </c>
    </row>
    <row r="122" spans="1:24">
      <c r="E122" s="62"/>
      <c r="G122" s="65"/>
      <c r="H122" s="65"/>
      <c r="I122" s="65"/>
      <c r="J122" s="376"/>
      <c r="K122" s="377"/>
      <c r="O122" s="65"/>
      <c r="P122" s="65"/>
      <c r="R122" s="602"/>
      <c r="U122" s="65">
        <f>+U118-U121</f>
        <v>8.690643310546875E-2</v>
      </c>
      <c r="W122" s="66">
        <f>+W118-W121</f>
        <v>-0.45600128173828125</v>
      </c>
    </row>
    <row r="123" spans="1:24">
      <c r="E123" s="62"/>
      <c r="G123" s="65"/>
      <c r="H123" s="65"/>
      <c r="I123" s="65"/>
      <c r="J123" s="376"/>
      <c r="K123" s="377"/>
      <c r="O123" s="65"/>
      <c r="P123" s="65"/>
      <c r="R123" s="602"/>
    </row>
    <row r="124" spans="1:24">
      <c r="E124" s="62"/>
      <c r="G124" s="65"/>
      <c r="H124" s="65"/>
      <c r="I124" s="65"/>
      <c r="J124" s="376"/>
      <c r="K124" s="377"/>
      <c r="O124" s="65"/>
      <c r="P124" s="65"/>
      <c r="R124" s="602"/>
    </row>
    <row r="125" spans="1:24">
      <c r="E125" s="62"/>
      <c r="G125" s="65"/>
      <c r="H125" s="65"/>
      <c r="I125" s="65"/>
      <c r="J125" s="376"/>
      <c r="K125" s="377"/>
      <c r="O125" s="65"/>
      <c r="P125" s="65"/>
      <c r="R125" s="602"/>
      <c r="V125" s="226">
        <v>44958551</v>
      </c>
    </row>
    <row r="126" spans="1:24">
      <c r="E126" s="62"/>
      <c r="G126" s="65"/>
      <c r="H126" s="65"/>
      <c r="I126" s="65"/>
      <c r="J126" s="376"/>
      <c r="K126" s="377"/>
      <c r="O126" s="65"/>
      <c r="P126" s="65"/>
      <c r="R126" s="602"/>
      <c r="V126" s="226">
        <v>175120153</v>
      </c>
    </row>
    <row r="127" spans="1:24">
      <c r="E127" s="62"/>
      <c r="G127" s="65"/>
      <c r="H127" s="65"/>
      <c r="I127" s="65"/>
      <c r="J127" s="376"/>
      <c r="K127" s="377"/>
      <c r="O127" s="65"/>
      <c r="P127" s="65"/>
      <c r="R127" s="602"/>
      <c r="V127" s="226">
        <f>+V126+V125</f>
        <v>220078704</v>
      </c>
    </row>
    <row r="128" spans="1:24">
      <c r="E128" s="62"/>
      <c r="G128" s="65"/>
      <c r="H128" s="65"/>
      <c r="I128" s="65"/>
      <c r="J128" s="376"/>
      <c r="K128" s="377"/>
      <c r="O128" s="65"/>
      <c r="P128" s="65"/>
      <c r="R128" s="602"/>
    </row>
    <row r="129" spans="5:19">
      <c r="E129" s="62"/>
      <c r="G129" s="65"/>
      <c r="H129" s="65"/>
      <c r="I129" s="65"/>
      <c r="J129" s="376"/>
      <c r="K129" s="377"/>
      <c r="O129" s="65"/>
      <c r="P129" s="65"/>
      <c r="R129" s="602"/>
    </row>
    <row r="130" spans="5:19">
      <c r="E130" s="62"/>
      <c r="G130" s="65"/>
      <c r="H130" s="65"/>
      <c r="I130" s="65"/>
      <c r="J130" s="376"/>
      <c r="K130" s="377"/>
      <c r="O130" s="65"/>
      <c r="P130" s="65"/>
      <c r="R130" s="602"/>
    </row>
    <row r="131" spans="5:19">
      <c r="E131" s="62"/>
      <c r="G131" s="65"/>
      <c r="H131" s="65"/>
      <c r="I131" s="65"/>
      <c r="J131" s="376"/>
      <c r="K131" s="377"/>
      <c r="O131" s="65"/>
      <c r="P131" s="65"/>
      <c r="R131" s="602"/>
    </row>
    <row r="132" spans="5:19">
      <c r="E132" s="62"/>
      <c r="G132" s="65"/>
      <c r="H132" s="65"/>
      <c r="I132" s="65"/>
      <c r="J132" s="376"/>
      <c r="K132" s="377"/>
      <c r="O132" s="65"/>
      <c r="P132" s="65"/>
      <c r="R132" s="602"/>
    </row>
    <row r="133" spans="5:19">
      <c r="E133" s="62"/>
      <c r="G133" s="65"/>
      <c r="H133" s="65"/>
      <c r="I133" s="65"/>
      <c r="J133" s="376"/>
      <c r="K133" s="377"/>
    </row>
    <row r="134" spans="5:19">
      <c r="E134" s="62"/>
      <c r="G134" s="65"/>
      <c r="H134" s="65"/>
      <c r="I134" s="65"/>
      <c r="J134" s="376"/>
      <c r="K134" s="377"/>
      <c r="S134" s="718" t="s">
        <v>574</v>
      </c>
    </row>
    <row r="135" spans="5:19">
      <c r="E135" s="62"/>
      <c r="G135" s="65"/>
      <c r="H135" s="65"/>
      <c r="I135" s="65"/>
      <c r="J135" s="376"/>
      <c r="K135" s="377"/>
    </row>
    <row r="136" spans="5:19">
      <c r="E136" s="62"/>
      <c r="G136" s="65"/>
      <c r="H136" s="65"/>
      <c r="I136" s="65"/>
      <c r="J136" s="376"/>
      <c r="K136" s="377"/>
    </row>
    <row r="137" spans="5:19">
      <c r="E137" s="62"/>
      <c r="G137" s="62"/>
    </row>
    <row r="138" spans="5:19">
      <c r="E138" s="62"/>
      <c r="G138" s="62"/>
    </row>
    <row r="139" spans="5:19">
      <c r="E139" s="62"/>
      <c r="G139" s="62"/>
    </row>
    <row r="140" spans="5:19">
      <c r="E140" s="62"/>
      <c r="G140" s="62"/>
    </row>
    <row r="141" spans="5:19">
      <c r="E141" s="62"/>
      <c r="G141" s="62"/>
    </row>
    <row r="142" spans="5:19">
      <c r="E142" s="62"/>
      <c r="G142" s="62"/>
    </row>
    <row r="143" spans="5:19">
      <c r="E143" s="62"/>
      <c r="G143" s="62"/>
    </row>
    <row r="144" spans="5:19">
      <c r="E144" s="62"/>
      <c r="G144" s="62"/>
    </row>
    <row r="145" spans="5:7">
      <c r="E145" s="62"/>
      <c r="G145" s="62"/>
    </row>
    <row r="146" spans="5:7">
      <c r="E146" s="62"/>
      <c r="G146" s="62"/>
    </row>
    <row r="147" spans="5:7">
      <c r="E147" s="62"/>
      <c r="G147" s="62"/>
    </row>
    <row r="148" spans="5:7">
      <c r="E148" s="62"/>
      <c r="G148" s="62"/>
    </row>
    <row r="149" spans="5:7">
      <c r="E149" s="62"/>
      <c r="G149" s="62"/>
    </row>
    <row r="150" spans="5:7">
      <c r="E150" s="62"/>
      <c r="G150" s="62"/>
    </row>
    <row r="151" spans="5:7">
      <c r="E151" s="62"/>
      <c r="G151" s="62"/>
    </row>
    <row r="152" spans="5:7">
      <c r="E152" s="62"/>
      <c r="G152" s="62"/>
    </row>
    <row r="153" spans="5:7">
      <c r="E153" s="62"/>
      <c r="G153" s="62"/>
    </row>
    <row r="154" spans="5:7">
      <c r="E154" s="62"/>
      <c r="G154" s="62"/>
    </row>
    <row r="155" spans="5:7">
      <c r="E155" s="62"/>
      <c r="G155" s="62"/>
    </row>
    <row r="156" spans="5:7">
      <c r="E156" s="62"/>
      <c r="G156" s="62"/>
    </row>
    <row r="157" spans="5:7">
      <c r="E157" s="62"/>
      <c r="G157" s="62"/>
    </row>
    <row r="158" spans="5:7">
      <c r="E158" s="62"/>
      <c r="G158" s="62"/>
    </row>
    <row r="159" spans="5:7">
      <c r="E159" s="62"/>
      <c r="G159" s="62"/>
    </row>
    <row r="160" spans="5:7">
      <c r="E160" s="62"/>
      <c r="G160" s="62"/>
    </row>
    <row r="161" spans="5:7">
      <c r="E161" s="62"/>
      <c r="G161" s="62"/>
    </row>
    <row r="162" spans="5:7">
      <c r="E162" s="62"/>
      <c r="G162" s="62"/>
    </row>
    <row r="163" spans="5:7">
      <c r="E163" s="62"/>
      <c r="G163" s="62"/>
    </row>
    <row r="164" spans="5:7">
      <c r="E164" s="62"/>
      <c r="G164" s="62"/>
    </row>
    <row r="165" spans="5:7">
      <c r="E165" s="62"/>
      <c r="G165" s="62"/>
    </row>
    <row r="166" spans="5:7">
      <c r="E166" s="62"/>
      <c r="G166" s="62"/>
    </row>
    <row r="167" spans="5:7">
      <c r="E167" s="62"/>
      <c r="G167" s="62"/>
    </row>
    <row r="168" spans="5:7">
      <c r="E168" s="62"/>
      <c r="G168" s="62"/>
    </row>
    <row r="169" spans="5:7">
      <c r="E169" s="62"/>
      <c r="G169" s="62"/>
    </row>
    <row r="170" spans="5:7">
      <c r="E170" s="62"/>
      <c r="G170" s="62"/>
    </row>
    <row r="171" spans="5:7">
      <c r="E171" s="62"/>
      <c r="G171" s="62"/>
    </row>
    <row r="172" spans="5:7">
      <c r="E172" s="62"/>
      <c r="G172" s="62"/>
    </row>
    <row r="173" spans="5:7">
      <c r="E173" s="62"/>
      <c r="G173" s="62"/>
    </row>
    <row r="174" spans="5:7">
      <c r="E174" s="62"/>
      <c r="G174" s="62"/>
    </row>
    <row r="175" spans="5:7">
      <c r="E175" s="62"/>
      <c r="G175" s="62"/>
    </row>
    <row r="176" spans="5:7">
      <c r="E176" s="62"/>
      <c r="G176" s="62"/>
    </row>
    <row r="177" spans="5:7">
      <c r="E177" s="62"/>
      <c r="G177" s="62"/>
    </row>
    <row r="178" spans="5:7">
      <c r="E178" s="62"/>
      <c r="G178" s="62"/>
    </row>
    <row r="179" spans="5:7">
      <c r="E179" s="62"/>
      <c r="G179" s="62"/>
    </row>
    <row r="180" spans="5:7">
      <c r="E180" s="62"/>
      <c r="G180" s="62"/>
    </row>
    <row r="181" spans="5:7">
      <c r="E181" s="62"/>
      <c r="G181" s="62"/>
    </row>
    <row r="182" spans="5:7">
      <c r="E182" s="62"/>
      <c r="G182" s="62"/>
    </row>
    <row r="183" spans="5:7">
      <c r="E183" s="62"/>
      <c r="G183" s="62"/>
    </row>
    <row r="184" spans="5:7">
      <c r="E184" s="62"/>
      <c r="G184" s="62"/>
    </row>
    <row r="185" spans="5:7">
      <c r="E185" s="62"/>
      <c r="G185" s="62"/>
    </row>
    <row r="186" spans="5:7">
      <c r="E186" s="62"/>
      <c r="G186" s="62"/>
    </row>
    <row r="187" spans="5:7">
      <c r="E187" s="62"/>
      <c r="G187" s="62"/>
    </row>
    <row r="188" spans="5:7">
      <c r="E188" s="62"/>
      <c r="G188" s="62"/>
    </row>
    <row r="189" spans="5:7">
      <c r="E189" s="62"/>
      <c r="G189" s="62"/>
    </row>
    <row r="190" spans="5:7">
      <c r="E190" s="62"/>
      <c r="G190" s="62"/>
    </row>
    <row r="191" spans="5:7">
      <c r="E191" s="62"/>
      <c r="G191" s="62"/>
    </row>
    <row r="192" spans="5:7">
      <c r="E192" s="62"/>
      <c r="G192" s="62"/>
    </row>
    <row r="193" spans="5:7">
      <c r="E193" s="62"/>
      <c r="G193" s="62"/>
    </row>
    <row r="194" spans="5:7">
      <c r="E194" s="62"/>
      <c r="G194" s="62"/>
    </row>
    <row r="195" spans="5:7">
      <c r="E195" s="62"/>
      <c r="G195" s="62"/>
    </row>
    <row r="196" spans="5:7">
      <c r="E196" s="62"/>
      <c r="G196" s="62"/>
    </row>
    <row r="197" spans="5:7">
      <c r="E197" s="62"/>
      <c r="G197" s="62"/>
    </row>
    <row r="198" spans="5:7">
      <c r="E198" s="62"/>
      <c r="G198" s="62"/>
    </row>
    <row r="199" spans="5:7">
      <c r="E199" s="62"/>
      <c r="G199" s="62"/>
    </row>
    <row r="200" spans="5:7">
      <c r="E200" s="62"/>
      <c r="G200" s="62"/>
    </row>
    <row r="201" spans="5:7">
      <c r="E201" s="62"/>
      <c r="G201" s="62"/>
    </row>
    <row r="202" spans="5:7">
      <c r="E202" s="62"/>
      <c r="G202" s="62"/>
    </row>
    <row r="203" spans="5:7">
      <c r="E203" s="62"/>
      <c r="G203" s="62"/>
    </row>
    <row r="204" spans="5:7">
      <c r="E204" s="62"/>
      <c r="G204" s="62"/>
    </row>
    <row r="205" spans="5:7">
      <c r="E205" s="62"/>
      <c r="G205" s="62"/>
    </row>
    <row r="206" spans="5:7">
      <c r="E206" s="62"/>
      <c r="G206" s="62"/>
    </row>
    <row r="207" spans="5:7">
      <c r="E207" s="62"/>
      <c r="G207" s="62"/>
    </row>
    <row r="208" spans="5:7">
      <c r="E208" s="62"/>
      <c r="G208" s="62"/>
    </row>
    <row r="209" spans="5:7">
      <c r="E209" s="62"/>
      <c r="G209" s="62"/>
    </row>
    <row r="210" spans="5:7">
      <c r="E210" s="62"/>
      <c r="G210" s="62"/>
    </row>
    <row r="211" spans="5:7">
      <c r="E211" s="62"/>
      <c r="G211" s="62"/>
    </row>
    <row r="212" spans="5:7">
      <c r="E212" s="62"/>
      <c r="G212" s="62"/>
    </row>
    <row r="213" spans="5:7">
      <c r="E213" s="62"/>
      <c r="G213" s="62"/>
    </row>
  </sheetData>
  <mergeCells count="14">
    <mergeCell ref="A118:D118"/>
    <mergeCell ref="A1:W1"/>
    <mergeCell ref="A2:U2"/>
    <mergeCell ref="C3:E3"/>
    <mergeCell ref="F3:G3"/>
    <mergeCell ref="H3:I3"/>
    <mergeCell ref="J3:K3"/>
    <mergeCell ref="L3:M3"/>
    <mergeCell ref="N3:O3"/>
    <mergeCell ref="P3:Q3"/>
    <mergeCell ref="R3:S3"/>
    <mergeCell ref="T3:U3"/>
    <mergeCell ref="V3:W3"/>
    <mergeCell ref="A3:A4"/>
  </mergeCells>
  <conditionalFormatting sqref="D94">
    <cfRule type="colorScale" priority="1">
      <colorScale>
        <cfvo type="min"/>
        <cfvo type="percentile" val="50"/>
        <cfvo type="max"/>
        <color rgb="FFF8696B"/>
        <color rgb="FFFCFCFF"/>
        <color rgb="FF63BE7B"/>
      </colorScale>
    </cfRule>
  </conditionalFormatting>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selection sqref="A1:B1"/>
    </sheetView>
  </sheetViews>
  <sheetFormatPr baseColWidth="10" defaultRowHeight="12.75"/>
  <cols>
    <col min="1" max="1" width="47.42578125" customWidth="1"/>
    <col min="2" max="2" width="84.140625" customWidth="1"/>
  </cols>
  <sheetData>
    <row r="1" spans="1:2" ht="14.25" thickBot="1">
      <c r="A1" s="899" t="s">
        <v>29</v>
      </c>
      <c r="B1" s="899"/>
    </row>
    <row r="2" spans="1:2" ht="27" customHeight="1">
      <c r="A2" s="895" t="s">
        <v>30</v>
      </c>
      <c r="B2" s="896"/>
    </row>
    <row r="3" spans="1:2" ht="24.75" customHeight="1" thickBot="1">
      <c r="A3" s="897" t="s">
        <v>31</v>
      </c>
      <c r="B3" s="898"/>
    </row>
    <row r="4" spans="1:2">
      <c r="A4" s="8" t="s">
        <v>32</v>
      </c>
      <c r="B4" s="8" t="s">
        <v>33</v>
      </c>
    </row>
    <row r="5" spans="1:2" ht="36.75">
      <c r="A5" s="9" t="s">
        <v>121</v>
      </c>
      <c r="B5" s="10" t="s">
        <v>75</v>
      </c>
    </row>
    <row r="6" spans="1:2" ht="27.75">
      <c r="A6" s="9" t="s">
        <v>34</v>
      </c>
      <c r="B6" s="10" t="s">
        <v>76</v>
      </c>
    </row>
    <row r="7" spans="1:2" ht="21" customHeight="1">
      <c r="A7" s="9" t="s">
        <v>35</v>
      </c>
      <c r="B7" s="10" t="s">
        <v>77</v>
      </c>
    </row>
    <row r="8" spans="1:2" ht="45" customHeight="1">
      <c r="A8" s="9" t="s">
        <v>80</v>
      </c>
      <c r="B8" s="159" t="s">
        <v>62</v>
      </c>
    </row>
    <row r="9" spans="1:2" ht="54" customHeight="1">
      <c r="A9" s="163" t="s">
        <v>63</v>
      </c>
      <c r="B9" s="10" t="s">
        <v>78</v>
      </c>
    </row>
    <row r="10" spans="1:2" ht="21" customHeight="1">
      <c r="A10" s="160" t="s">
        <v>342</v>
      </c>
      <c r="B10" s="161" t="s">
        <v>343</v>
      </c>
    </row>
    <row r="11" spans="1:2" ht="40.5" customHeight="1">
      <c r="A11" s="9" t="s">
        <v>79</v>
      </c>
      <c r="B11" s="10" t="s">
        <v>346</v>
      </c>
    </row>
    <row r="12" spans="1:2" ht="36.75" customHeight="1">
      <c r="A12" s="163" t="s">
        <v>36</v>
      </c>
      <c r="B12" s="162" t="s">
        <v>81</v>
      </c>
    </row>
    <row r="13" spans="1:2" ht="21.75" customHeight="1">
      <c r="A13" s="163" t="s">
        <v>57</v>
      </c>
      <c r="B13" s="10" t="s">
        <v>82</v>
      </c>
    </row>
    <row r="14" spans="1:2" ht="18.75">
      <c r="A14" s="9" t="s">
        <v>37</v>
      </c>
      <c r="B14" s="10" t="s">
        <v>61</v>
      </c>
    </row>
    <row r="15" spans="1:2" ht="18.75">
      <c r="A15" s="9" t="s">
        <v>38</v>
      </c>
      <c r="B15" s="10" t="s">
        <v>64</v>
      </c>
    </row>
    <row r="16" spans="1:2" ht="18.75">
      <c r="A16" s="9" t="s">
        <v>39</v>
      </c>
      <c r="B16" s="10" t="s">
        <v>83</v>
      </c>
    </row>
    <row r="17" spans="1:2" ht="36.75">
      <c r="A17" s="9" t="s">
        <v>40</v>
      </c>
      <c r="B17" s="10" t="s">
        <v>12</v>
      </c>
    </row>
    <row r="18" spans="1:2" ht="18.75">
      <c r="A18" s="9" t="s">
        <v>41</v>
      </c>
      <c r="B18" s="10" t="s">
        <v>42</v>
      </c>
    </row>
    <row r="19" spans="1:2" ht="18.75">
      <c r="A19" s="9" t="s">
        <v>43</v>
      </c>
      <c r="B19" s="10" t="s">
        <v>84</v>
      </c>
    </row>
    <row r="20" spans="1:2" ht="25.5" customHeight="1">
      <c r="A20" s="9" t="s">
        <v>44</v>
      </c>
      <c r="B20" s="10" t="s">
        <v>65</v>
      </c>
    </row>
    <row r="21" spans="1:2" ht="25.5" customHeight="1">
      <c r="A21" s="9" t="s">
        <v>45</v>
      </c>
      <c r="B21" s="10" t="s">
        <v>66</v>
      </c>
    </row>
    <row r="22" spans="1:2" ht="21" customHeight="1">
      <c r="A22" s="9" t="s">
        <v>46</v>
      </c>
      <c r="B22" s="10" t="s">
        <v>67</v>
      </c>
    </row>
    <row r="23" spans="1:2" ht="84" customHeight="1" thickBot="1">
      <c r="A23" s="164" t="s">
        <v>86</v>
      </c>
      <c r="B23" s="11" t="s">
        <v>6</v>
      </c>
    </row>
  </sheetData>
  <mergeCells count="3">
    <mergeCell ref="A2:B2"/>
    <mergeCell ref="A3:B3"/>
    <mergeCell ref="A1:B1"/>
  </mergeCells>
  <phoneticPr fontId="18"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baseColWidth="10" defaultRowHeight="12.75"/>
  <cols>
    <col min="1" max="1" width="33.5703125" customWidth="1"/>
    <col min="2" max="2" width="72.140625" customWidth="1"/>
  </cols>
  <sheetData>
    <row r="1" spans="1:2" ht="14.25" thickBot="1">
      <c r="A1" s="899" t="s">
        <v>47</v>
      </c>
      <c r="B1" s="899"/>
    </row>
    <row r="2" spans="1:2" ht="13.5" customHeight="1">
      <c r="A2" s="895" t="s">
        <v>30</v>
      </c>
      <c r="B2" s="896"/>
    </row>
    <row r="3" spans="1:2" ht="14.25" thickBot="1">
      <c r="A3" s="897" t="s">
        <v>48</v>
      </c>
      <c r="B3" s="898"/>
    </row>
    <row r="4" spans="1:2" ht="13.5" thickBot="1">
      <c r="A4" s="6" t="s">
        <v>32</v>
      </c>
      <c r="B4" s="7" t="s">
        <v>33</v>
      </c>
    </row>
    <row r="5" spans="1:2" ht="26.25" thickBot="1">
      <c r="A5" s="14" t="s">
        <v>14</v>
      </c>
      <c r="B5" s="15" t="s">
        <v>15</v>
      </c>
    </row>
    <row r="6" spans="1:2" ht="30" customHeight="1" thickBot="1">
      <c r="A6" s="14" t="s">
        <v>123</v>
      </c>
      <c r="B6" s="15" t="s">
        <v>125</v>
      </c>
    </row>
    <row r="7" spans="1:2" ht="64.5" thickBot="1">
      <c r="A7" s="13" t="s">
        <v>124</v>
      </c>
      <c r="B7" s="16" t="s">
        <v>68</v>
      </c>
    </row>
    <row r="8" spans="1:2" ht="39" thickBot="1">
      <c r="A8" s="13" t="s">
        <v>13</v>
      </c>
      <c r="B8" s="16" t="s">
        <v>7</v>
      </c>
    </row>
    <row r="9" spans="1:2" ht="64.5" thickBot="1">
      <c r="A9" s="13" t="s">
        <v>49</v>
      </c>
      <c r="B9" s="16" t="s">
        <v>8</v>
      </c>
    </row>
    <row r="10" spans="1:2" ht="64.5" thickBot="1">
      <c r="A10" s="13" t="s">
        <v>50</v>
      </c>
      <c r="B10" s="16" t="s">
        <v>9</v>
      </c>
    </row>
    <row r="11" spans="1:2" ht="68.25" customHeight="1" thickBot="1">
      <c r="A11" s="13" t="s">
        <v>51</v>
      </c>
      <c r="B11" s="16" t="s">
        <v>10</v>
      </c>
    </row>
    <row r="12" spans="1:2" ht="26.25" thickBot="1">
      <c r="A12" s="13" t="s">
        <v>26</v>
      </c>
      <c r="B12" s="16" t="s">
        <v>11</v>
      </c>
    </row>
    <row r="13" spans="1:2" ht="32.25" customHeight="1" thickBot="1">
      <c r="A13" s="13" t="s">
        <v>27</v>
      </c>
      <c r="B13" s="16" t="s">
        <v>122</v>
      </c>
    </row>
    <row r="14" spans="1:2" ht="47.25" customHeight="1" thickBot="1">
      <c r="A14" s="13" t="s">
        <v>52</v>
      </c>
      <c r="B14" s="16" t="s">
        <v>53</v>
      </c>
    </row>
    <row r="15" spans="1:2" ht="26.25" thickBot="1">
      <c r="A15" s="13" t="s">
        <v>28</v>
      </c>
      <c r="B15" s="16" t="s">
        <v>16</v>
      </c>
    </row>
    <row r="16" spans="1:2">
      <c r="B16" s="12"/>
    </row>
  </sheetData>
  <mergeCells count="3">
    <mergeCell ref="A2:B2"/>
    <mergeCell ref="A3:B3"/>
    <mergeCell ref="A1:B1"/>
  </mergeCells>
  <phoneticPr fontId="18"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heetViews>
  <sheetFormatPr baseColWidth="10" defaultRowHeight="12.75"/>
  <sheetData>
    <row r="4" spans="4:5">
      <c r="D4" t="s">
        <v>142</v>
      </c>
      <c r="E4">
        <v>57</v>
      </c>
    </row>
    <row r="5" spans="4:5">
      <c r="D5" t="s">
        <v>168</v>
      </c>
      <c r="E5">
        <v>70</v>
      </c>
    </row>
    <row r="6" spans="4:5">
      <c r="D6" t="s">
        <v>137</v>
      </c>
      <c r="E6">
        <v>47</v>
      </c>
    </row>
    <row r="7" spans="4:5">
      <c r="D7" t="s">
        <v>157</v>
      </c>
      <c r="E7">
        <v>67</v>
      </c>
    </row>
    <row r="8" spans="4:5">
      <c r="D8" t="s">
        <v>148</v>
      </c>
      <c r="E8">
        <v>14</v>
      </c>
    </row>
    <row r="9" spans="4:5">
      <c r="D9" t="s">
        <v>144</v>
      </c>
      <c r="E9">
        <v>48</v>
      </c>
    </row>
    <row r="10" spans="4:5">
      <c r="D10" t="s">
        <v>150</v>
      </c>
      <c r="E10">
        <v>18</v>
      </c>
    </row>
    <row r="11" spans="4:5">
      <c r="D11" t="s">
        <v>151</v>
      </c>
      <c r="E11">
        <v>32</v>
      </c>
    </row>
    <row r="12" spans="4:5">
      <c r="D12" t="s">
        <v>139</v>
      </c>
      <c r="E12">
        <v>32</v>
      </c>
    </row>
    <row r="13" spans="4:5">
      <c r="D13" t="s">
        <v>152</v>
      </c>
      <c r="E13">
        <v>78</v>
      </c>
    </row>
    <row r="14" spans="4:5">
      <c r="D14" t="s">
        <v>169</v>
      </c>
      <c r="E14">
        <v>47</v>
      </c>
    </row>
    <row r="15" spans="4:5">
      <c r="D15" t="s">
        <v>170</v>
      </c>
      <c r="E15">
        <v>45</v>
      </c>
    </row>
    <row r="16" spans="4:5">
      <c r="D16" t="s">
        <v>171</v>
      </c>
      <c r="E16">
        <v>99</v>
      </c>
    </row>
    <row r="17" spans="4:5">
      <c r="D17" t="s">
        <v>138</v>
      </c>
      <c r="E17">
        <v>60</v>
      </c>
    </row>
    <row r="18" spans="4:5">
      <c r="E18">
        <f>AVERAGE(E4:E17,E4:E17)</f>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workbookViewId="0"/>
  </sheetViews>
  <sheetFormatPr baseColWidth="10" defaultRowHeight="12.75"/>
  <cols>
    <col min="4" max="4" width="21.42578125" customWidth="1"/>
    <col min="5" max="5" width="14.5703125" customWidth="1"/>
    <col min="6" max="6" width="27.85546875" customWidth="1"/>
    <col min="7" max="7" width="21" style="151" customWidth="1"/>
    <col min="8" max="8" width="23.140625" customWidth="1"/>
    <col min="9" max="9" width="24.5703125" customWidth="1"/>
  </cols>
  <sheetData>
    <row r="1" spans="4:9" ht="29.25" customHeight="1">
      <c r="D1" s="154" t="s">
        <v>338</v>
      </c>
      <c r="E1" s="156" t="s">
        <v>339</v>
      </c>
      <c r="F1" s="154" t="s">
        <v>323</v>
      </c>
      <c r="G1" s="156" t="s">
        <v>340</v>
      </c>
      <c r="H1" s="169" t="s">
        <v>347</v>
      </c>
      <c r="I1" s="169" t="s">
        <v>348</v>
      </c>
    </row>
    <row r="2" spans="4:9" ht="51">
      <c r="D2" s="907" t="str">
        <f>+'Anexo 1 Matriz SINA Inf Gestión'!B5</f>
        <v>PROGRAMA 1 Ordenamiento y administración del recurso hídrico y las cuencas Hidrográficas</v>
      </c>
      <c r="E2" s="904">
        <v>70.865913783143426</v>
      </c>
      <c r="F2" s="152" t="s">
        <v>324</v>
      </c>
      <c r="G2" s="153">
        <v>65</v>
      </c>
      <c r="H2" s="900">
        <v>64</v>
      </c>
      <c r="I2" s="153">
        <v>65</v>
      </c>
    </row>
    <row r="3" spans="4:9" ht="38.25">
      <c r="D3" s="909"/>
      <c r="E3" s="905"/>
      <c r="F3" s="152" t="s">
        <v>325</v>
      </c>
      <c r="G3" s="153">
        <v>84</v>
      </c>
      <c r="H3" s="900"/>
      <c r="I3" s="168">
        <v>65</v>
      </c>
    </row>
    <row r="4" spans="4:9" ht="41.25" customHeight="1">
      <c r="D4" s="908"/>
      <c r="E4" s="906"/>
      <c r="F4" s="152" t="s">
        <v>326</v>
      </c>
      <c r="G4" s="153">
        <v>64</v>
      </c>
      <c r="H4" s="900"/>
      <c r="I4" s="153">
        <v>64</v>
      </c>
    </row>
    <row r="5" spans="4:9" ht="38.25" customHeight="1">
      <c r="D5" s="907" t="str">
        <f>+'Anexo 1 Matriz SINA Inf Gestión'!B33</f>
        <v>PROGRAMA No. 2  BIODIVERSIDAD: FUENTE DE VIDA</v>
      </c>
      <c r="E5" s="904">
        <v>25.946640500887767</v>
      </c>
      <c r="F5" s="152" t="s">
        <v>327</v>
      </c>
      <c r="G5" s="153">
        <v>67</v>
      </c>
      <c r="H5" s="901">
        <v>29</v>
      </c>
      <c r="I5" s="153">
        <v>67</v>
      </c>
    </row>
    <row r="6" spans="4:9" ht="25.5">
      <c r="D6" s="909"/>
      <c r="E6" s="905"/>
      <c r="F6" s="152" t="s">
        <v>328</v>
      </c>
      <c r="G6" s="153">
        <v>0</v>
      </c>
      <c r="H6" s="901"/>
      <c r="I6" s="153">
        <v>0</v>
      </c>
    </row>
    <row r="7" spans="4:9" ht="38.25">
      <c r="D7" s="909"/>
      <c r="E7" s="905"/>
      <c r="F7" s="152" t="s">
        <v>334</v>
      </c>
      <c r="G7" s="153">
        <v>7</v>
      </c>
      <c r="H7" s="901"/>
      <c r="I7" s="168">
        <v>19</v>
      </c>
    </row>
    <row r="8" spans="4:9" ht="38.25">
      <c r="D8" s="908"/>
      <c r="E8" s="906"/>
      <c r="F8" s="152" t="s">
        <v>335</v>
      </c>
      <c r="G8" s="153">
        <v>30</v>
      </c>
      <c r="H8" s="901"/>
      <c r="I8" s="153">
        <v>30</v>
      </c>
    </row>
    <row r="9" spans="4:9" ht="25.5" customHeight="1">
      <c r="D9" s="907" t="str">
        <f>+'Anexo 1 Matriz SINA Inf Gestión'!B55</f>
        <v>PROGRAMA No. 3  ADAPTACIÓN PARA EL CRECIMIENTO VERDE</v>
      </c>
      <c r="E9" s="904">
        <v>46.477840998893633</v>
      </c>
      <c r="F9" s="152" t="s">
        <v>329</v>
      </c>
      <c r="G9" s="153">
        <v>55</v>
      </c>
      <c r="H9" s="901">
        <v>47</v>
      </c>
      <c r="I9" s="153">
        <v>55</v>
      </c>
    </row>
    <row r="10" spans="4:9" ht="45.75" customHeight="1">
      <c r="D10" s="908"/>
      <c r="E10" s="906"/>
      <c r="F10" s="152" t="s">
        <v>330</v>
      </c>
      <c r="G10" s="153">
        <v>38</v>
      </c>
      <c r="H10" s="901"/>
      <c r="I10" s="168">
        <v>39</v>
      </c>
    </row>
    <row r="11" spans="4:9" ht="38.25" customHeight="1">
      <c r="D11" s="907" t="str">
        <f>+'Anexo 1 Matriz SINA Inf Gestión'!B69</f>
        <v xml:space="preserve">PROGRAMA No. 4    CUIDA TU NATURALEZA </v>
      </c>
      <c r="E11" s="907">
        <v>55</v>
      </c>
      <c r="F11" s="152" t="s">
        <v>331</v>
      </c>
      <c r="G11" s="153">
        <v>66</v>
      </c>
      <c r="H11" s="901">
        <v>57</v>
      </c>
      <c r="I11" s="153">
        <v>68</v>
      </c>
    </row>
    <row r="12" spans="4:9" ht="38.25">
      <c r="D12" s="908"/>
      <c r="E12" s="908"/>
      <c r="F12" s="152" t="s">
        <v>332</v>
      </c>
      <c r="G12" s="153">
        <v>44</v>
      </c>
      <c r="H12" s="901"/>
      <c r="I12" s="168">
        <v>46</v>
      </c>
    </row>
    <row r="13" spans="4:9" ht="38.25">
      <c r="D13" s="155" t="e">
        <f>+'Anexo 1 Matriz SINA Inf Gestión'!#REF!</f>
        <v>#REF!</v>
      </c>
      <c r="E13" s="155">
        <v>54</v>
      </c>
      <c r="F13" s="152" t="s">
        <v>333</v>
      </c>
      <c r="G13" s="153">
        <v>54</v>
      </c>
      <c r="H13" s="153">
        <v>54</v>
      </c>
      <c r="I13" s="153">
        <v>54</v>
      </c>
    </row>
    <row r="14" spans="4:9" ht="51">
      <c r="D14" s="907" t="str">
        <f>+'Anexo 1 Matriz SINA Inf Gestión'!B100</f>
        <v>PROGRAMA No. 6  EDUCACIÓN CAMINO DE PAZ</v>
      </c>
      <c r="E14" s="904">
        <v>88.835714285714289</v>
      </c>
      <c r="F14" s="152" t="s">
        <v>336</v>
      </c>
      <c r="G14" s="153">
        <v>100</v>
      </c>
      <c r="H14" s="902">
        <v>89</v>
      </c>
      <c r="I14" s="153">
        <v>100</v>
      </c>
    </row>
    <row r="15" spans="4:9" ht="25.5">
      <c r="D15" s="908"/>
      <c r="E15" s="906"/>
      <c r="F15" s="152" t="s">
        <v>337</v>
      </c>
      <c r="G15" s="153">
        <v>78</v>
      </c>
      <c r="H15" s="903"/>
      <c r="I15" s="153">
        <v>78</v>
      </c>
    </row>
    <row r="18" spans="4:5" ht="15.75">
      <c r="D18" s="157" t="s">
        <v>341</v>
      </c>
      <c r="E18" s="158">
        <f>+'Anexo 1 Matriz SINA Inf Gestión'!K118</f>
        <v>95.864037542736057</v>
      </c>
    </row>
  </sheetData>
  <mergeCells count="15">
    <mergeCell ref="D2:D4"/>
    <mergeCell ref="D5:D8"/>
    <mergeCell ref="D9:D10"/>
    <mergeCell ref="D11:D12"/>
    <mergeCell ref="D14:D15"/>
    <mergeCell ref="E2:E4"/>
    <mergeCell ref="E5:E8"/>
    <mergeCell ref="E9:E10"/>
    <mergeCell ref="E11:E12"/>
    <mergeCell ref="E14:E15"/>
    <mergeCell ref="H2:H4"/>
    <mergeCell ref="H5:H8"/>
    <mergeCell ref="H9:H10"/>
    <mergeCell ref="H11:H12"/>
    <mergeCell ref="H14:H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2166"/>
  <sheetViews>
    <sheetView topLeftCell="B4" zoomScale="60" zoomScaleNormal="60" workbookViewId="0">
      <pane xSplit="1" ySplit="1" topLeftCell="C113" activePane="bottomRight" state="frozen"/>
      <selection activeCell="B4" sqref="B4"/>
      <selection pane="topRight" activeCell="C4" sqref="C4"/>
      <selection pane="bottomLeft" activeCell="B5" sqref="B5"/>
      <selection pane="bottomRight" activeCell="Q120" sqref="Q120"/>
    </sheetView>
  </sheetViews>
  <sheetFormatPr baseColWidth="10" defaultRowHeight="18"/>
  <cols>
    <col min="1" max="1" width="5.7109375" style="29" hidden="1" customWidth="1"/>
    <col min="2" max="2" width="50.7109375" style="29" customWidth="1"/>
    <col min="3" max="3" width="17" style="29" customWidth="1"/>
    <col min="4" max="4" width="15.42578125" style="29" customWidth="1"/>
    <col min="5" max="5" width="16.42578125" style="29" customWidth="1"/>
    <col min="6" max="6" width="23.85546875" style="131" customWidth="1"/>
    <col min="7" max="7" width="17.5703125" style="165" hidden="1" customWidth="1"/>
    <col min="8" max="8" width="18.42578125" style="29" hidden="1" customWidth="1"/>
    <col min="9" max="9" width="14.42578125" style="31" customWidth="1"/>
    <col min="10" max="10" width="12" style="58" customWidth="1"/>
    <col min="11" max="11" width="15.7109375" style="347" customWidth="1"/>
    <col min="12" max="12" width="18.42578125" style="29" hidden="1" customWidth="1"/>
    <col min="13" max="13" width="28.42578125" style="691" customWidth="1"/>
    <col min="14" max="14" width="23.5703125" style="693" customWidth="1"/>
    <col min="15" max="15" width="15.5703125" style="29" customWidth="1"/>
    <col min="16" max="16" width="27.7109375" style="30" customWidth="1"/>
    <col min="17" max="17" width="32.5703125" style="30" customWidth="1"/>
    <col min="18" max="18" width="17.5703125" style="150" customWidth="1"/>
    <col min="19" max="19" width="37.42578125" style="29" customWidth="1"/>
    <col min="20" max="20" width="36.7109375" style="29" customWidth="1"/>
    <col min="21" max="16384" width="11.42578125" style="29"/>
  </cols>
  <sheetData>
    <row r="1" spans="1:19" s="28" customFormat="1" ht="49.5" customHeight="1" thickBot="1">
      <c r="A1" s="27"/>
      <c r="B1" s="788" t="s">
        <v>457</v>
      </c>
      <c r="C1" s="789"/>
      <c r="D1" s="789"/>
      <c r="E1" s="789"/>
      <c r="F1" s="789"/>
      <c r="G1" s="789"/>
      <c r="H1" s="789"/>
      <c r="I1" s="789"/>
      <c r="J1" s="789"/>
      <c r="K1" s="789"/>
      <c r="L1" s="789"/>
      <c r="M1" s="789"/>
      <c r="N1" s="789"/>
      <c r="O1" s="789"/>
      <c r="P1" s="789"/>
      <c r="Q1" s="789"/>
      <c r="R1" s="789"/>
      <c r="S1" s="790"/>
    </row>
    <row r="2" spans="1:19" s="28" customFormat="1" ht="21.75" customHeight="1">
      <c r="A2" s="74"/>
      <c r="B2" s="795" t="s">
        <v>566</v>
      </c>
      <c r="C2" s="796"/>
      <c r="D2" s="796"/>
      <c r="E2" s="796"/>
      <c r="F2" s="796"/>
      <c r="G2" s="796"/>
      <c r="H2" s="796"/>
      <c r="I2" s="796"/>
      <c r="J2" s="796"/>
      <c r="K2" s="796"/>
      <c r="L2" s="796"/>
      <c r="M2" s="796"/>
      <c r="N2" s="796"/>
      <c r="O2" s="796"/>
      <c r="P2" s="796"/>
      <c r="Q2" s="796"/>
      <c r="R2" s="796"/>
      <c r="S2" s="797"/>
    </row>
    <row r="3" spans="1:19" ht="33" customHeight="1">
      <c r="A3" s="59"/>
      <c r="B3" s="791" t="s">
        <v>458</v>
      </c>
      <c r="C3" s="793" t="s">
        <v>162</v>
      </c>
      <c r="D3" s="794"/>
      <c r="E3" s="794"/>
      <c r="F3" s="794"/>
      <c r="G3" s="794"/>
      <c r="H3" s="794"/>
      <c r="I3" s="794"/>
      <c r="J3" s="794"/>
      <c r="K3" s="794"/>
      <c r="L3" s="575"/>
      <c r="M3" s="793" t="s">
        <v>163</v>
      </c>
      <c r="N3" s="794"/>
      <c r="O3" s="794"/>
      <c r="P3" s="794"/>
      <c r="Q3" s="794"/>
      <c r="R3" s="798"/>
      <c r="S3" s="799" t="s">
        <v>24</v>
      </c>
    </row>
    <row r="4" spans="1:19" ht="173.25" customHeight="1" thickBot="1">
      <c r="A4" s="59"/>
      <c r="B4" s="792"/>
      <c r="C4" s="343" t="s">
        <v>25</v>
      </c>
      <c r="D4" s="343" t="s">
        <v>72</v>
      </c>
      <c r="E4" s="343" t="s">
        <v>74</v>
      </c>
      <c r="F4" s="344" t="s">
        <v>54</v>
      </c>
      <c r="G4" s="622" t="s">
        <v>344</v>
      </c>
      <c r="H4" s="622" t="s">
        <v>345</v>
      </c>
      <c r="I4" s="343" t="s">
        <v>69</v>
      </c>
      <c r="J4" s="343" t="s">
        <v>56</v>
      </c>
      <c r="K4" s="346" t="s">
        <v>55</v>
      </c>
      <c r="L4" s="622" t="s">
        <v>71</v>
      </c>
      <c r="M4" s="688" t="s">
        <v>165</v>
      </c>
      <c r="N4" s="688" t="s">
        <v>73</v>
      </c>
      <c r="O4" s="343" t="s">
        <v>58</v>
      </c>
      <c r="P4" s="343" t="s">
        <v>70</v>
      </c>
      <c r="Q4" s="343" t="s">
        <v>59</v>
      </c>
      <c r="R4" s="343" t="s">
        <v>60</v>
      </c>
      <c r="S4" s="799"/>
    </row>
    <row r="5" spans="1:19" ht="71.25" customHeight="1">
      <c r="A5" s="59"/>
      <c r="B5" s="394" t="s">
        <v>535</v>
      </c>
      <c r="C5" s="345"/>
      <c r="D5" s="345"/>
      <c r="E5" s="345"/>
      <c r="F5" s="393">
        <f>AVERAGE(F6,F19,F30)</f>
        <v>81.825850803564393</v>
      </c>
      <c r="G5" s="393"/>
      <c r="H5" s="393"/>
      <c r="I5" s="393">
        <f>AVERAGE(I6,I19,I30)</f>
        <v>740.35694444444459</v>
      </c>
      <c r="J5" s="393">
        <f>AVERAGE(J6,J19,J30)</f>
        <v>1032.1665555555558</v>
      </c>
      <c r="K5" s="393">
        <f>AVERAGE(K6,K19,K30)</f>
        <v>94.822435749461093</v>
      </c>
      <c r="L5" s="520"/>
      <c r="M5" s="542">
        <f>+M6+M19+M30</f>
        <v>10311549938.124001</v>
      </c>
      <c r="N5" s="542">
        <f>+N6+N19+N30</f>
        <v>8270995185.2159996</v>
      </c>
      <c r="O5" s="393">
        <f>+(N5/M5)*100</f>
        <v>80.210979288732972</v>
      </c>
      <c r="P5" s="543">
        <f>+P6+P19+P30</f>
        <v>50080413183.708801</v>
      </c>
      <c r="Q5" s="543">
        <f>+Q6+Q19+Q30</f>
        <v>47513456801.413002</v>
      </c>
      <c r="R5" s="393">
        <f>+(Q5/P5)*100</f>
        <v>94.87433066320861</v>
      </c>
      <c r="S5" s="523"/>
    </row>
    <row r="6" spans="1:19" ht="111.75" customHeight="1">
      <c r="A6" s="59"/>
      <c r="B6" s="395" t="s">
        <v>547</v>
      </c>
      <c r="C6" s="340"/>
      <c r="D6" s="340"/>
      <c r="E6" s="340"/>
      <c r="F6" s="340">
        <f>AVERAGE(F7:F18)</f>
        <v>85.981481481481467</v>
      </c>
      <c r="G6" s="340"/>
      <c r="H6" s="340"/>
      <c r="I6" s="340">
        <f>AVERAGE(I7:I18)</f>
        <v>30.770833333333332</v>
      </c>
      <c r="J6" s="340">
        <f>AVERAGE(J7:J18)</f>
        <v>29.235416666666666</v>
      </c>
      <c r="K6" s="340">
        <f>+(J6/I6)*100</f>
        <v>95.010155721056194</v>
      </c>
      <c r="L6" s="340"/>
      <c r="M6" s="340">
        <f>SUM(M7:M18)</f>
        <v>1727333482</v>
      </c>
      <c r="N6" s="340">
        <f>SUM(N7:N18)</f>
        <v>1629256459.596</v>
      </c>
      <c r="O6" s="340">
        <f>+N6/M6*100</f>
        <v>94.322056312459068</v>
      </c>
      <c r="P6" s="340">
        <f>SUM(P7:P18)</f>
        <v>12386526353.4</v>
      </c>
      <c r="Q6" s="340">
        <f>SUM(Q7:Q18)</f>
        <v>12288449430.595999</v>
      </c>
      <c r="R6" s="340">
        <f>+(Q6/P6)*100</f>
        <v>99.208196713059266</v>
      </c>
      <c r="S6" s="522"/>
    </row>
    <row r="7" spans="1:19" ht="108.75" customHeight="1">
      <c r="A7" s="59"/>
      <c r="B7" s="396" t="s">
        <v>365</v>
      </c>
      <c r="C7" s="397" t="s">
        <v>403</v>
      </c>
      <c r="D7" s="660">
        <f>+'[3]MATRIZ GENERAL CONSOLIDADA'!T7</f>
        <v>14</v>
      </c>
      <c r="E7" s="660">
        <f>+'MATRIZ GENERAL CONSOLIDADA'!V7</f>
        <v>14</v>
      </c>
      <c r="F7" s="660">
        <f t="shared" ref="F7:F11" si="0">+(E7/D7)*100</f>
        <v>100</v>
      </c>
      <c r="G7" s="388"/>
      <c r="H7" s="388"/>
      <c r="I7" s="398">
        <f>+'MATRIZ GENERAL CONSOLIDADA'!D7</f>
        <v>25</v>
      </c>
      <c r="J7" s="388">
        <f>+'MATRIZ GENERAL CONSOLIDADA'!F7</f>
        <v>25</v>
      </c>
      <c r="K7" s="388">
        <f>+J7/I7*100</f>
        <v>100</v>
      </c>
      <c r="L7" s="400"/>
      <c r="M7" s="689">
        <f>+'MATRIZ GENERAL CONSOLIDADA'!U7</f>
        <v>0</v>
      </c>
      <c r="N7" s="692">
        <f>+'MATRIZ GENERAL CONSOLIDADA'!W7</f>
        <v>0</v>
      </c>
      <c r="O7" s="388">
        <v>0</v>
      </c>
      <c r="P7" s="388">
        <f>+'[4]MATRIZ GENERAL CONSOLIDADA'!E7</f>
        <v>0</v>
      </c>
      <c r="Q7" s="388">
        <f>+'[5]MATRIZ GENERAL CONSOLIDADA'!G7</f>
        <v>0</v>
      </c>
      <c r="R7" s="522">
        <v>0</v>
      </c>
      <c r="S7" s="388"/>
    </row>
    <row r="8" spans="1:19" ht="120" customHeight="1">
      <c r="A8" s="59"/>
      <c r="B8" s="401" t="s">
        <v>369</v>
      </c>
      <c r="C8" s="402" t="s">
        <v>128</v>
      </c>
      <c r="D8" s="660">
        <f>+'[3]MATRIZ GENERAL CONSOLIDADA'!T8</f>
        <v>1</v>
      </c>
      <c r="E8" s="663">
        <f>+'MATRIZ GENERAL CONSOLIDADA'!V8</f>
        <v>1</v>
      </c>
      <c r="F8" s="660">
        <f t="shared" si="0"/>
        <v>100</v>
      </c>
      <c r="G8" s="388"/>
      <c r="H8" s="388"/>
      <c r="I8" s="398">
        <f>+'MATRIZ GENERAL CONSOLIDADA'!D8</f>
        <v>2.25</v>
      </c>
      <c r="J8" s="388">
        <f>+'MATRIZ GENERAL CONSOLIDADA'!F8</f>
        <v>2.25</v>
      </c>
      <c r="K8" s="388">
        <f t="shared" ref="K8:K18" si="1">+J8/I8*100</f>
        <v>100</v>
      </c>
      <c r="L8" s="400"/>
      <c r="M8" s="689">
        <f>+'MATRIZ GENERAL CONSOLIDADA'!U8</f>
        <v>0</v>
      </c>
      <c r="N8" s="692">
        <f>+'MATRIZ GENERAL CONSOLIDADA'!W8</f>
        <v>0</v>
      </c>
      <c r="O8" s="388" t="s">
        <v>519</v>
      </c>
      <c r="P8" s="388">
        <f>+'[4]MATRIZ GENERAL CONSOLIDADA'!E8</f>
        <v>834632289</v>
      </c>
      <c r="Q8" s="388">
        <f>+'[5]MATRIZ GENERAL CONSOLIDADA'!G8</f>
        <v>834632289</v>
      </c>
      <c r="R8" s="522">
        <v>0</v>
      </c>
      <c r="S8" s="388"/>
    </row>
    <row r="9" spans="1:19" ht="130.5" customHeight="1">
      <c r="A9" s="59"/>
      <c r="B9" s="403" t="s">
        <v>362</v>
      </c>
      <c r="C9" s="397" t="s">
        <v>403</v>
      </c>
      <c r="D9" s="660">
        <f>+'[3]MATRIZ GENERAL CONSOLIDADA'!T9</f>
        <v>100</v>
      </c>
      <c r="E9" s="660">
        <f>+'MATRIZ GENERAL CONSOLIDADA'!V9</f>
        <v>100</v>
      </c>
      <c r="F9" s="660">
        <f t="shared" si="0"/>
        <v>100</v>
      </c>
      <c r="G9" s="388"/>
      <c r="H9" s="388"/>
      <c r="I9" s="398">
        <f>+'MATRIZ GENERAL CONSOLIDADA'!D9</f>
        <v>65</v>
      </c>
      <c r="J9" s="388">
        <f>+'MATRIZ GENERAL CONSOLIDADA'!F9</f>
        <v>65</v>
      </c>
      <c r="K9" s="388">
        <f t="shared" si="1"/>
        <v>100</v>
      </c>
      <c r="L9" s="400"/>
      <c r="M9" s="689">
        <f>+'MATRIZ GENERAL CONSOLIDADA'!U9</f>
        <v>0</v>
      </c>
      <c r="N9" s="692">
        <f>+'MATRIZ GENERAL CONSOLIDADA'!W9</f>
        <v>0</v>
      </c>
      <c r="O9" s="388">
        <v>0</v>
      </c>
      <c r="P9" s="388">
        <f>+'[4]MATRIZ GENERAL CONSOLIDADA'!E9</f>
        <v>0</v>
      </c>
      <c r="Q9" s="388">
        <f>+'[5]MATRIZ GENERAL CONSOLIDADA'!G9</f>
        <v>0</v>
      </c>
      <c r="R9" s="522">
        <v>0</v>
      </c>
      <c r="S9" s="388"/>
    </row>
    <row r="10" spans="1:19" ht="133.5" customHeight="1">
      <c r="A10" s="59"/>
      <c r="B10" s="404" t="s">
        <v>362</v>
      </c>
      <c r="C10" s="402" t="s">
        <v>133</v>
      </c>
      <c r="D10" s="660">
        <f>+'[3]MATRIZ GENERAL CONSOLIDADA'!T10</f>
        <v>2</v>
      </c>
      <c r="E10" s="660">
        <f>+'MATRIZ GENERAL CONSOLIDADA'!V10</f>
        <v>2</v>
      </c>
      <c r="F10" s="660">
        <f t="shared" si="0"/>
        <v>100</v>
      </c>
      <c r="G10" s="388"/>
      <c r="H10" s="388"/>
      <c r="I10" s="398">
        <f>+'MATRIZ GENERAL CONSOLIDADA'!D10</f>
        <v>10</v>
      </c>
      <c r="J10" s="388">
        <f>+'MATRIZ GENERAL CONSOLIDADA'!F10</f>
        <v>10</v>
      </c>
      <c r="K10" s="388">
        <f t="shared" si="1"/>
        <v>100</v>
      </c>
      <c r="L10" s="400"/>
      <c r="M10" s="689">
        <f>+'MATRIZ GENERAL CONSOLIDADA'!U10</f>
        <v>0</v>
      </c>
      <c r="N10" s="692">
        <f>+'MATRIZ GENERAL CONSOLIDADA'!W10</f>
        <v>0</v>
      </c>
      <c r="O10" s="388" t="s">
        <v>519</v>
      </c>
      <c r="P10" s="388">
        <f>+'[4]MATRIZ GENERAL CONSOLIDADA'!E10</f>
        <v>1547556715</v>
      </c>
      <c r="Q10" s="388">
        <f>+'[5]MATRIZ GENERAL CONSOLIDADA'!G10</f>
        <v>1547556715</v>
      </c>
      <c r="R10" s="522">
        <v>0</v>
      </c>
      <c r="S10" s="388"/>
    </row>
    <row r="11" spans="1:19" ht="126" customHeight="1">
      <c r="A11" s="59"/>
      <c r="B11" s="405" t="s">
        <v>367</v>
      </c>
      <c r="C11" s="406" t="s">
        <v>1</v>
      </c>
      <c r="D11" s="660">
        <f>+'[3]MATRIZ GENERAL CONSOLIDADA'!T11</f>
        <v>100</v>
      </c>
      <c r="E11" s="660">
        <f>+'MATRIZ GENERAL CONSOLIDADA'!V11</f>
        <v>83</v>
      </c>
      <c r="F11" s="660">
        <f t="shared" si="0"/>
        <v>83</v>
      </c>
      <c r="G11" s="388"/>
      <c r="H11" s="388"/>
      <c r="I11" s="398">
        <f>+'MATRIZ GENERAL CONSOLIDADA'!D11</f>
        <v>100</v>
      </c>
      <c r="J11" s="388">
        <f>+'MATRIZ GENERAL CONSOLIDADA'!F11</f>
        <v>82.5</v>
      </c>
      <c r="K11" s="388">
        <f>+J11/I11*100</f>
        <v>82.5</v>
      </c>
      <c r="L11" s="400"/>
      <c r="M11" s="689">
        <f>+'MATRIZ GENERAL CONSOLIDADA'!U11</f>
        <v>0</v>
      </c>
      <c r="N11" s="692">
        <f>+'MATRIZ GENERAL CONSOLIDADA'!W11</f>
        <v>0</v>
      </c>
      <c r="O11" s="388">
        <v>0</v>
      </c>
      <c r="P11" s="388">
        <f>+'[4]MATRIZ GENERAL CONSOLIDADA'!E11</f>
        <v>-0.6</v>
      </c>
      <c r="Q11" s="388">
        <f>+'[5]MATRIZ GENERAL CONSOLIDADA'!G11</f>
        <v>0</v>
      </c>
      <c r="R11" s="522">
        <v>0</v>
      </c>
      <c r="S11" s="388"/>
    </row>
    <row r="12" spans="1:19" ht="173.25" customHeight="1">
      <c r="A12" s="59"/>
      <c r="B12" s="401" t="s">
        <v>366</v>
      </c>
      <c r="C12" s="406" t="s">
        <v>508</v>
      </c>
      <c r="D12" s="660">
        <f>+'[3]MATRIZ GENERAL CONSOLIDADA'!T12</f>
        <v>3</v>
      </c>
      <c r="E12" s="684">
        <f>+'MATRIZ GENERAL CONSOLIDADA'!V12</f>
        <v>2.5</v>
      </c>
      <c r="F12" s="663">
        <f>+(E12/D12)</f>
        <v>0.83333333333333337</v>
      </c>
      <c r="G12" s="388"/>
      <c r="H12" s="388"/>
      <c r="I12" s="398">
        <f>+'MATRIZ GENERAL CONSOLIDADA'!D12</f>
        <v>3</v>
      </c>
      <c r="J12" s="541">
        <f>+'MATRIZ GENERAL CONSOLIDADA'!F12</f>
        <v>2.5750000000000002</v>
      </c>
      <c r="K12" s="400">
        <f>+J12/I12</f>
        <v>0.85833333333333339</v>
      </c>
      <c r="L12" s="400"/>
      <c r="M12" s="689">
        <f>+'MATRIZ GENERAL CONSOLIDADA'!U12</f>
        <v>231000000</v>
      </c>
      <c r="N12" s="692">
        <f>+'MATRIZ GENERAL CONSOLIDADA'!W12</f>
        <v>230275301.10799998</v>
      </c>
      <c r="O12" s="388">
        <f>+N12/M12*100</f>
        <v>99.686277535930728</v>
      </c>
      <c r="P12" s="388">
        <f>+'[4]MATRIZ GENERAL CONSOLIDADA'!E12</f>
        <v>4101907165</v>
      </c>
      <c r="Q12" s="388">
        <f>+'[5]MATRIZ GENERAL CONSOLIDADA'!G12</f>
        <v>4101182466.1079998</v>
      </c>
      <c r="R12" s="522">
        <f t="shared" ref="R12:R17" si="2">+Q12/P12*100</f>
        <v>99.982332635458363</v>
      </c>
      <c r="S12" s="388"/>
    </row>
    <row r="13" spans="1:19" ht="123" customHeight="1">
      <c r="A13" s="59"/>
      <c r="B13" s="396" t="s">
        <v>368</v>
      </c>
      <c r="C13" s="406" t="s">
        <v>1</v>
      </c>
      <c r="D13" s="660">
        <f>+'[3]MATRIZ GENERAL CONSOLIDADA'!T13</f>
        <v>0</v>
      </c>
      <c r="E13" s="660" t="s">
        <v>519</v>
      </c>
      <c r="F13" s="660" t="s">
        <v>519</v>
      </c>
      <c r="G13" s="388"/>
      <c r="H13" s="388"/>
      <c r="I13" s="398">
        <f>+'MATRIZ GENERAL CONSOLIDADA'!D13</f>
        <v>100</v>
      </c>
      <c r="J13" s="388">
        <f>+'MATRIZ GENERAL CONSOLIDADA'!F13</f>
        <v>100</v>
      </c>
      <c r="K13" s="388">
        <f>+J13/I13*100</f>
        <v>100</v>
      </c>
      <c r="L13" s="400"/>
      <c r="M13" s="689">
        <f>+'MATRIZ GENERAL CONSOLIDADA'!U13</f>
        <v>0</v>
      </c>
      <c r="N13" s="692">
        <f>+'MATRIZ GENERAL CONSOLIDADA'!W13</f>
        <v>0</v>
      </c>
      <c r="O13" s="388" t="s">
        <v>519</v>
      </c>
      <c r="P13" s="388">
        <f>+'[4]MATRIZ GENERAL CONSOLIDADA'!E13</f>
        <v>0</v>
      </c>
      <c r="Q13" s="388">
        <f>+'[5]MATRIZ GENERAL CONSOLIDADA'!G13</f>
        <v>0</v>
      </c>
      <c r="R13" s="522">
        <v>0</v>
      </c>
      <c r="S13" s="388"/>
    </row>
    <row r="14" spans="1:19" ht="144.75" customHeight="1">
      <c r="A14" s="59"/>
      <c r="B14" s="407" t="s">
        <v>370</v>
      </c>
      <c r="C14" s="397" t="s">
        <v>379</v>
      </c>
      <c r="D14" s="660">
        <f>+'[3]MATRIZ GENERAL CONSOLIDADA'!T14</f>
        <v>0</v>
      </c>
      <c r="E14" s="660" t="s">
        <v>519</v>
      </c>
      <c r="F14" s="660" t="s">
        <v>519</v>
      </c>
      <c r="G14" s="388"/>
      <c r="H14" s="388"/>
      <c r="I14" s="398">
        <f>+'MATRIZ GENERAL CONSOLIDADA'!D14</f>
        <v>6</v>
      </c>
      <c r="J14" s="388">
        <f>+'MATRIZ GENERAL CONSOLIDADA'!F14</f>
        <v>6</v>
      </c>
      <c r="K14" s="388">
        <f t="shared" si="1"/>
        <v>100</v>
      </c>
      <c r="L14" s="400"/>
      <c r="M14" s="689">
        <f>+'MATRIZ GENERAL CONSOLIDADA'!U14</f>
        <v>0</v>
      </c>
      <c r="N14" s="692">
        <f>+'MATRIZ GENERAL CONSOLIDADA'!W14</f>
        <v>0</v>
      </c>
      <c r="O14" s="388" t="s">
        <v>519</v>
      </c>
      <c r="P14" s="388">
        <f>+'[4]MATRIZ GENERAL CONSOLIDADA'!E14</f>
        <v>166990717</v>
      </c>
      <c r="Q14" s="388">
        <f>+'[5]MATRIZ GENERAL CONSOLIDADA'!G14</f>
        <v>166990717</v>
      </c>
      <c r="R14" s="522">
        <v>0</v>
      </c>
      <c r="S14" s="388"/>
    </row>
    <row r="15" spans="1:19" ht="140.25" customHeight="1">
      <c r="A15" s="59"/>
      <c r="B15" s="407" t="s">
        <v>364</v>
      </c>
      <c r="C15" s="398" t="s">
        <v>378</v>
      </c>
      <c r="D15" s="660">
        <f>+'[3]MATRIZ GENERAL CONSOLIDADA'!T15</f>
        <v>1</v>
      </c>
      <c r="E15" s="684">
        <f>+'MATRIZ GENERAL CONSOLIDADA'!V15</f>
        <v>1</v>
      </c>
      <c r="F15" s="660">
        <f t="shared" ref="F15" si="3">+(E15/D15)*100</f>
        <v>100</v>
      </c>
      <c r="G15" s="388"/>
      <c r="H15" s="388"/>
      <c r="I15" s="398">
        <f>+'MATRIZ GENERAL CONSOLIDADA'!D15</f>
        <v>1</v>
      </c>
      <c r="J15" s="388">
        <f>+'MATRIZ GENERAL CONSOLIDADA'!F15</f>
        <v>1</v>
      </c>
      <c r="K15" s="388">
        <f>+J15/I15*100</f>
        <v>100</v>
      </c>
      <c r="L15" s="400"/>
      <c r="M15" s="689">
        <f>+'MATRIZ GENERAL CONSOLIDADA'!U15</f>
        <v>250100000</v>
      </c>
      <c r="N15" s="692">
        <f>+'MATRIZ GENERAL CONSOLIDADA'!W15</f>
        <v>250088000</v>
      </c>
      <c r="O15" s="388">
        <f t="shared" ref="O15" si="4">+(N15/M15)*100</f>
        <v>99.995201919232301</v>
      </c>
      <c r="P15" s="388">
        <f>+'[4]MATRIZ GENERAL CONSOLIDADA'!E15</f>
        <v>782754904</v>
      </c>
      <c r="Q15" s="388">
        <f>+'[5]MATRIZ GENERAL CONSOLIDADA'!G15</f>
        <v>782742904</v>
      </c>
      <c r="R15" s="522">
        <f t="shared" si="2"/>
        <v>99.998466953073219</v>
      </c>
      <c r="S15" s="388"/>
    </row>
    <row r="16" spans="1:19" ht="140.25" customHeight="1">
      <c r="A16" s="59"/>
      <c r="B16" s="407" t="s">
        <v>371</v>
      </c>
      <c r="C16" s="398" t="s">
        <v>493</v>
      </c>
      <c r="D16" s="660">
        <f>+'[3]MATRIZ GENERAL CONSOLIDADA'!T16</f>
        <v>37</v>
      </c>
      <c r="E16" s="660">
        <f>+'MATRIZ GENERAL CONSOLIDADA'!V16</f>
        <v>37</v>
      </c>
      <c r="F16" s="660">
        <f>+(E16/D16)*100</f>
        <v>100</v>
      </c>
      <c r="G16" s="388"/>
      <c r="H16" s="388"/>
      <c r="I16" s="398">
        <f>+'MATRIZ GENERAL CONSOLIDADA'!D16</f>
        <v>37</v>
      </c>
      <c r="J16" s="388">
        <f>+'MATRIZ GENERAL CONSOLIDADA'!F16</f>
        <v>37</v>
      </c>
      <c r="K16" s="388">
        <f t="shared" si="1"/>
        <v>100</v>
      </c>
      <c r="L16" s="400"/>
      <c r="M16" s="689">
        <f>+'MATRIZ GENERAL CONSOLIDADA'!U16</f>
        <v>1034551238</v>
      </c>
      <c r="N16" s="692">
        <f>+'MATRIZ GENERAL CONSOLIDADA'!W16</f>
        <v>992907328.74399996</v>
      </c>
      <c r="O16" s="388">
        <f>+(N16/M16)*100</f>
        <v>95.974688567720804</v>
      </c>
      <c r="P16" s="388">
        <f>+'[4]MATRIZ GENERAL CONSOLIDADA'!E16</f>
        <v>3442998455</v>
      </c>
      <c r="Q16" s="388">
        <f>+'[5]MATRIZ GENERAL CONSOLIDADA'!G16</f>
        <v>3401354544.744</v>
      </c>
      <c r="R16" s="522">
        <f t="shared" si="2"/>
        <v>98.790475488145404</v>
      </c>
      <c r="S16" s="388"/>
    </row>
    <row r="17" spans="1:19" ht="140.25" customHeight="1">
      <c r="A17" s="59"/>
      <c r="B17" s="407" t="s">
        <v>372</v>
      </c>
      <c r="C17" s="406" t="s">
        <v>373</v>
      </c>
      <c r="D17" s="660">
        <f>+'[3]MATRIZ GENERAL CONSOLIDADA'!T17</f>
        <v>5</v>
      </c>
      <c r="E17" s="684">
        <f>+'MATRIZ GENERAL CONSOLIDADA'!V17</f>
        <v>4.5</v>
      </c>
      <c r="F17" s="660">
        <f>+(E17/D17)*100</f>
        <v>90</v>
      </c>
      <c r="G17" s="388"/>
      <c r="H17" s="388"/>
      <c r="I17" s="398">
        <f>+'MATRIZ GENERAL CONSOLIDADA'!D17</f>
        <v>18</v>
      </c>
      <c r="J17" s="388">
        <f>+'MATRIZ GENERAL CONSOLIDADA'!F17</f>
        <v>17.5</v>
      </c>
      <c r="K17" s="388">
        <f t="shared" si="1"/>
        <v>97.222222222222214</v>
      </c>
      <c r="L17" s="400"/>
      <c r="M17" s="689">
        <f>+'MATRIZ GENERAL CONSOLIDADA'!U17</f>
        <v>211682244</v>
      </c>
      <c r="N17" s="692">
        <f>+'MATRIZ GENERAL CONSOLIDADA'!W17</f>
        <v>155985829.74400002</v>
      </c>
      <c r="O17" s="388">
        <f>+(N17/M17)*100</f>
        <v>73.688669770526445</v>
      </c>
      <c r="P17" s="388">
        <f>+'[4]MATRIZ GENERAL CONSOLIDADA'!E17</f>
        <v>566249799</v>
      </c>
      <c r="Q17" s="388">
        <f>+'[5]MATRIZ GENERAL CONSOLIDADA'!G17</f>
        <v>510553484.74400002</v>
      </c>
      <c r="R17" s="522">
        <f t="shared" si="2"/>
        <v>90.164002820952888</v>
      </c>
      <c r="S17" s="388"/>
    </row>
    <row r="18" spans="1:19" s="167" customFormat="1" ht="153.75" customHeight="1">
      <c r="A18" s="166"/>
      <c r="B18" s="407" t="s">
        <v>374</v>
      </c>
      <c r="C18" s="402" t="s">
        <v>193</v>
      </c>
      <c r="D18" s="660">
        <f>+'[3]MATRIZ GENERAL CONSOLIDADA'!T18</f>
        <v>0</v>
      </c>
      <c r="E18" s="660" t="s">
        <v>519</v>
      </c>
      <c r="F18" s="660" t="s">
        <v>519</v>
      </c>
      <c r="G18" s="388"/>
      <c r="H18" s="388"/>
      <c r="I18" s="398">
        <f>+'MATRIZ GENERAL CONSOLIDADA'!D18</f>
        <v>2</v>
      </c>
      <c r="J18" s="388">
        <f>+'MATRIZ GENERAL CONSOLIDADA'!F18</f>
        <v>2</v>
      </c>
      <c r="K18" s="650">
        <f t="shared" si="1"/>
        <v>100</v>
      </c>
      <c r="L18" s="400"/>
      <c r="M18" s="689">
        <f>+'MATRIZ GENERAL CONSOLIDADA'!U18</f>
        <v>0</v>
      </c>
      <c r="N18" s="692">
        <f>+'MATRIZ GENERAL CONSOLIDADA'!W18</f>
        <v>0</v>
      </c>
      <c r="O18" s="388" t="s">
        <v>519</v>
      </c>
      <c r="P18" s="388">
        <f>+'[4]MATRIZ GENERAL CONSOLIDADA'!E18</f>
        <v>943436310</v>
      </c>
      <c r="Q18" s="388">
        <f>+'[5]MATRIZ GENERAL CONSOLIDADA'!G18</f>
        <v>943436310</v>
      </c>
      <c r="R18" s="522">
        <v>0</v>
      </c>
      <c r="S18" s="388"/>
    </row>
    <row r="19" spans="1:19" ht="62.25" customHeight="1">
      <c r="A19" s="59"/>
      <c r="B19" s="342" t="s">
        <v>536</v>
      </c>
      <c r="C19" s="341"/>
      <c r="D19" s="341"/>
      <c r="E19" s="661"/>
      <c r="F19" s="661">
        <f>AVERAGE(F20:F29)</f>
        <v>96.996070929211697</v>
      </c>
      <c r="G19" s="408"/>
      <c r="H19" s="408"/>
      <c r="I19" s="408">
        <f>AVERAGE(I20:I29)</f>
        <v>2189.3000000000002</v>
      </c>
      <c r="J19" s="408">
        <f>AVERAGE(J20:J29)</f>
        <v>3066.3580000000002</v>
      </c>
      <c r="K19" s="771">
        <f>AVERAGE(K20:K29)</f>
        <v>98.832151527327113</v>
      </c>
      <c r="L19" s="408"/>
      <c r="M19" s="340">
        <f>SUM(M20:M29)</f>
        <v>7450417535.1240005</v>
      </c>
      <c r="N19" s="340">
        <f>SUM(N20:N29)</f>
        <v>6526579925.6199999</v>
      </c>
      <c r="O19" s="340">
        <f>+N19/M19*100</f>
        <v>87.600190121577867</v>
      </c>
      <c r="P19" s="340">
        <f>SUM(P20:P29)</f>
        <v>31436715759.320999</v>
      </c>
      <c r="Q19" s="417">
        <f>SUM(Q20:Q29)</f>
        <v>29986476420.817001</v>
      </c>
      <c r="R19" s="340">
        <f>+(Q19/P19)*100</f>
        <v>95.386797559875504</v>
      </c>
      <c r="S19" s="544"/>
    </row>
    <row r="20" spans="1:19" ht="128.25" customHeight="1">
      <c r="A20" s="59"/>
      <c r="B20" s="405" t="s">
        <v>485</v>
      </c>
      <c r="C20" s="397" t="s">
        <v>180</v>
      </c>
      <c r="D20" s="666">
        <f>+'[3]MATRIZ GENERAL CONSOLIDADA'!T20</f>
        <v>100</v>
      </c>
      <c r="E20" s="660">
        <f>+'MATRIZ GENERAL CONSOLIDADA'!V20</f>
        <v>100</v>
      </c>
      <c r="F20" s="660">
        <f>+(E20/D20)*100</f>
        <v>100</v>
      </c>
      <c r="G20" s="592"/>
      <c r="H20" s="388"/>
      <c r="I20" s="398">
        <f>+'MATRIZ GENERAL CONSOLIDADA'!D20</f>
        <v>100</v>
      </c>
      <c r="J20" s="388">
        <f>+'MATRIZ GENERAL CONSOLIDADA'!F20</f>
        <v>100</v>
      </c>
      <c r="K20" s="388">
        <f>+J20/I20*100</f>
        <v>100</v>
      </c>
      <c r="L20" s="400"/>
      <c r="M20" s="689">
        <f>+'MATRIZ GENERAL CONSOLIDADA'!U20</f>
        <v>0</v>
      </c>
      <c r="N20" s="692">
        <f>+'MATRIZ GENERAL CONSOLIDADA'!W20</f>
        <v>0</v>
      </c>
      <c r="O20" s="388">
        <v>0</v>
      </c>
      <c r="P20" s="388">
        <f>+'[4]MATRIZ GENERAL CONSOLIDADA'!E20</f>
        <v>0</v>
      </c>
      <c r="Q20" s="388">
        <f>+'[5]MATRIZ GENERAL CONSOLIDADA'!G20</f>
        <v>0</v>
      </c>
      <c r="R20" s="522">
        <v>0</v>
      </c>
      <c r="S20" s="388"/>
    </row>
    <row r="21" spans="1:19" ht="128.25" customHeight="1">
      <c r="A21" s="59"/>
      <c r="B21" s="401" t="s">
        <v>486</v>
      </c>
      <c r="C21" s="402" t="s">
        <v>487</v>
      </c>
      <c r="D21" s="666">
        <f>+'[3]MATRIZ GENERAL CONSOLIDADA'!T21</f>
        <v>5</v>
      </c>
      <c r="E21" s="660">
        <f>+'MATRIZ GENERAL CONSOLIDADA'!V21</f>
        <v>5</v>
      </c>
      <c r="F21" s="660">
        <f>+(E21/D21)*100</f>
        <v>100</v>
      </c>
      <c r="G21" s="592"/>
      <c r="H21" s="388"/>
      <c r="I21" s="398">
        <f>+'MATRIZ GENERAL CONSOLIDADA'!D21</f>
        <v>5</v>
      </c>
      <c r="J21" s="388">
        <f>+'MATRIZ GENERAL CONSOLIDADA'!F21</f>
        <v>4.5</v>
      </c>
      <c r="K21" s="388">
        <f>+J21/I21*100</f>
        <v>90</v>
      </c>
      <c r="L21" s="400"/>
      <c r="M21" s="689">
        <f>+'MATRIZ GENERAL CONSOLIDADA'!U21</f>
        <v>4590174081</v>
      </c>
      <c r="N21" s="692">
        <f>+'MATRIZ GENERAL CONSOLIDADA'!W21</f>
        <v>3743951667.184</v>
      </c>
      <c r="O21" s="388">
        <f t="shared" ref="O21:O28" si="5">+(N21/M21)*100</f>
        <v>81.564481022217677</v>
      </c>
      <c r="P21" s="388">
        <f>+'[4]MATRIZ GENERAL CONSOLIDADA'!E21</f>
        <v>15050681185.360001</v>
      </c>
      <c r="Q21" s="388">
        <f>+'[5]MATRIZ GENERAL CONSOLIDADA'!G21</f>
        <v>14159006457.544001</v>
      </c>
      <c r="R21" s="522">
        <f t="shared" ref="R21:R84" si="6">+(Q21/P21)*100</f>
        <v>94.075519128773095</v>
      </c>
      <c r="S21" s="388"/>
    </row>
    <row r="22" spans="1:19" ht="150" customHeight="1">
      <c r="A22" s="59"/>
      <c r="B22" s="405" t="s">
        <v>375</v>
      </c>
      <c r="C22" s="397" t="s">
        <v>403</v>
      </c>
      <c r="D22" s="666">
        <f>+'[3]MATRIZ GENERAL CONSOLIDADA'!T22</f>
        <v>25</v>
      </c>
      <c r="E22" s="660">
        <f>+'MATRIZ GENERAL CONSOLIDADA'!V22</f>
        <v>25</v>
      </c>
      <c r="F22" s="660">
        <f>+(E22/D22)*100</f>
        <v>100</v>
      </c>
      <c r="G22" s="592"/>
      <c r="H22" s="388"/>
      <c r="I22" s="398">
        <f>+'MATRIZ GENERAL CONSOLIDADA'!D22</f>
        <v>100</v>
      </c>
      <c r="J22" s="388">
        <f>+'MATRIZ GENERAL CONSOLIDADA'!F22</f>
        <v>100</v>
      </c>
      <c r="K22" s="388">
        <f>+J22/I22*100</f>
        <v>100</v>
      </c>
      <c r="L22" s="400"/>
      <c r="M22" s="689">
        <f>+'MATRIZ GENERAL CONSOLIDADA'!U22</f>
        <v>0</v>
      </c>
      <c r="N22" s="692">
        <f>+'MATRIZ GENERAL CONSOLIDADA'!W22</f>
        <v>0</v>
      </c>
      <c r="O22" s="388">
        <v>0</v>
      </c>
      <c r="P22" s="388">
        <f>+'[4]MATRIZ GENERAL CONSOLIDADA'!E22</f>
        <v>0</v>
      </c>
      <c r="Q22" s="388">
        <f>+'[5]MATRIZ GENERAL CONSOLIDADA'!G22</f>
        <v>0</v>
      </c>
      <c r="R22" s="522">
        <v>0</v>
      </c>
      <c r="S22" s="388"/>
    </row>
    <row r="23" spans="1:19" ht="134.25" customHeight="1">
      <c r="A23" s="59"/>
      <c r="B23" s="409" t="s">
        <v>548</v>
      </c>
      <c r="C23" s="410" t="s">
        <v>454</v>
      </c>
      <c r="D23" s="666">
        <f>+'[3]MATRIZ GENERAL CONSOLIDADA'!T23</f>
        <v>100</v>
      </c>
      <c r="E23" s="660">
        <f>+'MATRIZ GENERAL CONSOLIDADA'!V23</f>
        <v>100</v>
      </c>
      <c r="F23" s="660">
        <f t="shared" ref="F23:F29" si="7">+(E23/D23)*100</f>
        <v>100</v>
      </c>
      <c r="G23" s="592"/>
      <c r="H23" s="388"/>
      <c r="I23" s="398">
        <f>+'MATRIZ GENERAL CONSOLIDADA'!D23</f>
        <v>400</v>
      </c>
      <c r="J23" s="388">
        <f>+'MATRIZ GENERAL CONSOLIDADA'!F23</f>
        <v>400</v>
      </c>
      <c r="K23" s="388">
        <f>+J23/I23*100</f>
        <v>100</v>
      </c>
      <c r="L23" s="400"/>
      <c r="M23" s="689">
        <f>+'MATRIZ GENERAL CONSOLIDADA'!U23</f>
        <v>203177336</v>
      </c>
      <c r="N23" s="692">
        <f>+'MATRIZ GENERAL CONSOLIDADA'!W23</f>
        <v>203167329.704</v>
      </c>
      <c r="O23" s="388">
        <f t="shared" si="5"/>
        <v>99.995075092430582</v>
      </c>
      <c r="P23" s="388">
        <f>+'[4]MATRIZ GENERAL CONSOLIDADA'!E23</f>
        <v>759170561</v>
      </c>
      <c r="Q23" s="388">
        <f>+'[5]MATRIZ GENERAL CONSOLIDADA'!G23</f>
        <v>734846432.704</v>
      </c>
      <c r="R23" s="522">
        <f t="shared" si="6"/>
        <v>96.795960019319025</v>
      </c>
      <c r="S23" s="388"/>
    </row>
    <row r="24" spans="1:19" ht="150.75" customHeight="1">
      <c r="A24" s="59"/>
      <c r="B24" s="411" t="str">
        <f>+'MATRIZ GENERAL CONSOLIDADA'!A24</f>
        <v>Áreas reforestadas gestionadas para la protección de cuencas abastecedoras.</v>
      </c>
      <c r="C24" s="412" t="s">
        <v>454</v>
      </c>
      <c r="D24" s="666">
        <f>+'[3]MATRIZ GENERAL CONSOLIDADA'!T24</f>
        <v>20</v>
      </c>
      <c r="E24" s="660">
        <f>+'MATRIZ GENERAL CONSOLIDADA'!V24</f>
        <v>17</v>
      </c>
      <c r="F24" s="660">
        <f t="shared" si="7"/>
        <v>85</v>
      </c>
      <c r="G24" s="592"/>
      <c r="H24" s="388"/>
      <c r="I24" s="398">
        <f>+'MATRIZ GENERAL CONSOLIDADA'!D24</f>
        <v>100</v>
      </c>
      <c r="J24" s="388">
        <f>+'MATRIZ GENERAL CONSOLIDADA'!F24</f>
        <v>114</v>
      </c>
      <c r="K24" s="388">
        <f t="shared" ref="K24" si="8">+J24/I24*100</f>
        <v>113.99999999999999</v>
      </c>
      <c r="L24" s="400"/>
      <c r="M24" s="689">
        <f>+'MATRIZ GENERAL CONSOLIDADA'!U24</f>
        <v>154663061</v>
      </c>
      <c r="N24" s="692">
        <f>+'MATRIZ GENERAL CONSOLIDADA'!W24</f>
        <v>154662668.46399999</v>
      </c>
      <c r="O24" s="388">
        <f t="shared" si="5"/>
        <v>99.999746199255682</v>
      </c>
      <c r="P24" s="388">
        <f>+'[4]MATRIZ GENERAL CONSOLIDADA'!E24</f>
        <v>1242051614</v>
      </c>
      <c r="Q24" s="388">
        <f>+'[5]MATRIZ GENERAL CONSOLIDADA'!G24</f>
        <v>1210930748.464</v>
      </c>
      <c r="R24" s="522">
        <f t="shared" si="6"/>
        <v>97.494398365960336</v>
      </c>
      <c r="S24" s="388"/>
    </row>
    <row r="25" spans="1:19" ht="150.75" customHeight="1">
      <c r="A25" s="59"/>
      <c r="B25" s="411" t="s">
        <v>360</v>
      </c>
      <c r="C25" s="413" t="s">
        <v>454</v>
      </c>
      <c r="D25" s="666">
        <f>+'[3]MATRIZ GENERAL CONSOLIDADA'!T25</f>
        <v>141</v>
      </c>
      <c r="E25" s="660">
        <f>+'MATRIZ GENERAL CONSOLIDADA'!V25</f>
        <v>90</v>
      </c>
      <c r="F25" s="660">
        <f t="shared" si="7"/>
        <v>63.829787234042556</v>
      </c>
      <c r="G25" s="592"/>
      <c r="H25" s="388"/>
      <c r="I25" s="398">
        <f>+'MATRIZ GENERAL CONSOLIDADA'!D25</f>
        <v>489</v>
      </c>
      <c r="J25" s="388">
        <f>+'MATRIZ GENERAL CONSOLIDADA'!F25</f>
        <v>438</v>
      </c>
      <c r="K25" s="388">
        <f>+J25/I25*100</f>
        <v>89.570552147239269</v>
      </c>
      <c r="L25" s="400"/>
      <c r="M25" s="689">
        <f>+'MATRIZ GENERAL CONSOLIDADA'!U25</f>
        <v>140162361.51999998</v>
      </c>
      <c r="N25" s="692">
        <f>+'MATRIZ GENERAL CONSOLIDADA'!W25</f>
        <v>140160404.68400002</v>
      </c>
      <c r="O25" s="388">
        <f t="shared" si="5"/>
        <v>99.998603879116516</v>
      </c>
      <c r="P25" s="388">
        <f>+'[4]MATRIZ GENERAL CONSOLIDADA'!E25</f>
        <v>486929498.00899994</v>
      </c>
      <c r="Q25" s="388">
        <f>+'[5]MATRIZ GENERAL CONSOLIDADA'!G25</f>
        <v>486795199.17299998</v>
      </c>
      <c r="R25" s="522">
        <f>+(Q25/P25)*100</f>
        <v>99.972419244151538</v>
      </c>
      <c r="S25" s="388"/>
    </row>
    <row r="26" spans="1:19" ht="114" customHeight="1">
      <c r="A26" s="59"/>
      <c r="B26" s="411" t="s">
        <v>509</v>
      </c>
      <c r="C26" s="413" t="s">
        <v>454</v>
      </c>
      <c r="D26" s="666">
        <f>+'[3]MATRIZ GENERAL CONSOLIDADA'!T26</f>
        <v>500</v>
      </c>
      <c r="E26" s="660">
        <f>+'MATRIZ GENERAL CONSOLIDADA'!V26</f>
        <v>300</v>
      </c>
      <c r="F26" s="660">
        <f t="shared" si="7"/>
        <v>60</v>
      </c>
      <c r="G26" s="592"/>
      <c r="H26" s="388"/>
      <c r="I26" s="398">
        <f>+'MATRIZ GENERAL CONSOLIDADA'!D26</f>
        <v>4963</v>
      </c>
      <c r="J26" s="388">
        <f>+'MATRIZ GENERAL CONSOLIDADA'!F26</f>
        <v>14107</v>
      </c>
      <c r="K26" s="388">
        <v>100</v>
      </c>
      <c r="L26" s="400"/>
      <c r="M26" s="689">
        <f>+'MATRIZ GENERAL CONSOLIDADA'!U26</f>
        <v>993667911</v>
      </c>
      <c r="N26" s="692">
        <f>+'MATRIZ GENERAL CONSOLIDADA'!W26</f>
        <v>940070398</v>
      </c>
      <c r="O26" s="388">
        <f t="shared" si="5"/>
        <v>94.606094007195935</v>
      </c>
      <c r="P26" s="388">
        <f>+'[4]MATRIZ GENERAL CONSOLIDADA'!E26</f>
        <v>7197815867.3479996</v>
      </c>
      <c r="Q26" s="388">
        <f>+'[5]MATRIZ GENERAL CONSOLIDADA'!G26</f>
        <v>6719332076.3479996</v>
      </c>
      <c r="R26" s="522">
        <f t="shared" si="6"/>
        <v>93.352375223009204</v>
      </c>
      <c r="S26" s="388"/>
    </row>
    <row r="27" spans="1:19" ht="73.5" customHeight="1">
      <c r="A27" s="59"/>
      <c r="B27" s="411" t="s">
        <v>363</v>
      </c>
      <c r="C27" s="413" t="s">
        <v>454</v>
      </c>
      <c r="D27" s="666">
        <f>+'[3]MATRIZ GENERAL CONSOLIDADA'!T27</f>
        <v>1963</v>
      </c>
      <c r="E27" s="660">
        <f>+'MATRIZ GENERAL CONSOLIDADA'!V27</f>
        <v>1200</v>
      </c>
      <c r="F27" s="660">
        <f t="shared" si="7"/>
        <v>61.130922058074376</v>
      </c>
      <c r="G27" s="592"/>
      <c r="H27" s="388"/>
      <c r="I27" s="398">
        <f>+'MATRIZ GENERAL CONSOLIDADA'!D27</f>
        <v>14536</v>
      </c>
      <c r="J27" s="388">
        <f>+'MATRIZ GENERAL CONSOLIDADA'!F27</f>
        <v>13773</v>
      </c>
      <c r="K27" s="388">
        <f>+J27/I27*100</f>
        <v>94.75096312603192</v>
      </c>
      <c r="L27" s="400"/>
      <c r="M27" s="689">
        <f>+'MATRIZ GENERAL CONSOLIDADA'!U27</f>
        <v>851740037</v>
      </c>
      <c r="N27" s="692">
        <f>+'MATRIZ GENERAL CONSOLIDADA'!W27</f>
        <v>827734710.76800001</v>
      </c>
      <c r="O27" s="388">
        <f t="shared" si="5"/>
        <v>97.181613498344916</v>
      </c>
      <c r="P27" s="388">
        <f>+'[4]MATRIZ GENERAL CONSOLIDADA'!E27</f>
        <v>5319436527</v>
      </c>
      <c r="Q27" s="388">
        <f>+'[5]MATRIZ GENERAL CONSOLIDADA'!G27</f>
        <v>5295302840.7679996</v>
      </c>
      <c r="R27" s="522">
        <f t="shared" si="6"/>
        <v>99.546311228463679</v>
      </c>
      <c r="S27" s="388"/>
    </row>
    <row r="28" spans="1:19" ht="73.5" customHeight="1">
      <c r="A28" s="59"/>
      <c r="B28" s="414" t="s">
        <v>361</v>
      </c>
      <c r="C28" s="413" t="s">
        <v>454</v>
      </c>
      <c r="D28" s="666">
        <f>+'[3]MATRIZ GENERAL CONSOLIDADA'!T28</f>
        <v>200</v>
      </c>
      <c r="E28" s="660">
        <f>+'MATRIZ GENERAL CONSOLIDADA'!V28</f>
        <v>400</v>
      </c>
      <c r="F28" s="660">
        <f t="shared" si="7"/>
        <v>200</v>
      </c>
      <c r="G28" s="592"/>
      <c r="H28" s="388"/>
      <c r="I28" s="398">
        <f>+'MATRIZ GENERAL CONSOLIDADA'!D28</f>
        <v>1100</v>
      </c>
      <c r="J28" s="388">
        <f>+'MATRIZ GENERAL CONSOLIDADA'!F28</f>
        <v>1527.08</v>
      </c>
      <c r="K28" s="388">
        <v>100</v>
      </c>
      <c r="L28" s="400"/>
      <c r="M28" s="689">
        <f>+'MATRIZ GENERAL CONSOLIDADA'!U28</f>
        <v>516832747.60399997</v>
      </c>
      <c r="N28" s="692">
        <f>+'MATRIZ GENERAL CONSOLIDADA'!W28</f>
        <v>516832746.81599998</v>
      </c>
      <c r="O28" s="388">
        <f t="shared" si="5"/>
        <v>99.999999847532877</v>
      </c>
      <c r="P28" s="388">
        <f>+'[4]MATRIZ GENERAL CONSOLIDADA'!E28</f>
        <v>1380630506.6040001</v>
      </c>
      <c r="Q28" s="388">
        <f>+'[5]MATRIZ GENERAL CONSOLIDADA'!G28</f>
        <v>1380262665.816</v>
      </c>
      <c r="R28" s="522">
        <f t="shared" si="6"/>
        <v>99.973357043304446</v>
      </c>
      <c r="S28" s="388"/>
    </row>
    <row r="29" spans="1:19" ht="73.5" customHeight="1">
      <c r="A29" s="59"/>
      <c r="B29" s="407" t="s">
        <v>480</v>
      </c>
      <c r="C29" s="397" t="s">
        <v>403</v>
      </c>
      <c r="D29" s="666">
        <f>+'[3]MATRIZ GENERAL CONSOLIDADA'!T29</f>
        <v>30</v>
      </c>
      <c r="E29" s="660">
        <f>+'MATRIZ GENERAL CONSOLIDADA'!V29</f>
        <v>30</v>
      </c>
      <c r="F29" s="660">
        <f t="shared" si="7"/>
        <v>100</v>
      </c>
      <c r="G29" s="592"/>
      <c r="H29" s="388"/>
      <c r="I29" s="398">
        <f>+'MATRIZ GENERAL CONSOLIDADA'!D29</f>
        <v>100</v>
      </c>
      <c r="J29" s="388">
        <f>+'MATRIZ GENERAL CONSOLIDADA'!F29</f>
        <v>100</v>
      </c>
      <c r="K29" s="388">
        <f>+J29/I29*100</f>
        <v>100</v>
      </c>
      <c r="L29" s="400"/>
      <c r="M29" s="689">
        <f>+'MATRIZ GENERAL CONSOLIDADA'!U29</f>
        <v>0</v>
      </c>
      <c r="N29" s="692">
        <f>+'MATRIZ GENERAL CONSOLIDADA'!W29</f>
        <v>0</v>
      </c>
      <c r="O29" s="388">
        <v>0</v>
      </c>
      <c r="P29" s="388">
        <f>+'[4]MATRIZ GENERAL CONSOLIDADA'!E29</f>
        <v>0</v>
      </c>
      <c r="Q29" s="388">
        <f>+'[5]MATRIZ GENERAL CONSOLIDADA'!G29</f>
        <v>0</v>
      </c>
      <c r="R29" s="522">
        <v>0</v>
      </c>
      <c r="S29" s="388"/>
    </row>
    <row r="30" spans="1:19" ht="30">
      <c r="A30" s="59"/>
      <c r="B30" s="342" t="s">
        <v>517</v>
      </c>
      <c r="C30" s="415"/>
      <c r="D30" s="416"/>
      <c r="E30" s="661"/>
      <c r="F30" s="668">
        <f>AVERAGE(F31:F32)</f>
        <v>62.5</v>
      </c>
      <c r="G30" s="540"/>
      <c r="H30" s="408"/>
      <c r="I30" s="408">
        <f>AVERAGE(I31:I32)</f>
        <v>1</v>
      </c>
      <c r="J30" s="540">
        <f>AVERAGE(J31:J32)</f>
        <v>0.90625</v>
      </c>
      <c r="K30" s="340">
        <f>+(J30/I30)*100</f>
        <v>90.625</v>
      </c>
      <c r="L30" s="340"/>
      <c r="M30" s="340">
        <f>SUM(M31:M32)</f>
        <v>1133798921</v>
      </c>
      <c r="N30" s="340">
        <f>SUM(N31:N32)</f>
        <v>115158800</v>
      </c>
      <c r="O30" s="340">
        <f>+N30/M30*100</f>
        <v>10.15689800607951</v>
      </c>
      <c r="P30" s="340">
        <f>SUM(P31:P32)</f>
        <v>6257171070.9877996</v>
      </c>
      <c r="Q30" s="661">
        <f>SUM(Q31:Q32)</f>
        <v>5238530950</v>
      </c>
      <c r="R30" s="340">
        <f>+(Q30/P30)*100</f>
        <v>83.720436768768252</v>
      </c>
      <c r="S30" s="41"/>
    </row>
    <row r="31" spans="1:19" ht="82.5" customHeight="1">
      <c r="A31" s="59"/>
      <c r="B31" s="407" t="s">
        <v>376</v>
      </c>
      <c r="C31" s="406" t="s">
        <v>377</v>
      </c>
      <c r="D31" s="666">
        <f>+'[3]MATRIZ GENERAL CONSOLIDADA'!P31</f>
        <v>1</v>
      </c>
      <c r="E31" s="663">
        <f>+'MATRIZ GENERAL CONSOLIDADA'!V31</f>
        <v>0.75</v>
      </c>
      <c r="F31" s="660">
        <f>+(E31/D31)*100</f>
        <v>75</v>
      </c>
      <c r="G31" s="592"/>
      <c r="H31" s="388"/>
      <c r="I31" s="398">
        <f>+'MATRIZ GENERAL CONSOLIDADA'!D31</f>
        <v>1</v>
      </c>
      <c r="J31" s="539">
        <f>+'MATRIZ GENERAL CONSOLIDADA'!F31</f>
        <v>0.9375</v>
      </c>
      <c r="K31" s="522">
        <f>+(J31/I31)*100</f>
        <v>93.75</v>
      </c>
      <c r="L31" s="400"/>
      <c r="M31" s="689">
        <f>+'MATRIZ GENERAL CONSOLIDADA'!U31</f>
        <v>1018593817</v>
      </c>
      <c r="N31" s="689">
        <f>+'MATRIZ GENERAL CONSOLIDADA'!W31</f>
        <v>0</v>
      </c>
      <c r="O31" s="388">
        <f t="shared" ref="O31:O32" si="9">+(N31/M31)*100</f>
        <v>0</v>
      </c>
      <c r="P31" s="388">
        <f>+'[4]MATRIZ GENERAL CONSOLIDADA'!E31</f>
        <v>5565382157.9877996</v>
      </c>
      <c r="Q31" s="388">
        <f>+'[5]MATRIZ GENERAL CONSOLIDADA'!G31</f>
        <v>4546788341</v>
      </c>
      <c r="R31" s="522">
        <f t="shared" si="6"/>
        <v>81.697684218758511</v>
      </c>
      <c r="S31" s="388"/>
    </row>
    <row r="32" spans="1:19" ht="45" customHeight="1" thickBot="1">
      <c r="A32" s="59"/>
      <c r="B32" s="407" t="s">
        <v>481</v>
      </c>
      <c r="C32" s="406" t="s">
        <v>513</v>
      </c>
      <c r="D32" s="666">
        <f>+'[3]MATRIZ GENERAL CONSOLIDADA'!P32</f>
        <v>1</v>
      </c>
      <c r="E32" s="684">
        <f>+'MATRIZ GENERAL CONSOLIDADA'!V32</f>
        <v>0.5</v>
      </c>
      <c r="F32" s="660">
        <f>+(E32/D32)*100</f>
        <v>50</v>
      </c>
      <c r="G32" s="592"/>
      <c r="H32" s="388"/>
      <c r="I32" s="398">
        <f>+'MATRIZ GENERAL CONSOLIDADA'!D32</f>
        <v>1</v>
      </c>
      <c r="J32" s="539">
        <f>+'MATRIZ GENERAL CONSOLIDADA'!F32</f>
        <v>0.875</v>
      </c>
      <c r="K32" s="522">
        <f>+(J32/I32)*100</f>
        <v>87.5</v>
      </c>
      <c r="L32" s="400"/>
      <c r="M32" s="689">
        <f>+'MATRIZ GENERAL CONSOLIDADA'!U32</f>
        <v>115205104</v>
      </c>
      <c r="N32" s="689">
        <f>+'MATRIZ GENERAL CONSOLIDADA'!W32</f>
        <v>115158800</v>
      </c>
      <c r="O32" s="388">
        <f t="shared" si="9"/>
        <v>99.959807336313844</v>
      </c>
      <c r="P32" s="388">
        <f>+'[4]MATRIZ GENERAL CONSOLIDADA'!E32</f>
        <v>691788913</v>
      </c>
      <c r="Q32" s="388">
        <f>+'[5]MATRIZ GENERAL CONSOLIDADA'!G32</f>
        <v>691742609</v>
      </c>
      <c r="R32" s="522">
        <f t="shared" si="6"/>
        <v>99.993306628780857</v>
      </c>
      <c r="S32" s="388"/>
    </row>
    <row r="33" spans="1:19" ht="59.25" customHeight="1">
      <c r="A33" s="59"/>
      <c r="B33" s="418" t="s">
        <v>459</v>
      </c>
      <c r="C33" s="419"/>
      <c r="D33" s="419"/>
      <c r="E33" s="662"/>
      <c r="F33" s="669">
        <f>AVERAGE(F34,F46)</f>
        <v>76.695889002457918</v>
      </c>
      <c r="G33" s="565"/>
      <c r="H33" s="565"/>
      <c r="I33" s="420">
        <f>AVERAGE(I34,I46)</f>
        <v>34024.066666666666</v>
      </c>
      <c r="J33" s="420">
        <f>AVERAGE(J34,J46)</f>
        <v>29596.742553571428</v>
      </c>
      <c r="K33" s="520">
        <f t="shared" ref="K33:K42" si="10">+(J33/I33)*100</f>
        <v>86.987669179967014</v>
      </c>
      <c r="L33" s="520"/>
      <c r="M33" s="520">
        <f>+M34+M46</f>
        <v>4596082932</v>
      </c>
      <c r="N33" s="520">
        <f>+N34+N46</f>
        <v>4031182578.6399999</v>
      </c>
      <c r="O33" s="422">
        <f>+N33/M33*100</f>
        <v>87.709091378075243</v>
      </c>
      <c r="P33" s="543">
        <f>+P34+P46</f>
        <v>11273038713.476</v>
      </c>
      <c r="Q33" s="543">
        <f>+Q34+Q46</f>
        <v>10708138361.612</v>
      </c>
      <c r="R33" s="393">
        <f t="shared" si="6"/>
        <v>94.988925646208344</v>
      </c>
      <c r="S33" s="388"/>
    </row>
    <row r="34" spans="1:19" ht="64.5" customHeight="1">
      <c r="A34" s="59"/>
      <c r="B34" s="342" t="s">
        <v>460</v>
      </c>
      <c r="C34" s="423"/>
      <c r="D34" s="341"/>
      <c r="E34" s="661"/>
      <c r="F34" s="661">
        <f>AVERAGE(F35:F44)</f>
        <v>81.689560829512715</v>
      </c>
      <c r="G34" s="408"/>
      <c r="H34" s="408"/>
      <c r="I34" s="408">
        <f>AVERAGE(I35:I44)</f>
        <v>22765.133333333335</v>
      </c>
      <c r="J34" s="408">
        <f>AVERAGE(J35:J44)</f>
        <v>20212.844333333334</v>
      </c>
      <c r="K34" s="521">
        <f>+(J34/I34)*100</f>
        <v>88.788605089068952</v>
      </c>
      <c r="L34" s="521"/>
      <c r="M34" s="340">
        <f>SUM(M35:M45)</f>
        <v>1671872928</v>
      </c>
      <c r="N34" s="340">
        <f>SUM(N35:N45)</f>
        <v>1545815786.632</v>
      </c>
      <c r="O34" s="340">
        <f>+N34/M34*100</f>
        <v>92.460124256046328</v>
      </c>
      <c r="P34" s="340">
        <f>SUM(P35:P45)</f>
        <v>4237697475</v>
      </c>
      <c r="Q34" s="661">
        <f>SUM(Q35:Q45)</f>
        <v>4111640335.1279998</v>
      </c>
      <c r="R34" s="340">
        <f>+(Q34/P34)*100</f>
        <v>97.025338863482688</v>
      </c>
      <c r="S34" s="388"/>
    </row>
    <row r="35" spans="1:19" ht="108.75" customHeight="1">
      <c r="A35" s="59"/>
      <c r="B35" s="396" t="s">
        <v>483</v>
      </c>
      <c r="C35" s="398" t="s">
        <v>1</v>
      </c>
      <c r="D35" s="666">
        <f>+'MATRIZ GENERAL CONSOLIDADA'!T35</f>
        <v>30</v>
      </c>
      <c r="E35" s="660">
        <f>+'MATRIZ GENERAL CONSOLIDADA'!V35</f>
        <v>19</v>
      </c>
      <c r="F35" s="660">
        <f>+(E35/D35)*100</f>
        <v>63.333333333333329</v>
      </c>
      <c r="G35" s="592"/>
      <c r="H35" s="388"/>
      <c r="I35" s="398">
        <f>+'MATRIZ GENERAL CONSOLIDADA'!D35</f>
        <v>100</v>
      </c>
      <c r="J35" s="388">
        <f>+'MATRIZ GENERAL CONSOLIDADA'!F35</f>
        <v>22.25</v>
      </c>
      <c r="K35" s="388">
        <f>+(J35/I35)*100</f>
        <v>22.25</v>
      </c>
      <c r="L35" s="400"/>
      <c r="M35" s="689">
        <f>+'MATRIZ GENERAL CONSOLIDADA'!U35</f>
        <v>0</v>
      </c>
      <c r="N35" s="689">
        <f>+'MATRIZ GENERAL CONSOLIDADA'!W35</f>
        <v>0</v>
      </c>
      <c r="O35" s="388">
        <v>0</v>
      </c>
      <c r="P35" s="388">
        <f>+'[4]MATRIZ GENERAL CONSOLIDADA'!E35</f>
        <v>0</v>
      </c>
      <c r="Q35" s="388">
        <f>+'[5]MATRIZ GENERAL CONSOLIDADA'!G35</f>
        <v>0</v>
      </c>
      <c r="R35" s="522">
        <v>0</v>
      </c>
      <c r="S35" s="388"/>
    </row>
    <row r="36" spans="1:19" ht="92.25" customHeight="1">
      <c r="A36" s="59"/>
      <c r="B36" s="401" t="s">
        <v>382</v>
      </c>
      <c r="C36" s="413" t="s">
        <v>454</v>
      </c>
      <c r="D36" s="666">
        <f>+'MATRIZ GENERAL CONSOLIDADA'!T36</f>
        <v>70451</v>
      </c>
      <c r="E36" s="660">
        <f>+'MATRIZ GENERAL CONSOLIDADA'!V36</f>
        <v>44748</v>
      </c>
      <c r="F36" s="684">
        <f>+(E36/D36)*100</f>
        <v>63.516486636101689</v>
      </c>
      <c r="G36" s="592"/>
      <c r="H36" s="388"/>
      <c r="I36" s="398">
        <f>+'MATRIZ GENERAL CONSOLIDADA'!D36</f>
        <v>227184</v>
      </c>
      <c r="J36" s="388">
        <f>+'MATRIZ GENERAL CONSOLIDADA'!F36</f>
        <v>201747.36</v>
      </c>
      <c r="K36" s="388">
        <f>+(J36/I36)*100</f>
        <v>88.803507289245715</v>
      </c>
      <c r="L36" s="400"/>
      <c r="M36" s="689">
        <f>+'MATRIZ GENERAL CONSOLIDADA'!U36</f>
        <v>0</v>
      </c>
      <c r="N36" s="689">
        <f>+'MATRIZ GENERAL CONSOLIDADA'!W36</f>
        <v>0</v>
      </c>
      <c r="O36" s="388" t="s">
        <v>519</v>
      </c>
      <c r="P36" s="388">
        <f>+'[4]MATRIZ GENERAL CONSOLIDADA'!E36</f>
        <v>1366192207</v>
      </c>
      <c r="Q36" s="388">
        <f>+'[5]MATRIZ GENERAL CONSOLIDADA'!G36</f>
        <v>1366192207.0999999</v>
      </c>
      <c r="R36" s="522">
        <f t="shared" si="6"/>
        <v>100.00000000731961</v>
      </c>
      <c r="S36" s="388"/>
    </row>
    <row r="37" spans="1:19" ht="56.25" customHeight="1">
      <c r="A37" s="59"/>
      <c r="B37" s="425" t="s">
        <v>383</v>
      </c>
      <c r="C37" s="398" t="s">
        <v>488</v>
      </c>
      <c r="D37" s="666">
        <f>+'MATRIZ GENERAL CONSOLIDADA'!T37</f>
        <v>50</v>
      </c>
      <c r="E37" s="660">
        <f>+'MATRIZ GENERAL CONSOLIDADA'!V37</f>
        <v>50</v>
      </c>
      <c r="F37" s="660">
        <f>+(E37/D37)*100</f>
        <v>100</v>
      </c>
      <c r="G37" s="592"/>
      <c r="H37" s="388"/>
      <c r="I37" s="398">
        <f>+'MATRIZ GENERAL CONSOLIDADA'!D37</f>
        <v>33.333333333333336</v>
      </c>
      <c r="J37" s="388">
        <f>+'MATRIZ GENERAL CONSOLIDADA'!F37</f>
        <v>32.333333333333336</v>
      </c>
      <c r="K37" s="388">
        <f t="shared" si="10"/>
        <v>97</v>
      </c>
      <c r="L37" s="400"/>
      <c r="M37" s="689">
        <f>+'MATRIZ GENERAL CONSOLIDADA'!U37</f>
        <v>0</v>
      </c>
      <c r="N37" s="689">
        <f>+'MATRIZ GENERAL CONSOLIDADA'!W37</f>
        <v>0</v>
      </c>
      <c r="O37" s="388">
        <v>0</v>
      </c>
      <c r="P37" s="388">
        <f>+'[4]MATRIZ GENERAL CONSOLIDADA'!E37</f>
        <v>49279933</v>
      </c>
      <c r="Q37" s="388">
        <f>+'[5]MATRIZ GENERAL CONSOLIDADA'!G37</f>
        <v>49279933.395999998</v>
      </c>
      <c r="R37" s="522">
        <f t="shared" si="6"/>
        <v>100.00000080357252</v>
      </c>
      <c r="S37" s="388"/>
    </row>
    <row r="38" spans="1:19" ht="54.75" customHeight="1">
      <c r="A38" s="59"/>
      <c r="B38" s="425" t="s">
        <v>384</v>
      </c>
      <c r="C38" s="406" t="s">
        <v>510</v>
      </c>
      <c r="D38" s="666">
        <f>+'MATRIZ GENERAL CONSOLIDADA'!T38</f>
        <v>30</v>
      </c>
      <c r="E38" s="660">
        <f>+'MATRIZ GENERAL CONSOLIDADA'!V38</f>
        <v>29</v>
      </c>
      <c r="F38" s="660">
        <f>+(E38/D38)*100</f>
        <v>96.666666666666671</v>
      </c>
      <c r="G38" s="592"/>
      <c r="H38" s="388"/>
      <c r="I38" s="398">
        <f>+'MATRIZ GENERAL CONSOLIDADA'!D38</f>
        <v>120</v>
      </c>
      <c r="J38" s="388">
        <f>+'MATRIZ GENERAL CONSOLIDADA'!F38</f>
        <v>119</v>
      </c>
      <c r="K38" s="388">
        <f t="shared" si="10"/>
        <v>99.166666666666671</v>
      </c>
      <c r="L38" s="400"/>
      <c r="M38" s="689">
        <f>+'MATRIZ GENERAL CONSOLIDADA'!U38</f>
        <v>115182886</v>
      </c>
      <c r="N38" s="689">
        <f>+'MATRIZ GENERAL CONSOLIDADA'!W38</f>
        <v>55289711</v>
      </c>
      <c r="O38" s="388">
        <f>+(N38/M38)*100</f>
        <v>48.00167188031736</v>
      </c>
      <c r="P38" s="388">
        <f>+'[4]MATRIZ GENERAL CONSOLIDADA'!E38</f>
        <v>296338658</v>
      </c>
      <c r="Q38" s="388">
        <f>+'[5]MATRIZ GENERAL CONSOLIDADA'!G38</f>
        <v>236445484</v>
      </c>
      <c r="R38" s="522">
        <f t="shared" si="6"/>
        <v>79.788943364925416</v>
      </c>
      <c r="S38" s="388"/>
    </row>
    <row r="39" spans="1:19" ht="54" customHeight="1">
      <c r="A39" s="59"/>
      <c r="B39" s="425" t="s">
        <v>385</v>
      </c>
      <c r="C39" s="426" t="s">
        <v>190</v>
      </c>
      <c r="D39" s="666">
        <f>+'MATRIZ GENERAL CONSOLIDADA'!T39</f>
        <v>3</v>
      </c>
      <c r="E39" s="660">
        <f>+'MATRIZ GENERAL CONSOLIDADA'!V39</f>
        <v>2.4</v>
      </c>
      <c r="F39" s="660">
        <f t="shared" ref="F39:F44" si="11">+(E39/D39)*100</f>
        <v>80</v>
      </c>
      <c r="G39" s="592"/>
      <c r="H39" s="388"/>
      <c r="I39" s="398">
        <f>+'MATRIZ GENERAL CONSOLIDADA'!D39</f>
        <v>3</v>
      </c>
      <c r="J39" s="388">
        <f>+'MATRIZ GENERAL CONSOLIDADA'!F39</f>
        <v>2.85</v>
      </c>
      <c r="K39" s="388">
        <f t="shared" si="10"/>
        <v>95</v>
      </c>
      <c r="L39" s="400"/>
      <c r="M39" s="689">
        <f>+'MATRIZ GENERAL CONSOLIDADA'!U39</f>
        <v>40080000</v>
      </c>
      <c r="N39" s="689">
        <f>+'MATRIZ GENERAL CONSOLIDADA'!W39</f>
        <v>40080000</v>
      </c>
      <c r="O39" s="388">
        <f>+(N39/M39)*100</f>
        <v>100</v>
      </c>
      <c r="P39" s="388">
        <f>+'[4]MATRIZ GENERAL CONSOLIDADA'!E39</f>
        <v>115380000</v>
      </c>
      <c r="Q39" s="388">
        <f>+'[5]MATRIZ GENERAL CONSOLIDADA'!G39</f>
        <v>115380000</v>
      </c>
      <c r="R39" s="522">
        <f t="shared" si="6"/>
        <v>100</v>
      </c>
      <c r="S39" s="388"/>
    </row>
    <row r="40" spans="1:19" ht="48.75" customHeight="1">
      <c r="A40" s="59"/>
      <c r="B40" s="425" t="str">
        <f>+'MATRIZ GENERAL CONSOLIDADA'!A40</f>
        <v>Investigación, Conocimiento y/o Manejo de Áreas de Importancia estratégica  y de la Biodiversidad</v>
      </c>
      <c r="C40" s="406" t="str">
        <f>+'MATRIZ GENERAL CONSOLIDADA'!C40</f>
        <v>Áreas estratégicas</v>
      </c>
      <c r="D40" s="666">
        <f>+'MATRIZ GENERAL CONSOLIDADA'!T40</f>
        <v>2</v>
      </c>
      <c r="E40" s="660">
        <f>+'MATRIZ GENERAL CONSOLIDADA'!V40</f>
        <v>1.8</v>
      </c>
      <c r="F40" s="660">
        <f t="shared" si="11"/>
        <v>90</v>
      </c>
      <c r="G40" s="592"/>
      <c r="H40" s="388"/>
      <c r="I40" s="398">
        <f>+'MATRIZ GENERAL CONSOLIDADA'!D40</f>
        <v>7</v>
      </c>
      <c r="J40" s="388">
        <f>+'MATRIZ GENERAL CONSOLIDADA'!F40</f>
        <v>6.1</v>
      </c>
      <c r="K40" s="388">
        <f t="shared" si="10"/>
        <v>87.142857142857139</v>
      </c>
      <c r="L40" s="400"/>
      <c r="M40" s="388">
        <f>+'MATRIZ GENERAL CONSOLIDADA'!U40</f>
        <v>1476355832</v>
      </c>
      <c r="N40" s="689">
        <f>+'MATRIZ GENERAL CONSOLIDADA'!W40</f>
        <v>1450446075.632</v>
      </c>
      <c r="O40" s="388">
        <f>+(N40/M40)*100</f>
        <v>98.245019540248606</v>
      </c>
      <c r="P40" s="388">
        <f>+'[4]MATRIZ GENERAL CONSOLIDADA'!E40</f>
        <v>2270845778</v>
      </c>
      <c r="Q40" s="388">
        <f>+'[5]MATRIZ GENERAL CONSOLIDADA'!G40</f>
        <v>2244936021.632</v>
      </c>
      <c r="R40" s="522">
        <f t="shared" si="6"/>
        <v>98.85902615584844</v>
      </c>
      <c r="S40" s="388"/>
    </row>
    <row r="41" spans="1:19" ht="55.5" customHeight="1">
      <c r="A41" s="59"/>
      <c r="B41" s="405" t="s">
        <v>380</v>
      </c>
      <c r="C41" s="406" t="s">
        <v>1</v>
      </c>
      <c r="D41" s="666">
        <f>+'MATRIZ GENERAL CONSOLIDADA'!T41</f>
        <v>0</v>
      </c>
      <c r="E41" s="660" t="s">
        <v>519</v>
      </c>
      <c r="F41" s="660" t="s">
        <v>519</v>
      </c>
      <c r="G41" s="592"/>
      <c r="H41" s="388"/>
      <c r="I41" s="398">
        <f>+'MATRIZ GENERAL CONSOLIDADA'!D41</f>
        <v>100</v>
      </c>
      <c r="J41" s="388">
        <f>+'MATRIZ GENERAL CONSOLIDADA'!F41</f>
        <v>99.6</v>
      </c>
      <c r="K41" s="388">
        <f t="shared" si="10"/>
        <v>99.6</v>
      </c>
      <c r="L41" s="400"/>
      <c r="M41" s="388">
        <f>+'MATRIZ GENERAL CONSOLIDADA'!U41</f>
        <v>0</v>
      </c>
      <c r="N41" s="689">
        <f>+'MATRIZ GENERAL CONSOLIDADA'!W41</f>
        <v>0</v>
      </c>
      <c r="O41" s="388">
        <v>0</v>
      </c>
      <c r="P41" s="388">
        <f>+'[4]MATRIZ GENERAL CONSOLIDADA'!E41</f>
        <v>0</v>
      </c>
      <c r="Q41" s="388">
        <f>+'[5]MATRIZ GENERAL CONSOLIDADA'!G41</f>
        <v>0</v>
      </c>
      <c r="R41" s="522">
        <v>0</v>
      </c>
      <c r="S41" s="388"/>
    </row>
    <row r="42" spans="1:19" ht="30" customHeight="1">
      <c r="A42" s="59"/>
      <c r="B42" s="401" t="s">
        <v>386</v>
      </c>
      <c r="C42" s="406" t="s">
        <v>133</v>
      </c>
      <c r="D42" s="666">
        <f>+'MATRIZ GENERAL CONSOLIDADA'!T42</f>
        <v>0</v>
      </c>
      <c r="E42" s="660" t="s">
        <v>519</v>
      </c>
      <c r="F42" s="660" t="s">
        <v>519</v>
      </c>
      <c r="G42" s="592"/>
      <c r="H42" s="388"/>
      <c r="I42" s="398">
        <f>+'MATRIZ GENERAL CONSOLIDADA'!D42</f>
        <v>3</v>
      </c>
      <c r="J42" s="388">
        <f>+'MATRIZ GENERAL CONSOLIDADA'!F42</f>
        <v>3</v>
      </c>
      <c r="K42" s="388">
        <f t="shared" si="10"/>
        <v>100</v>
      </c>
      <c r="L42" s="400"/>
      <c r="M42" s="388">
        <f>+'MATRIZ GENERAL CONSOLIDADA'!U42</f>
        <v>0</v>
      </c>
      <c r="N42" s="689">
        <f>+'MATRIZ GENERAL CONSOLIDADA'!W42</f>
        <v>0</v>
      </c>
      <c r="O42" s="388">
        <v>0</v>
      </c>
      <c r="P42" s="388">
        <f>+'[4]MATRIZ GENERAL CONSOLIDADA'!E42</f>
        <v>36144000</v>
      </c>
      <c r="Q42" s="388">
        <f>+'[5]MATRIZ GENERAL CONSOLIDADA'!G42</f>
        <v>36144000</v>
      </c>
      <c r="R42" s="522">
        <f t="shared" si="6"/>
        <v>100</v>
      </c>
      <c r="S42" s="388"/>
    </row>
    <row r="43" spans="1:19" ht="30" customHeight="1">
      <c r="A43" s="59"/>
      <c r="B43" s="405" t="s">
        <v>381</v>
      </c>
      <c r="C43" s="406" t="s">
        <v>1</v>
      </c>
      <c r="D43" s="666">
        <f>+'MATRIZ GENERAL CONSOLIDADA'!T43</f>
        <v>100</v>
      </c>
      <c r="E43" s="660">
        <f>+'MATRIZ GENERAL CONSOLIDADA'!V43</f>
        <v>80</v>
      </c>
      <c r="F43" s="660">
        <f t="shared" si="11"/>
        <v>80</v>
      </c>
      <c r="G43" s="592"/>
      <c r="H43" s="388"/>
      <c r="I43" s="398">
        <f>+'MATRIZ GENERAL CONSOLIDADA'!D43</f>
        <v>100</v>
      </c>
      <c r="J43" s="388">
        <f>+'MATRIZ GENERAL CONSOLIDADA'!F43</f>
        <v>95</v>
      </c>
      <c r="K43" s="388">
        <f>+(J43/I43)*100</f>
        <v>95</v>
      </c>
      <c r="L43" s="400"/>
      <c r="M43" s="388">
        <f>+'MATRIZ GENERAL CONSOLIDADA'!U43</f>
        <v>0</v>
      </c>
      <c r="N43" s="689">
        <f>+'MATRIZ GENERAL CONSOLIDADA'!W43</f>
        <v>0</v>
      </c>
      <c r="O43" s="388">
        <v>0</v>
      </c>
      <c r="P43" s="388">
        <f>+'[4]MATRIZ GENERAL CONSOLIDADA'!E43</f>
        <v>0</v>
      </c>
      <c r="Q43" s="388">
        <f>+'[5]MATRIZ GENERAL CONSOLIDADA'!G43</f>
        <v>0</v>
      </c>
      <c r="R43" s="522">
        <v>0</v>
      </c>
      <c r="S43" s="388"/>
    </row>
    <row r="44" spans="1:19" ht="42.75" customHeight="1">
      <c r="A44" s="59"/>
      <c r="B44" s="401" t="s">
        <v>387</v>
      </c>
      <c r="C44" s="406" t="s">
        <v>388</v>
      </c>
      <c r="D44" s="666">
        <f>+'MATRIZ GENERAL CONSOLIDADA'!T44</f>
        <v>1</v>
      </c>
      <c r="E44" s="663">
        <f>+'MATRIZ GENERAL CONSOLIDADA'!V44</f>
        <v>0.8</v>
      </c>
      <c r="F44" s="660">
        <f t="shared" si="11"/>
        <v>80</v>
      </c>
      <c r="G44" s="592"/>
      <c r="H44" s="388"/>
      <c r="I44" s="518">
        <f>+'MATRIZ GENERAL CONSOLIDADA'!D44</f>
        <v>1</v>
      </c>
      <c r="J44" s="388">
        <f>+'MATRIZ GENERAL CONSOLIDADA'!F44</f>
        <v>0.95</v>
      </c>
      <c r="K44" s="388">
        <f>+(J44/I44)*100</f>
        <v>95</v>
      </c>
      <c r="L44" s="400"/>
      <c r="M44" s="388">
        <f>+'MATRIZ GENERAL CONSOLIDADA'!U44</f>
        <v>40254210</v>
      </c>
      <c r="N44" s="689">
        <f>+'MATRIZ GENERAL CONSOLIDADA'!W44</f>
        <v>0</v>
      </c>
      <c r="O44" s="388">
        <f>+(N44/M44)*100</f>
        <v>0</v>
      </c>
      <c r="P44" s="388">
        <f>+'[4]MATRIZ GENERAL CONSOLIDADA'!E44</f>
        <v>48893429</v>
      </c>
      <c r="Q44" s="388">
        <f>+'[5]MATRIZ GENERAL CONSOLIDADA'!G44</f>
        <v>8639219</v>
      </c>
      <c r="R44" s="522">
        <f t="shared" si="6"/>
        <v>17.669488879579298</v>
      </c>
      <c r="S44" s="388"/>
    </row>
    <row r="45" spans="1:19" ht="30" customHeight="1">
      <c r="A45" s="59"/>
      <c r="B45" s="425" t="s">
        <v>515</v>
      </c>
      <c r="C45" s="406" t="s">
        <v>516</v>
      </c>
      <c r="D45" s="666" t="s">
        <v>519</v>
      </c>
      <c r="E45" s="660" t="s">
        <v>519</v>
      </c>
      <c r="F45" s="660" t="s">
        <v>519</v>
      </c>
      <c r="G45" s="592"/>
      <c r="H45" s="388"/>
      <c r="I45" s="398" t="s">
        <v>519</v>
      </c>
      <c r="J45" s="388" t="s">
        <v>519</v>
      </c>
      <c r="K45" s="388" t="s">
        <v>519</v>
      </c>
      <c r="L45" s="400"/>
      <c r="M45" s="689">
        <f>+'MATRIZ GENERAL CONSOLIDADA'!U45</f>
        <v>0</v>
      </c>
      <c r="N45" s="689">
        <f>+'MATRIZ GENERAL CONSOLIDADA'!W45</f>
        <v>0</v>
      </c>
      <c r="O45" s="388" t="s">
        <v>519</v>
      </c>
      <c r="P45" s="388">
        <f>+'[4]MATRIZ GENERAL CONSOLIDADA'!E45</f>
        <v>54623470</v>
      </c>
      <c r="Q45" s="388">
        <f>+'[5]MATRIZ GENERAL CONSOLIDADA'!G45</f>
        <v>54623470</v>
      </c>
      <c r="R45" s="522">
        <f t="shared" si="6"/>
        <v>100</v>
      </c>
      <c r="S45" s="388"/>
    </row>
    <row r="46" spans="1:19" ht="63.75" customHeight="1">
      <c r="A46" s="59"/>
      <c r="B46" s="342" t="s">
        <v>537</v>
      </c>
      <c r="C46" s="341"/>
      <c r="D46" s="341"/>
      <c r="E46" s="661"/>
      <c r="F46" s="661">
        <f>AVERAGE(F47:F53)</f>
        <v>71.702217175403121</v>
      </c>
      <c r="G46" s="408"/>
      <c r="H46" s="408"/>
      <c r="I46" s="408">
        <f>AVERAGE(I47:I53)</f>
        <v>45283</v>
      </c>
      <c r="J46" s="408">
        <f>AVERAGE(J47:J53)</f>
        <v>38980.640773809522</v>
      </c>
      <c r="K46" s="340">
        <f>+(J46/I46)*100</f>
        <v>86.082284243114458</v>
      </c>
      <c r="L46" s="340"/>
      <c r="M46" s="340">
        <f>SUM(M48:M54)</f>
        <v>2924210004</v>
      </c>
      <c r="N46" s="340">
        <f>SUM(N48:N54)</f>
        <v>2485366792.0079999</v>
      </c>
      <c r="O46" s="340">
        <f>+(N46/M46)*100</f>
        <v>84.992760048296446</v>
      </c>
      <c r="P46" s="340">
        <f>SUM(P47:P54)</f>
        <v>7035341238.4759998</v>
      </c>
      <c r="Q46" s="661">
        <f>SUM(Q47:Q54)</f>
        <v>6596498026.4840002</v>
      </c>
      <c r="R46" s="340">
        <f>+(Q46/P46)*100</f>
        <v>93.762303815599111</v>
      </c>
      <c r="S46" s="388"/>
    </row>
    <row r="47" spans="1:19" ht="111.75" customHeight="1">
      <c r="A47" s="59"/>
      <c r="B47" s="405" t="s">
        <v>389</v>
      </c>
      <c r="C47" s="398" t="s">
        <v>1</v>
      </c>
      <c r="D47" s="660">
        <f>+'MATRIZ GENERAL CONSOLIDADA'!T47</f>
        <v>100</v>
      </c>
      <c r="E47" s="660">
        <f>+'MATRIZ GENERAL CONSOLIDADA'!V47</f>
        <v>70</v>
      </c>
      <c r="F47" s="660">
        <f>+(E47/D47)*100</f>
        <v>70</v>
      </c>
      <c r="G47" s="592"/>
      <c r="H47" s="388"/>
      <c r="I47" s="398">
        <f>+'MATRIZ GENERAL CONSOLIDADA'!D47</f>
        <v>100</v>
      </c>
      <c r="J47" s="427">
        <f>+'MATRIZ GENERAL CONSOLIDADA'!F47</f>
        <v>92.5</v>
      </c>
      <c r="K47" s="388">
        <f t="shared" ref="K47:K53" si="12">+(J47/I47)*100</f>
        <v>92.5</v>
      </c>
      <c r="L47" s="400"/>
      <c r="M47" s="690">
        <f>+'MATRIZ GENERAL CONSOLIDADA'!U47</f>
        <v>0</v>
      </c>
      <c r="N47" s="690">
        <f>+'MATRIZ GENERAL CONSOLIDADA'!W47</f>
        <v>0</v>
      </c>
      <c r="O47" s="388">
        <v>0</v>
      </c>
      <c r="P47" s="388">
        <f>+'[4]MATRIZ GENERAL CONSOLIDADA'!E47</f>
        <v>0</v>
      </c>
      <c r="Q47" s="388">
        <f>+'[5]MATRIZ GENERAL CONSOLIDADA'!G47</f>
        <v>0</v>
      </c>
      <c r="R47" s="522">
        <v>0</v>
      </c>
      <c r="S47" s="388"/>
    </row>
    <row r="48" spans="1:19" ht="78" customHeight="1">
      <c r="A48" s="59"/>
      <c r="B48" s="401" t="str">
        <f>+'MATRIZ GENERAL CONSOLIDADA'!A48</f>
        <v xml:space="preserve">Áreas protegidas registradas con planes de manejo en ejcución </v>
      </c>
      <c r="C48" s="413" t="s">
        <v>454</v>
      </c>
      <c r="D48" s="660">
        <f>+'MATRIZ GENERAL CONSOLIDADA'!T48</f>
        <v>99948</v>
      </c>
      <c r="E48" s="759">
        <f>+'MATRIZ GENERAL CONSOLIDADA'!V48</f>
        <v>68214.3</v>
      </c>
      <c r="F48" s="684">
        <f>+(E48/D48)*100</f>
        <v>68.249789890743187</v>
      </c>
      <c r="G48" s="592"/>
      <c r="H48" s="388"/>
      <c r="I48" s="398">
        <f>+'MATRIZ GENERAL CONSOLIDADA'!D48</f>
        <v>99948</v>
      </c>
      <c r="J48" s="427">
        <f>+'MATRIZ GENERAL CONSOLIDADA'!F48</f>
        <v>115666.40666666666</v>
      </c>
      <c r="K48" s="388">
        <f t="shared" si="12"/>
        <v>115.72658449060178</v>
      </c>
      <c r="L48" s="400"/>
      <c r="M48" s="690">
        <f>+'MATRIZ GENERAL CONSOLIDADA'!U48</f>
        <v>147884180</v>
      </c>
      <c r="N48" s="690">
        <f>+'MATRIZ GENERAL CONSOLIDADA'!W48</f>
        <v>119476000</v>
      </c>
      <c r="O48" s="623" t="s">
        <v>519</v>
      </c>
      <c r="P48" s="388">
        <f>+'[4]MATRIZ GENERAL CONSOLIDADA'!E48</f>
        <v>1798202377</v>
      </c>
      <c r="Q48" s="388">
        <f>+'[5]MATRIZ GENERAL CONSOLIDADA'!G48</f>
        <v>1769794197</v>
      </c>
      <c r="R48" s="522">
        <f t="shared" si="6"/>
        <v>98.420190054058637</v>
      </c>
      <c r="S48" s="388"/>
    </row>
    <row r="49" spans="1:19" ht="78" customHeight="1">
      <c r="A49" s="59"/>
      <c r="B49" s="401" t="str">
        <f>+'MATRIZ GENERAL CONSOLIDADA'!A49</f>
        <v xml:space="preserve">Áreas protegidas inscritas con planes de manejo en ejcución </v>
      </c>
      <c r="C49" s="413" t="s">
        <v>454</v>
      </c>
      <c r="D49" s="660">
        <f>+'MATRIZ GENERAL CONSOLIDADA'!T49</f>
        <v>216462</v>
      </c>
      <c r="E49" s="759">
        <f>+'MATRIZ GENERAL CONSOLIDADA'!V49</f>
        <v>147735.315</v>
      </c>
      <c r="F49" s="684">
        <f>+(E49/D49)*100</f>
        <v>68.25</v>
      </c>
      <c r="G49" s="592"/>
      <c r="H49" s="388"/>
      <c r="I49" s="398">
        <f>+'MATRIZ GENERAL CONSOLIDADA'!D49</f>
        <v>216462</v>
      </c>
      <c r="J49" s="427">
        <f>+'MATRIZ GENERAL CONSOLIDADA'!F49</f>
        <v>156670.07874999999</v>
      </c>
      <c r="K49" s="388">
        <v>100</v>
      </c>
      <c r="L49" s="400"/>
      <c r="M49" s="690">
        <f>+'MATRIZ GENERAL CONSOLIDADA'!U49</f>
        <v>2397459954</v>
      </c>
      <c r="N49" s="690">
        <f>+'MATRIZ GENERAL CONSOLIDADA'!W49</f>
        <v>2130895009.0079999</v>
      </c>
      <c r="O49" s="388">
        <f>+N49/M49*100</f>
        <v>88.881359851402124</v>
      </c>
      <c r="P49" s="388">
        <f>+'[4]MATRIZ GENERAL CONSOLIDADA'!E49</f>
        <v>4132104384.3199997</v>
      </c>
      <c r="Q49" s="388">
        <f>+'[5]MATRIZ GENERAL CONSOLIDADA'!G49</f>
        <v>3865539439.3280001</v>
      </c>
      <c r="R49" s="522">
        <f t="shared" si="6"/>
        <v>93.548930031788942</v>
      </c>
      <c r="S49" s="388"/>
    </row>
    <row r="50" spans="1:19" ht="56.25" customHeight="1">
      <c r="A50" s="59"/>
      <c r="B50" s="405" t="s">
        <v>549</v>
      </c>
      <c r="C50" s="398" t="s">
        <v>1</v>
      </c>
      <c r="D50" s="660">
        <f>+'MATRIZ GENERAL CONSOLIDADA'!T50</f>
        <v>25</v>
      </c>
      <c r="E50" s="660">
        <f>+'MATRIZ GENERAL CONSOLIDADA'!V50</f>
        <v>17</v>
      </c>
      <c r="F50" s="660">
        <f t="shared" ref="F50:F53" si="13">+(E50/D50)*100</f>
        <v>68</v>
      </c>
      <c r="G50" s="592"/>
      <c r="H50" s="388"/>
      <c r="I50" s="398">
        <f>+'MATRIZ GENERAL CONSOLIDADA'!D50</f>
        <v>100</v>
      </c>
      <c r="J50" s="427">
        <f>+'MATRIZ GENERAL CONSOLIDADA'!F50</f>
        <v>91.7</v>
      </c>
      <c r="K50" s="388">
        <f t="shared" si="12"/>
        <v>91.7</v>
      </c>
      <c r="L50" s="400"/>
      <c r="M50" s="690">
        <f>+'MATRIZ GENERAL CONSOLIDADA'!U50</f>
        <v>0</v>
      </c>
      <c r="N50" s="690">
        <f>+'MATRIZ GENERAL CONSOLIDADA'!W50</f>
        <v>0</v>
      </c>
      <c r="O50" s="388">
        <v>0</v>
      </c>
      <c r="P50" s="388">
        <f>+'[4]MATRIZ GENERAL CONSOLIDADA'!E50</f>
        <v>0</v>
      </c>
      <c r="Q50" s="388">
        <f>+'[5]MATRIZ GENERAL CONSOLIDADA'!G50</f>
        <v>0</v>
      </c>
      <c r="R50" s="522">
        <v>0</v>
      </c>
      <c r="S50" s="388"/>
    </row>
    <row r="51" spans="1:19" ht="54.75" customHeight="1">
      <c r="A51" s="59"/>
      <c r="B51" s="401" t="s">
        <v>392</v>
      </c>
      <c r="C51" s="406" t="s">
        <v>188</v>
      </c>
      <c r="D51" s="660">
        <f>+'MATRIZ GENERAL CONSOLIDADA'!T51</f>
        <v>267</v>
      </c>
      <c r="E51" s="660">
        <f>+'MATRIZ GENERAL CONSOLIDADA'!V51</f>
        <v>180</v>
      </c>
      <c r="F51" s="660">
        <f t="shared" si="13"/>
        <v>67.415730337078656</v>
      </c>
      <c r="G51" s="592"/>
      <c r="H51" s="388"/>
      <c r="I51" s="398">
        <f>+'MATRIZ GENERAL CONSOLIDADA'!D51</f>
        <v>267</v>
      </c>
      <c r="J51" s="427">
        <f>+'MATRIZ GENERAL CONSOLIDADA'!F51</f>
        <v>245</v>
      </c>
      <c r="K51" s="388">
        <f t="shared" si="12"/>
        <v>91.760299625468164</v>
      </c>
      <c r="L51" s="400"/>
      <c r="M51" s="690">
        <f>+'MATRIZ GENERAL CONSOLIDADA'!U51</f>
        <v>155717807</v>
      </c>
      <c r="N51" s="690">
        <f>+'MATRIZ GENERAL CONSOLIDADA'!W51</f>
        <v>60033755</v>
      </c>
      <c r="O51" s="388">
        <f>+N51/M51*100</f>
        <v>38.552915788237371</v>
      </c>
      <c r="P51" s="388">
        <f>+'[4]MATRIZ GENERAL CONSOLIDADA'!E51</f>
        <v>557180800.65600002</v>
      </c>
      <c r="Q51" s="388">
        <f>+'[5]MATRIZ GENERAL CONSOLIDADA'!G51</f>
        <v>461496748.65600002</v>
      </c>
      <c r="R51" s="522">
        <f t="shared" si="6"/>
        <v>82.827108922750782</v>
      </c>
      <c r="S51" s="388"/>
    </row>
    <row r="52" spans="1:19" ht="107.25" customHeight="1">
      <c r="A52" s="59"/>
      <c r="B52" s="405" t="s">
        <v>391</v>
      </c>
      <c r="C52" s="406" t="s">
        <v>180</v>
      </c>
      <c r="D52" s="660">
        <f>+'MATRIZ GENERAL CONSOLIDADA'!T52</f>
        <v>100</v>
      </c>
      <c r="E52" s="660">
        <f>+'MATRIZ GENERAL CONSOLIDADA'!V52</f>
        <v>80</v>
      </c>
      <c r="F52" s="660">
        <f t="shared" si="13"/>
        <v>80</v>
      </c>
      <c r="G52" s="592"/>
      <c r="H52" s="388"/>
      <c r="I52" s="398">
        <f>+'MATRIZ GENERAL CONSOLIDADA'!D52</f>
        <v>100</v>
      </c>
      <c r="J52" s="427">
        <f>+'MATRIZ GENERAL CONSOLIDADA'!F52</f>
        <v>95</v>
      </c>
      <c r="K52" s="388">
        <f t="shared" si="12"/>
        <v>95</v>
      </c>
      <c r="L52" s="400"/>
      <c r="M52" s="690">
        <f>+'MATRIZ GENERAL CONSOLIDADA'!U52</f>
        <v>0</v>
      </c>
      <c r="N52" s="690">
        <f>+'MATRIZ GENERAL CONSOLIDADA'!W52</f>
        <v>0</v>
      </c>
      <c r="O52" s="388">
        <v>0</v>
      </c>
      <c r="P52" s="388">
        <f>+'[4]MATRIZ GENERAL CONSOLIDADA'!E52</f>
        <v>0</v>
      </c>
      <c r="Q52" s="388">
        <f>+'[5]MATRIZ GENERAL CONSOLIDADA'!G52</f>
        <v>0</v>
      </c>
      <c r="R52" s="522">
        <v>0</v>
      </c>
      <c r="S52" s="388"/>
    </row>
    <row r="53" spans="1:19" ht="107.25" customHeight="1">
      <c r="A53" s="59"/>
      <c r="B53" s="401" t="s">
        <v>456</v>
      </c>
      <c r="C53" s="397" t="s">
        <v>388</v>
      </c>
      <c r="D53" s="660">
        <f>+'MATRIZ GENERAL CONSOLIDADA'!T53</f>
        <v>4</v>
      </c>
      <c r="E53" s="660">
        <f>+'MATRIZ GENERAL CONSOLIDADA'!V53</f>
        <v>3.2</v>
      </c>
      <c r="F53" s="660">
        <f t="shared" si="13"/>
        <v>80</v>
      </c>
      <c r="G53" s="592"/>
      <c r="H53" s="388"/>
      <c r="I53" s="398">
        <f>+'MATRIZ GENERAL CONSOLIDADA'!D53</f>
        <v>4</v>
      </c>
      <c r="J53" s="427">
        <f>+'MATRIZ GENERAL CONSOLIDADA'!F53</f>
        <v>3.8</v>
      </c>
      <c r="K53" s="388">
        <f t="shared" si="12"/>
        <v>95</v>
      </c>
      <c r="L53" s="400"/>
      <c r="M53" s="690">
        <f>+'MATRIZ GENERAL CONSOLIDADA'!U53</f>
        <v>137233680</v>
      </c>
      <c r="N53" s="690">
        <f>+'MATRIZ GENERAL CONSOLIDADA'!W53</f>
        <v>114938856</v>
      </c>
      <c r="O53" s="388">
        <f>+N53/M53*100</f>
        <v>83.754116336456192</v>
      </c>
      <c r="P53" s="388">
        <f>+'[4]MATRIZ GENERAL CONSOLIDADA'!E53</f>
        <v>347244118.5</v>
      </c>
      <c r="Q53" s="388">
        <f>+'[5]MATRIZ GENERAL CONSOLIDADA'!G53</f>
        <v>324949294.5</v>
      </c>
      <c r="R53" s="522">
        <f t="shared" si="6"/>
        <v>93.579495573227405</v>
      </c>
      <c r="S53" s="388"/>
    </row>
    <row r="54" spans="1:19" ht="107.25" customHeight="1" thickBot="1">
      <c r="A54" s="59"/>
      <c r="B54" s="425" t="s">
        <v>515</v>
      </c>
      <c r="C54" s="406" t="s">
        <v>551</v>
      </c>
      <c r="D54" s="660">
        <f>+'MATRIZ GENERAL CONSOLIDADA'!T54</f>
        <v>0</v>
      </c>
      <c r="E54" s="660" t="s">
        <v>519</v>
      </c>
      <c r="F54" s="660" t="s">
        <v>519</v>
      </c>
      <c r="G54" s="592"/>
      <c r="H54" s="388"/>
      <c r="I54" s="398">
        <f>+'MATRIZ GENERAL CONSOLIDADA'!D54</f>
        <v>0</v>
      </c>
      <c r="J54" s="427">
        <f>+'MATRIZ GENERAL CONSOLIDADA'!F54</f>
        <v>0</v>
      </c>
      <c r="K54" s="388" t="s">
        <v>519</v>
      </c>
      <c r="L54" s="400"/>
      <c r="M54" s="690">
        <f>+'MATRIZ GENERAL CONSOLIDADA'!U54</f>
        <v>85914383</v>
      </c>
      <c r="N54" s="690">
        <f>+'MATRIZ GENERAL CONSOLIDADA'!W54</f>
        <v>60023172</v>
      </c>
      <c r="O54" s="388">
        <f>+N54/M54*100</f>
        <v>69.863938847119471</v>
      </c>
      <c r="P54" s="388">
        <f>+'[4]MATRIZ GENERAL CONSOLIDADA'!E54</f>
        <v>200609558</v>
      </c>
      <c r="Q54" s="388">
        <f>+'[5]MATRIZ GENERAL CONSOLIDADA'!G54</f>
        <v>174718347</v>
      </c>
      <c r="R54" s="522">
        <f t="shared" si="6"/>
        <v>87.093730100337496</v>
      </c>
      <c r="S54" s="388"/>
    </row>
    <row r="55" spans="1:19" ht="66.75" customHeight="1">
      <c r="A55" s="59"/>
      <c r="B55" s="418" t="s">
        <v>461</v>
      </c>
      <c r="C55" s="419"/>
      <c r="D55" s="419"/>
      <c r="E55" s="664"/>
      <c r="F55" s="670">
        <f>AVERAGE(F56,F64)</f>
        <v>99.666666666666657</v>
      </c>
      <c r="G55" s="420"/>
      <c r="H55" s="420"/>
      <c r="I55" s="524">
        <f>AVERAGE(I56,I69,I80)</f>
        <v>31.083333333333332</v>
      </c>
      <c r="J55" s="524">
        <f>AVERAGE(J56,J69,J80)</f>
        <v>30.433333333333334</v>
      </c>
      <c r="K55" s="393">
        <f>AVERAGE(K56,K64)</f>
        <v>99.77426636568849</v>
      </c>
      <c r="L55" s="422"/>
      <c r="M55" s="422">
        <f>+M56+M64</f>
        <v>3393001759.2880001</v>
      </c>
      <c r="N55" s="422">
        <f>+N56+N64</f>
        <v>1945661059.4919999</v>
      </c>
      <c r="O55" s="422">
        <f>+N55/M55*100</f>
        <v>57.343355457035919</v>
      </c>
      <c r="P55" s="545">
        <f>+P56+P64</f>
        <v>20761453588.176003</v>
      </c>
      <c r="Q55" s="545">
        <f>+Q56+Q64</f>
        <v>19174029793.380001</v>
      </c>
      <c r="R55" s="393">
        <f t="shared" si="6"/>
        <v>92.353985292725042</v>
      </c>
      <c r="S55" s="388"/>
    </row>
    <row r="56" spans="1:19" ht="47.25" customHeight="1">
      <c r="A56" s="59"/>
      <c r="B56" s="342" t="s">
        <v>462</v>
      </c>
      <c r="C56" s="423"/>
      <c r="D56" s="341"/>
      <c r="E56" s="661"/>
      <c r="F56" s="661">
        <f>AVERAGE(F57:F62)</f>
        <v>99.333333333333329</v>
      </c>
      <c r="G56" s="408"/>
      <c r="H56" s="408"/>
      <c r="I56" s="408">
        <f>AVERAGE(I57:I62)</f>
        <v>36.916666666666664</v>
      </c>
      <c r="J56" s="408">
        <f>AVERAGE(J57:J62)</f>
        <v>36.75</v>
      </c>
      <c r="K56" s="538">
        <f>+(J56/I56)*100</f>
        <v>99.54853273137698</v>
      </c>
      <c r="L56" s="340"/>
      <c r="M56" s="340">
        <f>+SUM(M57:M63)</f>
        <v>2843001759.2880001</v>
      </c>
      <c r="N56" s="340">
        <f>+SUM(N57:N63)</f>
        <v>1550724999.4919999</v>
      </c>
      <c r="O56" s="340">
        <f>+N56/M56*100</f>
        <v>54.545340833006115</v>
      </c>
      <c r="P56" s="340">
        <f>SUM(P57:P63)</f>
        <v>18773972582.288002</v>
      </c>
      <c r="Q56" s="661">
        <f>SUM(Q57:Q63)</f>
        <v>17341612727.492001</v>
      </c>
      <c r="R56" s="340">
        <f t="shared" si="6"/>
        <v>92.370502042027397</v>
      </c>
      <c r="S56" s="388"/>
    </row>
    <row r="57" spans="1:19" ht="93.75" customHeight="1">
      <c r="A57" s="59"/>
      <c r="B57" s="396" t="s">
        <v>395</v>
      </c>
      <c r="C57" s="406" t="s">
        <v>1</v>
      </c>
      <c r="D57" s="660">
        <f>+'[3]MATRIZ GENERAL CONSOLIDADA'!T57</f>
        <v>25</v>
      </c>
      <c r="E57" s="660">
        <f>+'MATRIZ GENERAL CONSOLIDADA'!V57</f>
        <v>24</v>
      </c>
      <c r="F57" s="660">
        <f t="shared" ref="F57:F62" si="14">+(E57/D57)*100</f>
        <v>96</v>
      </c>
      <c r="G57" s="592"/>
      <c r="H57" s="388"/>
      <c r="I57" s="398">
        <f>+'MATRIZ GENERAL CONSOLIDADA'!D57</f>
        <v>100</v>
      </c>
      <c r="J57" s="388">
        <f>+'MATRIZ GENERAL CONSOLIDADA'!F57</f>
        <v>99</v>
      </c>
      <c r="K57" s="388">
        <f t="shared" ref="K57:K62" si="15">+(J57/I57)*100</f>
        <v>99</v>
      </c>
      <c r="L57" s="400"/>
      <c r="M57" s="689">
        <f>+'MATRIZ GENERAL CONSOLIDADA'!U57</f>
        <v>349607558.80000001</v>
      </c>
      <c r="N57" s="689">
        <f>+'MATRIZ GENERAL CONSOLIDADA'!W57</f>
        <v>346589043</v>
      </c>
      <c r="O57" s="388">
        <f>+N57/M57*100</f>
        <v>99.136598816581426</v>
      </c>
      <c r="P57" s="388">
        <f>+'[4]MATRIZ GENERAL CONSOLIDADA'!E57</f>
        <v>888909547.79999995</v>
      </c>
      <c r="Q57" s="388">
        <f>+'[5]MATRIZ GENERAL CONSOLIDADA'!G57</f>
        <v>885467060</v>
      </c>
      <c r="R57" s="522">
        <f t="shared" si="6"/>
        <v>99.612729123168947</v>
      </c>
      <c r="S57" s="388"/>
    </row>
    <row r="58" spans="1:19" ht="93.75" customHeight="1">
      <c r="A58" s="59"/>
      <c r="B58" s="405" t="s">
        <v>396</v>
      </c>
      <c r="C58" s="406" t="s">
        <v>1</v>
      </c>
      <c r="D58" s="660">
        <f>+'[3]MATRIZ GENERAL CONSOLIDADA'!T58</f>
        <v>27</v>
      </c>
      <c r="E58" s="660">
        <f>+'MATRIZ GENERAL CONSOLIDADA'!V58</f>
        <v>27</v>
      </c>
      <c r="F58" s="660">
        <f t="shared" si="14"/>
        <v>100</v>
      </c>
      <c r="G58" s="592"/>
      <c r="H58" s="388"/>
      <c r="I58" s="398">
        <f>+'MATRIZ GENERAL CONSOLIDADA'!D58</f>
        <v>100</v>
      </c>
      <c r="J58" s="388">
        <f>+'MATRIZ GENERAL CONSOLIDADA'!F58</f>
        <v>100</v>
      </c>
      <c r="K58" s="388">
        <f t="shared" si="15"/>
        <v>100</v>
      </c>
      <c r="L58" s="400"/>
      <c r="M58" s="689">
        <f>+'MATRIZ GENERAL CONSOLIDADA'!U58</f>
        <v>0</v>
      </c>
      <c r="N58" s="689">
        <f>+'MATRIZ GENERAL CONSOLIDADA'!W58</f>
        <v>0</v>
      </c>
      <c r="O58" s="388">
        <v>0</v>
      </c>
      <c r="P58" s="388">
        <f>+'[4]MATRIZ GENERAL CONSOLIDADA'!E58</f>
        <v>0</v>
      </c>
      <c r="Q58" s="388">
        <f>+'[5]MATRIZ GENERAL CONSOLIDADA'!G58</f>
        <v>0</v>
      </c>
      <c r="R58" s="522">
        <v>0</v>
      </c>
      <c r="S58" s="388"/>
    </row>
    <row r="59" spans="1:19" ht="57.75" customHeight="1">
      <c r="A59" s="59"/>
      <c r="B59" s="428" t="s">
        <v>397</v>
      </c>
      <c r="C59" s="406" t="s">
        <v>490</v>
      </c>
      <c r="D59" s="660">
        <f>+'[3]MATRIZ GENERAL CONSOLIDADA'!T59</f>
        <v>3</v>
      </c>
      <c r="E59" s="660">
        <f>+'MATRIZ GENERAL CONSOLIDADA'!V59</f>
        <v>3</v>
      </c>
      <c r="F59" s="660">
        <f>+(E59/D59)*100</f>
        <v>100</v>
      </c>
      <c r="G59" s="592"/>
      <c r="H59" s="388"/>
      <c r="I59" s="398">
        <f>+'MATRIZ GENERAL CONSOLIDADA'!D59</f>
        <v>11</v>
      </c>
      <c r="J59" s="388">
        <f>+'MATRIZ GENERAL CONSOLIDADA'!F59</f>
        <v>11</v>
      </c>
      <c r="K59" s="388">
        <f t="shared" si="15"/>
        <v>100</v>
      </c>
      <c r="L59" s="400"/>
      <c r="M59" s="689">
        <f>+'MATRIZ GENERAL CONSOLIDADA'!U59</f>
        <v>287247164</v>
      </c>
      <c r="N59" s="689">
        <f>+'MATRIZ GENERAL CONSOLIDADA'!W59</f>
        <v>191524917.44800001</v>
      </c>
      <c r="O59" s="388">
        <f>+N59/M59*100</f>
        <v>66.675999435802964</v>
      </c>
      <c r="P59" s="388">
        <f>+'[4]MATRIZ GENERAL CONSOLIDADA'!E59</f>
        <v>2491671683</v>
      </c>
      <c r="Q59" s="388">
        <f>+'[5]MATRIZ GENERAL CONSOLIDADA'!G59</f>
        <v>2336508615.448</v>
      </c>
      <c r="R59" s="522">
        <f t="shared" si="6"/>
        <v>93.772732233920081</v>
      </c>
      <c r="S59" s="388"/>
    </row>
    <row r="60" spans="1:19" ht="61.5" customHeight="1">
      <c r="A60" s="59"/>
      <c r="B60" s="429" t="s">
        <v>520</v>
      </c>
      <c r="C60" s="406" t="s">
        <v>398</v>
      </c>
      <c r="D60" s="660">
        <f>+'[3]MATRIZ GENERAL CONSOLIDADA'!T60</f>
        <v>1</v>
      </c>
      <c r="E60" s="663">
        <f>+'MATRIZ GENERAL CONSOLIDADA'!V60</f>
        <v>1</v>
      </c>
      <c r="F60" s="660">
        <f>+(E60/D60)*100</f>
        <v>100</v>
      </c>
      <c r="G60" s="592"/>
      <c r="H60" s="388"/>
      <c r="I60" s="398">
        <f>+'MATRIZ GENERAL CONSOLIDADA'!D60</f>
        <v>1</v>
      </c>
      <c r="J60" s="388">
        <f>+'MATRIZ GENERAL CONSOLIDADA'!F60</f>
        <v>1</v>
      </c>
      <c r="K60" s="388">
        <f t="shared" si="15"/>
        <v>100</v>
      </c>
      <c r="L60" s="400"/>
      <c r="M60" s="689">
        <f>+'MATRIZ GENERAL CONSOLIDADA'!U60</f>
        <v>43241900.487999998</v>
      </c>
      <c r="N60" s="689">
        <f>+'MATRIZ GENERAL CONSOLIDADA'!W60</f>
        <v>43241900</v>
      </c>
      <c r="O60" s="388">
        <f>+N60/M60*100</f>
        <v>99.999998871464953</v>
      </c>
      <c r="P60" s="388">
        <f>+'[4]MATRIZ GENERAL CONSOLIDADA'!E60</f>
        <v>160033113.48800001</v>
      </c>
      <c r="Q60" s="388">
        <f>+'[5]MATRIZ GENERAL CONSOLIDADA'!G60</f>
        <v>159704480</v>
      </c>
      <c r="R60" s="522">
        <f t="shared" si="6"/>
        <v>99.794646569802154</v>
      </c>
      <c r="S60" s="388"/>
    </row>
    <row r="61" spans="1:19" ht="56.25" customHeight="1">
      <c r="A61" s="59"/>
      <c r="B61" s="429" t="s">
        <v>399</v>
      </c>
      <c r="C61" s="406" t="s">
        <v>400</v>
      </c>
      <c r="D61" s="660">
        <f>+'[3]MATRIZ GENERAL CONSOLIDADA'!T61</f>
        <v>2</v>
      </c>
      <c r="E61" s="684">
        <f>+'MATRIZ GENERAL CONSOLIDADA'!V61</f>
        <v>2</v>
      </c>
      <c r="F61" s="660">
        <f>+(E61/D61)*100</f>
        <v>100</v>
      </c>
      <c r="G61" s="592"/>
      <c r="H61" s="388"/>
      <c r="I61" s="398">
        <f>+'MATRIZ GENERAL CONSOLIDADA'!D61</f>
        <v>8</v>
      </c>
      <c r="J61" s="388">
        <f>+'MATRIZ GENERAL CONSOLIDADA'!F61</f>
        <v>8</v>
      </c>
      <c r="K61" s="388">
        <f t="shared" si="15"/>
        <v>100</v>
      </c>
      <c r="L61" s="400"/>
      <c r="M61" s="689">
        <f>+'MATRIZ GENERAL CONSOLIDADA'!U61</f>
        <v>0</v>
      </c>
      <c r="N61" s="689">
        <f>+'MATRIZ GENERAL CONSOLIDADA'!W61</f>
        <v>0</v>
      </c>
      <c r="O61" s="388">
        <v>0</v>
      </c>
      <c r="P61" s="388">
        <f>+'[4]MATRIZ GENERAL CONSOLIDADA'!E61</f>
        <v>0</v>
      </c>
      <c r="Q61" s="388">
        <f>+'[5]MATRIZ GENERAL CONSOLIDADA'!G61</f>
        <v>0</v>
      </c>
      <c r="R61" s="522" t="e">
        <f t="shared" si="6"/>
        <v>#DIV/0!</v>
      </c>
      <c r="S61" s="388"/>
    </row>
    <row r="62" spans="1:19" ht="102" customHeight="1">
      <c r="A62" s="59"/>
      <c r="B62" s="425" t="s">
        <v>401</v>
      </c>
      <c r="C62" s="406" t="s">
        <v>400</v>
      </c>
      <c r="D62" s="660">
        <f>+'[3]MATRIZ GENERAL CONSOLIDADA'!T62</f>
        <v>2</v>
      </c>
      <c r="E62" s="660">
        <f>+'MATRIZ GENERAL CONSOLIDADA'!V62</f>
        <v>2</v>
      </c>
      <c r="F62" s="660">
        <f t="shared" si="14"/>
        <v>100</v>
      </c>
      <c r="G62" s="592"/>
      <c r="H62" s="388"/>
      <c r="I62" s="398">
        <f>+'MATRIZ GENERAL CONSOLIDADA'!D62</f>
        <v>1.5</v>
      </c>
      <c r="J62" s="388">
        <f>+'MATRIZ GENERAL CONSOLIDADA'!F62</f>
        <v>1.5</v>
      </c>
      <c r="K62" s="388">
        <f t="shared" si="15"/>
        <v>100</v>
      </c>
      <c r="L62" s="400"/>
      <c r="M62" s="689">
        <f>+'MATRIZ GENERAL CONSOLIDADA'!U62</f>
        <v>2104913572</v>
      </c>
      <c r="N62" s="689">
        <f>+'MATRIZ GENERAL CONSOLIDADA'!W62</f>
        <v>924588085.04399991</v>
      </c>
      <c r="O62" s="388">
        <f>+N62/M62*100</f>
        <v>43.925227968647441</v>
      </c>
      <c r="P62" s="388">
        <f>+'[4]MATRIZ GENERAL CONSOLIDADA'!E62</f>
        <v>15122012618</v>
      </c>
      <c r="Q62" s="388">
        <f>+'[5]MATRIZ GENERAL CONSOLIDADA'!G62</f>
        <v>13862827777.044001</v>
      </c>
      <c r="R62" s="522">
        <f t="shared" si="6"/>
        <v>91.673166312153654</v>
      </c>
      <c r="S62" s="388"/>
    </row>
    <row r="63" spans="1:19" ht="56.25" customHeight="1">
      <c r="A63" s="59"/>
      <c r="B63" s="425" t="s">
        <v>515</v>
      </c>
      <c r="C63" s="406" t="str">
        <f>+'MATRIZ GENERAL CONSOLIDADA'!C54</f>
        <v>Global</v>
      </c>
      <c r="D63" s="660" t="s">
        <v>519</v>
      </c>
      <c r="E63" s="660" t="s">
        <v>519</v>
      </c>
      <c r="F63" s="660" t="s">
        <v>519</v>
      </c>
      <c r="G63" s="398"/>
      <c r="H63" s="388"/>
      <c r="I63" s="398">
        <f>+'MATRIZ GENERAL CONSOLIDADA'!D63</f>
        <v>0</v>
      </c>
      <c r="J63" s="388">
        <f>+'MATRIZ GENERAL CONSOLIDADA'!F63</f>
        <v>0</v>
      </c>
      <c r="K63" s="388" t="s">
        <v>519</v>
      </c>
      <c r="L63" s="400"/>
      <c r="M63" s="689">
        <f>+'MATRIZ GENERAL CONSOLIDADA'!U63</f>
        <v>57991564</v>
      </c>
      <c r="N63" s="689">
        <f>+'MATRIZ GENERAL CONSOLIDADA'!W63</f>
        <v>44781054</v>
      </c>
      <c r="O63" s="388">
        <f>+N63/M63*100</f>
        <v>77.219945301009645</v>
      </c>
      <c r="P63" s="388">
        <f>+'[4]MATRIZ GENERAL CONSOLIDADA'!E63</f>
        <v>111345620</v>
      </c>
      <c r="Q63" s="388">
        <f>+'[5]MATRIZ GENERAL CONSOLIDADA'!G63</f>
        <v>97104795</v>
      </c>
      <c r="R63" s="522">
        <f t="shared" si="6"/>
        <v>87.210251287836911</v>
      </c>
      <c r="S63" s="388"/>
    </row>
    <row r="64" spans="1:19" ht="61.5" customHeight="1">
      <c r="A64" s="59"/>
      <c r="B64" s="342" t="s">
        <v>538</v>
      </c>
      <c r="C64" s="341"/>
      <c r="D64" s="341"/>
      <c r="E64" s="661"/>
      <c r="F64" s="661">
        <f>AVERAGE(F65:F68)</f>
        <v>100</v>
      </c>
      <c r="G64" s="540"/>
      <c r="H64" s="540"/>
      <c r="I64" s="408">
        <f>AVERAGE(I65:I68)</f>
        <v>28.5</v>
      </c>
      <c r="J64" s="408">
        <f>AVERAGE(J65:J68)</f>
        <v>28.5</v>
      </c>
      <c r="K64" s="340">
        <f t="shared" ref="K64:K70" si="16">+(J64/I64)*100</f>
        <v>100</v>
      </c>
      <c r="L64" s="340"/>
      <c r="M64" s="340">
        <f>SUM(M65:M68)</f>
        <v>550000000</v>
      </c>
      <c r="N64" s="340">
        <f>SUM(N65:N68)</f>
        <v>394936060</v>
      </c>
      <c r="O64" s="340">
        <f>+N64/M64*100</f>
        <v>71.806556363636361</v>
      </c>
      <c r="P64" s="340">
        <f>SUM(P65:P68)</f>
        <v>1987481005.888</v>
      </c>
      <c r="Q64" s="661">
        <f>SUM(Q65:Q68)</f>
        <v>1832417065.888</v>
      </c>
      <c r="R64" s="661">
        <f t="shared" si="6"/>
        <v>92.197966192350194</v>
      </c>
      <c r="S64" s="388"/>
    </row>
    <row r="65" spans="1:19" ht="54.75" customHeight="1">
      <c r="A65" s="59"/>
      <c r="B65" s="396" t="s">
        <v>402</v>
      </c>
      <c r="C65" s="406" t="s">
        <v>1</v>
      </c>
      <c r="D65" s="660">
        <f>+'[3]MATRIZ GENERAL CONSOLIDADA'!T65</f>
        <v>20</v>
      </c>
      <c r="E65" s="660">
        <f>+'MATRIZ GENERAL CONSOLIDADA'!V65</f>
        <v>20</v>
      </c>
      <c r="F65" s="660">
        <f t="shared" ref="F65:F115" si="17">+(E65/D65)*100</f>
        <v>100</v>
      </c>
      <c r="G65" s="592"/>
      <c r="H65" s="388"/>
      <c r="I65" s="398">
        <f>+'MATRIZ GENERAL CONSOLIDADA'!D65</f>
        <v>100</v>
      </c>
      <c r="J65" s="388">
        <f>+'MATRIZ GENERAL CONSOLIDADA'!F65</f>
        <v>100</v>
      </c>
      <c r="K65" s="388">
        <f t="shared" si="16"/>
        <v>100</v>
      </c>
      <c r="L65" s="400"/>
      <c r="M65" s="689">
        <f>+'MATRIZ GENERAL CONSOLIDADA'!U65</f>
        <v>0</v>
      </c>
      <c r="N65" s="692">
        <f>+'MATRIZ GENERAL CONSOLIDADA'!W65</f>
        <v>0</v>
      </c>
      <c r="O65" s="388">
        <v>0</v>
      </c>
      <c r="P65" s="388">
        <f>+'[4]MATRIZ GENERAL CONSOLIDADA'!E65</f>
        <v>52999999.508000001</v>
      </c>
      <c r="Q65" s="388">
        <f>+'[5]MATRIZ GENERAL CONSOLIDADA'!G65</f>
        <v>52999999.508000001</v>
      </c>
      <c r="R65" s="522">
        <v>0</v>
      </c>
      <c r="S65" s="388"/>
    </row>
    <row r="66" spans="1:19" ht="66" customHeight="1">
      <c r="A66" s="59"/>
      <c r="B66" s="409" t="s">
        <v>404</v>
      </c>
      <c r="C66" s="397" t="s">
        <v>131</v>
      </c>
      <c r="D66" s="660">
        <f>+'[3]MATRIZ GENERAL CONSOLIDADA'!T66</f>
        <v>2</v>
      </c>
      <c r="E66" s="660">
        <f>+'MATRIZ GENERAL CONSOLIDADA'!V66</f>
        <v>2</v>
      </c>
      <c r="F66" s="660">
        <f>+(E66/D66)*100</f>
        <v>100</v>
      </c>
      <c r="G66" s="592"/>
      <c r="H66" s="388"/>
      <c r="I66" s="398">
        <f>+'MATRIZ GENERAL CONSOLIDADA'!D66</f>
        <v>8</v>
      </c>
      <c r="J66" s="388">
        <f>+'MATRIZ GENERAL CONSOLIDADA'!F66</f>
        <v>8</v>
      </c>
      <c r="K66" s="388">
        <f t="shared" si="16"/>
        <v>100</v>
      </c>
      <c r="L66" s="400"/>
      <c r="M66" s="689">
        <f>+'MATRIZ GENERAL CONSOLIDADA'!U66</f>
        <v>150000000</v>
      </c>
      <c r="N66" s="692">
        <f>+'MATRIZ GENERAL CONSOLIDADA'!W66</f>
        <v>99999304</v>
      </c>
      <c r="O66" s="388">
        <v>0</v>
      </c>
      <c r="P66" s="388">
        <f>+'[4]MATRIZ GENERAL CONSOLIDADA'!E66</f>
        <v>419638592.88999999</v>
      </c>
      <c r="Q66" s="388">
        <f>+'[5]MATRIZ GENERAL CONSOLIDADA'!G66</f>
        <v>369637896.88999999</v>
      </c>
      <c r="R66" s="522">
        <f t="shared" si="6"/>
        <v>88.084819450076964</v>
      </c>
      <c r="S66" s="388"/>
    </row>
    <row r="67" spans="1:19" ht="56.25" customHeight="1">
      <c r="A67" s="59"/>
      <c r="B67" s="407" t="s">
        <v>405</v>
      </c>
      <c r="C67" s="406" t="s">
        <v>407</v>
      </c>
      <c r="D67" s="660" t="s">
        <v>519</v>
      </c>
      <c r="E67" s="660">
        <f>+'MATRIZ GENERAL CONSOLIDADA'!V67</f>
        <v>0</v>
      </c>
      <c r="F67" s="660" t="s">
        <v>519</v>
      </c>
      <c r="G67" s="592"/>
      <c r="H67" s="388"/>
      <c r="I67" s="398">
        <f>+'MATRIZ GENERAL CONSOLIDADA'!D67</f>
        <v>2</v>
      </c>
      <c r="J67" s="388">
        <f>+'MATRIZ GENERAL CONSOLIDADA'!F67</f>
        <v>2</v>
      </c>
      <c r="K67" s="388">
        <f>+(J67/I67)*100</f>
        <v>100</v>
      </c>
      <c r="L67" s="400"/>
      <c r="M67" s="689">
        <f>+'MATRIZ GENERAL CONSOLIDADA'!U67</f>
        <v>0</v>
      </c>
      <c r="N67" s="692">
        <f>+'MATRIZ GENERAL CONSOLIDADA'!W67</f>
        <v>0</v>
      </c>
      <c r="O67" s="388">
        <v>0</v>
      </c>
      <c r="P67" s="388">
        <f>+'[4]MATRIZ GENERAL CONSOLIDADA'!E67</f>
        <v>129896750</v>
      </c>
      <c r="Q67" s="388">
        <f>+'[5]MATRIZ GENERAL CONSOLIDADA'!G67</f>
        <v>129896750</v>
      </c>
      <c r="R67" s="522">
        <f t="shared" si="6"/>
        <v>100</v>
      </c>
      <c r="S67" s="388"/>
    </row>
    <row r="68" spans="1:19" ht="80.25" customHeight="1" thickBot="1">
      <c r="A68" s="59"/>
      <c r="B68" s="407" t="s">
        <v>406</v>
      </c>
      <c r="C68" s="406" t="s">
        <v>131</v>
      </c>
      <c r="D68" s="660">
        <f>+'[3]MATRIZ GENERAL CONSOLIDADA'!T68</f>
        <v>1</v>
      </c>
      <c r="E68" s="660">
        <f>+'MATRIZ GENERAL CONSOLIDADA'!V68</f>
        <v>1</v>
      </c>
      <c r="F68" s="660">
        <f t="shared" si="17"/>
        <v>100</v>
      </c>
      <c r="G68" s="592"/>
      <c r="H68" s="388"/>
      <c r="I68" s="398">
        <f>+'MATRIZ GENERAL CONSOLIDADA'!D68</f>
        <v>4</v>
      </c>
      <c r="J68" s="388">
        <f>+'MATRIZ GENERAL CONSOLIDADA'!F68</f>
        <v>4</v>
      </c>
      <c r="K68" s="388">
        <f t="shared" si="16"/>
        <v>100</v>
      </c>
      <c r="L68" s="400"/>
      <c r="M68" s="689">
        <f>+'MATRIZ GENERAL CONSOLIDADA'!U68</f>
        <v>400000000</v>
      </c>
      <c r="N68" s="692">
        <f>+'MATRIZ GENERAL CONSOLIDADA'!W68</f>
        <v>294936756</v>
      </c>
      <c r="O68" s="388">
        <v>0</v>
      </c>
      <c r="P68" s="388">
        <f>+'[4]MATRIZ GENERAL CONSOLIDADA'!E68</f>
        <v>1384945663.49</v>
      </c>
      <c r="Q68" s="388">
        <f>+'[5]MATRIZ GENERAL CONSOLIDADA'!G68</f>
        <v>1279882419.49</v>
      </c>
      <c r="R68" s="522">
        <f t="shared" si="6"/>
        <v>92.413908590807424</v>
      </c>
      <c r="S68" s="388"/>
    </row>
    <row r="69" spans="1:19" ht="51" customHeight="1">
      <c r="A69" s="59"/>
      <c r="B69" s="418" t="s">
        <v>463</v>
      </c>
      <c r="C69" s="419"/>
      <c r="D69" s="419"/>
      <c r="E69" s="662"/>
      <c r="F69" s="662">
        <f>AVERAGE(F70)</f>
        <v>94.86666666666666</v>
      </c>
      <c r="G69" s="420"/>
      <c r="H69" s="420"/>
      <c r="I69" s="420">
        <f>AVERAGE(I70)</f>
        <v>55.333333333333336</v>
      </c>
      <c r="J69" s="420">
        <f>AVERAGE(J70)</f>
        <v>53.55</v>
      </c>
      <c r="K69" s="422">
        <f t="shared" si="16"/>
        <v>96.777108433734924</v>
      </c>
      <c r="L69" s="422"/>
      <c r="M69" s="422">
        <f>+M70</f>
        <v>1768739350.0069082</v>
      </c>
      <c r="N69" s="422">
        <f>+N70</f>
        <v>1549328337.8959999</v>
      </c>
      <c r="O69" s="422">
        <f>+N69/M69*100</f>
        <v>87.595062431892444</v>
      </c>
      <c r="P69" s="422">
        <f>+P70</f>
        <v>9009289535.7549076</v>
      </c>
      <c r="Q69" s="422">
        <f>+Q70</f>
        <v>8789477135.644001</v>
      </c>
      <c r="R69" s="393">
        <f t="shared" si="6"/>
        <v>97.560158331702581</v>
      </c>
      <c r="S69" s="388"/>
    </row>
    <row r="70" spans="1:19" ht="63.75" customHeight="1">
      <c r="A70" s="59"/>
      <c r="B70" s="342" t="s">
        <v>464</v>
      </c>
      <c r="C70" s="423"/>
      <c r="D70" s="340"/>
      <c r="E70" s="661"/>
      <c r="F70" s="661">
        <f>AVERAGE(F71:F85)</f>
        <v>94.86666666666666</v>
      </c>
      <c r="G70" s="540"/>
      <c r="H70" s="540"/>
      <c r="I70" s="408">
        <f>AVERAGE(I71:I85)</f>
        <v>55.333333333333336</v>
      </c>
      <c r="J70" s="408">
        <f>AVERAGE(J71:J85)</f>
        <v>53.55</v>
      </c>
      <c r="K70" s="340">
        <f t="shared" si="16"/>
        <v>96.777108433734924</v>
      </c>
      <c r="L70" s="340"/>
      <c r="M70" s="340">
        <f>SUM(M71:M86)</f>
        <v>1768739350.0069082</v>
      </c>
      <c r="N70" s="340">
        <f>SUM(N71:N86)</f>
        <v>1549328337.8959999</v>
      </c>
      <c r="O70" s="661">
        <f>+N70/M70*100</f>
        <v>87.595062431892444</v>
      </c>
      <c r="P70" s="661">
        <f>SUM(P71:P86)</f>
        <v>9009289535.7549076</v>
      </c>
      <c r="Q70" s="661">
        <f>SUM(Q71:Q86)</f>
        <v>8789477135.644001</v>
      </c>
      <c r="R70" s="661">
        <f t="shared" si="6"/>
        <v>97.560158331702581</v>
      </c>
      <c r="S70" s="388"/>
    </row>
    <row r="71" spans="1:19" ht="93" customHeight="1">
      <c r="A71" s="59"/>
      <c r="B71" s="396" t="s">
        <v>409</v>
      </c>
      <c r="C71" s="406" t="s">
        <v>180</v>
      </c>
      <c r="D71" s="660">
        <f>+'[3]MATRIZ GENERAL CONSOLIDADA'!T71</f>
        <v>100</v>
      </c>
      <c r="E71" s="665">
        <f>+'MATRIZ GENERAL CONSOLIDADA'!V71</f>
        <v>75</v>
      </c>
      <c r="F71" s="660">
        <f>+(E71/D71)*100</f>
        <v>75</v>
      </c>
      <c r="G71" s="592"/>
      <c r="H71" s="388"/>
      <c r="I71" s="398">
        <f>+'MATRIZ GENERAL CONSOLIDADA'!D71</f>
        <v>100</v>
      </c>
      <c r="J71" s="388">
        <f>+'MATRIZ GENERAL CONSOLIDADA'!F71</f>
        <v>93.75</v>
      </c>
      <c r="K71" s="388">
        <f t="shared" ref="K71:K85" si="18">+(J71/I71)*100</f>
        <v>93.75</v>
      </c>
      <c r="L71" s="400"/>
      <c r="M71" s="689">
        <f>+'MATRIZ GENERAL CONSOLIDADA'!U71</f>
        <v>0</v>
      </c>
      <c r="N71" s="692">
        <f>+'MATRIZ GENERAL CONSOLIDADA'!W71</f>
        <v>0</v>
      </c>
      <c r="O71" s="388">
        <v>0</v>
      </c>
      <c r="P71" s="388">
        <f>+'[4]MATRIZ GENERAL CONSOLIDADA'!E71</f>
        <v>0</v>
      </c>
      <c r="Q71" s="388">
        <f>+'[5]MATRIZ GENERAL CONSOLIDADA'!G71</f>
        <v>0</v>
      </c>
      <c r="R71" s="522">
        <v>0</v>
      </c>
      <c r="S71" s="388"/>
    </row>
    <row r="72" spans="1:19" ht="66.75" customHeight="1">
      <c r="A72" s="59"/>
      <c r="B72" s="405" t="s">
        <v>410</v>
      </c>
      <c r="C72" s="406" t="s">
        <v>180</v>
      </c>
      <c r="D72" s="660">
        <f>+'[3]MATRIZ GENERAL CONSOLIDADA'!T72</f>
        <v>100</v>
      </c>
      <c r="E72" s="665">
        <f>+'MATRIZ GENERAL CONSOLIDADA'!V72</f>
        <v>75</v>
      </c>
      <c r="F72" s="660">
        <f t="shared" si="17"/>
        <v>75</v>
      </c>
      <c r="G72" s="592"/>
      <c r="H72" s="388"/>
      <c r="I72" s="398">
        <f>+'MATRIZ GENERAL CONSOLIDADA'!D72</f>
        <v>100</v>
      </c>
      <c r="J72" s="388">
        <f>+'MATRIZ GENERAL CONSOLIDADA'!F72</f>
        <v>93.75</v>
      </c>
      <c r="K72" s="388">
        <f t="shared" si="18"/>
        <v>93.75</v>
      </c>
      <c r="L72" s="400"/>
      <c r="M72" s="689">
        <f>+'MATRIZ GENERAL CONSOLIDADA'!U72</f>
        <v>0</v>
      </c>
      <c r="N72" s="692">
        <f>+'MATRIZ GENERAL CONSOLIDADA'!W72</f>
        <v>0</v>
      </c>
      <c r="O72" s="388">
        <v>0</v>
      </c>
      <c r="P72" s="388">
        <f>+'[4]MATRIZ GENERAL CONSOLIDADA'!E72</f>
        <v>13432564</v>
      </c>
      <c r="Q72" s="388">
        <f>+'[5]MATRIZ GENERAL CONSOLIDADA'!G72</f>
        <v>13432564</v>
      </c>
      <c r="R72" s="522">
        <f t="shared" si="6"/>
        <v>100</v>
      </c>
      <c r="S72" s="388"/>
    </row>
    <row r="73" spans="1:19" ht="111" customHeight="1">
      <c r="A73" s="59"/>
      <c r="B73" s="405" t="s">
        <v>411</v>
      </c>
      <c r="C73" s="406" t="s">
        <v>180</v>
      </c>
      <c r="D73" s="660">
        <f>+'[3]MATRIZ GENERAL CONSOLIDADA'!T73</f>
        <v>100</v>
      </c>
      <c r="E73" s="665">
        <f>+'MATRIZ GENERAL CONSOLIDADA'!V73</f>
        <v>75</v>
      </c>
      <c r="F73" s="660">
        <f t="shared" si="17"/>
        <v>75</v>
      </c>
      <c r="G73" s="592"/>
      <c r="H73" s="388"/>
      <c r="I73" s="398">
        <f>+'MATRIZ GENERAL CONSOLIDADA'!D73</f>
        <v>100</v>
      </c>
      <c r="J73" s="388">
        <f>+'MATRIZ GENERAL CONSOLIDADA'!F73</f>
        <v>93.75</v>
      </c>
      <c r="K73" s="388">
        <f t="shared" si="18"/>
        <v>93.75</v>
      </c>
      <c r="L73" s="400"/>
      <c r="M73" s="689">
        <f>+'MATRIZ GENERAL CONSOLIDADA'!U73</f>
        <v>0</v>
      </c>
      <c r="N73" s="692">
        <f>+'MATRIZ GENERAL CONSOLIDADA'!W73</f>
        <v>0</v>
      </c>
      <c r="O73" s="388">
        <v>0</v>
      </c>
      <c r="P73" s="388">
        <f>+'[4]MATRIZ GENERAL CONSOLIDADA'!E73</f>
        <v>0</v>
      </c>
      <c r="Q73" s="388">
        <f>+'[5]MATRIZ GENERAL CONSOLIDADA'!G73</f>
        <v>0</v>
      </c>
      <c r="R73" s="522">
        <v>0</v>
      </c>
      <c r="S73" s="388"/>
    </row>
    <row r="74" spans="1:19" ht="83.25" customHeight="1">
      <c r="A74" s="59"/>
      <c r="B74" s="396" t="s">
        <v>412</v>
      </c>
      <c r="C74" s="406" t="s">
        <v>180</v>
      </c>
      <c r="D74" s="660">
        <f>+'[3]MATRIZ GENERAL CONSOLIDADA'!T74</f>
        <v>100</v>
      </c>
      <c r="E74" s="665">
        <f>+'MATRIZ GENERAL CONSOLIDADA'!V74</f>
        <v>98</v>
      </c>
      <c r="F74" s="660">
        <f t="shared" si="17"/>
        <v>98</v>
      </c>
      <c r="G74" s="592"/>
      <c r="H74" s="388"/>
      <c r="I74" s="398">
        <f>+'MATRIZ GENERAL CONSOLIDADA'!D74</f>
        <v>100</v>
      </c>
      <c r="J74" s="388">
        <f>+'MATRIZ GENERAL CONSOLIDADA'!F74</f>
        <v>99.5</v>
      </c>
      <c r="K74" s="388">
        <f t="shared" si="18"/>
        <v>99.5</v>
      </c>
      <c r="L74" s="400"/>
      <c r="M74" s="689">
        <f>+'MATRIZ GENERAL CONSOLIDADA'!U74</f>
        <v>485190748.05570596</v>
      </c>
      <c r="N74" s="692">
        <f>+'MATRIZ GENERAL CONSOLIDADA'!W74</f>
        <v>427151516.5</v>
      </c>
      <c r="O74" s="388">
        <f>+N74/M74*100</f>
        <v>88.037852785057154</v>
      </c>
      <c r="P74" s="388">
        <f>+'[4]MATRIZ GENERAL CONSOLIDADA'!E74</f>
        <v>2378743199.055706</v>
      </c>
      <c r="Q74" s="388">
        <f>+'[5]MATRIZ GENERAL CONSOLIDADA'!G74</f>
        <v>2320703967.5</v>
      </c>
      <c r="R74" s="522">
        <f t="shared" si="6"/>
        <v>97.560088387063132</v>
      </c>
      <c r="S74" s="388"/>
    </row>
    <row r="75" spans="1:19" ht="93.75" customHeight="1">
      <c r="A75" s="59"/>
      <c r="B75" s="396" t="s">
        <v>413</v>
      </c>
      <c r="C75" s="406" t="s">
        <v>491</v>
      </c>
      <c r="D75" s="660">
        <f>+'[3]MATRIZ GENERAL CONSOLIDADA'!T75</f>
        <v>60</v>
      </c>
      <c r="E75" s="665">
        <f>+'MATRIZ GENERAL CONSOLIDADA'!V75</f>
        <v>60</v>
      </c>
      <c r="F75" s="660">
        <f t="shared" si="17"/>
        <v>100</v>
      </c>
      <c r="G75" s="592"/>
      <c r="H75" s="388"/>
      <c r="I75" s="398">
        <f>+'MATRIZ GENERAL CONSOLIDADA'!D75</f>
        <v>60</v>
      </c>
      <c r="J75" s="388">
        <f>+'MATRIZ GENERAL CONSOLIDADA'!F75</f>
        <v>60</v>
      </c>
      <c r="K75" s="388">
        <f t="shared" si="18"/>
        <v>100</v>
      </c>
      <c r="L75" s="400"/>
      <c r="M75" s="689">
        <f>+'MATRIZ GENERAL CONSOLIDADA'!U75</f>
        <v>0</v>
      </c>
      <c r="N75" s="692">
        <f>+'MATRIZ GENERAL CONSOLIDADA'!W75</f>
        <v>0</v>
      </c>
      <c r="O75" s="388">
        <v>0</v>
      </c>
      <c r="P75" s="388">
        <f>+'[4]MATRIZ GENERAL CONSOLIDADA'!E75</f>
        <v>0</v>
      </c>
      <c r="Q75" s="388">
        <f>+'[5]MATRIZ GENERAL CONSOLIDADA'!G75</f>
        <v>0</v>
      </c>
      <c r="R75" s="522">
        <v>0</v>
      </c>
      <c r="S75" s="388"/>
    </row>
    <row r="76" spans="1:19" ht="51.75" customHeight="1">
      <c r="A76" s="59"/>
      <c r="B76" s="396" t="s">
        <v>414</v>
      </c>
      <c r="C76" s="406" t="s">
        <v>180</v>
      </c>
      <c r="D76" s="660">
        <f>+'[3]MATRIZ GENERAL CONSOLIDADA'!T76</f>
        <v>35</v>
      </c>
      <c r="E76" s="665">
        <f>+'MATRIZ GENERAL CONSOLIDADA'!V76</f>
        <v>35</v>
      </c>
      <c r="F76" s="660">
        <f t="shared" si="17"/>
        <v>100</v>
      </c>
      <c r="G76" s="593"/>
      <c r="H76" s="388"/>
      <c r="I76" s="398">
        <f>+'MATRIZ GENERAL CONSOLIDADA'!D76</f>
        <v>35</v>
      </c>
      <c r="J76" s="388">
        <f>+'MATRIZ GENERAL CONSOLIDADA'!F76</f>
        <v>27.5</v>
      </c>
      <c r="K76" s="388">
        <f>+(J76/I76)*100</f>
        <v>78.571428571428569</v>
      </c>
      <c r="L76" s="56"/>
      <c r="M76" s="689">
        <f>+'MATRIZ GENERAL CONSOLIDADA'!U76</f>
        <v>147879388.7912021</v>
      </c>
      <c r="N76" s="692">
        <f>+'MATRIZ GENERAL CONSOLIDADA'!W76</f>
        <v>82595140.30399999</v>
      </c>
      <c r="O76" s="388">
        <v>0</v>
      </c>
      <c r="P76" s="388">
        <f>+'[4]MATRIZ GENERAL CONSOLIDADA'!E76</f>
        <v>445191433.79120207</v>
      </c>
      <c r="Q76" s="388">
        <f>+'[5]MATRIZ GENERAL CONSOLIDADA'!G76</f>
        <v>379907185.30400002</v>
      </c>
      <c r="R76" s="522">
        <v>0</v>
      </c>
      <c r="S76" s="388"/>
    </row>
    <row r="77" spans="1:19" ht="56.25" customHeight="1">
      <c r="A77" s="59"/>
      <c r="B77" s="401" t="s">
        <v>415</v>
      </c>
      <c r="C77" s="406" t="s">
        <v>180</v>
      </c>
      <c r="D77" s="660">
        <f>+'[3]MATRIZ GENERAL CONSOLIDADA'!T77</f>
        <v>100</v>
      </c>
      <c r="E77" s="665">
        <f>+'MATRIZ GENERAL CONSOLIDADA'!V77</f>
        <v>100</v>
      </c>
      <c r="F77" s="660">
        <f t="shared" si="17"/>
        <v>100</v>
      </c>
      <c r="G77" s="592"/>
      <c r="H77" s="388"/>
      <c r="I77" s="398">
        <f>+'MATRIZ GENERAL CONSOLIDADA'!D77</f>
        <v>100</v>
      </c>
      <c r="J77" s="388">
        <f>+'MATRIZ GENERAL CONSOLIDADA'!F77</f>
        <v>100</v>
      </c>
      <c r="K77" s="388">
        <f t="shared" si="18"/>
        <v>100</v>
      </c>
      <c r="L77" s="400"/>
      <c r="M77" s="689">
        <f>+'MATRIZ GENERAL CONSOLIDADA'!U77</f>
        <v>49447000.119999997</v>
      </c>
      <c r="N77" s="692">
        <f>+'MATRIZ GENERAL CONSOLIDADA'!W77</f>
        <v>36545600</v>
      </c>
      <c r="O77" s="388">
        <f>+N77/M77*100</f>
        <v>73.908629262259879</v>
      </c>
      <c r="P77" s="388">
        <f>+'[4]MATRIZ GENERAL CONSOLIDADA'!E77</f>
        <v>267780424.62</v>
      </c>
      <c r="Q77" s="388">
        <f>+'[5]MATRIZ GENERAL CONSOLIDADA'!G77</f>
        <v>254879024.5</v>
      </c>
      <c r="R77" s="522">
        <f t="shared" si="6"/>
        <v>95.182097370146451</v>
      </c>
      <c r="S77" s="388"/>
    </row>
    <row r="78" spans="1:19" ht="120.75" customHeight="1">
      <c r="A78" s="59"/>
      <c r="B78" s="411" t="s">
        <v>416</v>
      </c>
      <c r="C78" s="406" t="s">
        <v>182</v>
      </c>
      <c r="D78" s="660">
        <f>+'[3]MATRIZ GENERAL CONSOLIDADA'!T78</f>
        <v>1</v>
      </c>
      <c r="E78" s="717">
        <f>+'MATRIZ GENERAL CONSOLIDADA'!V78</f>
        <v>1</v>
      </c>
      <c r="F78" s="660">
        <f t="shared" si="17"/>
        <v>100</v>
      </c>
      <c r="G78" s="592"/>
      <c r="H78" s="388"/>
      <c r="I78" s="398">
        <f>+'MATRIZ GENERAL CONSOLIDADA'!D78</f>
        <v>1</v>
      </c>
      <c r="J78" s="388">
        <f>+'MATRIZ GENERAL CONSOLIDADA'!F78</f>
        <v>1</v>
      </c>
      <c r="K78" s="650">
        <v>75</v>
      </c>
      <c r="L78" s="400"/>
      <c r="M78" s="689">
        <f>+'MATRIZ GENERAL CONSOLIDADA'!U78</f>
        <v>610307386</v>
      </c>
      <c r="N78" s="692">
        <f>+'MATRIZ GENERAL CONSOLIDADA'!W78</f>
        <v>569895312.24399996</v>
      </c>
      <c r="O78" s="388">
        <f>+N78/M78*100</f>
        <v>93.378406572978946</v>
      </c>
      <c r="P78" s="388">
        <f>+'[4]MATRIZ GENERAL CONSOLIDADA'!E78</f>
        <v>3740683715.7480001</v>
      </c>
      <c r="Q78" s="388">
        <f>+'[5]MATRIZ GENERAL CONSOLIDADA'!G78</f>
        <v>3699870253.9920001</v>
      </c>
      <c r="R78" s="522">
        <f t="shared" si="6"/>
        <v>98.908930429371011</v>
      </c>
      <c r="S78" s="388"/>
    </row>
    <row r="79" spans="1:19" ht="52.5" customHeight="1">
      <c r="A79" s="59"/>
      <c r="B79" s="411" t="s">
        <v>417</v>
      </c>
      <c r="C79" s="406" t="s">
        <v>418</v>
      </c>
      <c r="D79" s="660">
        <f>+'[3]MATRIZ GENERAL CONSOLIDADA'!T79</f>
        <v>1</v>
      </c>
      <c r="E79" s="717">
        <f>+'MATRIZ GENERAL CONSOLIDADA'!V79</f>
        <v>1</v>
      </c>
      <c r="F79" s="660">
        <f t="shared" si="17"/>
        <v>100</v>
      </c>
      <c r="G79" s="592"/>
      <c r="H79" s="388"/>
      <c r="I79" s="398">
        <f>+'MATRIZ GENERAL CONSOLIDADA'!D79</f>
        <v>4</v>
      </c>
      <c r="J79" s="388">
        <f>+'MATRIZ GENERAL CONSOLIDADA'!F79</f>
        <v>4</v>
      </c>
      <c r="K79" s="388">
        <f>+(J79/I79)*100</f>
        <v>100</v>
      </c>
      <c r="L79" s="400"/>
      <c r="M79" s="689">
        <f>+'MATRIZ GENERAL CONSOLIDADA'!U79</f>
        <v>10432858.439999999</v>
      </c>
      <c r="N79" s="692">
        <f>+'MATRIZ GENERAL CONSOLIDADA'!W79</f>
        <v>10432858</v>
      </c>
      <c r="O79" s="388">
        <v>0</v>
      </c>
      <c r="P79" s="388">
        <f>+'[4]MATRIZ GENERAL CONSOLIDADA'!E79</f>
        <v>273481512.44</v>
      </c>
      <c r="Q79" s="388">
        <f>+'[5]MATRIZ GENERAL CONSOLIDADA'!G79</f>
        <v>273481512</v>
      </c>
      <c r="R79" s="522">
        <f t="shared" si="6"/>
        <v>99.999999839111609</v>
      </c>
      <c r="S79" s="388"/>
    </row>
    <row r="80" spans="1:19" ht="38.25" customHeight="1">
      <c r="A80" s="59"/>
      <c r="B80" s="425" t="s">
        <v>419</v>
      </c>
      <c r="C80" s="406" t="s">
        <v>182</v>
      </c>
      <c r="D80" s="660">
        <f>+'[3]MATRIZ GENERAL CONSOLIDADA'!T80</f>
        <v>1</v>
      </c>
      <c r="E80" s="717">
        <f>+'MATRIZ GENERAL CONSOLIDADA'!V80</f>
        <v>1</v>
      </c>
      <c r="F80" s="660">
        <f t="shared" si="17"/>
        <v>100</v>
      </c>
      <c r="G80" s="592"/>
      <c r="H80" s="388"/>
      <c r="I80" s="398">
        <f>+'MATRIZ GENERAL CONSOLIDADA'!D80</f>
        <v>1</v>
      </c>
      <c r="J80" s="388">
        <f>+'MATRIZ GENERAL CONSOLIDADA'!F80</f>
        <v>1</v>
      </c>
      <c r="K80" s="388">
        <f>+(J80/I80)*100</f>
        <v>100</v>
      </c>
      <c r="L80" s="400"/>
      <c r="M80" s="689">
        <f>+'MATRIZ GENERAL CONSOLIDADA'!U80</f>
        <v>16522687.439999999</v>
      </c>
      <c r="N80" s="692">
        <f>+'MATRIZ GENERAL CONSOLIDADA'!W80</f>
        <v>16522687.300000001</v>
      </c>
      <c r="O80" s="388">
        <f>+N80/M80*100</f>
        <v>99.999999152680218</v>
      </c>
      <c r="P80" s="388">
        <f>+'[4]MATRIZ GENERAL CONSOLIDADA'!E80</f>
        <v>80995909.439999998</v>
      </c>
      <c r="Q80" s="388">
        <f>+'[5]MATRIZ GENERAL CONSOLIDADA'!G80</f>
        <v>80995909.299999997</v>
      </c>
      <c r="R80" s="522">
        <f t="shared" si="6"/>
        <v>99.999999827151768</v>
      </c>
      <c r="S80" s="388"/>
    </row>
    <row r="81" spans="1:19" ht="96" customHeight="1">
      <c r="A81" s="59"/>
      <c r="B81" s="411" t="s">
        <v>420</v>
      </c>
      <c r="C81" s="406" t="s">
        <v>192</v>
      </c>
      <c r="D81" s="660">
        <f>+'[3]MATRIZ GENERAL CONSOLIDADA'!T81</f>
        <v>1</v>
      </c>
      <c r="E81" s="717">
        <f>+'MATRIZ GENERAL CONSOLIDADA'!V81</f>
        <v>1</v>
      </c>
      <c r="F81" s="660">
        <f t="shared" si="17"/>
        <v>100</v>
      </c>
      <c r="G81" s="592"/>
      <c r="H81" s="388"/>
      <c r="I81" s="398">
        <f>+'MATRIZ GENERAL CONSOLIDADA'!D81</f>
        <v>1</v>
      </c>
      <c r="J81" s="388">
        <f>+'MATRIZ GENERAL CONSOLIDADA'!F81</f>
        <v>1</v>
      </c>
      <c r="K81" s="388">
        <f>+(J81/I81)*100</f>
        <v>100</v>
      </c>
      <c r="L81" s="400"/>
      <c r="M81" s="689">
        <f>+'MATRIZ GENERAL CONSOLIDADA'!U81</f>
        <v>176979642</v>
      </c>
      <c r="N81" s="692">
        <f>+'MATRIZ GENERAL CONSOLIDADA'!W81</f>
        <v>151273643</v>
      </c>
      <c r="O81" s="388">
        <f>+N81/M81*100</f>
        <v>85.475166121084143</v>
      </c>
      <c r="P81" s="388">
        <f>+'[4]MATRIZ GENERAL CONSOLIDADA'!E81</f>
        <v>828294580.5</v>
      </c>
      <c r="Q81" s="388">
        <f>+'[5]MATRIZ GENERAL CONSOLIDADA'!G81</f>
        <v>802588581.5</v>
      </c>
      <c r="R81" s="522">
        <f t="shared" si="6"/>
        <v>96.896514886710648</v>
      </c>
      <c r="S81" s="388"/>
    </row>
    <row r="82" spans="1:19" ht="117" customHeight="1">
      <c r="A82" s="59"/>
      <c r="B82" s="425" t="s">
        <v>421</v>
      </c>
      <c r="C82" s="406" t="s">
        <v>1</v>
      </c>
      <c r="D82" s="660">
        <f>+'[3]MATRIZ GENERAL CONSOLIDADA'!T82</f>
        <v>100</v>
      </c>
      <c r="E82" s="665">
        <f>+'MATRIZ GENERAL CONSOLIDADA'!V82</f>
        <v>100</v>
      </c>
      <c r="F82" s="660">
        <f t="shared" si="17"/>
        <v>100</v>
      </c>
      <c r="G82" s="592"/>
      <c r="H82" s="388"/>
      <c r="I82" s="398">
        <f>+'MATRIZ GENERAL CONSOLIDADA'!D82</f>
        <v>100</v>
      </c>
      <c r="J82" s="388">
        <f>+'MATRIZ GENERAL CONSOLIDADA'!F82</f>
        <v>100</v>
      </c>
      <c r="K82" s="388">
        <f t="shared" si="18"/>
        <v>100</v>
      </c>
      <c r="L82" s="400"/>
      <c r="M82" s="689">
        <f>+'MATRIZ GENERAL CONSOLIDADA'!U82</f>
        <v>7429600</v>
      </c>
      <c r="N82" s="692">
        <f>+'MATRIZ GENERAL CONSOLIDADA'!W82</f>
        <v>7429600</v>
      </c>
      <c r="O82" s="388">
        <f>+N82/M82*100</f>
        <v>100</v>
      </c>
      <c r="P82" s="388">
        <f>+'[4]MATRIZ GENERAL CONSOLIDADA'!E82</f>
        <v>36417200</v>
      </c>
      <c r="Q82" s="388">
        <f>+'[5]MATRIZ GENERAL CONSOLIDADA'!G82</f>
        <v>36417200</v>
      </c>
      <c r="R82" s="522">
        <f t="shared" si="6"/>
        <v>100</v>
      </c>
      <c r="S82" s="388"/>
    </row>
    <row r="83" spans="1:19" ht="60" customHeight="1">
      <c r="A83" s="59"/>
      <c r="B83" s="425" t="s">
        <v>422</v>
      </c>
      <c r="C83" s="406" t="s">
        <v>181</v>
      </c>
      <c r="D83" s="660">
        <f>+'[3]MATRIZ GENERAL CONSOLIDADA'!T83</f>
        <v>37</v>
      </c>
      <c r="E83" s="665">
        <f>+'MATRIZ GENERAL CONSOLIDADA'!V83</f>
        <v>37</v>
      </c>
      <c r="F83" s="660">
        <f t="shared" si="17"/>
        <v>100</v>
      </c>
      <c r="G83" s="592"/>
      <c r="H83" s="388"/>
      <c r="I83" s="398">
        <f>+'MATRIZ GENERAL CONSOLIDADA'!D83</f>
        <v>37</v>
      </c>
      <c r="J83" s="388">
        <f>+'MATRIZ GENERAL CONSOLIDADA'!F83</f>
        <v>37</v>
      </c>
      <c r="K83" s="388">
        <f t="shared" si="18"/>
        <v>100</v>
      </c>
      <c r="L83" s="400"/>
      <c r="M83" s="388">
        <f>+'MATRIZ GENERAL CONSOLIDADA'!U83</f>
        <v>7429600</v>
      </c>
      <c r="N83" s="660">
        <f>+'MATRIZ GENERAL CONSOLIDADA'!W83</f>
        <v>7429600</v>
      </c>
      <c r="O83" s="388">
        <f>+N83/M83*100</f>
        <v>100</v>
      </c>
      <c r="P83" s="388">
        <f>+'[4]MATRIZ GENERAL CONSOLIDADA'!E83</f>
        <v>36947200</v>
      </c>
      <c r="Q83" s="388">
        <f>+'[5]MATRIZ GENERAL CONSOLIDADA'!G83</f>
        <v>36947200</v>
      </c>
      <c r="R83" s="522">
        <f t="shared" si="6"/>
        <v>100</v>
      </c>
      <c r="S83" s="388"/>
    </row>
    <row r="84" spans="1:19" ht="60" customHeight="1">
      <c r="A84" s="59"/>
      <c r="B84" s="425" t="s">
        <v>0</v>
      </c>
      <c r="C84" s="430" t="s">
        <v>423</v>
      </c>
      <c r="D84" s="660">
        <f>+'[3]MATRIZ GENERAL CONSOLIDADA'!T84</f>
        <v>1</v>
      </c>
      <c r="E84" s="717">
        <f>+'MATRIZ GENERAL CONSOLIDADA'!V84</f>
        <v>1</v>
      </c>
      <c r="F84" s="660">
        <f t="shared" si="17"/>
        <v>100</v>
      </c>
      <c r="G84" s="592"/>
      <c r="H84" s="388"/>
      <c r="I84" s="398">
        <f>+'MATRIZ GENERAL CONSOLIDADA'!D84</f>
        <v>1</v>
      </c>
      <c r="J84" s="388">
        <f>+'MATRIZ GENERAL CONSOLIDADA'!F84</f>
        <v>1</v>
      </c>
      <c r="K84" s="388">
        <f t="shared" si="18"/>
        <v>100</v>
      </c>
      <c r="L84" s="400"/>
      <c r="M84" s="388">
        <f>+'MATRIZ GENERAL CONSOLIDADA'!U84</f>
        <v>154895170.16000003</v>
      </c>
      <c r="N84" s="660">
        <f>+'MATRIZ GENERAL CONSOLIDADA'!W84</f>
        <v>154895112</v>
      </c>
      <c r="O84" s="388">
        <f>+N84/M84*100</f>
        <v>99.999962452024832</v>
      </c>
      <c r="P84" s="388">
        <f>+'[4]MATRIZ GENERAL CONSOLIDADA'!E84</f>
        <v>581465855.16000009</v>
      </c>
      <c r="Q84" s="388">
        <f>+'[5]MATRIZ GENERAL CONSOLIDADA'!G84</f>
        <v>581465797</v>
      </c>
      <c r="R84" s="522">
        <f t="shared" si="6"/>
        <v>99.999989997692978</v>
      </c>
      <c r="S84" s="388"/>
    </row>
    <row r="85" spans="1:19" ht="30">
      <c r="A85" s="59"/>
      <c r="B85" s="425" t="s">
        <v>424</v>
      </c>
      <c r="C85" s="406" t="s">
        <v>1</v>
      </c>
      <c r="D85" s="660">
        <f>+'[3]MATRIZ GENERAL CONSOLIDADA'!T85</f>
        <v>90</v>
      </c>
      <c r="E85" s="665">
        <f>+'MATRIZ GENERAL CONSOLIDADA'!V85</f>
        <v>90</v>
      </c>
      <c r="F85" s="660">
        <f t="shared" si="17"/>
        <v>100</v>
      </c>
      <c r="G85" s="592"/>
      <c r="H85" s="388"/>
      <c r="I85" s="398">
        <f>+'MATRIZ GENERAL CONSOLIDADA'!D85</f>
        <v>90</v>
      </c>
      <c r="J85" s="388">
        <f>+'MATRIZ GENERAL CONSOLIDADA'!F85</f>
        <v>90</v>
      </c>
      <c r="K85" s="388">
        <f t="shared" si="18"/>
        <v>100</v>
      </c>
      <c r="L85" s="400"/>
      <c r="M85" s="388">
        <f>+'MATRIZ GENERAL CONSOLIDADA'!U85</f>
        <v>37148000</v>
      </c>
      <c r="N85" s="660">
        <f>+'MATRIZ GENERAL CONSOLIDADA'!W85</f>
        <v>37148000</v>
      </c>
      <c r="O85" s="388">
        <f t="shared" ref="O85:O86" si="19">+N85/M85*100</f>
        <v>100</v>
      </c>
      <c r="P85" s="388">
        <f>+'[4]MATRIZ GENERAL CONSOLIDADA'!E85</f>
        <v>136928800</v>
      </c>
      <c r="Q85" s="388">
        <f>+'[5]MATRIZ GENERAL CONSOLIDADA'!G85</f>
        <v>136928800</v>
      </c>
      <c r="R85" s="522">
        <f t="shared" ref="R85:R117" si="20">+(Q85/P85)*100</f>
        <v>100</v>
      </c>
      <c r="S85" s="388"/>
    </row>
    <row r="86" spans="1:19" ht="105.75" customHeight="1" thickBot="1">
      <c r="A86" s="59"/>
      <c r="B86" s="425" t="s">
        <v>515</v>
      </c>
      <c r="C86" s="406" t="str">
        <f>+'MATRIZ GENERAL CONSOLIDADA'!C86</f>
        <v>Global</v>
      </c>
      <c r="D86" s="660" t="s">
        <v>519</v>
      </c>
      <c r="E86" s="665" t="s">
        <v>519</v>
      </c>
      <c r="F86" s="660" t="s">
        <v>519</v>
      </c>
      <c r="G86" s="592"/>
      <c r="H86" s="388"/>
      <c r="I86" s="398" t="s">
        <v>519</v>
      </c>
      <c r="J86" s="388" t="s">
        <v>519</v>
      </c>
      <c r="K86" s="388" t="s">
        <v>519</v>
      </c>
      <c r="L86" s="400"/>
      <c r="M86" s="388">
        <f>+'MATRIZ GENERAL CONSOLIDADA'!U86</f>
        <v>65077269</v>
      </c>
      <c r="N86" s="660">
        <f>+'MATRIZ GENERAL CONSOLIDADA'!W86</f>
        <v>48009268.548</v>
      </c>
      <c r="O86" s="388">
        <f t="shared" si="19"/>
        <v>73.772715551416269</v>
      </c>
      <c r="P86" s="388">
        <f>+'[4]MATRIZ GENERAL CONSOLIDADA'!E86</f>
        <v>188927141</v>
      </c>
      <c r="Q86" s="388">
        <f>+'[5]MATRIZ GENERAL CONSOLIDADA'!G86</f>
        <v>171859140.54800001</v>
      </c>
      <c r="R86" s="522">
        <f t="shared" si="20"/>
        <v>90.965829281246585</v>
      </c>
      <c r="S86" s="388"/>
    </row>
    <row r="87" spans="1:19" ht="64.5" customHeight="1">
      <c r="A87" s="59"/>
      <c r="B87" s="431" t="s">
        <v>425</v>
      </c>
      <c r="C87" s="422"/>
      <c r="D87" s="422"/>
      <c r="E87" s="662"/>
      <c r="F87" s="662">
        <f>AVERAGE(F88,F95)</f>
        <v>100</v>
      </c>
      <c r="G87" s="421"/>
      <c r="H87" s="421"/>
      <c r="I87" s="421">
        <f>AVERAGE(I88,I95)</f>
        <v>49.073750000000004</v>
      </c>
      <c r="J87" s="421">
        <f>AVERAGE(J88,J95)</f>
        <v>49.019359375000001</v>
      </c>
      <c r="K87" s="422">
        <f>+(J87/I87)*100</f>
        <v>99.889165541659224</v>
      </c>
      <c r="L87" s="422"/>
      <c r="M87" s="422">
        <f>+M88+M95</f>
        <v>5623707658.7759991</v>
      </c>
      <c r="N87" s="422">
        <f>+N88+N95</f>
        <v>4558010331.3999996</v>
      </c>
      <c r="O87" s="537">
        <f>+N87/M87*100</f>
        <v>81.049915962239965</v>
      </c>
      <c r="P87" s="545">
        <f>+P88+P95</f>
        <v>12032660133.584</v>
      </c>
      <c r="Q87" s="545">
        <f>+Q88+Q95</f>
        <v>10962180147.208</v>
      </c>
      <c r="R87" s="393">
        <f t="shared" si="20"/>
        <v>91.103546726228771</v>
      </c>
      <c r="S87" s="388"/>
    </row>
    <row r="88" spans="1:19" ht="93.75" customHeight="1">
      <c r="A88" s="59"/>
      <c r="B88" s="395" t="s">
        <v>497</v>
      </c>
      <c r="C88" s="423"/>
      <c r="D88" s="667"/>
      <c r="E88" s="661"/>
      <c r="F88" s="661">
        <f>AVERAGE(F89:F93)</f>
        <v>100</v>
      </c>
      <c r="G88" s="540"/>
      <c r="H88" s="540"/>
      <c r="I88" s="408">
        <f>AVERAGE(I89:I93)</f>
        <v>65.400000000000006</v>
      </c>
      <c r="J88" s="408">
        <f>AVERAGE(J89:J93)</f>
        <v>65.400000000000006</v>
      </c>
      <c r="K88" s="340">
        <f>+(J88/I88)*100</f>
        <v>100</v>
      </c>
      <c r="L88" s="340"/>
      <c r="M88" s="340">
        <f>SUM(M89:M94)</f>
        <v>556250000.39999998</v>
      </c>
      <c r="N88" s="340">
        <f>SUM(N89:N94)</f>
        <v>470594866</v>
      </c>
      <c r="O88" s="340">
        <f>+N88/M88*100</f>
        <v>84.601324163882197</v>
      </c>
      <c r="P88" s="340">
        <f>SUM(P89:P94)</f>
        <v>2205613913.4000001</v>
      </c>
      <c r="Q88" s="340">
        <f>SUM(Q89:Q94)</f>
        <v>2119958779</v>
      </c>
      <c r="R88" s="340">
        <f>+(Q88/P88)*100</f>
        <v>96.116494646700843</v>
      </c>
      <c r="S88" s="41"/>
    </row>
    <row r="89" spans="1:19" ht="107.25" customHeight="1">
      <c r="A89" s="59"/>
      <c r="B89" s="432" t="s">
        <v>426</v>
      </c>
      <c r="C89" s="406" t="s">
        <v>180</v>
      </c>
      <c r="D89" s="660">
        <f>+'[3]MATRIZ GENERAL CONSOLIDADA'!T89</f>
        <v>100</v>
      </c>
      <c r="E89" s="660">
        <f>+'MATRIZ GENERAL CONSOLIDADA'!V89</f>
        <v>100</v>
      </c>
      <c r="F89" s="660">
        <f>+(E89/D89)*100</f>
        <v>100</v>
      </c>
      <c r="G89" s="592"/>
      <c r="H89" s="388"/>
      <c r="I89" s="398">
        <f>+'MATRIZ GENERAL CONSOLIDADA'!D89</f>
        <v>100</v>
      </c>
      <c r="J89" s="388">
        <f>+'MATRIZ GENERAL CONSOLIDADA'!F89</f>
        <v>100</v>
      </c>
      <c r="K89" s="388">
        <f>+(J89/I89)*100</f>
        <v>100</v>
      </c>
      <c r="L89" s="400">
        <v>7.8316829177215525E-2</v>
      </c>
      <c r="M89" s="689">
        <f>+'MATRIZ GENERAL CONSOLIDADA'!U89</f>
        <v>113500000</v>
      </c>
      <c r="N89" s="692">
        <f>+'MATRIZ GENERAL CONSOLIDADA'!W89</f>
        <v>101472092</v>
      </c>
      <c r="O89" s="388">
        <f>+N89/M89*100</f>
        <v>89.402724229074892</v>
      </c>
      <c r="P89" s="388">
        <f>+'[4]MATRIZ GENERAL CONSOLIDADA'!E89</f>
        <v>330522381</v>
      </c>
      <c r="Q89" s="388">
        <f>+'[5]MATRIZ GENERAL CONSOLIDADA'!G89</f>
        <v>318494473</v>
      </c>
      <c r="R89" s="522">
        <f t="shared" si="20"/>
        <v>96.360939926788191</v>
      </c>
      <c r="S89" s="388"/>
    </row>
    <row r="90" spans="1:19" ht="76.5" customHeight="1">
      <c r="A90" s="59"/>
      <c r="B90" s="403" t="s">
        <v>427</v>
      </c>
      <c r="C90" s="406" t="s">
        <v>180</v>
      </c>
      <c r="D90" s="660">
        <f>+'[3]MATRIZ GENERAL CONSOLIDADA'!T90</f>
        <v>100</v>
      </c>
      <c r="E90" s="660">
        <f>+'MATRIZ GENERAL CONSOLIDADA'!V90</f>
        <v>100</v>
      </c>
      <c r="F90" s="660">
        <f t="shared" si="17"/>
        <v>100</v>
      </c>
      <c r="G90" s="592"/>
      <c r="H90" s="388"/>
      <c r="I90" s="398">
        <f>+'MATRIZ GENERAL CONSOLIDADA'!D90</f>
        <v>100</v>
      </c>
      <c r="J90" s="388">
        <f>+'MATRIZ GENERAL CONSOLIDADA'!F90</f>
        <v>100</v>
      </c>
      <c r="K90" s="388">
        <f t="shared" ref="K90:K91" si="21">+(J90/I90)*100</f>
        <v>100</v>
      </c>
      <c r="L90" s="400"/>
      <c r="M90" s="689">
        <f>+'MATRIZ GENERAL CONSOLIDADA'!U90</f>
        <v>37750000</v>
      </c>
      <c r="N90" s="692">
        <f>+'MATRIZ GENERAL CONSOLIDADA'!W90</f>
        <v>23092000</v>
      </c>
      <c r="O90" s="388">
        <f>+N90/M90*100</f>
        <v>61.170860927152319</v>
      </c>
      <c r="P90" s="388">
        <f>+'[4]MATRIZ GENERAL CONSOLIDADA'!E90</f>
        <v>240041874</v>
      </c>
      <c r="Q90" s="388">
        <f>+'[5]MATRIZ GENERAL CONSOLIDADA'!G90</f>
        <v>225383874</v>
      </c>
      <c r="R90" s="522">
        <f t="shared" si="20"/>
        <v>93.893565420173317</v>
      </c>
      <c r="S90" s="388"/>
    </row>
    <row r="91" spans="1:19" ht="76.5" customHeight="1">
      <c r="A91" s="59"/>
      <c r="B91" s="403" t="s">
        <v>428</v>
      </c>
      <c r="C91" s="406" t="s">
        <v>1</v>
      </c>
      <c r="D91" s="660">
        <f>+'[3]MATRIZ GENERAL CONSOLIDADA'!T91</f>
        <v>0</v>
      </c>
      <c r="E91" s="660" t="s">
        <v>519</v>
      </c>
      <c r="F91" s="660" t="s">
        <v>519</v>
      </c>
      <c r="G91" s="592"/>
      <c r="H91" s="388"/>
      <c r="I91" s="398">
        <f>+'MATRIZ GENERAL CONSOLIDADA'!D91</f>
        <v>100</v>
      </c>
      <c r="J91" s="388">
        <f>+'MATRIZ GENERAL CONSOLIDADA'!F91</f>
        <v>100</v>
      </c>
      <c r="K91" s="388">
        <f t="shared" si="21"/>
        <v>100</v>
      </c>
      <c r="L91" s="400"/>
      <c r="M91" s="689">
        <f>+'MATRIZ GENERAL CONSOLIDADA'!U91</f>
        <v>0</v>
      </c>
      <c r="N91" s="692">
        <f>+'MATRIZ GENERAL CONSOLIDADA'!W91</f>
        <v>0</v>
      </c>
      <c r="O91" s="388" t="s">
        <v>519</v>
      </c>
      <c r="P91" s="388">
        <f>+'[4]MATRIZ GENERAL CONSOLIDADA'!E91</f>
        <v>211577339</v>
      </c>
      <c r="Q91" s="388">
        <f>+'[5]MATRIZ GENERAL CONSOLIDADA'!G91</f>
        <v>211577339</v>
      </c>
      <c r="R91" s="522">
        <f t="shared" si="20"/>
        <v>100</v>
      </c>
      <c r="S91" s="388"/>
    </row>
    <row r="92" spans="1:19" ht="87.75" customHeight="1">
      <c r="A92" s="59"/>
      <c r="B92" s="407" t="s">
        <v>429</v>
      </c>
      <c r="C92" s="406" t="s">
        <v>430</v>
      </c>
      <c r="D92" s="660">
        <f>+'[3]MATRIZ GENERAL CONSOLIDADA'!T92</f>
        <v>5</v>
      </c>
      <c r="E92" s="660">
        <f>+'MATRIZ GENERAL CONSOLIDADA'!V92</f>
        <v>5</v>
      </c>
      <c r="F92" s="660">
        <f t="shared" si="17"/>
        <v>100</v>
      </c>
      <c r="G92" s="592"/>
      <c r="H92" s="388"/>
      <c r="I92" s="398">
        <f>+'MATRIZ GENERAL CONSOLIDADA'!D92</f>
        <v>26</v>
      </c>
      <c r="J92" s="388">
        <f>+'MATRIZ GENERAL CONSOLIDADA'!F92</f>
        <v>26</v>
      </c>
      <c r="K92" s="388">
        <f>+(J92/I92)*100</f>
        <v>100</v>
      </c>
      <c r="L92" s="400"/>
      <c r="M92" s="689">
        <f>+'MATRIZ GENERAL CONSOLIDADA'!U92</f>
        <v>375000000</v>
      </c>
      <c r="N92" s="692">
        <f>+'MATRIZ GENERAL CONSOLIDADA'!W92</f>
        <v>319016871</v>
      </c>
      <c r="O92" s="388">
        <f>+N92/M92*100</f>
        <v>85.0711656</v>
      </c>
      <c r="P92" s="388">
        <f>+'[4]MATRIZ GENERAL CONSOLIDADA'!E92</f>
        <v>1248906434</v>
      </c>
      <c r="Q92" s="388">
        <f>+'[5]MATRIZ GENERAL CONSOLIDADA'!G92</f>
        <v>1192923305</v>
      </c>
      <c r="R92" s="522">
        <f t="shared" si="20"/>
        <v>95.517428089412832</v>
      </c>
      <c r="S92" s="388"/>
    </row>
    <row r="93" spans="1:19" ht="76.5" customHeight="1">
      <c r="A93" s="59"/>
      <c r="B93" s="429" t="s">
        <v>431</v>
      </c>
      <c r="C93" s="406" t="s">
        <v>511</v>
      </c>
      <c r="D93" s="660">
        <f>+'[3]MATRIZ GENERAL CONSOLIDADA'!T93</f>
        <v>0</v>
      </c>
      <c r="E93" s="660" t="s">
        <v>519</v>
      </c>
      <c r="F93" s="660" t="s">
        <v>519</v>
      </c>
      <c r="G93" s="592"/>
      <c r="H93" s="388"/>
      <c r="I93" s="398">
        <f>+'MATRIZ GENERAL CONSOLIDADA'!D93</f>
        <v>1</v>
      </c>
      <c r="J93" s="388">
        <f>+'MATRIZ GENERAL CONSOLIDADA'!F93</f>
        <v>1</v>
      </c>
      <c r="K93" s="388">
        <f>+(J93/I93)*100</f>
        <v>100</v>
      </c>
      <c r="L93" s="400"/>
      <c r="M93" s="689">
        <f>+'MATRIZ GENERAL CONSOLIDADA'!U93</f>
        <v>0</v>
      </c>
      <c r="N93" s="692">
        <f>+'MATRIZ GENERAL CONSOLIDADA'!W93</f>
        <v>0</v>
      </c>
      <c r="O93" s="388" t="s">
        <v>519</v>
      </c>
      <c r="P93" s="388">
        <f>+'[4]MATRIZ GENERAL CONSOLIDADA'!E93</f>
        <v>50000000</v>
      </c>
      <c r="Q93" s="388">
        <f>+'[5]MATRIZ GENERAL CONSOLIDADA'!G93</f>
        <v>50000000</v>
      </c>
      <c r="R93" s="522">
        <f t="shared" si="20"/>
        <v>100</v>
      </c>
      <c r="S93" s="388"/>
    </row>
    <row r="94" spans="1:19" ht="76.5" customHeight="1">
      <c r="A94" s="59"/>
      <c r="B94" s="425" t="s">
        <v>515</v>
      </c>
      <c r="C94" s="406" t="str">
        <f>+'MATRIZ GENERAL CONSOLIDADA'!C94</f>
        <v>Global</v>
      </c>
      <c r="D94" s="660" t="s">
        <v>519</v>
      </c>
      <c r="E94" s="660" t="s">
        <v>519</v>
      </c>
      <c r="F94" s="660" t="s">
        <v>519</v>
      </c>
      <c r="G94" s="592"/>
      <c r="H94" s="388"/>
      <c r="I94" s="398" t="s">
        <v>519</v>
      </c>
      <c r="J94" s="388" t="s">
        <v>519</v>
      </c>
      <c r="K94" s="388" t="s">
        <v>519</v>
      </c>
      <c r="L94" s="400"/>
      <c r="M94" s="689">
        <f>+'MATRIZ GENERAL CONSOLIDADA'!U94</f>
        <v>30000000.399999999</v>
      </c>
      <c r="N94" s="692">
        <f>+'MATRIZ GENERAL CONSOLIDADA'!W94</f>
        <v>27013903</v>
      </c>
      <c r="O94" s="388">
        <f>+N94/M94*100</f>
        <v>90.046342132715438</v>
      </c>
      <c r="P94" s="388">
        <f>+'[4]MATRIZ GENERAL CONSOLIDADA'!E94</f>
        <v>124565885.40000001</v>
      </c>
      <c r="Q94" s="388">
        <f>+'[5]MATRIZ GENERAL CONSOLIDADA'!G94</f>
        <v>121579788</v>
      </c>
      <c r="R94" s="522">
        <f t="shared" si="20"/>
        <v>97.602796792708375</v>
      </c>
      <c r="S94" s="388"/>
    </row>
    <row r="95" spans="1:19" ht="79.5" customHeight="1">
      <c r="A95" s="59"/>
      <c r="B95" s="433" t="s">
        <v>518</v>
      </c>
      <c r="C95" s="423"/>
      <c r="D95" s="667"/>
      <c r="E95" s="661"/>
      <c r="F95" s="661">
        <f>AVERAGE(F96:F99)</f>
        <v>100</v>
      </c>
      <c r="G95" s="540"/>
      <c r="H95" s="408"/>
      <c r="I95" s="525">
        <f>AVERAGE(I96:I100)</f>
        <v>32.747500000000002</v>
      </c>
      <c r="J95" s="525">
        <f>AVERAGE(J96:J100)</f>
        <v>32.638718749999995</v>
      </c>
      <c r="K95" s="340">
        <f>AVERAGE(K96:K99)</f>
        <v>100</v>
      </c>
      <c r="L95" s="340"/>
      <c r="M95" s="340">
        <f>SUM(M96:M99)</f>
        <v>5067457658.3759995</v>
      </c>
      <c r="N95" s="340">
        <f>SUM(N96:N99)</f>
        <v>4087415465.4000001</v>
      </c>
      <c r="O95" s="340">
        <f>+N95/M95*100</f>
        <v>80.660081266666566</v>
      </c>
      <c r="P95" s="340">
        <f>SUM(P96:P99)</f>
        <v>9827046220.184</v>
      </c>
      <c r="Q95" s="661">
        <f>SUM(Q96:Q99)</f>
        <v>8842221368.2080002</v>
      </c>
      <c r="R95" s="661">
        <f t="shared" si="20"/>
        <v>89.978424544770689</v>
      </c>
      <c r="S95" s="41"/>
    </row>
    <row r="96" spans="1:19" ht="79.5" customHeight="1">
      <c r="A96" s="59"/>
      <c r="B96" s="425" t="s">
        <v>432</v>
      </c>
      <c r="C96" s="406" t="s">
        <v>433</v>
      </c>
      <c r="D96" s="660">
        <f>+'[3]MATRIZ GENERAL CONSOLIDADA'!T96</f>
        <v>1</v>
      </c>
      <c r="E96" s="684">
        <f>+'MATRIZ GENERAL CONSOLIDADA'!V96</f>
        <v>1</v>
      </c>
      <c r="F96" s="660">
        <f t="shared" si="17"/>
        <v>100</v>
      </c>
      <c r="G96" s="592"/>
      <c r="H96" s="388"/>
      <c r="I96" s="398">
        <f>+'MATRIZ GENERAL CONSOLIDADA'!D96</f>
        <v>4</v>
      </c>
      <c r="J96" s="388">
        <f>+'MATRIZ GENERAL CONSOLIDADA'!F96</f>
        <v>4</v>
      </c>
      <c r="K96" s="388">
        <f t="shared" ref="K96:K102" si="22">+(J96/I96)*100</f>
        <v>100</v>
      </c>
      <c r="L96" s="400"/>
      <c r="M96" s="689">
        <f>+'MATRIZ GENERAL CONSOLIDADA'!U96</f>
        <v>0</v>
      </c>
      <c r="N96" s="692">
        <f>+'MATRIZ GENERAL CONSOLIDADA'!W96</f>
        <v>0</v>
      </c>
      <c r="O96" s="388" t="s">
        <v>519</v>
      </c>
      <c r="P96" s="388">
        <f>+'[4]MATRIZ GENERAL CONSOLIDADA'!E96</f>
        <v>2341241156</v>
      </c>
      <c r="Q96" s="388">
        <f>+'[5]MATRIZ GENERAL CONSOLIDADA'!G96</f>
        <v>2341241155</v>
      </c>
      <c r="R96" s="522">
        <f t="shared" si="20"/>
        <v>99.999999957287613</v>
      </c>
      <c r="S96" s="388"/>
    </row>
    <row r="97" spans="1:19" ht="79.5" customHeight="1">
      <c r="A97" s="59"/>
      <c r="B97" s="425" t="s">
        <v>434</v>
      </c>
      <c r="C97" s="406" t="s">
        <v>131</v>
      </c>
      <c r="D97" s="660">
        <f>+'[3]MATRIZ GENERAL CONSOLIDADA'!T97</f>
        <v>1</v>
      </c>
      <c r="E97" s="684">
        <f>+'MATRIZ GENERAL CONSOLIDADA'!V97</f>
        <v>1</v>
      </c>
      <c r="F97" s="660">
        <f t="shared" si="17"/>
        <v>100</v>
      </c>
      <c r="G97" s="592"/>
      <c r="H97" s="388"/>
      <c r="I97" s="398">
        <f>+'MATRIZ GENERAL CONSOLIDADA'!D97</f>
        <v>4</v>
      </c>
      <c r="J97" s="388">
        <f>+'MATRIZ GENERAL CONSOLIDADA'!F97</f>
        <v>4</v>
      </c>
      <c r="K97" s="388">
        <f t="shared" si="22"/>
        <v>100</v>
      </c>
      <c r="L97" s="400"/>
      <c r="M97" s="689">
        <f>+'MATRIZ GENERAL CONSOLIDADA'!U97</f>
        <v>915507226.73080003</v>
      </c>
      <c r="N97" s="692">
        <f>+'MATRIZ GENERAL CONSOLIDADA'!W97</f>
        <v>0</v>
      </c>
      <c r="O97" s="388">
        <f t="shared" ref="O97" si="23">+N97/M97*100</f>
        <v>0</v>
      </c>
      <c r="P97" s="388">
        <f>+'[4]MATRIZ GENERAL CONSOLIDADA'!E97</f>
        <v>1175507226.7308002</v>
      </c>
      <c r="Q97" s="388">
        <f>+'[5]MATRIZ GENERAL CONSOLIDADA'!G97</f>
        <v>260000000</v>
      </c>
      <c r="R97" s="522">
        <f t="shared" si="20"/>
        <v>22.118111576658297</v>
      </c>
      <c r="S97" s="388"/>
    </row>
    <row r="98" spans="1:19" ht="79.5" customHeight="1">
      <c r="A98" s="59"/>
      <c r="B98" s="425" t="s">
        <v>435</v>
      </c>
      <c r="C98" s="406" t="s">
        <v>1</v>
      </c>
      <c r="D98" s="660">
        <f>+'[3]MATRIZ GENERAL CONSOLIDADA'!T98</f>
        <v>100</v>
      </c>
      <c r="E98" s="660">
        <f>+'MATRIZ GENERAL CONSOLIDADA'!V98</f>
        <v>100</v>
      </c>
      <c r="F98" s="660">
        <f t="shared" si="17"/>
        <v>100</v>
      </c>
      <c r="G98" s="592"/>
      <c r="H98" s="388"/>
      <c r="I98" s="398">
        <f>+'MATRIZ GENERAL CONSOLIDADA'!D98</f>
        <v>100</v>
      </c>
      <c r="J98" s="388">
        <f>+'MATRIZ GENERAL CONSOLIDADA'!F98</f>
        <v>100</v>
      </c>
      <c r="K98" s="388">
        <f t="shared" si="22"/>
        <v>100</v>
      </c>
      <c r="L98" s="400"/>
      <c r="M98" s="689">
        <f>+'MATRIZ GENERAL CONSOLIDADA'!U98</f>
        <v>3856950431.2451997</v>
      </c>
      <c r="N98" s="692">
        <f>+'MATRIZ GENERAL CONSOLIDADA'!W98</f>
        <v>3856950431.4000001</v>
      </c>
      <c r="O98" s="388" t="s">
        <v>519</v>
      </c>
      <c r="P98" s="388">
        <f>+'[4]MATRIZ GENERAL CONSOLIDADA'!E98</f>
        <v>5006045766.2451992</v>
      </c>
      <c r="Q98" s="388">
        <f>+'[5]MATRIZ GENERAL CONSOLIDADA'!G98</f>
        <v>5001262040.3999996</v>
      </c>
      <c r="R98" s="522">
        <f t="shared" si="20"/>
        <v>99.904441028536823</v>
      </c>
      <c r="S98" s="388"/>
    </row>
    <row r="99" spans="1:19" ht="79.5" customHeight="1">
      <c r="A99" s="59"/>
      <c r="B99" s="425" t="s">
        <v>436</v>
      </c>
      <c r="C99" s="406" t="s">
        <v>437</v>
      </c>
      <c r="D99" s="660">
        <f>+'[3]MATRIZ GENERAL CONSOLIDADA'!T99</f>
        <v>38</v>
      </c>
      <c r="E99" s="660">
        <f>+'MATRIZ GENERAL CONSOLIDADA'!V99</f>
        <v>38</v>
      </c>
      <c r="F99" s="660">
        <f t="shared" si="17"/>
        <v>100</v>
      </c>
      <c r="G99" s="592"/>
      <c r="H99" s="388"/>
      <c r="I99" s="398">
        <f>+'MATRIZ GENERAL CONSOLIDADA'!D99</f>
        <v>38</v>
      </c>
      <c r="J99" s="388">
        <f>+'MATRIZ GENERAL CONSOLIDADA'!F99</f>
        <v>38</v>
      </c>
      <c r="K99" s="388">
        <f t="shared" si="22"/>
        <v>100</v>
      </c>
      <c r="L99" s="400"/>
      <c r="M99" s="689">
        <f>+'MATRIZ GENERAL CONSOLIDADA'!U99</f>
        <v>295000000.39999998</v>
      </c>
      <c r="N99" s="692">
        <f>+'MATRIZ GENERAL CONSOLIDADA'!W99</f>
        <v>230465034</v>
      </c>
      <c r="O99" s="388">
        <f>+N99/M99*100</f>
        <v>78.123740233052558</v>
      </c>
      <c r="P99" s="388">
        <f>+'[4]MATRIZ GENERAL CONSOLIDADA'!E99</f>
        <v>1304252071.2080002</v>
      </c>
      <c r="Q99" s="388">
        <f>+'[5]MATRIZ GENERAL CONSOLIDADA'!G99</f>
        <v>1239718172.8080001</v>
      </c>
      <c r="R99" s="522">
        <f t="shared" si="20"/>
        <v>95.052037882506198</v>
      </c>
      <c r="S99" s="388"/>
    </row>
    <row r="100" spans="1:19" ht="95.25" customHeight="1">
      <c r="A100" s="59"/>
      <c r="B100" s="418" t="s">
        <v>465</v>
      </c>
      <c r="C100" s="434"/>
      <c r="D100" s="419"/>
      <c r="E100" s="662"/>
      <c r="F100" s="670">
        <f>AVERAGE(F101,F111)</f>
        <v>91</v>
      </c>
      <c r="G100" s="420"/>
      <c r="H100" s="420"/>
      <c r="I100" s="420">
        <f>AVERAGE(I101,I111)</f>
        <v>17.737500000000001</v>
      </c>
      <c r="J100" s="420">
        <f>AVERAGE(J101,J111)</f>
        <v>17.193593749999998</v>
      </c>
      <c r="K100" s="422">
        <f t="shared" si="22"/>
        <v>96.933579985905553</v>
      </c>
      <c r="L100" s="422"/>
      <c r="M100" s="422">
        <f>+M101+M111</f>
        <v>2521724803.8920002</v>
      </c>
      <c r="N100" s="422">
        <f>+N101+N111</f>
        <v>2056624261.9000001</v>
      </c>
      <c r="O100" s="422">
        <f>+(N100/M100)*100</f>
        <v>81.556253034662248</v>
      </c>
      <c r="P100" s="422">
        <f>+P101+P111</f>
        <v>13504442555.012001</v>
      </c>
      <c r="Q100" s="422">
        <f>+Q101+Q111</f>
        <v>12979342013.02</v>
      </c>
      <c r="R100" s="422">
        <f t="shared" si="20"/>
        <v>96.11164592797563</v>
      </c>
      <c r="S100" s="388"/>
    </row>
    <row r="101" spans="1:19" ht="45" customHeight="1">
      <c r="A101" s="59"/>
      <c r="B101" s="342" t="s">
        <v>466</v>
      </c>
      <c r="C101" s="423"/>
      <c r="D101" s="340"/>
      <c r="E101" s="661"/>
      <c r="F101" s="763">
        <f>AVERAGE(F102:F108)</f>
        <v>92</v>
      </c>
      <c r="G101" s="521"/>
      <c r="H101" s="408"/>
      <c r="I101" s="408">
        <f>AVERAGE(I102:I109)</f>
        <v>14.125</v>
      </c>
      <c r="J101" s="408">
        <f>AVERAGE(J102:J109)</f>
        <v>13.4671875</v>
      </c>
      <c r="K101" s="340">
        <f t="shared" si="22"/>
        <v>95.342920353982294</v>
      </c>
      <c r="L101" s="340"/>
      <c r="M101" s="340">
        <f>SUM(M102:M110)</f>
        <v>846724803.79999995</v>
      </c>
      <c r="N101" s="340">
        <f>SUM(N102:N110)</f>
        <v>803934512</v>
      </c>
      <c r="O101" s="538">
        <f>+N101/M101*100</f>
        <v>94.946375539258781</v>
      </c>
      <c r="P101" s="340">
        <f>SUM(P102:P110)</f>
        <v>7062776507.8000002</v>
      </c>
      <c r="Q101" s="340">
        <f>SUM(Q102:Q110)</f>
        <v>6959986216</v>
      </c>
      <c r="R101" s="340">
        <f>+(Q101/P101)*100</f>
        <v>98.544619220408848</v>
      </c>
      <c r="S101" s="388"/>
    </row>
    <row r="102" spans="1:19" ht="75" customHeight="1">
      <c r="A102" s="59"/>
      <c r="B102" s="425" t="s">
        <v>439</v>
      </c>
      <c r="C102" s="406" t="s">
        <v>512</v>
      </c>
      <c r="D102" s="660">
        <f>+'[3]MATRIZ GENERAL CONSOLIDADA'!T102</f>
        <v>1</v>
      </c>
      <c r="E102" s="663">
        <f>+'MATRIZ GENERAL CONSOLIDADA'!V102</f>
        <v>0.95</v>
      </c>
      <c r="F102" s="660">
        <f t="shared" ref="F102:F108" si="24">+(E102/D102)*100</f>
        <v>95</v>
      </c>
      <c r="G102" s="592"/>
      <c r="H102" s="388"/>
      <c r="I102" s="398">
        <f>+'MATRIZ GENERAL CONSOLIDADA'!D102</f>
        <v>1</v>
      </c>
      <c r="J102" s="541">
        <f>+'MATRIZ GENERAL CONSOLIDADA'!F102</f>
        <v>0.98750000000000004</v>
      </c>
      <c r="K102" s="388">
        <f t="shared" si="22"/>
        <v>98.75</v>
      </c>
      <c r="L102" s="400"/>
      <c r="M102" s="689">
        <f>+'MATRIZ GENERAL CONSOLIDADA'!U102</f>
        <v>168830125.40000001</v>
      </c>
      <c r="N102" s="692">
        <f>+'MATRIZ GENERAL CONSOLIDADA'!W102</f>
        <v>165617325</v>
      </c>
      <c r="O102" s="388">
        <f>+N102/M102*100</f>
        <v>98.097021848210971</v>
      </c>
      <c r="P102" s="388">
        <f>+'[4]MATRIZ GENERAL CONSOLIDADA'!E102</f>
        <v>549032596.39999998</v>
      </c>
      <c r="Q102" s="388">
        <f>+'[5]MATRIZ GENERAL CONSOLIDADA'!G102</f>
        <v>545819796</v>
      </c>
      <c r="R102" s="522">
        <f t="shared" si="20"/>
        <v>99.414825199620878</v>
      </c>
      <c r="S102" s="388"/>
    </row>
    <row r="103" spans="1:19" ht="38.25" customHeight="1">
      <c r="A103" s="59"/>
      <c r="B103" s="425" t="s">
        <v>440</v>
      </c>
      <c r="C103" s="406" t="s">
        <v>1</v>
      </c>
      <c r="D103" s="660">
        <f>+'[3]MATRIZ GENERAL CONSOLIDADA'!T103</f>
        <v>100</v>
      </c>
      <c r="E103" s="663">
        <f>+'MATRIZ GENERAL CONSOLIDADA'!V103</f>
        <v>95</v>
      </c>
      <c r="F103" s="663">
        <f t="shared" si="24"/>
        <v>95</v>
      </c>
      <c r="G103" s="592"/>
      <c r="H103" s="388"/>
      <c r="I103" s="398">
        <f>+'MATRIZ GENERAL CONSOLIDADA'!D103</f>
        <v>100</v>
      </c>
      <c r="J103" s="388">
        <f>+'MATRIZ GENERAL CONSOLIDADA'!F103</f>
        <v>95</v>
      </c>
      <c r="K103" s="388">
        <f t="shared" ref="K103:K109" si="25">+(J103/I103)*100</f>
        <v>95</v>
      </c>
      <c r="L103" s="400"/>
      <c r="M103" s="689">
        <f>+'MATRIZ GENERAL CONSOLIDADA'!U103</f>
        <v>515805688</v>
      </c>
      <c r="N103" s="692">
        <f>+'MATRIZ GENERAL CONSOLIDADA'!W103</f>
        <v>510142753</v>
      </c>
      <c r="O103" s="388">
        <f t="shared" ref="O103:O104" si="26">+N103/M103*100</f>
        <v>98.902118543524082</v>
      </c>
      <c r="P103" s="388">
        <f>+'[4]MATRIZ GENERAL CONSOLIDADA'!E103</f>
        <v>2685643574</v>
      </c>
      <c r="Q103" s="388">
        <f>+'[5]MATRIZ GENERAL CONSOLIDADA'!G103</f>
        <v>2679980639</v>
      </c>
      <c r="R103" s="522">
        <f t="shared" si="20"/>
        <v>99.78914048554978</v>
      </c>
      <c r="S103" s="388"/>
    </row>
    <row r="104" spans="1:19" ht="131.25" customHeight="1">
      <c r="A104" s="59"/>
      <c r="B104" s="425" t="s">
        <v>441</v>
      </c>
      <c r="C104" s="406" t="s">
        <v>179</v>
      </c>
      <c r="D104" s="660">
        <f>+'[3]MATRIZ GENERAL CONSOLIDADA'!T104</f>
        <v>1</v>
      </c>
      <c r="E104" s="663">
        <f>+'MATRIZ GENERAL CONSOLIDADA'!V104</f>
        <v>0.8</v>
      </c>
      <c r="F104" s="660">
        <f>+(E104/D104)*100</f>
        <v>80</v>
      </c>
      <c r="G104" s="592"/>
      <c r="H104" s="388"/>
      <c r="I104" s="398">
        <f>+'MATRIZ GENERAL CONSOLIDADA'!D104</f>
        <v>1</v>
      </c>
      <c r="J104" s="541">
        <f>+'MATRIZ GENERAL CONSOLIDADA'!F104</f>
        <v>0.95</v>
      </c>
      <c r="K104" s="388">
        <f t="shared" si="25"/>
        <v>95</v>
      </c>
      <c r="L104" s="400"/>
      <c r="M104" s="689">
        <f>+'MATRIZ GENERAL CONSOLIDADA'!U104</f>
        <v>72269356.400000006</v>
      </c>
      <c r="N104" s="692">
        <f>+'MATRIZ GENERAL CONSOLIDADA'!W104</f>
        <v>46384800</v>
      </c>
      <c r="O104" s="388">
        <f t="shared" si="26"/>
        <v>64.183219985061328</v>
      </c>
      <c r="P104" s="388">
        <f>+'[4]MATRIZ GENERAL CONSOLIDADA'!E104</f>
        <v>270886656.39999998</v>
      </c>
      <c r="Q104" s="388">
        <f>+'[5]MATRIZ GENERAL CONSOLIDADA'!G104</f>
        <v>245002100</v>
      </c>
      <c r="R104" s="522">
        <f t="shared" si="20"/>
        <v>90.444506664153295</v>
      </c>
      <c r="S104" s="388"/>
    </row>
    <row r="105" spans="1:19" ht="78" customHeight="1">
      <c r="A105" s="59"/>
      <c r="B105" s="425" t="s">
        <v>442</v>
      </c>
      <c r="C105" s="406" t="s">
        <v>193</v>
      </c>
      <c r="D105" s="660">
        <f>+'[3]MATRIZ GENERAL CONSOLIDADA'!P105</f>
        <v>0</v>
      </c>
      <c r="E105" s="663">
        <f>+'MATRIZ GENERAL CONSOLIDADA'!V105</f>
        <v>0</v>
      </c>
      <c r="F105" s="660" t="s">
        <v>519</v>
      </c>
      <c r="G105" s="592"/>
      <c r="H105" s="388"/>
      <c r="I105" s="398">
        <f>+'MATRIZ GENERAL CONSOLIDADA'!D105</f>
        <v>1</v>
      </c>
      <c r="J105" s="388">
        <f>+'MATRIZ GENERAL CONSOLIDADA'!F105</f>
        <v>1</v>
      </c>
      <c r="K105" s="388">
        <f t="shared" si="25"/>
        <v>100</v>
      </c>
      <c r="L105" s="400"/>
      <c r="M105" s="689">
        <f>+'MATRIZ GENERAL CONSOLIDADA'!U105</f>
        <v>0</v>
      </c>
      <c r="N105" s="692">
        <f>+'[3]MATRIZ GENERAL CONSOLIDADA'!W105</f>
        <v>0</v>
      </c>
      <c r="O105" s="388" t="s">
        <v>519</v>
      </c>
      <c r="P105" s="388">
        <f>+'[4]MATRIZ GENERAL CONSOLIDADA'!E105</f>
        <v>0</v>
      </c>
      <c r="Q105" s="388">
        <f>+'[5]MATRIZ GENERAL CONSOLIDADA'!G105</f>
        <v>0</v>
      </c>
      <c r="R105" s="522">
        <v>0</v>
      </c>
      <c r="S105" s="388"/>
    </row>
    <row r="106" spans="1:19" ht="101.25" customHeight="1">
      <c r="A106" s="59"/>
      <c r="B106" s="425" t="s">
        <v>443</v>
      </c>
      <c r="C106" s="406" t="s">
        <v>444</v>
      </c>
      <c r="D106" s="660">
        <f>+'[3]MATRIZ GENERAL CONSOLIDADA'!P106</f>
        <v>1</v>
      </c>
      <c r="E106" s="663">
        <f>+'MATRIZ GENERAL CONSOLIDADA'!V106</f>
        <v>0.9</v>
      </c>
      <c r="F106" s="660">
        <f>+(E106/D106)*100</f>
        <v>90</v>
      </c>
      <c r="G106" s="592"/>
      <c r="H106" s="388"/>
      <c r="I106" s="398">
        <f>+'MATRIZ GENERAL CONSOLIDADA'!D106</f>
        <v>4</v>
      </c>
      <c r="J106" s="388">
        <f>+'MATRIZ GENERAL CONSOLIDADA'!F106</f>
        <v>3.8</v>
      </c>
      <c r="K106" s="388">
        <f t="shared" si="25"/>
        <v>95</v>
      </c>
      <c r="L106" s="400"/>
      <c r="M106" s="689">
        <f>+'MATRIZ GENERAL CONSOLIDADA'!U106</f>
        <v>85217780</v>
      </c>
      <c r="N106" s="692">
        <f>+'MATRIZ GENERAL CONSOLIDADA'!W106</f>
        <v>77187780</v>
      </c>
      <c r="O106" s="388" t="s">
        <v>519</v>
      </c>
      <c r="P106" s="388">
        <f>+'[4]MATRIZ GENERAL CONSOLIDADA'!E106</f>
        <v>3367270132</v>
      </c>
      <c r="Q106" s="388">
        <f>+'[5]MATRIZ GENERAL CONSOLIDADA'!G106</f>
        <v>3299240132</v>
      </c>
      <c r="R106" s="522">
        <f t="shared" si="20"/>
        <v>97.979669069211468</v>
      </c>
      <c r="S106" s="388"/>
    </row>
    <row r="107" spans="1:19" ht="42.75" customHeight="1">
      <c r="A107" s="59"/>
      <c r="B107" s="425" t="s">
        <v>445</v>
      </c>
      <c r="C107" s="406" t="s">
        <v>494</v>
      </c>
      <c r="D107" s="660">
        <f>+'[3]MATRIZ GENERAL CONSOLIDADA'!T107</f>
        <v>0</v>
      </c>
      <c r="E107" s="663" t="s">
        <v>519</v>
      </c>
      <c r="F107" s="660" t="s">
        <v>519</v>
      </c>
      <c r="G107" s="592"/>
      <c r="H107" s="388"/>
      <c r="I107" s="398">
        <f>+'MATRIZ GENERAL CONSOLIDADA'!D107</f>
        <v>3</v>
      </c>
      <c r="J107" s="388">
        <f>+'MATRIZ GENERAL CONSOLIDADA'!F107</f>
        <v>3</v>
      </c>
      <c r="K107" s="388">
        <f t="shared" si="25"/>
        <v>100</v>
      </c>
      <c r="L107" s="400"/>
      <c r="M107" s="689">
        <f>+'MATRIZ GENERAL CONSOLIDADA'!U107</f>
        <v>0</v>
      </c>
      <c r="N107" s="692">
        <f>+'[3]MATRIZ GENERAL CONSOLIDADA'!W107</f>
        <v>0</v>
      </c>
      <c r="O107" s="388" t="s">
        <v>519</v>
      </c>
      <c r="P107" s="388">
        <f>+'[4]MATRIZ GENERAL CONSOLIDADA'!E107</f>
        <v>94671399</v>
      </c>
      <c r="Q107" s="388">
        <f>+'[5]MATRIZ GENERAL CONSOLIDADA'!G107</f>
        <v>94671399</v>
      </c>
      <c r="R107" s="522">
        <f t="shared" si="20"/>
        <v>100</v>
      </c>
      <c r="S107" s="388"/>
    </row>
    <row r="108" spans="1:19" ht="35.25" customHeight="1">
      <c r="A108" s="59"/>
      <c r="B108" s="425" t="s">
        <v>446</v>
      </c>
      <c r="C108" s="406" t="s">
        <v>192</v>
      </c>
      <c r="D108" s="660">
        <f>+'[3]MATRIZ GENERAL CONSOLIDADA'!P108</f>
        <v>1</v>
      </c>
      <c r="E108" s="663">
        <f>+'MATRIZ GENERAL CONSOLIDADA'!V108</f>
        <v>1</v>
      </c>
      <c r="F108" s="660">
        <f t="shared" si="24"/>
        <v>100</v>
      </c>
      <c r="G108" s="592"/>
      <c r="H108" s="388"/>
      <c r="I108" s="398">
        <f>+'MATRIZ GENERAL CONSOLIDADA'!D108</f>
        <v>1</v>
      </c>
      <c r="J108" s="541">
        <f>+'MATRIZ GENERAL CONSOLIDADA'!F108</f>
        <v>1</v>
      </c>
      <c r="K108" s="388">
        <f>+(J108/I108)*100</f>
        <v>100</v>
      </c>
      <c r="L108" s="400"/>
      <c r="M108" s="689">
        <f>+'MATRIZ GENERAL CONSOLIDADA'!U108</f>
        <v>0</v>
      </c>
      <c r="N108" s="692">
        <f>+'[3]MATRIZ GENERAL CONSOLIDADA'!W108</f>
        <v>0</v>
      </c>
      <c r="O108" s="388" t="s">
        <v>519</v>
      </c>
      <c r="P108" s="388">
        <f>+'[4]MATRIZ GENERAL CONSOLIDADA'!E108</f>
        <v>21682030</v>
      </c>
      <c r="Q108" s="388">
        <f>+'[5]MATRIZ GENERAL CONSOLIDADA'!G108</f>
        <v>21682030</v>
      </c>
      <c r="R108" s="522">
        <f t="shared" si="20"/>
        <v>100</v>
      </c>
      <c r="S108" s="388"/>
    </row>
    <row r="109" spans="1:19" ht="35.25" customHeight="1">
      <c r="A109" s="59"/>
      <c r="B109" s="425" t="s">
        <v>447</v>
      </c>
      <c r="C109" s="406" t="s">
        <v>131</v>
      </c>
      <c r="D109" s="660">
        <f>+'[3]MATRIZ GENERAL CONSOLIDADA'!P109</f>
        <v>0</v>
      </c>
      <c r="E109" s="663" t="s">
        <v>519</v>
      </c>
      <c r="F109" s="660" t="s">
        <v>519</v>
      </c>
      <c r="G109" s="592"/>
      <c r="H109" s="388"/>
      <c r="I109" s="398">
        <f>+'MATRIZ GENERAL CONSOLIDADA'!D109</f>
        <v>2</v>
      </c>
      <c r="J109" s="388">
        <f>+'MATRIZ GENERAL CONSOLIDADA'!F109</f>
        <v>2</v>
      </c>
      <c r="K109" s="388">
        <f t="shared" si="25"/>
        <v>100</v>
      </c>
      <c r="L109" s="400"/>
      <c r="M109" s="689">
        <f>+'MATRIZ GENERAL CONSOLIDADA'!U109</f>
        <v>0</v>
      </c>
      <c r="N109" s="692">
        <f>+'[3]MATRIZ GENERAL CONSOLIDADA'!W109</f>
        <v>0</v>
      </c>
      <c r="O109" s="388" t="s">
        <v>519</v>
      </c>
      <c r="P109" s="388">
        <f>+'[4]MATRIZ GENERAL CONSOLIDADA'!E109</f>
        <v>50191686</v>
      </c>
      <c r="Q109" s="388">
        <f>+'[5]MATRIZ GENERAL CONSOLIDADA'!G109</f>
        <v>50191686</v>
      </c>
      <c r="R109" s="522">
        <f t="shared" si="20"/>
        <v>100</v>
      </c>
      <c r="S109" s="388"/>
    </row>
    <row r="110" spans="1:19" ht="51.75" customHeight="1">
      <c r="A110" s="59"/>
      <c r="B110" s="425" t="s">
        <v>515</v>
      </c>
      <c r="C110" s="406" t="str">
        <f>+'MATRIZ GENERAL CONSOLIDADA'!C110</f>
        <v>Global</v>
      </c>
      <c r="D110" s="660" t="s">
        <v>519</v>
      </c>
      <c r="E110" s="663" t="s">
        <v>519</v>
      </c>
      <c r="F110" s="660" t="s">
        <v>519</v>
      </c>
      <c r="G110" s="592"/>
      <c r="H110" s="388"/>
      <c r="I110" s="398" t="s">
        <v>519</v>
      </c>
      <c r="J110" s="400" t="s">
        <v>519</v>
      </c>
      <c r="K110" s="388" t="s">
        <v>519</v>
      </c>
      <c r="L110" s="400"/>
      <c r="M110" s="689">
        <f>+'MATRIZ GENERAL CONSOLIDADA'!U110</f>
        <v>4601854</v>
      </c>
      <c r="N110" s="689">
        <f>+'MATRIZ GENERAL CONSOLIDADA'!W110</f>
        <v>4601854</v>
      </c>
      <c r="O110" s="388" t="s">
        <v>519</v>
      </c>
      <c r="P110" s="388">
        <f>+'[4]MATRIZ GENERAL CONSOLIDADA'!E110</f>
        <v>23398434</v>
      </c>
      <c r="Q110" s="388">
        <f>+'[5]MATRIZ GENERAL CONSOLIDADA'!G110</f>
        <v>23398434</v>
      </c>
      <c r="R110" s="522">
        <f t="shared" si="20"/>
        <v>100</v>
      </c>
      <c r="S110" s="388"/>
    </row>
    <row r="111" spans="1:19" ht="45" customHeight="1">
      <c r="A111" s="59"/>
      <c r="B111" s="342" t="s">
        <v>467</v>
      </c>
      <c r="C111" s="423"/>
      <c r="D111" s="340"/>
      <c r="E111" s="661"/>
      <c r="F111" s="661">
        <f>AVERAGE(F112:F116)</f>
        <v>90</v>
      </c>
      <c r="G111" s="408"/>
      <c r="H111" s="408"/>
      <c r="I111" s="408">
        <f>AVERAGE(I112:I116)</f>
        <v>21.35</v>
      </c>
      <c r="J111" s="408">
        <f>AVERAGE(J112:J116)</f>
        <v>20.919999999999998</v>
      </c>
      <c r="K111" s="340">
        <f>+(J111/I111)*100</f>
        <v>97.985948477751734</v>
      </c>
      <c r="L111" s="340"/>
      <c r="M111" s="340">
        <f>SUM(M112:M117)</f>
        <v>1675000000.092</v>
      </c>
      <c r="N111" s="340">
        <f>SUM(N112:N117)</f>
        <v>1252689749.9000001</v>
      </c>
      <c r="O111" s="340">
        <f>(N111/M111)*100</f>
        <v>74.787447751116147</v>
      </c>
      <c r="P111" s="340">
        <f>SUM(P112:P117)</f>
        <v>6441666047.2119999</v>
      </c>
      <c r="Q111" s="661">
        <f>SUM(Q112:Q117)</f>
        <v>6019355797.0200005</v>
      </c>
      <c r="R111" s="340">
        <f>+(Q111/P111)*100</f>
        <v>93.444083454546998</v>
      </c>
      <c r="S111" s="388"/>
    </row>
    <row r="112" spans="1:19" ht="92.25" customHeight="1">
      <c r="A112" s="59"/>
      <c r="B112" s="405" t="s">
        <v>448</v>
      </c>
      <c r="C112" s="406" t="s">
        <v>1</v>
      </c>
      <c r="D112" s="660">
        <f>+'[3]MATRIZ GENERAL CONSOLIDADA'!T112</f>
        <v>100</v>
      </c>
      <c r="E112" s="660">
        <f>+'MATRIZ GENERAL CONSOLIDADA'!V112</f>
        <v>90</v>
      </c>
      <c r="F112" s="660">
        <f t="shared" si="17"/>
        <v>90</v>
      </c>
      <c r="G112" s="592"/>
      <c r="H112" s="388"/>
      <c r="I112" s="398">
        <f>+'MATRIZ GENERAL CONSOLIDADA'!D112</f>
        <v>100</v>
      </c>
      <c r="J112" s="388">
        <f>+'MATRIZ GENERAL CONSOLIDADA'!F112</f>
        <v>98</v>
      </c>
      <c r="K112" s="388">
        <f>+(J112/I112)*100</f>
        <v>98</v>
      </c>
      <c r="L112" s="400"/>
      <c r="M112" s="689">
        <f>+'MATRIZ GENERAL CONSOLIDADA'!U112</f>
        <v>0</v>
      </c>
      <c r="N112" s="692">
        <f>+'MATRIZ GENERAL CONSOLIDADA'!W112</f>
        <v>0</v>
      </c>
      <c r="O112" s="388">
        <v>0</v>
      </c>
      <c r="P112" s="388">
        <f>+'[4]MATRIZ GENERAL CONSOLIDADA'!E112</f>
        <v>0</v>
      </c>
      <c r="Q112" s="388">
        <f>+'[5]MATRIZ GENERAL CONSOLIDADA'!G112</f>
        <v>0</v>
      </c>
      <c r="R112" s="522">
        <v>0</v>
      </c>
      <c r="S112" s="388"/>
    </row>
    <row r="113" spans="1:19" ht="43.5" customHeight="1">
      <c r="A113" s="59"/>
      <c r="B113" s="428" t="s">
        <v>449</v>
      </c>
      <c r="C113" s="406" t="s">
        <v>495</v>
      </c>
      <c r="D113" s="660">
        <f>+'[3]MATRIZ GENERAL CONSOLIDADA'!T113</f>
        <v>1</v>
      </c>
      <c r="E113" s="663">
        <f>+'MATRIZ GENERAL CONSOLIDADA'!V113</f>
        <v>0.9</v>
      </c>
      <c r="F113" s="660">
        <f t="shared" si="17"/>
        <v>90</v>
      </c>
      <c r="G113" s="592"/>
      <c r="H113" s="388"/>
      <c r="I113" s="398">
        <f>+'MATRIZ GENERAL CONSOLIDADA'!D113</f>
        <v>1</v>
      </c>
      <c r="J113" s="388">
        <f>+'MATRIZ GENERAL CONSOLIDADA'!F113</f>
        <v>0.97499999999999998</v>
      </c>
      <c r="K113" s="388">
        <f t="shared" ref="K113:K115" si="27">+(J113/I113)*100</f>
        <v>97.5</v>
      </c>
      <c r="L113" s="400"/>
      <c r="M113" s="689">
        <f>+'MATRIZ GENERAL CONSOLIDADA'!U113</f>
        <v>1117227105</v>
      </c>
      <c r="N113" s="692">
        <f>+'MATRIZ GENERAL CONSOLIDADA'!W113</f>
        <v>740347878.5</v>
      </c>
      <c r="O113" s="388">
        <f>+N113/M113*100</f>
        <v>66.266551821619117</v>
      </c>
      <c r="P113" s="388">
        <f>+'[4]MATRIZ GENERAL CONSOLIDADA'!E113</f>
        <v>2609816117.7600002</v>
      </c>
      <c r="Q113" s="388">
        <f>+'[5]MATRIZ GENERAL CONSOLIDADA'!G113</f>
        <v>2232936891.2600002</v>
      </c>
      <c r="R113" s="522">
        <f t="shared" si="20"/>
        <v>85.559165493104743</v>
      </c>
      <c r="S113" s="388"/>
    </row>
    <row r="114" spans="1:19" ht="51" customHeight="1">
      <c r="A114" s="59"/>
      <c r="B114" s="401" t="s">
        <v>450</v>
      </c>
      <c r="C114" s="406" t="s">
        <v>179</v>
      </c>
      <c r="D114" s="660">
        <f>+'[3]MATRIZ GENERAL CONSOLIDADA'!T114</f>
        <v>0</v>
      </c>
      <c r="E114" s="660" t="s">
        <v>519</v>
      </c>
      <c r="F114" s="660" t="s">
        <v>519</v>
      </c>
      <c r="G114" s="592"/>
      <c r="H114" s="388"/>
      <c r="I114" s="398">
        <f>+'MATRIZ GENERAL CONSOLIDADA'!D114</f>
        <v>0.75</v>
      </c>
      <c r="J114" s="388">
        <f>+'MATRIZ GENERAL CONSOLIDADA'!F114</f>
        <v>0.75</v>
      </c>
      <c r="K114" s="388">
        <f t="shared" si="27"/>
        <v>100</v>
      </c>
      <c r="L114" s="400"/>
      <c r="M114" s="689">
        <f>+'MATRIZ GENERAL CONSOLIDADA'!U114</f>
        <v>0</v>
      </c>
      <c r="N114" s="692">
        <f>+'MATRIZ GENERAL CONSOLIDADA'!W114</f>
        <v>0</v>
      </c>
      <c r="O114" s="388" t="s">
        <v>519</v>
      </c>
      <c r="P114" s="388">
        <f>+'[4]MATRIZ GENERAL CONSOLIDADA'!E114</f>
        <v>1650410735</v>
      </c>
      <c r="Q114" s="388">
        <f>+'[5]MATRIZ GENERAL CONSOLIDADA'!G114</f>
        <v>1650410735</v>
      </c>
      <c r="R114" s="522">
        <f t="shared" si="20"/>
        <v>100</v>
      </c>
      <c r="S114" s="388"/>
    </row>
    <row r="115" spans="1:19" ht="75" customHeight="1">
      <c r="A115" s="59"/>
      <c r="B115" s="401" t="s">
        <v>452</v>
      </c>
      <c r="C115" s="406" t="s">
        <v>496</v>
      </c>
      <c r="D115" s="660">
        <f>+'[3]MATRIZ GENERAL CONSOLIDADA'!T115</f>
        <v>1</v>
      </c>
      <c r="E115" s="663">
        <f>+'MATRIZ GENERAL CONSOLIDADA'!V115</f>
        <v>0.9</v>
      </c>
      <c r="F115" s="660">
        <f t="shared" si="17"/>
        <v>90</v>
      </c>
      <c r="G115" s="592"/>
      <c r="H115" s="388"/>
      <c r="I115" s="398">
        <f>+'MATRIZ GENERAL CONSOLIDADA'!D115</f>
        <v>4</v>
      </c>
      <c r="J115" s="388">
        <f>+'MATRIZ GENERAL CONSOLIDADA'!F115</f>
        <v>3.9</v>
      </c>
      <c r="K115" s="388">
        <f t="shared" si="27"/>
        <v>97.5</v>
      </c>
      <c r="L115" s="400"/>
      <c r="M115" s="689">
        <f>+'MATRIZ GENERAL CONSOLIDADA'!U115</f>
        <v>210067174.09199998</v>
      </c>
      <c r="N115" s="692">
        <f>+'MATRIZ GENERAL CONSOLIDADA'!W115</f>
        <v>168476520.40000001</v>
      </c>
      <c r="O115" s="388">
        <f t="shared" ref="O115:O116" si="28">+N115/M115*100</f>
        <v>80.201259967544885</v>
      </c>
      <c r="P115" s="388">
        <f>+'[4]MATRIZ GENERAL CONSOLIDADA'!E115</f>
        <v>1065021941.452</v>
      </c>
      <c r="Q115" s="388">
        <f>+'[5]MATRIZ GENERAL CONSOLIDADA'!G115</f>
        <v>1023431287.76</v>
      </c>
      <c r="R115" s="522">
        <f t="shared" si="20"/>
        <v>96.094854756203674</v>
      </c>
      <c r="S115" s="388"/>
    </row>
    <row r="116" spans="1:19" ht="75" customHeight="1">
      <c r="A116" s="59"/>
      <c r="B116" s="401" t="s">
        <v>453</v>
      </c>
      <c r="C116" s="406" t="s">
        <v>192</v>
      </c>
      <c r="D116" s="660">
        <f>+'[3]MATRIZ GENERAL CONSOLIDADA'!T116</f>
        <v>1</v>
      </c>
      <c r="E116" s="663">
        <f>+'MATRIZ GENERAL CONSOLIDADA'!V116</f>
        <v>0.9</v>
      </c>
      <c r="F116" s="660">
        <f>+(E116/D116)*100</f>
        <v>90</v>
      </c>
      <c r="G116" s="592"/>
      <c r="H116" s="388"/>
      <c r="I116" s="398">
        <f>+'MATRIZ GENERAL CONSOLIDADA'!D116</f>
        <v>1</v>
      </c>
      <c r="J116" s="388">
        <f>+'MATRIZ GENERAL CONSOLIDADA'!F116</f>
        <v>0.97499999999999998</v>
      </c>
      <c r="K116" s="388">
        <v>25</v>
      </c>
      <c r="L116" s="400"/>
      <c r="M116" s="689">
        <f>+'MATRIZ GENERAL CONSOLIDADA'!U116</f>
        <v>307547804</v>
      </c>
      <c r="N116" s="692">
        <f>+'MATRIZ GENERAL CONSOLIDADA'!W116</f>
        <v>303707434</v>
      </c>
      <c r="O116" s="388">
        <f t="shared" si="28"/>
        <v>98.751293311136763</v>
      </c>
      <c r="P116" s="388">
        <f>+'[4]MATRIZ GENERAL CONSOLIDADA'!E116</f>
        <v>995390015</v>
      </c>
      <c r="Q116" s="388">
        <f>+'[5]MATRIZ GENERAL CONSOLIDADA'!G116</f>
        <v>991549645</v>
      </c>
      <c r="R116" s="522">
        <f t="shared" si="20"/>
        <v>99.614184395852106</v>
      </c>
      <c r="S116" s="388"/>
    </row>
    <row r="117" spans="1:19" ht="75" customHeight="1">
      <c r="A117" s="59"/>
      <c r="B117" s="425" t="s">
        <v>515</v>
      </c>
      <c r="C117" s="406" t="s">
        <v>516</v>
      </c>
      <c r="D117" s="660" t="s">
        <v>519</v>
      </c>
      <c r="E117" s="660" t="s">
        <v>519</v>
      </c>
      <c r="F117" s="660" t="s">
        <v>519</v>
      </c>
      <c r="G117" s="592"/>
      <c r="H117" s="388"/>
      <c r="I117" s="398" t="s">
        <v>519</v>
      </c>
      <c r="J117" s="388" t="s">
        <v>519</v>
      </c>
      <c r="K117" s="388" t="s">
        <v>519</v>
      </c>
      <c r="L117" s="400"/>
      <c r="M117" s="689">
        <f>+'MATRIZ GENERAL CONSOLIDADA'!U117</f>
        <v>40157917</v>
      </c>
      <c r="N117" s="692">
        <f>+'MATRIZ GENERAL CONSOLIDADA'!W117</f>
        <v>40157917</v>
      </c>
      <c r="O117" s="388">
        <f>+N117/M117*100</f>
        <v>100</v>
      </c>
      <c r="P117" s="388">
        <f>+'[4]MATRIZ GENERAL CONSOLIDADA'!E117</f>
        <v>121027238</v>
      </c>
      <c r="Q117" s="388">
        <f>+'[5]MATRIZ GENERAL CONSOLIDADA'!G117</f>
        <v>121027238</v>
      </c>
      <c r="R117" s="522">
        <f t="shared" si="20"/>
        <v>100</v>
      </c>
      <c r="S117" s="388"/>
    </row>
    <row r="118" spans="1:19" s="150" customFormat="1" ht="36" customHeight="1" thickBot="1">
      <c r="B118" s="786" t="s">
        <v>85</v>
      </c>
      <c r="C118" s="787"/>
      <c r="D118" s="694"/>
      <c r="E118" s="695"/>
      <c r="F118" s="695">
        <f>AVERAGE(F5,F33,F55,F69,F87,F100)</f>
        <v>90.675845523225931</v>
      </c>
      <c r="G118" s="695"/>
      <c r="H118" s="695"/>
      <c r="I118" s="695"/>
      <c r="J118" s="694"/>
      <c r="K118" s="695">
        <f>+(K5+K33+K55+K69+K87+K100)/6</f>
        <v>95.864037542736057</v>
      </c>
      <c r="L118" s="695"/>
      <c r="M118" s="695">
        <f>+M5+M33+M55+M69+M87+M100</f>
        <v>28214806442.086906</v>
      </c>
      <c r="N118" s="695">
        <f>+N5+N33+N55+N69+N87+N100</f>
        <v>22411801754.543999</v>
      </c>
      <c r="O118" s="695">
        <f>+N118/M118*100</f>
        <v>79.432768041652068</v>
      </c>
      <c r="P118" s="695">
        <f>+P6+P19+P30+P34+P46+P56+P64+P70+P88+P95+P101+P111</f>
        <v>116661297709.71173</v>
      </c>
      <c r="Q118" s="695">
        <f>+Q6+Q19+Q30+Q34+Q46+Q56+Q64+Q70+Q88+Q95+Q101+Q111</f>
        <v>110126624252.27699</v>
      </c>
      <c r="R118" s="695">
        <f>+Q118/P118*100</f>
        <v>94.398593547540528</v>
      </c>
      <c r="S118" s="34"/>
    </row>
    <row r="119" spans="1:19" ht="48" customHeight="1">
      <c r="B119" s="711"/>
      <c r="C119" s="711"/>
      <c r="D119" s="711"/>
      <c r="E119" s="711"/>
      <c r="F119" s="711"/>
      <c r="G119" s="711"/>
      <c r="H119" s="711"/>
      <c r="I119" s="711"/>
      <c r="J119" s="711"/>
      <c r="K119" s="711"/>
      <c r="L119" s="711"/>
      <c r="M119" s="712"/>
      <c r="N119" s="712"/>
      <c r="O119" s="519"/>
      <c r="P119" s="710"/>
      <c r="Q119" s="709"/>
      <c r="R119" s="519"/>
      <c r="S119" s="519"/>
    </row>
    <row r="120" spans="1:19">
      <c r="I120" s="29"/>
      <c r="J120" s="29"/>
      <c r="K120" s="150"/>
      <c r="M120" s="710"/>
      <c r="N120" s="710"/>
      <c r="O120" s="368"/>
      <c r="P120" s="29"/>
      <c r="Q120" s="769"/>
    </row>
    <row r="121" spans="1:19">
      <c r="I121" s="29"/>
      <c r="J121" s="29"/>
      <c r="K121" s="150"/>
      <c r="M121" s="710"/>
      <c r="N121" s="710"/>
      <c r="P121" s="29"/>
      <c r="Q121" s="29"/>
    </row>
    <row r="122" spans="1:19">
      <c r="I122" s="29"/>
      <c r="J122" s="29"/>
      <c r="K122" s="150"/>
      <c r="M122" s="710"/>
      <c r="N122" s="710"/>
      <c r="P122" s="999"/>
      <c r="Q122" s="29"/>
    </row>
    <row r="123" spans="1:19">
      <c r="I123" s="29"/>
      <c r="J123" s="29"/>
      <c r="K123" s="150"/>
      <c r="M123" s="710"/>
      <c r="N123" s="710"/>
      <c r="P123" s="1000"/>
      <c r="Q123" s="1000"/>
    </row>
    <row r="124" spans="1:19">
      <c r="I124" s="29"/>
      <c r="J124" s="29"/>
      <c r="K124" s="150"/>
      <c r="M124" s="710"/>
      <c r="N124" s="710"/>
      <c r="P124" s="29"/>
      <c r="Q124" s="29"/>
    </row>
    <row r="125" spans="1:19">
      <c r="I125" s="29"/>
      <c r="J125" s="29"/>
      <c r="K125" s="150"/>
      <c r="M125" s="710"/>
      <c r="N125" s="710"/>
      <c r="P125" s="29"/>
      <c r="Q125" s="29"/>
    </row>
    <row r="126" spans="1:19">
      <c r="I126" s="29"/>
      <c r="J126" s="29"/>
      <c r="K126" s="150"/>
      <c r="M126" s="710"/>
      <c r="N126" s="710"/>
      <c r="P126" s="29"/>
      <c r="Q126" s="29"/>
    </row>
    <row r="127" spans="1:19">
      <c r="I127" s="29"/>
      <c r="J127" s="29"/>
      <c r="K127" s="150"/>
      <c r="M127" s="710"/>
      <c r="N127" s="710"/>
      <c r="P127" s="29"/>
      <c r="Q127" s="29"/>
    </row>
    <row r="128" spans="1:19">
      <c r="I128" s="29"/>
      <c r="J128" s="29"/>
      <c r="K128" s="150"/>
      <c r="M128" s="710"/>
      <c r="N128" s="710"/>
      <c r="P128" s="29"/>
      <c r="Q128" s="29"/>
    </row>
    <row r="129" spans="9:17">
      <c r="I129" s="29"/>
      <c r="J129" s="29"/>
      <c r="K129" s="150"/>
      <c r="M129" s="710"/>
      <c r="N129" s="710"/>
      <c r="P129" s="29"/>
      <c r="Q129" s="29"/>
    </row>
    <row r="130" spans="9:17">
      <c r="I130" s="29"/>
      <c r="J130" s="29"/>
      <c r="K130" s="150"/>
      <c r="M130" s="710"/>
      <c r="N130" s="710"/>
      <c r="P130" s="29"/>
      <c r="Q130" s="29"/>
    </row>
    <row r="131" spans="9:17">
      <c r="I131" s="29"/>
      <c r="J131" s="29"/>
      <c r="K131" s="150"/>
      <c r="M131" s="710"/>
      <c r="N131" s="710"/>
      <c r="P131" s="29"/>
      <c r="Q131" s="29"/>
    </row>
    <row r="132" spans="9:17">
      <c r="I132" s="29"/>
      <c r="J132" s="29"/>
      <c r="K132" s="150"/>
      <c r="M132" s="710"/>
      <c r="N132" s="710"/>
      <c r="P132" s="29"/>
      <c r="Q132" s="29"/>
    </row>
    <row r="133" spans="9:17">
      <c r="I133" s="29"/>
      <c r="J133" s="29"/>
      <c r="K133" s="150"/>
      <c r="M133" s="710"/>
      <c r="N133" s="710"/>
      <c r="P133" s="29"/>
      <c r="Q133" s="29"/>
    </row>
    <row r="134" spans="9:17">
      <c r="I134" s="29"/>
      <c r="J134" s="29"/>
      <c r="K134" s="150"/>
      <c r="M134" s="710"/>
      <c r="N134" s="710"/>
      <c r="P134" s="29"/>
      <c r="Q134" s="29"/>
    </row>
    <row r="135" spans="9:17">
      <c r="I135" s="29"/>
      <c r="J135" s="29"/>
      <c r="K135" s="150"/>
      <c r="M135" s="710"/>
      <c r="N135" s="710"/>
      <c r="P135" s="29"/>
      <c r="Q135" s="29"/>
    </row>
    <row r="136" spans="9:17">
      <c r="I136" s="29"/>
      <c r="J136" s="29"/>
      <c r="K136" s="150"/>
      <c r="M136" s="710"/>
      <c r="N136" s="710"/>
      <c r="P136" s="29"/>
      <c r="Q136" s="29"/>
    </row>
    <row r="137" spans="9:17">
      <c r="I137" s="29"/>
      <c r="J137" s="29"/>
      <c r="K137" s="150"/>
      <c r="M137" s="1001"/>
      <c r="N137" s="29"/>
      <c r="P137" s="29"/>
      <c r="Q137" s="29"/>
    </row>
    <row r="138" spans="9:17">
      <c r="I138" s="29"/>
      <c r="J138" s="29"/>
      <c r="K138" s="150"/>
      <c r="M138" s="1001"/>
      <c r="N138" s="29"/>
      <c r="P138" s="29"/>
      <c r="Q138" s="29"/>
    </row>
    <row r="139" spans="9:17">
      <c r="I139" s="29"/>
      <c r="J139" s="29"/>
      <c r="K139" s="150"/>
      <c r="M139" s="1001"/>
      <c r="N139" s="29"/>
      <c r="P139" s="29"/>
      <c r="Q139" s="29"/>
    </row>
    <row r="140" spans="9:17">
      <c r="I140" s="29"/>
      <c r="J140" s="29"/>
      <c r="K140" s="150"/>
      <c r="M140" s="1001"/>
      <c r="N140" s="29"/>
      <c r="P140" s="29"/>
      <c r="Q140" s="29"/>
    </row>
    <row r="141" spans="9:17">
      <c r="I141" s="29"/>
      <c r="J141" s="29"/>
      <c r="K141" s="150"/>
      <c r="M141" s="1001"/>
      <c r="N141" s="29"/>
      <c r="P141" s="29"/>
      <c r="Q141" s="29"/>
    </row>
    <row r="142" spans="9:17">
      <c r="I142" s="29"/>
      <c r="J142" s="29"/>
      <c r="K142" s="150"/>
      <c r="M142" s="1001"/>
      <c r="N142" s="29"/>
      <c r="P142" s="29"/>
      <c r="Q142" s="29"/>
    </row>
    <row r="143" spans="9:17">
      <c r="I143" s="29"/>
      <c r="J143" s="29"/>
      <c r="K143" s="150"/>
      <c r="M143" s="1001"/>
      <c r="N143" s="29"/>
      <c r="P143" s="29"/>
      <c r="Q143" s="29"/>
    </row>
    <row r="144" spans="9:17">
      <c r="I144" s="29"/>
      <c r="J144" s="29"/>
      <c r="K144" s="150"/>
      <c r="M144" s="1001"/>
      <c r="N144" s="29"/>
      <c r="P144" s="29"/>
      <c r="Q144" s="29"/>
    </row>
    <row r="145" spans="9:17">
      <c r="I145" s="29"/>
      <c r="J145" s="29"/>
      <c r="K145" s="150"/>
      <c r="M145" s="1001"/>
      <c r="N145" s="29"/>
      <c r="P145" s="29"/>
      <c r="Q145" s="29"/>
    </row>
    <row r="146" spans="9:17">
      <c r="I146" s="29"/>
      <c r="J146" s="29"/>
      <c r="K146" s="150"/>
      <c r="M146" s="1001"/>
      <c r="N146" s="29"/>
      <c r="P146" s="29"/>
      <c r="Q146" s="29"/>
    </row>
    <row r="147" spans="9:17">
      <c r="I147" s="29"/>
      <c r="J147" s="29"/>
      <c r="K147" s="150"/>
      <c r="M147" s="1001"/>
      <c r="N147" s="29"/>
      <c r="P147" s="29"/>
      <c r="Q147" s="29"/>
    </row>
    <row r="148" spans="9:17">
      <c r="I148" s="29"/>
      <c r="J148" s="29"/>
      <c r="K148" s="150"/>
      <c r="M148" s="1001"/>
      <c r="N148" s="29"/>
      <c r="P148" s="29"/>
      <c r="Q148" s="29"/>
    </row>
    <row r="149" spans="9:17">
      <c r="I149" s="29"/>
      <c r="J149" s="29"/>
      <c r="K149" s="150"/>
      <c r="M149" s="1001"/>
      <c r="N149" s="29"/>
      <c r="P149" s="29"/>
      <c r="Q149" s="29"/>
    </row>
    <row r="150" spans="9:17">
      <c r="I150" s="29"/>
      <c r="J150" s="29"/>
      <c r="K150" s="150"/>
      <c r="M150" s="1001"/>
      <c r="N150" s="29"/>
      <c r="P150" s="29"/>
      <c r="Q150" s="29"/>
    </row>
    <row r="151" spans="9:17">
      <c r="I151" s="29"/>
      <c r="J151" s="29"/>
      <c r="K151" s="150"/>
      <c r="M151" s="1001"/>
      <c r="N151" s="29"/>
      <c r="P151" s="29"/>
      <c r="Q151" s="29"/>
    </row>
    <row r="152" spans="9:17">
      <c r="I152" s="29"/>
      <c r="J152" s="29"/>
      <c r="K152" s="150"/>
      <c r="M152" s="1001"/>
      <c r="N152" s="29"/>
      <c r="P152" s="29"/>
      <c r="Q152" s="29"/>
    </row>
    <row r="153" spans="9:17">
      <c r="I153" s="29"/>
      <c r="J153" s="29"/>
      <c r="K153" s="150"/>
      <c r="M153" s="1001"/>
      <c r="N153" s="29"/>
      <c r="P153" s="29"/>
      <c r="Q153" s="29"/>
    </row>
    <row r="154" spans="9:17">
      <c r="I154" s="29"/>
      <c r="J154" s="29"/>
      <c r="K154" s="150"/>
      <c r="M154" s="1001"/>
      <c r="N154" s="29"/>
      <c r="P154" s="29"/>
      <c r="Q154" s="29"/>
    </row>
    <row r="155" spans="9:17">
      <c r="I155" s="29"/>
      <c r="J155" s="29"/>
      <c r="K155" s="150"/>
      <c r="M155" s="1001"/>
      <c r="N155" s="29"/>
      <c r="P155" s="29"/>
      <c r="Q155" s="29"/>
    </row>
    <row r="156" spans="9:17">
      <c r="I156" s="29"/>
      <c r="J156" s="29"/>
      <c r="K156" s="150"/>
      <c r="M156" s="1001"/>
      <c r="N156" s="29"/>
      <c r="P156" s="29"/>
      <c r="Q156" s="29"/>
    </row>
    <row r="157" spans="9:17">
      <c r="I157" s="29"/>
      <c r="J157" s="29"/>
      <c r="K157" s="150"/>
      <c r="M157" s="1001"/>
      <c r="N157" s="29"/>
      <c r="P157" s="29"/>
      <c r="Q157" s="29"/>
    </row>
    <row r="158" spans="9:17">
      <c r="I158" s="29"/>
      <c r="J158" s="29"/>
      <c r="K158" s="150"/>
      <c r="M158" s="1001"/>
      <c r="N158" s="29"/>
      <c r="P158" s="29"/>
      <c r="Q158" s="29"/>
    </row>
    <row r="159" spans="9:17">
      <c r="I159" s="29"/>
      <c r="J159" s="29"/>
      <c r="K159" s="150"/>
      <c r="M159" s="1001"/>
      <c r="N159" s="29"/>
      <c r="P159" s="29"/>
      <c r="Q159" s="29"/>
    </row>
    <row r="160" spans="9:17">
      <c r="I160" s="29"/>
      <c r="J160" s="29"/>
      <c r="K160" s="150"/>
      <c r="M160" s="1001"/>
      <c r="N160" s="29"/>
      <c r="P160" s="29"/>
      <c r="Q160" s="29"/>
    </row>
    <row r="161" spans="9:17">
      <c r="I161" s="29"/>
      <c r="J161" s="29"/>
      <c r="K161" s="150"/>
      <c r="M161" s="1001"/>
      <c r="N161" s="29"/>
      <c r="P161" s="29"/>
      <c r="Q161" s="29"/>
    </row>
    <row r="162" spans="9:17">
      <c r="I162" s="29"/>
      <c r="J162" s="29"/>
      <c r="K162" s="150"/>
      <c r="M162" s="1001"/>
      <c r="N162" s="29"/>
      <c r="P162" s="29"/>
      <c r="Q162" s="29"/>
    </row>
    <row r="163" spans="9:17">
      <c r="I163" s="29"/>
      <c r="J163" s="29"/>
      <c r="K163" s="150"/>
      <c r="M163" s="1001"/>
      <c r="N163" s="29"/>
      <c r="P163" s="29"/>
      <c r="Q163" s="29"/>
    </row>
    <row r="164" spans="9:17">
      <c r="I164" s="29"/>
      <c r="J164" s="29"/>
      <c r="K164" s="150"/>
      <c r="M164" s="1001"/>
      <c r="N164" s="29"/>
      <c r="P164" s="29"/>
      <c r="Q164" s="29"/>
    </row>
    <row r="165" spans="9:17">
      <c r="I165" s="29"/>
      <c r="J165" s="29"/>
      <c r="K165" s="150"/>
      <c r="M165" s="1001"/>
      <c r="N165" s="29"/>
      <c r="P165" s="29"/>
      <c r="Q165" s="29"/>
    </row>
    <row r="166" spans="9:17">
      <c r="I166" s="29"/>
      <c r="J166" s="29"/>
      <c r="K166" s="150"/>
      <c r="M166" s="1001"/>
      <c r="N166" s="29"/>
      <c r="P166" s="29"/>
      <c r="Q166" s="29"/>
    </row>
    <row r="167" spans="9:17">
      <c r="I167" s="29"/>
      <c r="J167" s="29"/>
      <c r="K167" s="150"/>
      <c r="M167" s="1001"/>
      <c r="N167" s="29"/>
      <c r="P167" s="29"/>
      <c r="Q167" s="29"/>
    </row>
    <row r="168" spans="9:17">
      <c r="I168" s="29"/>
      <c r="J168" s="29"/>
      <c r="K168" s="150"/>
      <c r="M168" s="1001"/>
      <c r="N168" s="29"/>
      <c r="P168" s="29"/>
      <c r="Q168" s="29"/>
    </row>
    <row r="169" spans="9:17">
      <c r="I169" s="29"/>
      <c r="J169" s="29"/>
      <c r="K169" s="150"/>
      <c r="M169" s="1001"/>
      <c r="N169" s="29"/>
      <c r="P169" s="29"/>
      <c r="Q169" s="29"/>
    </row>
    <row r="170" spans="9:17">
      <c r="I170" s="29"/>
      <c r="J170" s="29"/>
      <c r="K170" s="150"/>
      <c r="M170" s="1001"/>
      <c r="N170" s="29"/>
      <c r="P170" s="29"/>
      <c r="Q170" s="29"/>
    </row>
    <row r="171" spans="9:17">
      <c r="I171" s="29"/>
      <c r="J171" s="29"/>
      <c r="K171" s="150"/>
      <c r="M171" s="1001"/>
      <c r="N171" s="29"/>
      <c r="P171" s="29"/>
      <c r="Q171" s="29"/>
    </row>
    <row r="172" spans="9:17">
      <c r="I172" s="29"/>
      <c r="J172" s="29"/>
      <c r="K172" s="150"/>
      <c r="M172" s="1001"/>
      <c r="N172" s="29"/>
      <c r="P172" s="29"/>
      <c r="Q172" s="29"/>
    </row>
    <row r="173" spans="9:17">
      <c r="I173" s="29"/>
      <c r="J173" s="29"/>
      <c r="K173" s="150"/>
      <c r="M173" s="1001"/>
      <c r="N173" s="29"/>
      <c r="P173" s="29"/>
      <c r="Q173" s="29"/>
    </row>
    <row r="174" spans="9:17">
      <c r="I174" s="29"/>
      <c r="J174" s="29"/>
      <c r="K174" s="150"/>
      <c r="M174" s="1001"/>
      <c r="N174" s="29"/>
      <c r="P174" s="29"/>
      <c r="Q174" s="29"/>
    </row>
    <row r="175" spans="9:17">
      <c r="I175" s="29"/>
      <c r="J175" s="29"/>
      <c r="K175" s="150"/>
      <c r="M175" s="1001"/>
      <c r="N175" s="29"/>
      <c r="P175" s="29"/>
      <c r="Q175" s="29"/>
    </row>
    <row r="176" spans="9:17">
      <c r="I176" s="29"/>
      <c r="J176" s="29"/>
      <c r="K176" s="150"/>
      <c r="M176" s="1001"/>
      <c r="N176" s="29"/>
      <c r="P176" s="29"/>
      <c r="Q176" s="29"/>
    </row>
    <row r="177" spans="9:17">
      <c r="I177" s="29"/>
      <c r="J177" s="29"/>
      <c r="K177" s="150"/>
      <c r="M177" s="1001"/>
      <c r="N177" s="29"/>
      <c r="P177" s="29"/>
      <c r="Q177" s="29"/>
    </row>
    <row r="178" spans="9:17">
      <c r="I178" s="29"/>
      <c r="J178" s="29"/>
      <c r="K178" s="150"/>
      <c r="M178" s="1001"/>
      <c r="N178" s="29"/>
      <c r="P178" s="29"/>
      <c r="Q178" s="29"/>
    </row>
    <row r="179" spans="9:17">
      <c r="I179" s="29"/>
      <c r="J179" s="29"/>
      <c r="K179" s="150"/>
      <c r="M179" s="1001"/>
      <c r="N179" s="29"/>
      <c r="P179" s="29"/>
      <c r="Q179" s="29"/>
    </row>
    <row r="180" spans="9:17">
      <c r="I180" s="29"/>
      <c r="J180" s="29"/>
      <c r="K180" s="150"/>
      <c r="M180" s="1001"/>
      <c r="N180" s="29"/>
      <c r="P180" s="29"/>
      <c r="Q180" s="29"/>
    </row>
    <row r="181" spans="9:17">
      <c r="I181" s="29"/>
      <c r="J181" s="29"/>
      <c r="K181" s="150"/>
      <c r="M181" s="1001"/>
      <c r="N181" s="29"/>
      <c r="P181" s="29"/>
      <c r="Q181" s="29"/>
    </row>
    <row r="182" spans="9:17">
      <c r="I182" s="29"/>
      <c r="J182" s="29"/>
      <c r="K182" s="150"/>
      <c r="M182" s="1001"/>
      <c r="N182" s="29"/>
      <c r="P182" s="29"/>
      <c r="Q182" s="29"/>
    </row>
    <row r="183" spans="9:17">
      <c r="I183" s="29"/>
      <c r="J183" s="29"/>
      <c r="K183" s="150"/>
      <c r="M183" s="1001"/>
      <c r="N183" s="29"/>
      <c r="P183" s="29"/>
      <c r="Q183" s="29"/>
    </row>
    <row r="184" spans="9:17">
      <c r="I184" s="29"/>
      <c r="J184" s="29"/>
      <c r="K184" s="150"/>
      <c r="M184" s="1001"/>
      <c r="N184" s="29"/>
      <c r="P184" s="29"/>
      <c r="Q184" s="29"/>
    </row>
    <row r="185" spans="9:17">
      <c r="I185" s="29"/>
      <c r="J185" s="29"/>
      <c r="K185" s="150"/>
      <c r="M185" s="1001"/>
      <c r="N185" s="29"/>
      <c r="P185" s="29"/>
      <c r="Q185" s="29"/>
    </row>
    <row r="186" spans="9:17">
      <c r="I186" s="29"/>
      <c r="J186" s="29"/>
      <c r="K186" s="150"/>
      <c r="M186" s="1001"/>
      <c r="N186" s="29"/>
      <c r="P186" s="29"/>
      <c r="Q186" s="29"/>
    </row>
    <row r="187" spans="9:17">
      <c r="I187" s="29"/>
      <c r="J187" s="29"/>
      <c r="K187" s="150"/>
      <c r="M187" s="1001"/>
      <c r="N187" s="29"/>
      <c r="P187" s="29"/>
      <c r="Q187" s="29"/>
    </row>
    <row r="188" spans="9:17">
      <c r="I188" s="29"/>
      <c r="J188" s="29"/>
      <c r="K188" s="150"/>
      <c r="M188" s="1001"/>
      <c r="N188" s="29"/>
      <c r="P188" s="29"/>
      <c r="Q188" s="29"/>
    </row>
    <row r="189" spans="9:17">
      <c r="I189" s="29"/>
      <c r="J189" s="29"/>
      <c r="K189" s="150"/>
      <c r="M189" s="1001"/>
      <c r="N189" s="29"/>
      <c r="P189" s="29"/>
      <c r="Q189" s="29"/>
    </row>
    <row r="190" spans="9:17">
      <c r="I190" s="29"/>
      <c r="J190" s="29"/>
      <c r="K190" s="150"/>
      <c r="M190" s="1001"/>
      <c r="N190" s="29"/>
      <c r="P190" s="29"/>
      <c r="Q190" s="29"/>
    </row>
    <row r="191" spans="9:17">
      <c r="I191" s="29"/>
      <c r="J191" s="29"/>
      <c r="K191" s="150"/>
      <c r="M191" s="1001"/>
      <c r="N191" s="29"/>
      <c r="P191" s="29"/>
      <c r="Q191" s="29"/>
    </row>
    <row r="192" spans="9:17">
      <c r="I192" s="29"/>
      <c r="J192" s="29"/>
      <c r="K192" s="150"/>
      <c r="M192" s="1001"/>
      <c r="N192" s="29"/>
      <c r="P192" s="29"/>
      <c r="Q192" s="29"/>
    </row>
    <row r="193" spans="9:17">
      <c r="I193" s="29"/>
      <c r="J193" s="29"/>
      <c r="K193" s="150"/>
      <c r="M193" s="1001"/>
      <c r="N193" s="29"/>
      <c r="P193" s="29"/>
      <c r="Q193" s="29"/>
    </row>
    <row r="194" spans="9:17">
      <c r="I194" s="29"/>
      <c r="J194" s="29"/>
      <c r="K194" s="150"/>
      <c r="M194" s="1001"/>
      <c r="N194" s="29"/>
      <c r="P194" s="29"/>
      <c r="Q194" s="29"/>
    </row>
    <row r="195" spans="9:17">
      <c r="I195" s="29"/>
      <c r="J195" s="29"/>
      <c r="K195" s="150"/>
      <c r="M195" s="1001"/>
      <c r="N195" s="29"/>
      <c r="P195" s="29"/>
      <c r="Q195" s="29"/>
    </row>
    <row r="196" spans="9:17">
      <c r="I196" s="29"/>
      <c r="J196" s="29"/>
      <c r="K196" s="150"/>
      <c r="M196" s="1001"/>
      <c r="N196" s="29"/>
      <c r="P196" s="29"/>
      <c r="Q196" s="29"/>
    </row>
    <row r="197" spans="9:17">
      <c r="I197" s="29"/>
      <c r="J197" s="29"/>
      <c r="K197" s="150"/>
      <c r="M197" s="1001"/>
      <c r="N197" s="29"/>
      <c r="P197" s="29"/>
      <c r="Q197" s="29"/>
    </row>
    <row r="198" spans="9:17">
      <c r="I198" s="29"/>
      <c r="J198" s="29"/>
      <c r="K198" s="150"/>
      <c r="M198" s="1001"/>
      <c r="N198" s="29"/>
      <c r="P198" s="29"/>
      <c r="Q198" s="29"/>
    </row>
    <row r="199" spans="9:17">
      <c r="I199" s="29"/>
      <c r="J199" s="29"/>
      <c r="K199" s="150"/>
      <c r="M199" s="1001"/>
      <c r="N199" s="29"/>
      <c r="P199" s="29"/>
      <c r="Q199" s="29"/>
    </row>
    <row r="200" spans="9:17">
      <c r="I200" s="29"/>
      <c r="J200" s="29"/>
      <c r="K200" s="150"/>
      <c r="M200" s="1001"/>
      <c r="N200" s="29"/>
      <c r="P200" s="29"/>
      <c r="Q200" s="29"/>
    </row>
    <row r="201" spans="9:17">
      <c r="I201" s="29"/>
      <c r="J201" s="29"/>
      <c r="K201" s="150"/>
      <c r="M201" s="1001"/>
      <c r="N201" s="29"/>
      <c r="P201" s="29"/>
      <c r="Q201" s="29"/>
    </row>
    <row r="202" spans="9:17">
      <c r="I202" s="29"/>
      <c r="J202" s="29"/>
      <c r="K202" s="150"/>
      <c r="M202" s="1001"/>
      <c r="N202" s="29"/>
      <c r="P202" s="29"/>
      <c r="Q202" s="29"/>
    </row>
    <row r="203" spans="9:17">
      <c r="I203" s="29"/>
      <c r="J203" s="29"/>
      <c r="K203" s="150"/>
      <c r="M203" s="1001"/>
      <c r="N203" s="29"/>
      <c r="P203" s="29"/>
      <c r="Q203" s="29"/>
    </row>
    <row r="204" spans="9:17">
      <c r="I204" s="29"/>
      <c r="J204" s="29"/>
      <c r="K204" s="150"/>
      <c r="M204" s="1001"/>
      <c r="N204" s="29"/>
      <c r="P204" s="29"/>
      <c r="Q204" s="29"/>
    </row>
    <row r="205" spans="9:17">
      <c r="I205" s="29"/>
      <c r="J205" s="29"/>
      <c r="K205" s="150"/>
      <c r="M205" s="1001"/>
      <c r="N205" s="29"/>
      <c r="P205" s="29"/>
      <c r="Q205" s="29"/>
    </row>
    <row r="206" spans="9:17">
      <c r="I206" s="29"/>
      <c r="J206" s="29"/>
      <c r="K206" s="150"/>
      <c r="M206" s="1001"/>
      <c r="N206" s="29"/>
      <c r="P206" s="29"/>
      <c r="Q206" s="29"/>
    </row>
    <row r="207" spans="9:17">
      <c r="I207" s="29"/>
      <c r="J207" s="29"/>
      <c r="K207" s="150"/>
      <c r="M207" s="1001"/>
      <c r="N207" s="29"/>
      <c r="P207" s="29"/>
      <c r="Q207" s="29"/>
    </row>
    <row r="208" spans="9:17">
      <c r="I208" s="29"/>
      <c r="J208" s="29"/>
      <c r="K208" s="150"/>
      <c r="M208" s="1001"/>
      <c r="N208" s="29"/>
      <c r="P208" s="29"/>
      <c r="Q208" s="29"/>
    </row>
    <row r="209" spans="9:17">
      <c r="I209" s="29"/>
      <c r="J209" s="29"/>
      <c r="K209" s="150"/>
      <c r="M209" s="1001"/>
      <c r="N209" s="29"/>
      <c r="P209" s="29"/>
      <c r="Q209" s="29"/>
    </row>
    <row r="210" spans="9:17">
      <c r="I210" s="29"/>
      <c r="J210" s="29"/>
      <c r="K210" s="150"/>
      <c r="M210" s="1001"/>
      <c r="N210" s="29"/>
      <c r="P210" s="29"/>
      <c r="Q210" s="29"/>
    </row>
    <row r="211" spans="9:17">
      <c r="I211" s="29"/>
      <c r="J211" s="29"/>
      <c r="K211" s="150"/>
      <c r="M211" s="1001"/>
      <c r="N211" s="29"/>
      <c r="P211" s="29"/>
      <c r="Q211" s="29"/>
    </row>
    <row r="212" spans="9:17">
      <c r="I212" s="29"/>
      <c r="J212" s="29"/>
      <c r="K212" s="150"/>
      <c r="M212" s="1001"/>
      <c r="N212" s="29"/>
      <c r="P212" s="29"/>
      <c r="Q212" s="29"/>
    </row>
    <row r="213" spans="9:17">
      <c r="I213" s="29"/>
      <c r="J213" s="29"/>
      <c r="K213" s="150"/>
      <c r="M213" s="1001"/>
      <c r="N213" s="29"/>
      <c r="P213" s="29"/>
      <c r="Q213" s="29"/>
    </row>
    <row r="214" spans="9:17">
      <c r="I214" s="29"/>
      <c r="J214" s="29"/>
      <c r="K214" s="150"/>
      <c r="M214" s="1001"/>
      <c r="N214" s="29"/>
      <c r="P214" s="29"/>
      <c r="Q214" s="29"/>
    </row>
    <row r="215" spans="9:17">
      <c r="I215" s="29"/>
      <c r="J215" s="29"/>
      <c r="K215" s="150"/>
      <c r="M215" s="1001"/>
      <c r="N215" s="29"/>
      <c r="P215" s="29"/>
      <c r="Q215" s="29"/>
    </row>
    <row r="216" spans="9:17">
      <c r="I216" s="29"/>
      <c r="J216" s="29"/>
      <c r="K216" s="150"/>
      <c r="M216" s="1001"/>
      <c r="N216" s="29"/>
      <c r="P216" s="29"/>
      <c r="Q216" s="29"/>
    </row>
    <row r="217" spans="9:17">
      <c r="I217" s="29"/>
      <c r="J217" s="29"/>
      <c r="K217" s="150"/>
      <c r="M217" s="1001"/>
      <c r="N217" s="29"/>
      <c r="P217" s="29"/>
      <c r="Q217" s="29"/>
    </row>
    <row r="218" spans="9:17">
      <c r="I218" s="29"/>
      <c r="J218" s="29"/>
      <c r="K218" s="150"/>
      <c r="M218" s="1001"/>
      <c r="N218" s="29"/>
      <c r="P218" s="29"/>
      <c r="Q218" s="29"/>
    </row>
    <row r="219" spans="9:17">
      <c r="I219" s="29"/>
      <c r="J219" s="29"/>
      <c r="K219" s="150"/>
      <c r="M219" s="1001"/>
      <c r="N219" s="29"/>
      <c r="P219" s="29"/>
      <c r="Q219" s="29"/>
    </row>
    <row r="220" spans="9:17">
      <c r="I220" s="29"/>
      <c r="J220" s="29"/>
      <c r="K220" s="150"/>
      <c r="M220" s="1001"/>
      <c r="N220" s="29"/>
      <c r="P220" s="29"/>
      <c r="Q220" s="29"/>
    </row>
    <row r="221" spans="9:17">
      <c r="I221" s="29"/>
      <c r="J221" s="29"/>
      <c r="K221" s="150"/>
      <c r="M221" s="1001"/>
      <c r="N221" s="29"/>
      <c r="P221" s="29"/>
      <c r="Q221" s="29"/>
    </row>
    <row r="222" spans="9:17">
      <c r="I222" s="29"/>
      <c r="J222" s="29"/>
      <c r="K222" s="150"/>
      <c r="M222" s="1001"/>
      <c r="N222" s="29"/>
      <c r="P222" s="29"/>
      <c r="Q222" s="29"/>
    </row>
    <row r="223" spans="9:17">
      <c r="I223" s="29"/>
      <c r="J223" s="29"/>
      <c r="K223" s="150"/>
      <c r="M223" s="1001"/>
      <c r="N223" s="29"/>
      <c r="P223" s="29"/>
      <c r="Q223" s="29"/>
    </row>
    <row r="224" spans="9:17">
      <c r="I224" s="29"/>
      <c r="J224" s="29"/>
      <c r="K224" s="150"/>
      <c r="M224" s="1001"/>
      <c r="N224" s="29"/>
      <c r="P224" s="29"/>
      <c r="Q224" s="29"/>
    </row>
    <row r="225" spans="9:17">
      <c r="I225" s="29"/>
      <c r="J225" s="29"/>
      <c r="K225" s="150"/>
      <c r="M225" s="1001"/>
      <c r="N225" s="29"/>
      <c r="P225" s="29"/>
      <c r="Q225" s="29"/>
    </row>
    <row r="226" spans="9:17">
      <c r="I226" s="29"/>
      <c r="J226" s="29"/>
      <c r="K226" s="150"/>
      <c r="M226" s="1001"/>
      <c r="N226" s="29"/>
      <c r="P226" s="29"/>
      <c r="Q226" s="29"/>
    </row>
    <row r="227" spans="9:17">
      <c r="I227" s="29"/>
      <c r="J227" s="29"/>
      <c r="K227" s="150"/>
      <c r="M227" s="1001"/>
      <c r="N227" s="29"/>
      <c r="P227" s="29"/>
      <c r="Q227" s="29"/>
    </row>
    <row r="228" spans="9:17">
      <c r="I228" s="29"/>
      <c r="J228" s="29"/>
      <c r="K228" s="150"/>
      <c r="M228" s="1001"/>
      <c r="N228" s="29"/>
      <c r="P228" s="29"/>
      <c r="Q228" s="29"/>
    </row>
    <row r="229" spans="9:17">
      <c r="I229" s="29"/>
      <c r="J229" s="29"/>
      <c r="K229" s="150"/>
      <c r="M229" s="1001"/>
      <c r="N229" s="29"/>
      <c r="P229" s="29"/>
      <c r="Q229" s="29"/>
    </row>
    <row r="230" spans="9:17">
      <c r="I230" s="29"/>
      <c r="J230" s="29"/>
      <c r="K230" s="150"/>
      <c r="M230" s="1001"/>
      <c r="N230" s="29"/>
      <c r="P230" s="29"/>
      <c r="Q230" s="29"/>
    </row>
    <row r="231" spans="9:17">
      <c r="I231" s="29"/>
      <c r="J231" s="29"/>
      <c r="K231" s="150"/>
      <c r="M231" s="1001"/>
      <c r="N231" s="29"/>
      <c r="P231" s="29"/>
      <c r="Q231" s="29"/>
    </row>
    <row r="232" spans="9:17">
      <c r="I232" s="29"/>
      <c r="J232" s="29"/>
      <c r="K232" s="150"/>
      <c r="M232" s="1001"/>
      <c r="N232" s="29"/>
      <c r="P232" s="29"/>
      <c r="Q232" s="29"/>
    </row>
    <row r="233" spans="9:17">
      <c r="I233" s="29"/>
      <c r="J233" s="29"/>
      <c r="K233" s="150"/>
      <c r="M233" s="1001"/>
      <c r="N233" s="29"/>
      <c r="P233" s="29"/>
      <c r="Q233" s="29"/>
    </row>
    <row r="234" spans="9:17">
      <c r="I234" s="29"/>
      <c r="J234" s="29"/>
      <c r="K234" s="150"/>
      <c r="M234" s="1001"/>
      <c r="N234" s="29"/>
      <c r="P234" s="29"/>
      <c r="Q234" s="29"/>
    </row>
    <row r="235" spans="9:17">
      <c r="I235" s="29"/>
      <c r="J235" s="29"/>
      <c r="K235" s="150"/>
      <c r="M235" s="1001"/>
      <c r="N235" s="29"/>
      <c r="P235" s="29"/>
      <c r="Q235" s="29"/>
    </row>
    <row r="236" spans="9:17">
      <c r="I236" s="29"/>
      <c r="J236" s="29"/>
      <c r="K236" s="150"/>
      <c r="M236" s="1001"/>
      <c r="N236" s="29"/>
      <c r="P236" s="29"/>
      <c r="Q236" s="29"/>
    </row>
    <row r="237" spans="9:17">
      <c r="I237" s="29"/>
      <c r="J237" s="29"/>
      <c r="K237" s="150"/>
      <c r="M237" s="1001"/>
      <c r="N237" s="29"/>
      <c r="P237" s="29"/>
      <c r="Q237" s="29"/>
    </row>
    <row r="238" spans="9:17">
      <c r="I238" s="29"/>
      <c r="J238" s="29"/>
      <c r="K238" s="150"/>
      <c r="M238" s="1001"/>
      <c r="N238" s="29"/>
      <c r="P238" s="29"/>
      <c r="Q238" s="29"/>
    </row>
    <row r="239" spans="9:17">
      <c r="I239" s="29"/>
      <c r="J239" s="29"/>
      <c r="K239" s="150"/>
      <c r="M239" s="1001"/>
      <c r="N239" s="29"/>
      <c r="P239" s="29"/>
      <c r="Q239" s="29"/>
    </row>
    <row r="240" spans="9:17">
      <c r="I240" s="29"/>
      <c r="J240" s="29"/>
      <c r="K240" s="150"/>
      <c r="M240" s="1001"/>
      <c r="N240" s="29"/>
      <c r="P240" s="29"/>
      <c r="Q240" s="29"/>
    </row>
    <row r="241" spans="9:17">
      <c r="I241" s="29"/>
      <c r="J241" s="29"/>
      <c r="K241" s="150"/>
      <c r="M241" s="1001"/>
      <c r="N241" s="29"/>
      <c r="P241" s="29"/>
      <c r="Q241" s="29"/>
    </row>
    <row r="242" spans="9:17">
      <c r="I242" s="29"/>
      <c r="J242" s="29"/>
      <c r="K242" s="150"/>
      <c r="M242" s="1001"/>
      <c r="N242" s="29"/>
      <c r="P242" s="29"/>
      <c r="Q242" s="29"/>
    </row>
    <row r="243" spans="9:17">
      <c r="I243" s="29"/>
      <c r="J243" s="29"/>
      <c r="K243" s="150"/>
      <c r="M243" s="1001"/>
      <c r="N243" s="29"/>
      <c r="P243" s="29"/>
      <c r="Q243" s="29"/>
    </row>
    <row r="244" spans="9:17">
      <c r="I244" s="29"/>
      <c r="J244" s="29"/>
      <c r="K244" s="150"/>
      <c r="M244" s="1001"/>
      <c r="N244" s="29"/>
      <c r="P244" s="29"/>
      <c r="Q244" s="29"/>
    </row>
    <row r="245" spans="9:17">
      <c r="I245" s="29"/>
      <c r="J245" s="29"/>
      <c r="K245" s="150"/>
      <c r="M245" s="1001"/>
      <c r="N245" s="29"/>
      <c r="P245" s="29"/>
      <c r="Q245" s="29"/>
    </row>
    <row r="246" spans="9:17">
      <c r="I246" s="29"/>
      <c r="J246" s="29"/>
      <c r="K246" s="150"/>
      <c r="M246" s="1001"/>
      <c r="N246" s="29"/>
      <c r="P246" s="29"/>
      <c r="Q246" s="29"/>
    </row>
    <row r="247" spans="9:17">
      <c r="I247" s="29"/>
      <c r="J247" s="29"/>
      <c r="K247" s="150"/>
      <c r="M247" s="1001"/>
      <c r="N247" s="29"/>
      <c r="P247" s="29"/>
      <c r="Q247" s="29"/>
    </row>
    <row r="248" spans="9:17">
      <c r="I248" s="29"/>
      <c r="J248" s="29"/>
      <c r="K248" s="150"/>
      <c r="M248" s="1001"/>
      <c r="N248" s="29"/>
      <c r="P248" s="29"/>
      <c r="Q248" s="29"/>
    </row>
    <row r="249" spans="9:17">
      <c r="I249" s="29"/>
      <c r="J249" s="29"/>
      <c r="K249" s="150"/>
      <c r="M249" s="1001"/>
      <c r="N249" s="29"/>
      <c r="P249" s="29"/>
      <c r="Q249" s="29"/>
    </row>
    <row r="250" spans="9:17">
      <c r="I250" s="29"/>
      <c r="J250" s="29"/>
      <c r="K250" s="150"/>
      <c r="M250" s="1001"/>
      <c r="N250" s="29"/>
      <c r="P250" s="29"/>
      <c r="Q250" s="29"/>
    </row>
    <row r="251" spans="9:17">
      <c r="I251" s="29"/>
      <c r="J251" s="29"/>
      <c r="K251" s="150"/>
      <c r="M251" s="1001"/>
      <c r="N251" s="29"/>
      <c r="P251" s="29"/>
      <c r="Q251" s="29"/>
    </row>
    <row r="252" spans="9:17">
      <c r="I252" s="29"/>
      <c r="J252" s="29"/>
      <c r="K252" s="150"/>
      <c r="M252" s="1001"/>
      <c r="N252" s="29"/>
      <c r="P252" s="29"/>
      <c r="Q252" s="29"/>
    </row>
    <row r="253" spans="9:17">
      <c r="I253" s="29"/>
      <c r="J253" s="29"/>
      <c r="K253" s="150"/>
      <c r="M253" s="1001"/>
      <c r="N253" s="29"/>
      <c r="P253" s="29"/>
      <c r="Q253" s="29"/>
    </row>
    <row r="254" spans="9:17">
      <c r="I254" s="29"/>
      <c r="J254" s="29"/>
      <c r="K254" s="150"/>
      <c r="M254" s="1001"/>
      <c r="N254" s="29"/>
      <c r="P254" s="29"/>
      <c r="Q254" s="29"/>
    </row>
    <row r="255" spans="9:17">
      <c r="I255" s="29"/>
      <c r="J255" s="29"/>
      <c r="K255" s="150"/>
      <c r="M255" s="1001"/>
      <c r="N255" s="29"/>
      <c r="P255" s="29"/>
      <c r="Q255" s="29"/>
    </row>
    <row r="256" spans="9:17">
      <c r="I256" s="29"/>
      <c r="J256" s="29"/>
      <c r="K256" s="150"/>
      <c r="M256" s="1001"/>
      <c r="N256" s="29"/>
      <c r="P256" s="29"/>
      <c r="Q256" s="29"/>
    </row>
    <row r="257" spans="9:17">
      <c r="I257" s="29"/>
      <c r="J257" s="29"/>
      <c r="K257" s="150"/>
      <c r="M257" s="1001"/>
      <c r="N257" s="29"/>
      <c r="P257" s="29"/>
      <c r="Q257" s="29"/>
    </row>
    <row r="258" spans="9:17">
      <c r="I258" s="29"/>
      <c r="J258" s="29"/>
      <c r="K258" s="150"/>
      <c r="M258" s="1001"/>
      <c r="N258" s="29"/>
      <c r="P258" s="29"/>
      <c r="Q258" s="29"/>
    </row>
    <row r="259" spans="9:17">
      <c r="I259" s="29"/>
      <c r="J259" s="29"/>
      <c r="K259" s="150"/>
      <c r="M259" s="1001"/>
      <c r="N259" s="29"/>
      <c r="P259" s="29"/>
      <c r="Q259" s="29"/>
    </row>
    <row r="260" spans="9:17">
      <c r="I260" s="29"/>
      <c r="J260" s="29"/>
      <c r="K260" s="150"/>
      <c r="M260" s="1001"/>
      <c r="N260" s="29"/>
      <c r="P260" s="29"/>
      <c r="Q260" s="29"/>
    </row>
    <row r="261" spans="9:17">
      <c r="I261" s="29"/>
      <c r="J261" s="29"/>
      <c r="K261" s="150"/>
      <c r="M261" s="1001"/>
      <c r="N261" s="29"/>
      <c r="P261" s="29"/>
      <c r="Q261" s="29"/>
    </row>
    <row r="262" spans="9:17">
      <c r="I262" s="29"/>
      <c r="J262" s="29"/>
      <c r="K262" s="150"/>
      <c r="M262" s="1001"/>
      <c r="N262" s="29"/>
      <c r="P262" s="29"/>
      <c r="Q262" s="29"/>
    </row>
    <row r="263" spans="9:17">
      <c r="I263" s="29"/>
      <c r="J263" s="29"/>
      <c r="K263" s="150"/>
      <c r="M263" s="1001"/>
      <c r="N263" s="29"/>
      <c r="P263" s="29"/>
      <c r="Q263" s="29"/>
    </row>
    <row r="264" spans="9:17">
      <c r="I264" s="29"/>
      <c r="J264" s="29"/>
      <c r="K264" s="150"/>
      <c r="M264" s="1001"/>
      <c r="N264" s="29"/>
      <c r="P264" s="29"/>
      <c r="Q264" s="29"/>
    </row>
    <row r="265" spans="9:17">
      <c r="I265" s="29"/>
      <c r="J265" s="29"/>
      <c r="K265" s="150"/>
      <c r="M265" s="1001"/>
      <c r="N265" s="29"/>
      <c r="P265" s="29"/>
      <c r="Q265" s="29"/>
    </row>
    <row r="266" spans="9:17">
      <c r="I266" s="29"/>
      <c r="J266" s="29"/>
      <c r="K266" s="150"/>
      <c r="M266" s="1001"/>
      <c r="N266" s="29"/>
      <c r="P266" s="29"/>
      <c r="Q266" s="29"/>
    </row>
    <row r="267" spans="9:17">
      <c r="I267" s="29"/>
      <c r="J267" s="29"/>
      <c r="K267" s="150"/>
      <c r="M267" s="1001"/>
      <c r="N267" s="29"/>
      <c r="P267" s="29"/>
      <c r="Q267" s="29"/>
    </row>
    <row r="268" spans="9:17">
      <c r="I268" s="29"/>
      <c r="J268" s="29"/>
      <c r="K268" s="150"/>
      <c r="M268" s="1001"/>
      <c r="N268" s="29"/>
      <c r="P268" s="29"/>
      <c r="Q268" s="29"/>
    </row>
    <row r="269" spans="9:17">
      <c r="I269" s="29"/>
      <c r="J269" s="29"/>
      <c r="K269" s="150"/>
      <c r="M269" s="1001"/>
      <c r="N269" s="29"/>
      <c r="P269" s="29"/>
      <c r="Q269" s="29"/>
    </row>
    <row r="270" spans="9:17">
      <c r="I270" s="29"/>
      <c r="J270" s="29"/>
      <c r="K270" s="150"/>
      <c r="M270" s="1001"/>
      <c r="N270" s="29"/>
      <c r="P270" s="29"/>
      <c r="Q270" s="29"/>
    </row>
    <row r="271" spans="9:17">
      <c r="I271" s="29"/>
      <c r="J271" s="29"/>
      <c r="K271" s="150"/>
      <c r="M271" s="1001"/>
      <c r="N271" s="29"/>
      <c r="P271" s="29"/>
      <c r="Q271" s="29"/>
    </row>
    <row r="272" spans="9:17">
      <c r="I272" s="29"/>
      <c r="J272" s="29"/>
      <c r="K272" s="150"/>
      <c r="M272" s="1001"/>
      <c r="N272" s="29"/>
      <c r="P272" s="29"/>
      <c r="Q272" s="29"/>
    </row>
    <row r="273" spans="9:17">
      <c r="I273" s="29"/>
      <c r="J273" s="29"/>
      <c r="K273" s="150"/>
      <c r="M273" s="1001"/>
      <c r="N273" s="29"/>
      <c r="P273" s="29"/>
      <c r="Q273" s="29"/>
    </row>
    <row r="274" spans="9:17">
      <c r="I274" s="29"/>
      <c r="J274" s="29"/>
      <c r="K274" s="150"/>
      <c r="M274" s="1001"/>
      <c r="N274" s="29"/>
      <c r="P274" s="29"/>
      <c r="Q274" s="29"/>
    </row>
    <row r="275" spans="9:17">
      <c r="I275" s="29"/>
      <c r="J275" s="29"/>
      <c r="K275" s="150"/>
      <c r="M275" s="1001"/>
      <c r="N275" s="29"/>
      <c r="P275" s="29"/>
      <c r="Q275" s="29"/>
    </row>
    <row r="276" spans="9:17">
      <c r="I276" s="29"/>
      <c r="J276" s="29"/>
      <c r="K276" s="150"/>
      <c r="M276" s="1001"/>
      <c r="N276" s="29"/>
      <c r="P276" s="29"/>
      <c r="Q276" s="29"/>
    </row>
    <row r="277" spans="9:17">
      <c r="I277" s="29"/>
      <c r="J277" s="29"/>
      <c r="K277" s="150"/>
      <c r="M277" s="1001"/>
      <c r="N277" s="29"/>
      <c r="P277" s="29"/>
      <c r="Q277" s="29"/>
    </row>
    <row r="278" spans="9:17">
      <c r="I278" s="29"/>
      <c r="J278" s="29"/>
      <c r="K278" s="150"/>
      <c r="M278" s="1001"/>
      <c r="N278" s="29"/>
      <c r="P278" s="29"/>
      <c r="Q278" s="29"/>
    </row>
    <row r="279" spans="9:17">
      <c r="I279" s="29"/>
      <c r="J279" s="29"/>
      <c r="K279" s="150"/>
      <c r="M279" s="1001"/>
      <c r="N279" s="29"/>
      <c r="P279" s="29"/>
      <c r="Q279" s="29"/>
    </row>
    <row r="280" spans="9:17">
      <c r="I280" s="29"/>
      <c r="J280" s="29"/>
      <c r="K280" s="150"/>
      <c r="M280" s="1001"/>
      <c r="N280" s="29"/>
      <c r="P280" s="29"/>
      <c r="Q280" s="29"/>
    </row>
    <row r="281" spans="9:17">
      <c r="I281" s="29"/>
      <c r="J281" s="29"/>
      <c r="K281" s="150"/>
      <c r="M281" s="1001"/>
      <c r="N281" s="29"/>
      <c r="P281" s="29"/>
      <c r="Q281" s="29"/>
    </row>
    <row r="282" spans="9:17">
      <c r="I282" s="29"/>
      <c r="J282" s="29"/>
      <c r="K282" s="150"/>
      <c r="M282" s="1001"/>
      <c r="N282" s="29"/>
      <c r="P282" s="29"/>
      <c r="Q282" s="29"/>
    </row>
    <row r="283" spans="9:17">
      <c r="I283" s="29"/>
      <c r="J283" s="29"/>
      <c r="K283" s="150"/>
      <c r="M283" s="1001"/>
      <c r="N283" s="29"/>
      <c r="P283" s="29"/>
      <c r="Q283" s="29"/>
    </row>
    <row r="284" spans="9:17">
      <c r="I284" s="29"/>
      <c r="J284" s="29"/>
      <c r="K284" s="150"/>
      <c r="M284" s="1001"/>
      <c r="N284" s="29"/>
      <c r="P284" s="29"/>
      <c r="Q284" s="29"/>
    </row>
    <row r="285" spans="9:17">
      <c r="I285" s="29"/>
      <c r="J285" s="29"/>
      <c r="K285" s="150"/>
      <c r="M285" s="1001"/>
      <c r="N285" s="29"/>
      <c r="P285" s="29"/>
      <c r="Q285" s="29"/>
    </row>
    <row r="286" spans="9:17">
      <c r="I286" s="29"/>
      <c r="J286" s="29"/>
      <c r="K286" s="150"/>
      <c r="M286" s="1001"/>
      <c r="N286" s="29"/>
      <c r="P286" s="29"/>
      <c r="Q286" s="29"/>
    </row>
    <row r="287" spans="9:17">
      <c r="I287" s="29"/>
      <c r="J287" s="29"/>
      <c r="K287" s="150"/>
      <c r="M287" s="1001"/>
      <c r="N287" s="29"/>
      <c r="P287" s="29"/>
      <c r="Q287" s="29"/>
    </row>
    <row r="288" spans="9:17">
      <c r="I288" s="29"/>
      <c r="J288" s="29"/>
      <c r="K288" s="150"/>
      <c r="M288" s="1001"/>
      <c r="N288" s="29"/>
      <c r="P288" s="29"/>
      <c r="Q288" s="29"/>
    </row>
    <row r="289" spans="9:17">
      <c r="I289" s="29"/>
      <c r="J289" s="29"/>
      <c r="K289" s="150"/>
      <c r="M289" s="1001"/>
      <c r="N289" s="29"/>
      <c r="P289" s="29"/>
      <c r="Q289" s="29"/>
    </row>
    <row r="290" spans="9:17">
      <c r="I290" s="29"/>
      <c r="J290" s="29"/>
      <c r="K290" s="150"/>
      <c r="M290" s="1001"/>
      <c r="N290" s="29"/>
      <c r="P290" s="29"/>
      <c r="Q290" s="29"/>
    </row>
    <row r="291" spans="9:17">
      <c r="I291" s="29"/>
      <c r="J291" s="29"/>
      <c r="K291" s="150"/>
      <c r="M291" s="1001"/>
      <c r="N291" s="29"/>
      <c r="P291" s="29"/>
      <c r="Q291" s="29"/>
    </row>
    <row r="292" spans="9:17">
      <c r="I292" s="29"/>
      <c r="J292" s="29"/>
      <c r="K292" s="150"/>
      <c r="M292" s="1001"/>
      <c r="N292" s="29"/>
      <c r="P292" s="29"/>
      <c r="Q292" s="29"/>
    </row>
    <row r="293" spans="9:17">
      <c r="I293" s="29"/>
      <c r="J293" s="29"/>
      <c r="K293" s="150"/>
      <c r="M293" s="1001"/>
      <c r="N293" s="29"/>
      <c r="P293" s="29"/>
      <c r="Q293" s="29"/>
    </row>
    <row r="294" spans="9:17">
      <c r="I294" s="29"/>
      <c r="J294" s="29"/>
      <c r="K294" s="150"/>
      <c r="M294" s="1001"/>
      <c r="N294" s="29"/>
      <c r="P294" s="29"/>
      <c r="Q294" s="29"/>
    </row>
    <row r="295" spans="9:17">
      <c r="I295" s="29"/>
      <c r="J295" s="29"/>
      <c r="K295" s="150"/>
      <c r="M295" s="1001"/>
      <c r="N295" s="29"/>
      <c r="P295" s="29"/>
      <c r="Q295" s="29"/>
    </row>
    <row r="296" spans="9:17">
      <c r="I296" s="29"/>
      <c r="J296" s="29"/>
      <c r="K296" s="150"/>
      <c r="M296" s="1001"/>
      <c r="N296" s="29"/>
      <c r="P296" s="29"/>
      <c r="Q296" s="29"/>
    </row>
    <row r="297" spans="9:17">
      <c r="I297" s="29"/>
      <c r="J297" s="29"/>
      <c r="K297" s="150"/>
      <c r="M297" s="1001"/>
      <c r="N297" s="29"/>
      <c r="P297" s="29"/>
      <c r="Q297" s="29"/>
    </row>
    <row r="298" spans="9:17">
      <c r="I298" s="29"/>
      <c r="J298" s="29"/>
      <c r="K298" s="150"/>
      <c r="M298" s="1001"/>
      <c r="N298" s="29"/>
      <c r="P298" s="29"/>
      <c r="Q298" s="29"/>
    </row>
    <row r="299" spans="9:17">
      <c r="I299" s="29"/>
      <c r="J299" s="29"/>
      <c r="K299" s="150"/>
      <c r="M299" s="1001"/>
      <c r="N299" s="29"/>
      <c r="P299" s="29"/>
      <c r="Q299" s="29"/>
    </row>
    <row r="300" spans="9:17">
      <c r="I300" s="29"/>
      <c r="J300" s="29"/>
      <c r="K300" s="150"/>
      <c r="M300" s="1001"/>
      <c r="N300" s="29"/>
      <c r="P300" s="29"/>
      <c r="Q300" s="29"/>
    </row>
    <row r="301" spans="9:17">
      <c r="I301" s="29"/>
      <c r="J301" s="29"/>
      <c r="K301" s="150"/>
      <c r="M301" s="1001"/>
      <c r="N301" s="29"/>
      <c r="P301" s="29"/>
      <c r="Q301" s="29"/>
    </row>
    <row r="302" spans="9:17">
      <c r="I302" s="29"/>
      <c r="J302" s="29"/>
      <c r="K302" s="150"/>
      <c r="M302" s="1001"/>
      <c r="N302" s="29"/>
      <c r="P302" s="29"/>
      <c r="Q302" s="29"/>
    </row>
    <row r="303" spans="9:17">
      <c r="I303" s="29"/>
      <c r="J303" s="29"/>
      <c r="K303" s="150"/>
      <c r="M303" s="1001"/>
      <c r="N303" s="29"/>
      <c r="P303" s="29"/>
      <c r="Q303" s="29"/>
    </row>
    <row r="304" spans="9:17">
      <c r="I304" s="29"/>
      <c r="J304" s="29"/>
      <c r="K304" s="150"/>
      <c r="M304" s="1001"/>
      <c r="N304" s="29"/>
      <c r="P304" s="29"/>
      <c r="Q304" s="29"/>
    </row>
    <row r="305" spans="9:17">
      <c r="I305" s="29"/>
      <c r="J305" s="29"/>
      <c r="K305" s="150"/>
      <c r="M305" s="1001"/>
      <c r="N305" s="29"/>
      <c r="P305" s="29"/>
      <c r="Q305" s="29"/>
    </row>
    <row r="306" spans="9:17">
      <c r="I306" s="29"/>
      <c r="J306" s="29"/>
      <c r="K306" s="150"/>
      <c r="M306" s="1001"/>
      <c r="N306" s="29"/>
      <c r="P306" s="29"/>
      <c r="Q306" s="29"/>
    </row>
    <row r="307" spans="9:17">
      <c r="I307" s="29"/>
      <c r="J307" s="29"/>
      <c r="K307" s="150"/>
      <c r="M307" s="1001"/>
      <c r="N307" s="29"/>
      <c r="P307" s="29"/>
      <c r="Q307" s="29"/>
    </row>
    <row r="308" spans="9:17">
      <c r="I308" s="29"/>
      <c r="J308" s="29"/>
      <c r="K308" s="150"/>
      <c r="M308" s="1001"/>
      <c r="N308" s="29"/>
      <c r="P308" s="29"/>
      <c r="Q308" s="29"/>
    </row>
    <row r="309" spans="9:17">
      <c r="I309" s="29"/>
      <c r="J309" s="29"/>
      <c r="K309" s="150"/>
      <c r="M309" s="1001"/>
      <c r="N309" s="29"/>
      <c r="P309" s="29"/>
      <c r="Q309" s="29"/>
    </row>
    <row r="310" spans="9:17">
      <c r="I310" s="29"/>
      <c r="J310" s="29"/>
      <c r="K310" s="150"/>
      <c r="M310" s="1001"/>
      <c r="N310" s="29"/>
      <c r="P310" s="29"/>
      <c r="Q310" s="29"/>
    </row>
    <row r="311" spans="9:17">
      <c r="I311" s="29"/>
      <c r="J311" s="29"/>
      <c r="K311" s="150"/>
      <c r="M311" s="1001"/>
      <c r="N311" s="29"/>
      <c r="P311" s="29"/>
      <c r="Q311" s="29"/>
    </row>
    <row r="312" spans="9:17">
      <c r="I312" s="29"/>
      <c r="J312" s="29"/>
      <c r="K312" s="150"/>
      <c r="M312" s="1001"/>
      <c r="N312" s="29"/>
      <c r="P312" s="29"/>
      <c r="Q312" s="29"/>
    </row>
    <row r="313" spans="9:17">
      <c r="I313" s="29"/>
      <c r="J313" s="29"/>
      <c r="K313" s="150"/>
      <c r="M313" s="1001"/>
      <c r="N313" s="29"/>
      <c r="P313" s="29"/>
      <c r="Q313" s="29"/>
    </row>
    <row r="314" spans="9:17">
      <c r="I314" s="29"/>
      <c r="J314" s="29"/>
      <c r="K314" s="150"/>
      <c r="M314" s="1001"/>
      <c r="N314" s="29"/>
      <c r="P314" s="29"/>
      <c r="Q314" s="29"/>
    </row>
    <row r="315" spans="9:17">
      <c r="I315" s="29"/>
      <c r="J315" s="29"/>
      <c r="K315" s="150"/>
      <c r="M315" s="1001"/>
      <c r="N315" s="29"/>
      <c r="P315" s="29"/>
      <c r="Q315" s="29"/>
    </row>
    <row r="316" spans="9:17">
      <c r="I316" s="29"/>
      <c r="J316" s="29"/>
      <c r="K316" s="150"/>
      <c r="M316" s="1001"/>
      <c r="N316" s="29"/>
      <c r="P316" s="29"/>
      <c r="Q316" s="29"/>
    </row>
    <row r="317" spans="9:17">
      <c r="I317" s="29"/>
      <c r="J317" s="29"/>
      <c r="K317" s="150"/>
      <c r="M317" s="1001"/>
      <c r="N317" s="29"/>
      <c r="P317" s="29"/>
      <c r="Q317" s="29"/>
    </row>
    <row r="318" spans="9:17">
      <c r="I318" s="29"/>
      <c r="J318" s="29"/>
      <c r="K318" s="150"/>
      <c r="M318" s="1001"/>
      <c r="N318" s="29"/>
      <c r="P318" s="29"/>
      <c r="Q318" s="29"/>
    </row>
    <row r="319" spans="9:17">
      <c r="I319" s="29"/>
      <c r="J319" s="29"/>
      <c r="K319" s="150"/>
      <c r="M319" s="1001"/>
      <c r="N319" s="29"/>
      <c r="P319" s="29"/>
      <c r="Q319" s="29"/>
    </row>
    <row r="320" spans="9:17">
      <c r="I320" s="29"/>
      <c r="J320" s="29"/>
      <c r="K320" s="150"/>
      <c r="M320" s="1001"/>
      <c r="N320" s="29"/>
      <c r="P320" s="29"/>
      <c r="Q320" s="29"/>
    </row>
    <row r="321" spans="9:17">
      <c r="I321" s="29"/>
      <c r="J321" s="29"/>
      <c r="K321" s="150"/>
      <c r="M321" s="1001"/>
      <c r="N321" s="29"/>
      <c r="P321" s="29"/>
      <c r="Q321" s="29"/>
    </row>
    <row r="322" spans="9:17">
      <c r="I322" s="29"/>
      <c r="J322" s="29"/>
      <c r="K322" s="150"/>
      <c r="M322" s="1001"/>
      <c r="N322" s="29"/>
      <c r="P322" s="29"/>
      <c r="Q322" s="29"/>
    </row>
    <row r="323" spans="9:17">
      <c r="I323" s="29"/>
      <c r="J323" s="29"/>
      <c r="K323" s="150"/>
      <c r="M323" s="1001"/>
      <c r="N323" s="29"/>
      <c r="P323" s="29"/>
      <c r="Q323" s="29"/>
    </row>
    <row r="324" spans="9:17">
      <c r="I324" s="29"/>
      <c r="J324" s="29"/>
      <c r="K324" s="150"/>
      <c r="M324" s="1001"/>
      <c r="N324" s="29"/>
      <c r="P324" s="29"/>
      <c r="Q324" s="29"/>
    </row>
    <row r="325" spans="9:17">
      <c r="I325" s="29"/>
      <c r="J325" s="29"/>
      <c r="K325" s="150"/>
      <c r="M325" s="1001"/>
      <c r="N325" s="29"/>
      <c r="P325" s="29"/>
      <c r="Q325" s="29"/>
    </row>
    <row r="326" spans="9:17">
      <c r="I326" s="29"/>
      <c r="J326" s="29"/>
      <c r="K326" s="150"/>
      <c r="M326" s="1001"/>
      <c r="N326" s="29"/>
      <c r="P326" s="29"/>
      <c r="Q326" s="29"/>
    </row>
    <row r="327" spans="9:17">
      <c r="I327" s="29"/>
      <c r="J327" s="29"/>
      <c r="K327" s="150"/>
      <c r="M327" s="1001"/>
      <c r="N327" s="29"/>
      <c r="P327" s="29"/>
      <c r="Q327" s="29"/>
    </row>
    <row r="328" spans="9:17">
      <c r="I328" s="29"/>
      <c r="J328" s="29"/>
      <c r="K328" s="150"/>
      <c r="M328" s="1001"/>
      <c r="N328" s="29"/>
      <c r="P328" s="29"/>
      <c r="Q328" s="29"/>
    </row>
    <row r="329" spans="9:17">
      <c r="I329" s="29"/>
      <c r="J329" s="29"/>
      <c r="K329" s="150"/>
      <c r="M329" s="1001"/>
      <c r="N329" s="29"/>
      <c r="P329" s="29"/>
      <c r="Q329" s="29"/>
    </row>
    <row r="330" spans="9:17">
      <c r="I330" s="29"/>
      <c r="J330" s="29"/>
      <c r="K330" s="150"/>
      <c r="M330" s="1001"/>
      <c r="N330" s="29"/>
      <c r="P330" s="29"/>
      <c r="Q330" s="29"/>
    </row>
    <row r="331" spans="9:17">
      <c r="I331" s="29"/>
      <c r="J331" s="29"/>
      <c r="K331" s="150"/>
      <c r="M331" s="1001"/>
      <c r="N331" s="29"/>
      <c r="P331" s="29"/>
      <c r="Q331" s="29"/>
    </row>
    <row r="332" spans="9:17">
      <c r="I332" s="29"/>
      <c r="J332" s="29"/>
      <c r="K332" s="150"/>
      <c r="M332" s="1001"/>
      <c r="N332" s="29"/>
      <c r="P332" s="29"/>
      <c r="Q332" s="29"/>
    </row>
    <row r="333" spans="9:17">
      <c r="I333" s="29"/>
      <c r="J333" s="29"/>
      <c r="K333" s="150"/>
      <c r="M333" s="1001"/>
      <c r="N333" s="29"/>
      <c r="P333" s="29"/>
      <c r="Q333" s="29"/>
    </row>
    <row r="334" spans="9:17">
      <c r="I334" s="29"/>
      <c r="J334" s="29"/>
      <c r="K334" s="150"/>
      <c r="M334" s="1001"/>
      <c r="N334" s="29"/>
      <c r="P334" s="29"/>
      <c r="Q334" s="29"/>
    </row>
    <row r="335" spans="9:17">
      <c r="I335" s="29"/>
      <c r="J335" s="29"/>
      <c r="K335" s="150"/>
      <c r="M335" s="1001"/>
      <c r="N335" s="29"/>
      <c r="P335" s="29"/>
      <c r="Q335" s="29"/>
    </row>
    <row r="336" spans="9:17">
      <c r="I336" s="29"/>
      <c r="J336" s="29"/>
      <c r="K336" s="150"/>
      <c r="M336" s="1001"/>
      <c r="N336" s="29"/>
      <c r="P336" s="29"/>
      <c r="Q336" s="29"/>
    </row>
    <row r="337" spans="9:17">
      <c r="I337" s="29"/>
      <c r="J337" s="29"/>
      <c r="K337" s="150"/>
      <c r="M337" s="1001"/>
      <c r="N337" s="29"/>
      <c r="P337" s="29"/>
      <c r="Q337" s="29"/>
    </row>
    <row r="338" spans="9:17">
      <c r="I338" s="29"/>
      <c r="J338" s="29"/>
      <c r="K338" s="150"/>
      <c r="M338" s="1001"/>
      <c r="N338" s="29"/>
      <c r="P338" s="29"/>
      <c r="Q338" s="29"/>
    </row>
    <row r="339" spans="9:17">
      <c r="I339" s="29"/>
      <c r="J339" s="29"/>
      <c r="K339" s="150"/>
      <c r="M339" s="1001"/>
      <c r="N339" s="29"/>
      <c r="P339" s="29"/>
      <c r="Q339" s="29"/>
    </row>
    <row r="340" spans="9:17">
      <c r="I340" s="29"/>
      <c r="J340" s="29"/>
      <c r="K340" s="150"/>
      <c r="M340" s="1001"/>
      <c r="N340" s="29"/>
      <c r="P340" s="29"/>
      <c r="Q340" s="29"/>
    </row>
    <row r="341" spans="9:17">
      <c r="I341" s="29"/>
      <c r="J341" s="29"/>
      <c r="K341" s="150"/>
      <c r="M341" s="1001"/>
      <c r="N341" s="29"/>
      <c r="P341" s="29"/>
      <c r="Q341" s="29"/>
    </row>
    <row r="342" spans="9:17">
      <c r="I342" s="29"/>
      <c r="J342" s="29"/>
      <c r="K342" s="150"/>
      <c r="M342" s="1001"/>
      <c r="N342" s="29"/>
      <c r="P342" s="29"/>
      <c r="Q342" s="29"/>
    </row>
    <row r="343" spans="9:17">
      <c r="I343" s="29"/>
      <c r="J343" s="29"/>
      <c r="K343" s="150"/>
      <c r="M343" s="1001"/>
      <c r="N343" s="29"/>
      <c r="P343" s="29"/>
      <c r="Q343" s="29"/>
    </row>
    <row r="344" spans="9:17">
      <c r="I344" s="29"/>
      <c r="J344" s="29"/>
      <c r="K344" s="150"/>
      <c r="M344" s="1001"/>
      <c r="N344" s="29"/>
      <c r="P344" s="29"/>
      <c r="Q344" s="29"/>
    </row>
    <row r="345" spans="9:17">
      <c r="I345" s="29"/>
      <c r="J345" s="29"/>
      <c r="K345" s="150"/>
      <c r="M345" s="1001"/>
      <c r="N345" s="29"/>
      <c r="P345" s="29"/>
      <c r="Q345" s="29"/>
    </row>
    <row r="346" spans="9:17">
      <c r="I346" s="29"/>
      <c r="J346" s="29"/>
      <c r="K346" s="150"/>
      <c r="M346" s="1001"/>
      <c r="N346" s="29"/>
      <c r="P346" s="29"/>
      <c r="Q346" s="29"/>
    </row>
    <row r="347" spans="9:17">
      <c r="I347" s="29"/>
      <c r="J347" s="29"/>
      <c r="K347" s="150"/>
      <c r="M347" s="1001"/>
      <c r="N347" s="29"/>
      <c r="P347" s="29"/>
      <c r="Q347" s="29"/>
    </row>
    <row r="348" spans="9:17">
      <c r="I348" s="29"/>
      <c r="J348" s="29"/>
      <c r="K348" s="150"/>
      <c r="M348" s="1001"/>
      <c r="N348" s="29"/>
      <c r="P348" s="29"/>
      <c r="Q348" s="29"/>
    </row>
    <row r="349" spans="9:17">
      <c r="I349" s="29"/>
      <c r="J349" s="29"/>
      <c r="K349" s="150"/>
      <c r="M349" s="1001"/>
      <c r="N349" s="29"/>
      <c r="P349" s="29"/>
      <c r="Q349" s="29"/>
    </row>
    <row r="350" spans="9:17">
      <c r="I350" s="29"/>
      <c r="J350" s="29"/>
      <c r="K350" s="150"/>
      <c r="M350" s="1001"/>
      <c r="N350" s="29"/>
      <c r="P350" s="29"/>
      <c r="Q350" s="29"/>
    </row>
    <row r="351" spans="9:17">
      <c r="I351" s="29"/>
      <c r="J351" s="29"/>
      <c r="K351" s="150"/>
      <c r="M351" s="1001"/>
      <c r="N351" s="29"/>
      <c r="P351" s="29"/>
      <c r="Q351" s="29"/>
    </row>
    <row r="352" spans="9:17">
      <c r="I352" s="29"/>
      <c r="J352" s="29"/>
      <c r="K352" s="150"/>
      <c r="M352" s="1001"/>
      <c r="N352" s="29"/>
      <c r="P352" s="29"/>
      <c r="Q352" s="29"/>
    </row>
    <row r="353" spans="9:17">
      <c r="I353" s="29"/>
      <c r="J353" s="29"/>
      <c r="K353" s="150"/>
      <c r="M353" s="1001"/>
      <c r="N353" s="29"/>
      <c r="P353" s="29"/>
      <c r="Q353" s="29"/>
    </row>
    <row r="354" spans="9:17">
      <c r="I354" s="29"/>
      <c r="J354" s="29"/>
      <c r="K354" s="150"/>
      <c r="M354" s="1001"/>
      <c r="N354" s="29"/>
      <c r="P354" s="29"/>
      <c r="Q354" s="29"/>
    </row>
    <row r="355" spans="9:17">
      <c r="I355" s="29"/>
      <c r="J355" s="29"/>
      <c r="K355" s="150"/>
      <c r="M355" s="1001"/>
      <c r="N355" s="29"/>
      <c r="P355" s="29"/>
      <c r="Q355" s="29"/>
    </row>
    <row r="356" spans="9:17">
      <c r="I356" s="29"/>
      <c r="J356" s="29"/>
      <c r="K356" s="150"/>
      <c r="M356" s="1001"/>
      <c r="N356" s="29"/>
      <c r="P356" s="29"/>
      <c r="Q356" s="29"/>
    </row>
    <row r="357" spans="9:17">
      <c r="I357" s="29"/>
      <c r="J357" s="29"/>
      <c r="K357" s="150"/>
      <c r="M357" s="1001"/>
      <c r="N357" s="29"/>
      <c r="P357" s="29"/>
      <c r="Q357" s="29"/>
    </row>
    <row r="358" spans="9:17">
      <c r="I358" s="29"/>
      <c r="J358" s="29"/>
      <c r="K358" s="150"/>
      <c r="M358" s="1001"/>
      <c r="N358" s="29"/>
      <c r="P358" s="29"/>
      <c r="Q358" s="29"/>
    </row>
    <row r="359" spans="9:17">
      <c r="I359" s="29"/>
      <c r="J359" s="29"/>
      <c r="K359" s="150"/>
      <c r="M359" s="1001"/>
      <c r="N359" s="29"/>
      <c r="P359" s="29"/>
      <c r="Q359" s="29"/>
    </row>
    <row r="360" spans="9:17">
      <c r="I360" s="29"/>
      <c r="J360" s="29"/>
      <c r="K360" s="150"/>
      <c r="M360" s="1001"/>
      <c r="N360" s="29"/>
      <c r="P360" s="29"/>
      <c r="Q360" s="29"/>
    </row>
    <row r="361" spans="9:17">
      <c r="I361" s="29"/>
      <c r="J361" s="29"/>
      <c r="K361" s="150"/>
      <c r="M361" s="1001"/>
      <c r="N361" s="29"/>
      <c r="P361" s="29"/>
      <c r="Q361" s="29"/>
    </row>
    <row r="362" spans="9:17">
      <c r="I362" s="29"/>
      <c r="J362" s="29"/>
      <c r="K362" s="150"/>
      <c r="M362" s="1001"/>
      <c r="N362" s="29"/>
      <c r="P362" s="29"/>
      <c r="Q362" s="29"/>
    </row>
    <row r="363" spans="9:17">
      <c r="I363" s="29"/>
      <c r="J363" s="29"/>
      <c r="K363" s="150"/>
      <c r="M363" s="1001"/>
      <c r="N363" s="29"/>
      <c r="P363" s="29"/>
      <c r="Q363" s="29"/>
    </row>
    <row r="364" spans="9:17">
      <c r="I364" s="29"/>
      <c r="J364" s="29"/>
      <c r="K364" s="150"/>
      <c r="M364" s="1001"/>
      <c r="N364" s="29"/>
      <c r="P364" s="29"/>
      <c r="Q364" s="29"/>
    </row>
    <row r="365" spans="9:17">
      <c r="I365" s="29"/>
      <c r="J365" s="29"/>
      <c r="K365" s="150"/>
      <c r="M365" s="1001"/>
      <c r="N365" s="29"/>
      <c r="P365" s="29"/>
      <c r="Q365" s="29"/>
    </row>
    <row r="366" spans="9:17">
      <c r="I366" s="29"/>
      <c r="J366" s="29"/>
      <c r="K366" s="150"/>
      <c r="M366" s="1001"/>
      <c r="N366" s="29"/>
      <c r="P366" s="29"/>
      <c r="Q366" s="29"/>
    </row>
    <row r="367" spans="9:17">
      <c r="I367" s="29"/>
      <c r="J367" s="29"/>
      <c r="K367" s="150"/>
      <c r="M367" s="1001"/>
      <c r="N367" s="29"/>
      <c r="P367" s="29"/>
      <c r="Q367" s="29"/>
    </row>
    <row r="368" spans="9:17">
      <c r="I368" s="29"/>
      <c r="J368" s="29"/>
      <c r="K368" s="150"/>
      <c r="M368" s="1001"/>
      <c r="N368" s="29"/>
      <c r="P368" s="29"/>
      <c r="Q368" s="29"/>
    </row>
    <row r="369" spans="9:17">
      <c r="I369" s="29"/>
      <c r="J369" s="29"/>
      <c r="K369" s="150"/>
      <c r="M369" s="1001"/>
      <c r="N369" s="29"/>
      <c r="P369" s="29"/>
      <c r="Q369" s="29"/>
    </row>
    <row r="370" spans="9:17">
      <c r="I370" s="29"/>
      <c r="J370" s="29"/>
      <c r="K370" s="150"/>
      <c r="M370" s="1001"/>
      <c r="N370" s="29"/>
      <c r="P370" s="29"/>
      <c r="Q370" s="29"/>
    </row>
    <row r="371" spans="9:17">
      <c r="I371" s="29"/>
      <c r="J371" s="29"/>
      <c r="K371" s="150"/>
      <c r="M371" s="1001"/>
      <c r="N371" s="29"/>
      <c r="P371" s="29"/>
      <c r="Q371" s="29"/>
    </row>
    <row r="372" spans="9:17">
      <c r="I372" s="29"/>
      <c r="J372" s="29"/>
      <c r="K372" s="150"/>
      <c r="M372" s="1001"/>
      <c r="N372" s="29"/>
      <c r="P372" s="29"/>
      <c r="Q372" s="29"/>
    </row>
    <row r="373" spans="9:17">
      <c r="I373" s="29"/>
      <c r="J373" s="29"/>
      <c r="K373" s="150"/>
      <c r="M373" s="1001"/>
      <c r="N373" s="29"/>
      <c r="P373" s="29"/>
      <c r="Q373" s="29"/>
    </row>
    <row r="374" spans="9:17">
      <c r="I374" s="29"/>
      <c r="J374" s="29"/>
      <c r="K374" s="150"/>
      <c r="M374" s="1001"/>
      <c r="N374" s="29"/>
      <c r="P374" s="29"/>
      <c r="Q374" s="29"/>
    </row>
    <row r="375" spans="9:17">
      <c r="I375" s="29"/>
      <c r="J375" s="29"/>
      <c r="K375" s="150"/>
      <c r="M375" s="1001"/>
      <c r="N375" s="29"/>
      <c r="P375" s="29"/>
      <c r="Q375" s="29"/>
    </row>
    <row r="376" spans="9:17">
      <c r="I376" s="29"/>
      <c r="J376" s="29"/>
      <c r="K376" s="150"/>
      <c r="M376" s="1001"/>
      <c r="N376" s="29"/>
      <c r="P376" s="29"/>
      <c r="Q376" s="29"/>
    </row>
    <row r="377" spans="9:17">
      <c r="I377" s="29"/>
      <c r="J377" s="29"/>
      <c r="K377" s="150"/>
      <c r="M377" s="1001"/>
      <c r="N377" s="29"/>
      <c r="P377" s="29"/>
      <c r="Q377" s="29"/>
    </row>
    <row r="378" spans="9:17">
      <c r="I378" s="29"/>
      <c r="J378" s="29"/>
      <c r="K378" s="150"/>
      <c r="M378" s="1001"/>
      <c r="N378" s="29"/>
      <c r="P378" s="29"/>
      <c r="Q378" s="29"/>
    </row>
    <row r="379" spans="9:17">
      <c r="I379" s="29"/>
      <c r="J379" s="29"/>
      <c r="K379" s="150"/>
      <c r="M379" s="1001"/>
      <c r="N379" s="29"/>
      <c r="P379" s="29"/>
      <c r="Q379" s="29"/>
    </row>
    <row r="380" spans="9:17">
      <c r="I380" s="29"/>
      <c r="J380" s="29"/>
      <c r="K380" s="150"/>
      <c r="M380" s="1001"/>
      <c r="N380" s="29"/>
      <c r="P380" s="29"/>
      <c r="Q380" s="29"/>
    </row>
    <row r="381" spans="9:17">
      <c r="I381" s="29"/>
      <c r="J381" s="29"/>
      <c r="K381" s="150"/>
      <c r="M381" s="1001"/>
      <c r="N381" s="29"/>
      <c r="P381" s="29"/>
      <c r="Q381" s="29"/>
    </row>
    <row r="382" spans="9:17">
      <c r="I382" s="29"/>
      <c r="J382" s="29"/>
      <c r="K382" s="150"/>
      <c r="M382" s="1001"/>
      <c r="N382" s="29"/>
      <c r="P382" s="29"/>
      <c r="Q382" s="29"/>
    </row>
    <row r="383" spans="9:17">
      <c r="I383" s="29"/>
      <c r="J383" s="29"/>
      <c r="K383" s="150"/>
      <c r="M383" s="1001"/>
      <c r="N383" s="29"/>
      <c r="P383" s="29"/>
      <c r="Q383" s="29"/>
    </row>
    <row r="384" spans="9:17">
      <c r="I384" s="29"/>
      <c r="J384" s="29"/>
      <c r="K384" s="150"/>
      <c r="M384" s="1001"/>
      <c r="N384" s="29"/>
      <c r="P384" s="29"/>
      <c r="Q384" s="29"/>
    </row>
    <row r="385" spans="9:17">
      <c r="I385" s="29"/>
      <c r="J385" s="29"/>
      <c r="K385" s="150"/>
      <c r="M385" s="1001"/>
      <c r="N385" s="29"/>
      <c r="P385" s="29"/>
      <c r="Q385" s="29"/>
    </row>
    <row r="386" spans="9:17">
      <c r="I386" s="29"/>
      <c r="J386" s="29"/>
      <c r="K386" s="150"/>
      <c r="M386" s="1001"/>
      <c r="N386" s="29"/>
      <c r="P386" s="29"/>
      <c r="Q386" s="29"/>
    </row>
    <row r="387" spans="9:17">
      <c r="I387" s="29"/>
      <c r="J387" s="29"/>
      <c r="K387" s="150"/>
      <c r="M387" s="1001"/>
      <c r="N387" s="29"/>
      <c r="P387" s="29"/>
      <c r="Q387" s="29"/>
    </row>
    <row r="388" spans="9:17">
      <c r="I388" s="29"/>
      <c r="J388" s="29"/>
      <c r="K388" s="150"/>
      <c r="M388" s="1001"/>
      <c r="N388" s="29"/>
      <c r="P388" s="29"/>
      <c r="Q388" s="29"/>
    </row>
    <row r="389" spans="9:17">
      <c r="I389" s="29"/>
      <c r="J389" s="29"/>
      <c r="K389" s="150"/>
      <c r="M389" s="1001"/>
      <c r="N389" s="29"/>
      <c r="P389" s="29"/>
      <c r="Q389" s="29"/>
    </row>
    <row r="390" spans="9:17">
      <c r="I390" s="29"/>
      <c r="J390" s="29"/>
      <c r="K390" s="150"/>
      <c r="M390" s="1001"/>
      <c r="N390" s="29"/>
      <c r="P390" s="29"/>
      <c r="Q390" s="29"/>
    </row>
    <row r="391" spans="9:17">
      <c r="I391" s="29"/>
      <c r="J391" s="29"/>
      <c r="K391" s="150"/>
      <c r="M391" s="1001"/>
      <c r="N391" s="29"/>
      <c r="P391" s="29"/>
      <c r="Q391" s="29"/>
    </row>
    <row r="392" spans="9:17">
      <c r="I392" s="29"/>
      <c r="J392" s="29"/>
      <c r="K392" s="150"/>
      <c r="M392" s="1001"/>
      <c r="N392" s="29"/>
      <c r="P392" s="29"/>
      <c r="Q392" s="29"/>
    </row>
    <row r="393" spans="9:17">
      <c r="I393" s="29"/>
      <c r="J393" s="29"/>
      <c r="K393" s="150"/>
      <c r="M393" s="1001"/>
      <c r="N393" s="29"/>
      <c r="P393" s="29"/>
      <c r="Q393" s="29"/>
    </row>
    <row r="394" spans="9:17">
      <c r="I394" s="29"/>
      <c r="J394" s="29"/>
      <c r="K394" s="150"/>
      <c r="M394" s="1001"/>
      <c r="N394" s="29"/>
      <c r="P394" s="29"/>
      <c r="Q394" s="29"/>
    </row>
    <row r="395" spans="9:17">
      <c r="I395" s="29"/>
      <c r="J395" s="29"/>
      <c r="K395" s="150"/>
      <c r="M395" s="1001"/>
      <c r="N395" s="29"/>
      <c r="P395" s="29"/>
      <c r="Q395" s="29"/>
    </row>
    <row r="396" spans="9:17">
      <c r="I396" s="29"/>
      <c r="J396" s="29"/>
      <c r="K396" s="150"/>
      <c r="M396" s="1001"/>
      <c r="N396" s="29"/>
      <c r="P396" s="29"/>
      <c r="Q396" s="29"/>
    </row>
    <row r="397" spans="9:17">
      <c r="I397" s="29"/>
      <c r="J397" s="29"/>
      <c r="K397" s="150"/>
      <c r="M397" s="1001"/>
      <c r="N397" s="29"/>
      <c r="P397" s="29"/>
      <c r="Q397" s="29"/>
    </row>
    <row r="398" spans="9:17">
      <c r="I398" s="29"/>
      <c r="J398" s="29"/>
      <c r="K398" s="150"/>
      <c r="M398" s="1001"/>
      <c r="N398" s="29"/>
      <c r="P398" s="29"/>
      <c r="Q398" s="29"/>
    </row>
    <row r="399" spans="9:17">
      <c r="I399" s="29"/>
      <c r="J399" s="29"/>
      <c r="K399" s="150"/>
      <c r="M399" s="1001"/>
      <c r="N399" s="29"/>
      <c r="P399" s="29"/>
      <c r="Q399" s="29"/>
    </row>
    <row r="400" spans="9:17">
      <c r="I400" s="29"/>
      <c r="J400" s="29"/>
      <c r="K400" s="150"/>
      <c r="M400" s="1001"/>
      <c r="N400" s="29"/>
      <c r="P400" s="29"/>
      <c r="Q400" s="29"/>
    </row>
    <row r="401" spans="9:17">
      <c r="I401" s="29"/>
      <c r="J401" s="29"/>
      <c r="K401" s="150"/>
      <c r="M401" s="1001"/>
      <c r="N401" s="29"/>
      <c r="P401" s="29"/>
      <c r="Q401" s="29"/>
    </row>
    <row r="402" spans="9:17">
      <c r="I402" s="29"/>
      <c r="J402" s="29"/>
      <c r="K402" s="150"/>
      <c r="M402" s="1001"/>
      <c r="N402" s="29"/>
      <c r="P402" s="29"/>
      <c r="Q402" s="29"/>
    </row>
    <row r="403" spans="9:17">
      <c r="I403" s="29"/>
      <c r="J403" s="29"/>
      <c r="K403" s="150"/>
      <c r="M403" s="1001"/>
      <c r="N403" s="29"/>
      <c r="P403" s="29"/>
      <c r="Q403" s="29"/>
    </row>
    <row r="404" spans="9:17">
      <c r="I404" s="29"/>
      <c r="J404" s="29"/>
      <c r="K404" s="150"/>
      <c r="M404" s="1001"/>
      <c r="N404" s="29"/>
      <c r="P404" s="29"/>
      <c r="Q404" s="29"/>
    </row>
    <row r="405" spans="9:17">
      <c r="I405" s="29"/>
      <c r="J405" s="29"/>
      <c r="K405" s="150"/>
      <c r="M405" s="1001"/>
      <c r="N405" s="29"/>
      <c r="P405" s="29"/>
      <c r="Q405" s="29"/>
    </row>
    <row r="406" spans="9:17">
      <c r="I406" s="29"/>
      <c r="J406" s="29"/>
      <c r="K406" s="150"/>
      <c r="M406" s="1001"/>
      <c r="N406" s="29"/>
      <c r="P406" s="29"/>
      <c r="Q406" s="29"/>
    </row>
    <row r="407" spans="9:17">
      <c r="I407" s="29"/>
      <c r="J407" s="29"/>
      <c r="K407" s="150"/>
      <c r="M407" s="1001"/>
      <c r="N407" s="29"/>
      <c r="P407" s="29"/>
      <c r="Q407" s="29"/>
    </row>
    <row r="408" spans="9:17">
      <c r="I408" s="29"/>
      <c r="J408" s="29"/>
      <c r="K408" s="150"/>
      <c r="M408" s="1001"/>
      <c r="N408" s="29"/>
      <c r="P408" s="29"/>
      <c r="Q408" s="29"/>
    </row>
    <row r="409" spans="9:17">
      <c r="I409" s="29"/>
      <c r="J409" s="29"/>
      <c r="K409" s="150"/>
      <c r="M409" s="1001"/>
      <c r="N409" s="29"/>
      <c r="P409" s="29"/>
      <c r="Q409" s="29"/>
    </row>
    <row r="410" spans="9:17">
      <c r="I410" s="29"/>
      <c r="J410" s="29"/>
      <c r="K410" s="150"/>
      <c r="M410" s="1001"/>
      <c r="N410" s="29"/>
      <c r="P410" s="29"/>
      <c r="Q410" s="29"/>
    </row>
    <row r="411" spans="9:17">
      <c r="I411" s="29"/>
      <c r="J411" s="29"/>
      <c r="K411" s="150"/>
      <c r="M411" s="1001"/>
      <c r="N411" s="29"/>
      <c r="P411" s="29"/>
      <c r="Q411" s="29"/>
    </row>
    <row r="412" spans="9:17">
      <c r="I412" s="29"/>
      <c r="J412" s="29"/>
      <c r="K412" s="150"/>
      <c r="M412" s="1001"/>
      <c r="N412" s="29"/>
      <c r="P412" s="29"/>
      <c r="Q412" s="29"/>
    </row>
    <row r="413" spans="9:17">
      <c r="I413" s="29"/>
      <c r="J413" s="29"/>
      <c r="K413" s="150"/>
      <c r="M413" s="1001"/>
      <c r="N413" s="29"/>
      <c r="P413" s="29"/>
      <c r="Q413" s="29"/>
    </row>
    <row r="414" spans="9:17">
      <c r="I414" s="29"/>
      <c r="J414" s="29"/>
      <c r="K414" s="150"/>
      <c r="M414" s="1001"/>
      <c r="N414" s="29"/>
      <c r="P414" s="29"/>
      <c r="Q414" s="29"/>
    </row>
    <row r="415" spans="9:17">
      <c r="I415" s="29"/>
      <c r="J415" s="29"/>
      <c r="K415" s="150"/>
      <c r="M415" s="1001"/>
      <c r="N415" s="29"/>
      <c r="P415" s="29"/>
      <c r="Q415" s="29"/>
    </row>
    <row r="416" spans="9:17">
      <c r="I416" s="29"/>
      <c r="J416" s="29"/>
      <c r="K416" s="150"/>
      <c r="M416" s="1001"/>
      <c r="N416" s="29"/>
      <c r="P416" s="29"/>
      <c r="Q416" s="29"/>
    </row>
    <row r="417" spans="9:17">
      <c r="I417" s="29"/>
      <c r="J417" s="29"/>
      <c r="K417" s="150"/>
      <c r="M417" s="1001"/>
      <c r="N417" s="29"/>
      <c r="P417" s="29"/>
      <c r="Q417" s="29"/>
    </row>
    <row r="418" spans="9:17">
      <c r="I418" s="29"/>
      <c r="J418" s="29"/>
      <c r="K418" s="150"/>
      <c r="M418" s="1001"/>
      <c r="N418" s="29"/>
      <c r="P418" s="29"/>
      <c r="Q418" s="29"/>
    </row>
    <row r="419" spans="9:17">
      <c r="I419" s="29"/>
      <c r="J419" s="29"/>
      <c r="K419" s="150"/>
      <c r="M419" s="1001"/>
      <c r="N419" s="29"/>
      <c r="P419" s="29"/>
      <c r="Q419" s="29"/>
    </row>
    <row r="420" spans="9:17">
      <c r="I420" s="29"/>
      <c r="J420" s="29"/>
      <c r="K420" s="150"/>
      <c r="M420" s="1001"/>
      <c r="N420" s="29"/>
      <c r="P420" s="29"/>
      <c r="Q420" s="29"/>
    </row>
    <row r="421" spans="9:17">
      <c r="I421" s="29"/>
      <c r="J421" s="29"/>
      <c r="K421" s="150"/>
      <c r="M421" s="1001"/>
      <c r="N421" s="29"/>
      <c r="P421" s="29"/>
      <c r="Q421" s="29"/>
    </row>
    <row r="422" spans="9:17">
      <c r="I422" s="29"/>
      <c r="J422" s="29"/>
      <c r="K422" s="150"/>
      <c r="M422" s="1001"/>
      <c r="N422" s="29"/>
      <c r="P422" s="29"/>
      <c r="Q422" s="29"/>
    </row>
    <row r="423" spans="9:17">
      <c r="I423" s="29"/>
      <c r="J423" s="29"/>
      <c r="K423" s="150"/>
      <c r="M423" s="1001"/>
      <c r="N423" s="29"/>
      <c r="P423" s="29"/>
      <c r="Q423" s="29"/>
    </row>
    <row r="424" spans="9:17">
      <c r="I424" s="29"/>
      <c r="J424" s="29"/>
      <c r="K424" s="150"/>
      <c r="M424" s="1001"/>
      <c r="N424" s="29"/>
      <c r="P424" s="29"/>
      <c r="Q424" s="29"/>
    </row>
    <row r="425" spans="9:17">
      <c r="I425" s="29"/>
      <c r="J425" s="29"/>
      <c r="K425" s="150"/>
      <c r="M425" s="1001"/>
      <c r="N425" s="29"/>
      <c r="P425" s="29"/>
      <c r="Q425" s="29"/>
    </row>
    <row r="426" spans="9:17">
      <c r="I426" s="29"/>
      <c r="J426" s="29"/>
      <c r="K426" s="150"/>
      <c r="M426" s="1001"/>
      <c r="N426" s="29"/>
      <c r="P426" s="29"/>
      <c r="Q426" s="29"/>
    </row>
    <row r="427" spans="9:17">
      <c r="I427" s="29"/>
      <c r="J427" s="29"/>
      <c r="K427" s="150"/>
      <c r="M427" s="1001"/>
      <c r="N427" s="29"/>
      <c r="P427" s="29"/>
      <c r="Q427" s="29"/>
    </row>
    <row r="428" spans="9:17">
      <c r="I428" s="29"/>
      <c r="J428" s="29"/>
      <c r="K428" s="150"/>
      <c r="M428" s="1001"/>
      <c r="N428" s="29"/>
      <c r="P428" s="29"/>
      <c r="Q428" s="29"/>
    </row>
    <row r="429" spans="9:17">
      <c r="I429" s="29"/>
      <c r="J429" s="29"/>
      <c r="K429" s="150"/>
      <c r="M429" s="1001"/>
      <c r="N429" s="29"/>
      <c r="P429" s="29"/>
      <c r="Q429" s="29"/>
    </row>
    <row r="430" spans="9:17">
      <c r="I430" s="29"/>
      <c r="J430" s="29"/>
      <c r="K430" s="150"/>
      <c r="M430" s="1001"/>
      <c r="N430" s="29"/>
      <c r="P430" s="29"/>
      <c r="Q430" s="29"/>
    </row>
    <row r="431" spans="9:17">
      <c r="I431" s="29"/>
      <c r="J431" s="29"/>
      <c r="K431" s="150"/>
      <c r="M431" s="1001"/>
      <c r="N431" s="29"/>
      <c r="P431" s="29"/>
      <c r="Q431" s="29"/>
    </row>
    <row r="432" spans="9:17">
      <c r="I432" s="29"/>
      <c r="J432" s="29"/>
      <c r="K432" s="150"/>
      <c r="M432" s="1001"/>
      <c r="N432" s="29"/>
      <c r="P432" s="29"/>
      <c r="Q432" s="29"/>
    </row>
    <row r="433" spans="9:17">
      <c r="I433" s="29"/>
      <c r="J433" s="29"/>
      <c r="K433" s="150"/>
      <c r="M433" s="1001"/>
      <c r="N433" s="29"/>
      <c r="P433" s="29"/>
      <c r="Q433" s="29"/>
    </row>
    <row r="434" spans="9:17">
      <c r="I434" s="29"/>
      <c r="J434" s="29"/>
      <c r="K434" s="150"/>
      <c r="M434" s="1001"/>
      <c r="N434" s="29"/>
      <c r="P434" s="29"/>
      <c r="Q434" s="29"/>
    </row>
    <row r="435" spans="9:17">
      <c r="I435" s="29"/>
      <c r="J435" s="29"/>
      <c r="K435" s="150"/>
      <c r="M435" s="1001"/>
      <c r="N435" s="29"/>
      <c r="P435" s="29"/>
      <c r="Q435" s="29"/>
    </row>
    <row r="436" spans="9:17">
      <c r="I436" s="29"/>
      <c r="J436" s="29"/>
      <c r="K436" s="150"/>
      <c r="M436" s="1001"/>
      <c r="N436" s="29"/>
      <c r="P436" s="29"/>
      <c r="Q436" s="29"/>
    </row>
    <row r="437" spans="9:17">
      <c r="I437" s="29"/>
      <c r="J437" s="29"/>
      <c r="K437" s="150"/>
      <c r="M437" s="1001"/>
      <c r="N437" s="29"/>
      <c r="P437" s="29"/>
      <c r="Q437" s="29"/>
    </row>
    <row r="438" spans="9:17">
      <c r="I438" s="29"/>
      <c r="J438" s="29"/>
      <c r="K438" s="150"/>
      <c r="M438" s="1001"/>
      <c r="N438" s="29"/>
      <c r="P438" s="29"/>
      <c r="Q438" s="29"/>
    </row>
    <row r="439" spans="9:17">
      <c r="I439" s="29"/>
      <c r="J439" s="29"/>
      <c r="K439" s="150"/>
      <c r="M439" s="1001"/>
      <c r="N439" s="29"/>
      <c r="P439" s="29"/>
      <c r="Q439" s="29"/>
    </row>
    <row r="440" spans="9:17">
      <c r="I440" s="29"/>
      <c r="J440" s="29"/>
      <c r="K440" s="150"/>
      <c r="M440" s="1001"/>
      <c r="N440" s="29"/>
      <c r="P440" s="29"/>
      <c r="Q440" s="29"/>
    </row>
    <row r="441" spans="9:17">
      <c r="I441" s="29"/>
      <c r="J441" s="29"/>
      <c r="K441" s="150"/>
      <c r="M441" s="1001"/>
      <c r="N441" s="29"/>
      <c r="P441" s="29"/>
      <c r="Q441" s="29"/>
    </row>
    <row r="442" spans="9:17">
      <c r="I442" s="29"/>
      <c r="J442" s="29"/>
      <c r="K442" s="150"/>
      <c r="M442" s="1001"/>
      <c r="N442" s="29"/>
      <c r="P442" s="29"/>
      <c r="Q442" s="29"/>
    </row>
    <row r="443" spans="9:17">
      <c r="I443" s="29"/>
      <c r="J443" s="29"/>
      <c r="K443" s="150"/>
      <c r="M443" s="1001"/>
      <c r="N443" s="29"/>
      <c r="P443" s="29"/>
      <c r="Q443" s="29"/>
    </row>
    <row r="444" spans="9:17">
      <c r="I444" s="29"/>
      <c r="J444" s="29"/>
      <c r="K444" s="150"/>
      <c r="M444" s="1001"/>
      <c r="N444" s="29"/>
      <c r="P444" s="29"/>
      <c r="Q444" s="29"/>
    </row>
    <row r="445" spans="9:17">
      <c r="I445" s="29"/>
      <c r="J445" s="29"/>
      <c r="K445" s="150"/>
      <c r="M445" s="1001"/>
      <c r="N445" s="29"/>
      <c r="P445" s="29"/>
      <c r="Q445" s="29"/>
    </row>
    <row r="446" spans="9:17">
      <c r="I446" s="29"/>
      <c r="J446" s="29"/>
      <c r="K446" s="150"/>
      <c r="M446" s="1001"/>
      <c r="N446" s="29"/>
      <c r="P446" s="29"/>
      <c r="Q446" s="29"/>
    </row>
    <row r="447" spans="9:17">
      <c r="I447" s="29"/>
      <c r="J447" s="29"/>
      <c r="K447" s="150"/>
      <c r="M447" s="1001"/>
      <c r="N447" s="29"/>
      <c r="P447" s="29"/>
      <c r="Q447" s="29"/>
    </row>
    <row r="448" spans="9:17">
      <c r="I448" s="29"/>
      <c r="J448" s="29"/>
      <c r="K448" s="150"/>
      <c r="M448" s="1001"/>
      <c r="N448" s="29"/>
      <c r="P448" s="29"/>
      <c r="Q448" s="29"/>
    </row>
    <row r="449" spans="9:17">
      <c r="I449" s="29"/>
      <c r="J449" s="29"/>
      <c r="K449" s="150"/>
      <c r="M449" s="1001"/>
      <c r="N449" s="29"/>
      <c r="P449" s="29"/>
      <c r="Q449" s="29"/>
    </row>
    <row r="450" spans="9:17">
      <c r="I450" s="29"/>
      <c r="J450" s="29"/>
      <c r="K450" s="150"/>
      <c r="M450" s="1001"/>
      <c r="N450" s="29"/>
      <c r="P450" s="29"/>
      <c r="Q450" s="29"/>
    </row>
    <row r="451" spans="9:17">
      <c r="I451" s="29"/>
      <c r="J451" s="29"/>
      <c r="K451" s="150"/>
      <c r="M451" s="1001"/>
      <c r="N451" s="29"/>
      <c r="P451" s="29"/>
      <c r="Q451" s="29"/>
    </row>
    <row r="452" spans="9:17">
      <c r="I452" s="29"/>
      <c r="J452" s="29"/>
      <c r="K452" s="150"/>
      <c r="M452" s="1001"/>
      <c r="N452" s="29"/>
      <c r="P452" s="29"/>
      <c r="Q452" s="29"/>
    </row>
    <row r="453" spans="9:17">
      <c r="I453" s="29"/>
      <c r="J453" s="29"/>
      <c r="K453" s="150"/>
      <c r="M453" s="1001"/>
      <c r="N453" s="29"/>
      <c r="P453" s="29"/>
      <c r="Q453" s="29"/>
    </row>
    <row r="454" spans="9:17">
      <c r="I454" s="29"/>
      <c r="J454" s="29"/>
      <c r="K454" s="150"/>
      <c r="M454" s="1001"/>
      <c r="N454" s="29"/>
      <c r="P454" s="29"/>
      <c r="Q454" s="29"/>
    </row>
    <row r="455" spans="9:17">
      <c r="I455" s="29"/>
      <c r="J455" s="29"/>
      <c r="K455" s="150"/>
      <c r="M455" s="1001"/>
      <c r="N455" s="29"/>
      <c r="P455" s="29"/>
      <c r="Q455" s="29"/>
    </row>
    <row r="456" spans="9:17">
      <c r="I456" s="29"/>
      <c r="J456" s="29"/>
      <c r="K456" s="150"/>
      <c r="M456" s="1001"/>
      <c r="N456" s="29"/>
      <c r="P456" s="29"/>
      <c r="Q456" s="29"/>
    </row>
    <row r="457" spans="9:17">
      <c r="I457" s="29"/>
      <c r="J457" s="29"/>
      <c r="K457" s="150"/>
      <c r="M457" s="1001"/>
      <c r="N457" s="29"/>
      <c r="P457" s="29"/>
      <c r="Q457" s="29"/>
    </row>
    <row r="458" spans="9:17">
      <c r="I458" s="29"/>
      <c r="J458" s="29"/>
      <c r="K458" s="150"/>
      <c r="M458" s="1001"/>
      <c r="N458" s="29"/>
      <c r="P458" s="29"/>
      <c r="Q458" s="29"/>
    </row>
    <row r="459" spans="9:17">
      <c r="I459" s="29"/>
      <c r="J459" s="29"/>
      <c r="K459" s="150"/>
      <c r="M459" s="1001"/>
      <c r="N459" s="29"/>
      <c r="P459" s="29"/>
      <c r="Q459" s="29"/>
    </row>
    <row r="460" spans="9:17">
      <c r="I460" s="29"/>
      <c r="J460" s="29"/>
      <c r="K460" s="150"/>
      <c r="M460" s="1001"/>
      <c r="N460" s="29"/>
      <c r="P460" s="29"/>
      <c r="Q460" s="29"/>
    </row>
    <row r="461" spans="9:17">
      <c r="I461" s="29"/>
      <c r="J461" s="29"/>
      <c r="K461" s="150"/>
      <c r="M461" s="1001"/>
      <c r="N461" s="29"/>
      <c r="P461" s="29"/>
      <c r="Q461" s="29"/>
    </row>
    <row r="462" spans="9:17">
      <c r="I462" s="29"/>
      <c r="J462" s="29"/>
      <c r="K462" s="150"/>
      <c r="M462" s="1001"/>
      <c r="N462" s="29"/>
      <c r="P462" s="29"/>
      <c r="Q462" s="29"/>
    </row>
    <row r="463" spans="9:17">
      <c r="I463" s="29"/>
      <c r="J463" s="29"/>
      <c r="K463" s="150"/>
      <c r="M463" s="1001"/>
      <c r="N463" s="29"/>
      <c r="P463" s="29"/>
      <c r="Q463" s="29"/>
    </row>
    <row r="464" spans="9:17">
      <c r="I464" s="29"/>
      <c r="J464" s="29"/>
      <c r="K464" s="150"/>
      <c r="M464" s="1001"/>
      <c r="N464" s="29"/>
      <c r="P464" s="29"/>
      <c r="Q464" s="29"/>
    </row>
    <row r="465" spans="9:17">
      <c r="I465" s="29"/>
      <c r="J465" s="29"/>
      <c r="K465" s="150"/>
      <c r="M465" s="1001"/>
      <c r="N465" s="29"/>
      <c r="P465" s="29"/>
      <c r="Q465" s="29"/>
    </row>
    <row r="466" spans="9:17">
      <c r="I466" s="29"/>
      <c r="J466" s="29"/>
      <c r="K466" s="150"/>
      <c r="M466" s="1001"/>
      <c r="N466" s="29"/>
      <c r="P466" s="29"/>
      <c r="Q466" s="29"/>
    </row>
    <row r="467" spans="9:17">
      <c r="I467" s="29"/>
      <c r="J467" s="29"/>
      <c r="K467" s="150"/>
      <c r="M467" s="1001"/>
      <c r="N467" s="29"/>
      <c r="P467" s="29"/>
      <c r="Q467" s="29"/>
    </row>
    <row r="468" spans="9:17">
      <c r="I468" s="29"/>
      <c r="J468" s="29"/>
      <c r="K468" s="150"/>
      <c r="M468" s="1001"/>
      <c r="N468" s="29"/>
      <c r="P468" s="29"/>
      <c r="Q468" s="29"/>
    </row>
    <row r="469" spans="9:17">
      <c r="I469" s="29"/>
      <c r="J469" s="29"/>
      <c r="K469" s="150"/>
      <c r="M469" s="1001"/>
      <c r="N469" s="29"/>
      <c r="P469" s="29"/>
      <c r="Q469" s="29"/>
    </row>
    <row r="470" spans="9:17">
      <c r="I470" s="29"/>
      <c r="J470" s="29"/>
      <c r="K470" s="150"/>
      <c r="M470" s="1001"/>
      <c r="N470" s="29"/>
      <c r="P470" s="29"/>
      <c r="Q470" s="29"/>
    </row>
    <row r="471" spans="9:17">
      <c r="I471" s="29"/>
      <c r="J471" s="29"/>
      <c r="K471" s="150"/>
      <c r="M471" s="1001"/>
      <c r="N471" s="29"/>
      <c r="P471" s="29"/>
      <c r="Q471" s="29"/>
    </row>
    <row r="472" spans="9:17">
      <c r="I472" s="29"/>
      <c r="J472" s="29"/>
      <c r="K472" s="150"/>
      <c r="M472" s="1001"/>
      <c r="N472" s="29"/>
      <c r="P472" s="29"/>
      <c r="Q472" s="29"/>
    </row>
    <row r="473" spans="9:17">
      <c r="I473" s="29"/>
      <c r="J473" s="29"/>
      <c r="K473" s="150"/>
      <c r="M473" s="1001"/>
      <c r="N473" s="29"/>
      <c r="P473" s="29"/>
      <c r="Q473" s="29"/>
    </row>
    <row r="474" spans="9:17">
      <c r="I474" s="29"/>
      <c r="J474" s="29"/>
      <c r="K474" s="150"/>
      <c r="M474" s="1001"/>
      <c r="N474" s="29"/>
      <c r="P474" s="29"/>
      <c r="Q474" s="29"/>
    </row>
    <row r="475" spans="9:17">
      <c r="I475" s="29"/>
      <c r="J475" s="29"/>
      <c r="K475" s="150"/>
      <c r="M475" s="1001"/>
      <c r="N475" s="29"/>
      <c r="P475" s="29"/>
      <c r="Q475" s="29"/>
    </row>
    <row r="476" spans="9:17">
      <c r="I476" s="29"/>
      <c r="J476" s="29"/>
      <c r="K476" s="150"/>
      <c r="M476" s="1001"/>
      <c r="N476" s="29"/>
      <c r="P476" s="29"/>
      <c r="Q476" s="29"/>
    </row>
    <row r="477" spans="9:17">
      <c r="I477" s="29"/>
      <c r="J477" s="29"/>
      <c r="K477" s="150"/>
      <c r="M477" s="1001"/>
      <c r="N477" s="29"/>
      <c r="P477" s="29"/>
      <c r="Q477" s="29"/>
    </row>
    <row r="478" spans="9:17">
      <c r="I478" s="29"/>
      <c r="J478" s="29"/>
      <c r="K478" s="150"/>
      <c r="M478" s="1001"/>
      <c r="N478" s="29"/>
      <c r="P478" s="29"/>
      <c r="Q478" s="29"/>
    </row>
    <row r="479" spans="9:17">
      <c r="I479" s="29"/>
      <c r="J479" s="29"/>
      <c r="K479" s="150"/>
      <c r="M479" s="1001"/>
      <c r="N479" s="29"/>
      <c r="P479" s="29"/>
      <c r="Q479" s="29"/>
    </row>
    <row r="480" spans="9:17">
      <c r="I480" s="29"/>
      <c r="J480" s="29"/>
      <c r="K480" s="150"/>
      <c r="M480" s="1001"/>
      <c r="N480" s="29"/>
      <c r="P480" s="29"/>
      <c r="Q480" s="29"/>
    </row>
    <row r="481" spans="9:17">
      <c r="I481" s="29"/>
      <c r="J481" s="29"/>
      <c r="K481" s="150"/>
      <c r="M481" s="1001"/>
      <c r="N481" s="29"/>
      <c r="P481" s="29"/>
      <c r="Q481" s="29"/>
    </row>
    <row r="482" spans="9:17">
      <c r="I482" s="29"/>
      <c r="J482" s="29"/>
      <c r="K482" s="150"/>
      <c r="M482" s="1001"/>
      <c r="N482" s="29"/>
      <c r="P482" s="29"/>
      <c r="Q482" s="29"/>
    </row>
    <row r="483" spans="9:17">
      <c r="I483" s="29"/>
      <c r="J483" s="29"/>
      <c r="K483" s="150"/>
      <c r="M483" s="1001"/>
      <c r="N483" s="29"/>
      <c r="P483" s="29"/>
      <c r="Q483" s="29"/>
    </row>
    <row r="484" spans="9:17">
      <c r="I484" s="29"/>
      <c r="J484" s="29"/>
      <c r="K484" s="150"/>
      <c r="M484" s="1001"/>
      <c r="N484" s="29"/>
      <c r="P484" s="29"/>
      <c r="Q484" s="29"/>
    </row>
    <row r="485" spans="9:17">
      <c r="I485" s="29"/>
      <c r="J485" s="29"/>
      <c r="K485" s="150"/>
      <c r="M485" s="1001"/>
      <c r="N485" s="29"/>
      <c r="P485" s="29"/>
      <c r="Q485" s="29"/>
    </row>
    <row r="486" spans="9:17">
      <c r="I486" s="29"/>
      <c r="J486" s="29"/>
      <c r="K486" s="150"/>
      <c r="M486" s="1001"/>
      <c r="N486" s="29"/>
      <c r="P486" s="29"/>
      <c r="Q486" s="29"/>
    </row>
    <row r="487" spans="9:17">
      <c r="I487" s="29"/>
      <c r="J487" s="29"/>
      <c r="K487" s="150"/>
      <c r="M487" s="1001"/>
      <c r="N487" s="29"/>
      <c r="P487" s="29"/>
      <c r="Q487" s="29"/>
    </row>
    <row r="488" spans="9:17">
      <c r="I488" s="29"/>
      <c r="J488" s="29"/>
      <c r="K488" s="150"/>
      <c r="M488" s="1001"/>
      <c r="N488" s="29"/>
      <c r="P488" s="29"/>
      <c r="Q488" s="29"/>
    </row>
    <row r="489" spans="9:17">
      <c r="I489" s="29"/>
      <c r="J489" s="29"/>
      <c r="K489" s="150"/>
      <c r="M489" s="1001"/>
      <c r="N489" s="29"/>
      <c r="P489" s="29"/>
      <c r="Q489" s="29"/>
    </row>
    <row r="490" spans="9:17">
      <c r="I490" s="29"/>
      <c r="J490" s="29"/>
      <c r="K490" s="150"/>
      <c r="M490" s="1001"/>
      <c r="N490" s="29"/>
      <c r="P490" s="29"/>
      <c r="Q490" s="29"/>
    </row>
    <row r="491" spans="9:17">
      <c r="I491" s="29"/>
      <c r="J491" s="29"/>
      <c r="K491" s="150"/>
      <c r="M491" s="1001"/>
      <c r="N491" s="29"/>
      <c r="P491" s="29"/>
      <c r="Q491" s="29"/>
    </row>
    <row r="492" spans="9:17">
      <c r="I492" s="29"/>
      <c r="J492" s="29"/>
      <c r="K492" s="150"/>
      <c r="M492" s="1001"/>
      <c r="N492" s="29"/>
      <c r="P492" s="29"/>
      <c r="Q492" s="29"/>
    </row>
    <row r="493" spans="9:17">
      <c r="I493" s="29"/>
      <c r="J493" s="29"/>
      <c r="K493" s="150"/>
      <c r="M493" s="1001"/>
      <c r="N493" s="29"/>
      <c r="P493" s="29"/>
      <c r="Q493" s="29"/>
    </row>
    <row r="494" spans="9:17">
      <c r="I494" s="29"/>
      <c r="J494" s="29"/>
      <c r="K494" s="150"/>
      <c r="M494" s="1001"/>
      <c r="N494" s="29"/>
      <c r="P494" s="29"/>
      <c r="Q494" s="29"/>
    </row>
    <row r="495" spans="9:17">
      <c r="I495" s="29"/>
      <c r="J495" s="29"/>
      <c r="K495" s="150"/>
      <c r="M495" s="1001"/>
      <c r="N495" s="29"/>
      <c r="P495" s="29"/>
      <c r="Q495" s="29"/>
    </row>
    <row r="496" spans="9:17">
      <c r="I496" s="29"/>
      <c r="J496" s="29"/>
      <c r="K496" s="150"/>
      <c r="M496" s="1001"/>
      <c r="N496" s="29"/>
      <c r="P496" s="29"/>
      <c r="Q496" s="29"/>
    </row>
    <row r="497" spans="9:17">
      <c r="I497" s="29"/>
      <c r="J497" s="29"/>
      <c r="K497" s="150"/>
      <c r="M497" s="1001"/>
      <c r="N497" s="29"/>
      <c r="P497" s="29"/>
      <c r="Q497" s="29"/>
    </row>
    <row r="498" spans="9:17">
      <c r="I498" s="29"/>
      <c r="J498" s="29"/>
      <c r="K498" s="150"/>
      <c r="M498" s="1001"/>
      <c r="N498" s="29"/>
      <c r="P498" s="29"/>
      <c r="Q498" s="29"/>
    </row>
    <row r="499" spans="9:17">
      <c r="I499" s="29"/>
      <c r="J499" s="29"/>
      <c r="K499" s="150"/>
      <c r="M499" s="1001"/>
      <c r="N499" s="29"/>
      <c r="P499" s="29"/>
      <c r="Q499" s="29"/>
    </row>
    <row r="500" spans="9:17">
      <c r="I500" s="29"/>
      <c r="J500" s="29"/>
      <c r="K500" s="150"/>
      <c r="M500" s="1001"/>
      <c r="N500" s="29"/>
      <c r="P500" s="29"/>
      <c r="Q500" s="29"/>
    </row>
    <row r="501" spans="9:17">
      <c r="I501" s="29"/>
      <c r="J501" s="29"/>
      <c r="K501" s="150"/>
      <c r="M501" s="1001"/>
      <c r="N501" s="29"/>
      <c r="P501" s="29"/>
      <c r="Q501" s="29"/>
    </row>
    <row r="502" spans="9:17">
      <c r="I502" s="29"/>
      <c r="J502" s="29"/>
      <c r="K502" s="150"/>
      <c r="M502" s="1001"/>
      <c r="N502" s="29"/>
      <c r="P502" s="29"/>
      <c r="Q502" s="29"/>
    </row>
    <row r="503" spans="9:17">
      <c r="I503" s="29"/>
      <c r="J503" s="29"/>
      <c r="K503" s="150"/>
      <c r="M503" s="1001"/>
      <c r="N503" s="29"/>
      <c r="P503" s="29"/>
      <c r="Q503" s="29"/>
    </row>
    <row r="504" spans="9:17">
      <c r="I504" s="29"/>
      <c r="J504" s="29"/>
      <c r="K504" s="150"/>
      <c r="M504" s="1001"/>
      <c r="N504" s="29"/>
      <c r="P504" s="29"/>
      <c r="Q504" s="29"/>
    </row>
    <row r="505" spans="9:17">
      <c r="I505" s="29"/>
      <c r="J505" s="29"/>
      <c r="K505" s="150"/>
      <c r="M505" s="1001"/>
      <c r="N505" s="29"/>
      <c r="P505" s="29"/>
      <c r="Q505" s="29"/>
    </row>
    <row r="506" spans="9:17">
      <c r="I506" s="29"/>
      <c r="J506" s="29"/>
      <c r="K506" s="150"/>
      <c r="M506" s="1001"/>
      <c r="N506" s="29"/>
      <c r="P506" s="29"/>
      <c r="Q506" s="29"/>
    </row>
    <row r="507" spans="9:17">
      <c r="I507" s="29"/>
      <c r="J507" s="29"/>
      <c r="K507" s="150"/>
      <c r="M507" s="1001"/>
      <c r="N507" s="29"/>
      <c r="P507" s="29"/>
      <c r="Q507" s="29"/>
    </row>
    <row r="508" spans="9:17">
      <c r="I508" s="29"/>
      <c r="J508" s="29"/>
      <c r="K508" s="150"/>
      <c r="M508" s="1001"/>
      <c r="N508" s="29"/>
      <c r="P508" s="29"/>
      <c r="Q508" s="29"/>
    </row>
    <row r="509" spans="9:17">
      <c r="I509" s="29"/>
      <c r="J509" s="29"/>
      <c r="K509" s="150"/>
      <c r="M509" s="1001"/>
      <c r="N509" s="29"/>
      <c r="P509" s="29"/>
      <c r="Q509" s="29"/>
    </row>
    <row r="510" spans="9:17">
      <c r="I510" s="29"/>
      <c r="J510" s="29"/>
      <c r="K510" s="150"/>
      <c r="M510" s="1001"/>
      <c r="N510" s="29"/>
      <c r="P510" s="29"/>
      <c r="Q510" s="29"/>
    </row>
    <row r="511" spans="9:17">
      <c r="I511" s="29"/>
      <c r="J511" s="29"/>
      <c r="K511" s="150"/>
      <c r="M511" s="1001"/>
      <c r="N511" s="29"/>
      <c r="P511" s="29"/>
      <c r="Q511" s="29"/>
    </row>
    <row r="512" spans="9:17">
      <c r="I512" s="29"/>
      <c r="J512" s="29"/>
      <c r="K512" s="150"/>
      <c r="M512" s="1001"/>
      <c r="N512" s="29"/>
      <c r="P512" s="29"/>
      <c r="Q512" s="29"/>
    </row>
    <row r="513" spans="9:17">
      <c r="I513" s="29"/>
      <c r="J513" s="29"/>
      <c r="K513" s="150"/>
      <c r="M513" s="1001"/>
      <c r="N513" s="29"/>
      <c r="P513" s="29"/>
      <c r="Q513" s="29"/>
    </row>
    <row r="514" spans="9:17">
      <c r="I514" s="29"/>
      <c r="J514" s="29"/>
      <c r="K514" s="150"/>
      <c r="M514" s="1001"/>
      <c r="N514" s="29"/>
      <c r="P514" s="29"/>
      <c r="Q514" s="29"/>
    </row>
    <row r="515" spans="9:17">
      <c r="I515" s="29"/>
      <c r="J515" s="29"/>
      <c r="K515" s="150"/>
      <c r="M515" s="1001"/>
      <c r="N515" s="29"/>
      <c r="P515" s="29"/>
      <c r="Q515" s="29"/>
    </row>
    <row r="516" spans="9:17">
      <c r="I516" s="29"/>
      <c r="J516" s="29"/>
      <c r="K516" s="150"/>
      <c r="M516" s="1001"/>
      <c r="N516" s="29"/>
      <c r="P516" s="29"/>
      <c r="Q516" s="29"/>
    </row>
    <row r="517" spans="9:17">
      <c r="I517" s="29"/>
      <c r="J517" s="29"/>
      <c r="K517" s="150"/>
      <c r="M517" s="1001"/>
      <c r="N517" s="29"/>
      <c r="P517" s="29"/>
      <c r="Q517" s="29"/>
    </row>
    <row r="518" spans="9:17">
      <c r="I518" s="29"/>
      <c r="J518" s="29"/>
      <c r="K518" s="150"/>
      <c r="M518" s="1001"/>
      <c r="N518" s="29"/>
      <c r="P518" s="29"/>
      <c r="Q518" s="29"/>
    </row>
    <row r="519" spans="9:17">
      <c r="I519" s="29"/>
      <c r="J519" s="29"/>
      <c r="K519" s="150"/>
      <c r="M519" s="1001"/>
      <c r="N519" s="29"/>
      <c r="P519" s="29"/>
      <c r="Q519" s="29"/>
    </row>
    <row r="520" spans="9:17">
      <c r="I520" s="29"/>
      <c r="J520" s="29"/>
      <c r="K520" s="150"/>
      <c r="M520" s="1001"/>
      <c r="N520" s="29"/>
      <c r="P520" s="29"/>
      <c r="Q520" s="29"/>
    </row>
    <row r="521" spans="9:17">
      <c r="I521" s="29"/>
      <c r="J521" s="29"/>
      <c r="K521" s="150"/>
      <c r="M521" s="1001"/>
      <c r="N521" s="29"/>
      <c r="P521" s="29"/>
      <c r="Q521" s="29"/>
    </row>
    <row r="522" spans="9:17">
      <c r="I522" s="29"/>
      <c r="J522" s="29"/>
      <c r="K522" s="150"/>
      <c r="M522" s="1001"/>
      <c r="N522" s="29"/>
      <c r="P522" s="29"/>
      <c r="Q522" s="29"/>
    </row>
    <row r="523" spans="9:17">
      <c r="I523" s="29"/>
      <c r="J523" s="29"/>
      <c r="K523" s="150"/>
      <c r="M523" s="1001"/>
      <c r="N523" s="29"/>
      <c r="P523" s="29"/>
      <c r="Q523" s="29"/>
    </row>
    <row r="524" spans="9:17">
      <c r="I524" s="29"/>
      <c r="J524" s="29"/>
      <c r="K524" s="150"/>
      <c r="M524" s="1001"/>
      <c r="N524" s="29"/>
      <c r="P524" s="29"/>
      <c r="Q524" s="29"/>
    </row>
    <row r="525" spans="9:17">
      <c r="I525" s="29"/>
      <c r="J525" s="29"/>
      <c r="K525" s="150"/>
      <c r="M525" s="1001"/>
      <c r="N525" s="29"/>
      <c r="P525" s="29"/>
      <c r="Q525" s="29"/>
    </row>
    <row r="526" spans="9:17">
      <c r="I526" s="29"/>
      <c r="J526" s="29"/>
      <c r="K526" s="150"/>
      <c r="M526" s="1001"/>
      <c r="N526" s="29"/>
      <c r="P526" s="29"/>
      <c r="Q526" s="29"/>
    </row>
    <row r="527" spans="9:17">
      <c r="I527" s="29"/>
      <c r="J527" s="29"/>
      <c r="K527" s="150"/>
      <c r="M527" s="1001"/>
      <c r="N527" s="29"/>
      <c r="P527" s="29"/>
      <c r="Q527" s="29"/>
    </row>
    <row r="528" spans="9:17">
      <c r="I528" s="29"/>
      <c r="J528" s="29"/>
      <c r="K528" s="150"/>
      <c r="M528" s="1001"/>
      <c r="N528" s="29"/>
      <c r="P528" s="29"/>
      <c r="Q528" s="29"/>
    </row>
    <row r="529" spans="9:17">
      <c r="I529" s="29"/>
      <c r="J529" s="29"/>
      <c r="K529" s="150"/>
      <c r="M529" s="1001"/>
      <c r="N529" s="29"/>
      <c r="P529" s="29"/>
      <c r="Q529" s="29"/>
    </row>
    <row r="530" spans="9:17">
      <c r="I530" s="29"/>
      <c r="J530" s="29"/>
      <c r="K530" s="150"/>
      <c r="M530" s="1001"/>
      <c r="N530" s="29"/>
      <c r="P530" s="29"/>
      <c r="Q530" s="29"/>
    </row>
    <row r="531" spans="9:17">
      <c r="I531" s="29"/>
      <c r="J531" s="29"/>
      <c r="K531" s="150"/>
      <c r="M531" s="1001"/>
      <c r="N531" s="29"/>
      <c r="P531" s="29"/>
      <c r="Q531" s="29"/>
    </row>
    <row r="532" spans="9:17">
      <c r="I532" s="29"/>
      <c r="J532" s="29"/>
      <c r="K532" s="150"/>
      <c r="M532" s="1001"/>
      <c r="N532" s="29"/>
      <c r="P532" s="29"/>
      <c r="Q532" s="29"/>
    </row>
    <row r="533" spans="9:17">
      <c r="I533" s="29"/>
      <c r="J533" s="29"/>
      <c r="K533" s="150"/>
      <c r="M533" s="1001"/>
      <c r="N533" s="29"/>
      <c r="P533" s="29"/>
      <c r="Q533" s="29"/>
    </row>
    <row r="534" spans="9:17">
      <c r="I534" s="29"/>
      <c r="J534" s="29"/>
      <c r="K534" s="150"/>
      <c r="M534" s="1001"/>
      <c r="N534" s="29"/>
      <c r="P534" s="29"/>
      <c r="Q534" s="29"/>
    </row>
    <row r="535" spans="9:17">
      <c r="I535" s="29"/>
      <c r="J535" s="29"/>
      <c r="K535" s="150"/>
      <c r="M535" s="1001"/>
      <c r="N535" s="29"/>
      <c r="P535" s="29"/>
      <c r="Q535" s="29"/>
    </row>
    <row r="536" spans="9:17">
      <c r="I536" s="29"/>
      <c r="J536" s="29"/>
      <c r="K536" s="150"/>
      <c r="M536" s="1001"/>
      <c r="N536" s="29"/>
      <c r="P536" s="29"/>
      <c r="Q536" s="29"/>
    </row>
    <row r="537" spans="9:17">
      <c r="I537" s="29"/>
      <c r="J537" s="29"/>
      <c r="K537" s="150"/>
      <c r="M537" s="1001"/>
      <c r="N537" s="29"/>
      <c r="P537" s="29"/>
      <c r="Q537" s="29"/>
    </row>
    <row r="538" spans="9:17">
      <c r="I538" s="29"/>
      <c r="J538" s="29"/>
      <c r="K538" s="150"/>
      <c r="M538" s="1001"/>
      <c r="N538" s="29"/>
      <c r="P538" s="29"/>
      <c r="Q538" s="29"/>
    </row>
    <row r="539" spans="9:17">
      <c r="I539" s="29"/>
      <c r="J539" s="29"/>
      <c r="K539" s="150"/>
      <c r="M539" s="1001"/>
      <c r="N539" s="29"/>
      <c r="P539" s="29"/>
      <c r="Q539" s="29"/>
    </row>
    <row r="540" spans="9:17">
      <c r="I540" s="29"/>
      <c r="J540" s="29"/>
      <c r="K540" s="150"/>
      <c r="M540" s="1001"/>
      <c r="N540" s="29"/>
      <c r="P540" s="29"/>
      <c r="Q540" s="29"/>
    </row>
    <row r="541" spans="9:17">
      <c r="I541" s="29"/>
      <c r="J541" s="29"/>
      <c r="K541" s="150"/>
      <c r="M541" s="1001"/>
      <c r="N541" s="29"/>
      <c r="P541" s="29"/>
      <c r="Q541" s="29"/>
    </row>
    <row r="542" spans="9:17">
      <c r="I542" s="29"/>
      <c r="J542" s="29"/>
      <c r="K542" s="150"/>
      <c r="M542" s="1001"/>
      <c r="N542" s="29"/>
      <c r="P542" s="29"/>
      <c r="Q542" s="29"/>
    </row>
    <row r="543" spans="9:17">
      <c r="I543" s="29"/>
      <c r="J543" s="29"/>
      <c r="K543" s="150"/>
      <c r="M543" s="1001"/>
      <c r="N543" s="29"/>
      <c r="P543" s="29"/>
      <c r="Q543" s="29"/>
    </row>
    <row r="544" spans="9:17">
      <c r="I544" s="29"/>
      <c r="J544" s="29"/>
      <c r="K544" s="150"/>
      <c r="M544" s="1001"/>
      <c r="N544" s="29"/>
      <c r="P544" s="29"/>
      <c r="Q544" s="29"/>
    </row>
    <row r="545" spans="9:17">
      <c r="I545" s="29"/>
      <c r="J545" s="29"/>
      <c r="K545" s="150"/>
      <c r="M545" s="1001"/>
      <c r="N545" s="29"/>
      <c r="P545" s="29"/>
      <c r="Q545" s="29"/>
    </row>
    <row r="546" spans="9:17">
      <c r="I546" s="29"/>
      <c r="J546" s="29"/>
      <c r="K546" s="150"/>
      <c r="M546" s="1001"/>
      <c r="N546" s="29"/>
      <c r="P546" s="29"/>
      <c r="Q546" s="29"/>
    </row>
    <row r="547" spans="9:17">
      <c r="I547" s="29"/>
      <c r="J547" s="29"/>
      <c r="K547" s="150"/>
      <c r="M547" s="1001"/>
      <c r="N547" s="29"/>
      <c r="P547" s="29"/>
      <c r="Q547" s="29"/>
    </row>
    <row r="548" spans="9:17">
      <c r="I548" s="29"/>
      <c r="J548" s="29"/>
      <c r="K548" s="150"/>
      <c r="M548" s="1001"/>
      <c r="N548" s="29"/>
      <c r="P548" s="29"/>
      <c r="Q548" s="29"/>
    </row>
    <row r="549" spans="9:17">
      <c r="I549" s="29"/>
      <c r="J549" s="29"/>
      <c r="K549" s="150"/>
      <c r="M549" s="1001"/>
      <c r="N549" s="29"/>
      <c r="P549" s="29"/>
      <c r="Q549" s="29"/>
    </row>
    <row r="550" spans="9:17">
      <c r="I550" s="29"/>
      <c r="J550" s="29"/>
      <c r="K550" s="150"/>
      <c r="M550" s="1001"/>
      <c r="N550" s="29"/>
      <c r="P550" s="29"/>
      <c r="Q550" s="29"/>
    </row>
    <row r="551" spans="9:17">
      <c r="I551" s="29"/>
      <c r="J551" s="29"/>
      <c r="K551" s="150"/>
      <c r="M551" s="1001"/>
      <c r="N551" s="29"/>
      <c r="P551" s="29"/>
      <c r="Q551" s="29"/>
    </row>
    <row r="552" spans="9:17">
      <c r="I552" s="29"/>
      <c r="J552" s="29"/>
      <c r="K552" s="150"/>
      <c r="M552" s="1001"/>
      <c r="N552" s="29"/>
      <c r="P552" s="29"/>
      <c r="Q552" s="29"/>
    </row>
    <row r="553" spans="9:17">
      <c r="I553" s="29"/>
      <c r="J553" s="29"/>
      <c r="K553" s="150"/>
      <c r="M553" s="1001"/>
      <c r="N553" s="29"/>
      <c r="P553" s="29"/>
      <c r="Q553" s="29"/>
    </row>
    <row r="554" spans="9:17">
      <c r="I554" s="29"/>
      <c r="J554" s="29"/>
      <c r="K554" s="150"/>
      <c r="M554" s="1001"/>
      <c r="N554" s="29"/>
      <c r="P554" s="29"/>
      <c r="Q554" s="29"/>
    </row>
    <row r="555" spans="9:17">
      <c r="I555" s="29"/>
      <c r="J555" s="29"/>
      <c r="K555" s="150"/>
      <c r="M555" s="1001"/>
      <c r="N555" s="29"/>
      <c r="P555" s="29"/>
      <c r="Q555" s="29"/>
    </row>
    <row r="556" spans="9:17">
      <c r="I556" s="29"/>
      <c r="J556" s="29"/>
      <c r="K556" s="150"/>
      <c r="M556" s="1001"/>
      <c r="N556" s="29"/>
      <c r="P556" s="29"/>
      <c r="Q556" s="29"/>
    </row>
    <row r="557" spans="9:17">
      <c r="I557" s="29"/>
      <c r="J557" s="29"/>
      <c r="K557" s="150"/>
      <c r="M557" s="1001"/>
      <c r="N557" s="29"/>
      <c r="P557" s="29"/>
      <c r="Q557" s="29"/>
    </row>
    <row r="558" spans="9:17">
      <c r="I558" s="29"/>
      <c r="J558" s="29"/>
      <c r="K558" s="150"/>
      <c r="M558" s="1001"/>
      <c r="N558" s="29"/>
      <c r="P558" s="29"/>
      <c r="Q558" s="29"/>
    </row>
    <row r="559" spans="9:17">
      <c r="I559" s="29"/>
      <c r="J559" s="29"/>
      <c r="K559" s="150"/>
      <c r="M559" s="1001"/>
      <c r="N559" s="29"/>
      <c r="P559" s="29"/>
      <c r="Q559" s="29"/>
    </row>
    <row r="560" spans="9:17">
      <c r="I560" s="29"/>
      <c r="J560" s="29"/>
      <c r="K560" s="150"/>
      <c r="M560" s="1001"/>
      <c r="N560" s="29"/>
      <c r="P560" s="29"/>
      <c r="Q560" s="29"/>
    </row>
    <row r="561" spans="9:17">
      <c r="I561" s="29"/>
      <c r="J561" s="29"/>
      <c r="K561" s="150"/>
      <c r="M561" s="1001"/>
      <c r="N561" s="29"/>
      <c r="P561" s="29"/>
      <c r="Q561" s="29"/>
    </row>
    <row r="562" spans="9:17">
      <c r="I562" s="29"/>
      <c r="J562" s="29"/>
      <c r="K562" s="150"/>
      <c r="M562" s="1001"/>
      <c r="N562" s="29"/>
      <c r="P562" s="29"/>
      <c r="Q562" s="29"/>
    </row>
    <row r="563" spans="9:17">
      <c r="I563" s="29"/>
      <c r="J563" s="29"/>
      <c r="K563" s="150"/>
      <c r="M563" s="1001"/>
      <c r="N563" s="29"/>
      <c r="P563" s="29"/>
      <c r="Q563" s="29"/>
    </row>
    <row r="564" spans="9:17">
      <c r="I564" s="29"/>
      <c r="J564" s="29"/>
      <c r="K564" s="150"/>
      <c r="M564" s="1001"/>
      <c r="N564" s="29"/>
      <c r="P564" s="29"/>
      <c r="Q564" s="29"/>
    </row>
    <row r="565" spans="9:17">
      <c r="I565" s="29"/>
      <c r="J565" s="29"/>
      <c r="K565" s="150"/>
      <c r="M565" s="1001"/>
      <c r="N565" s="29"/>
      <c r="P565" s="29"/>
      <c r="Q565" s="29"/>
    </row>
    <row r="566" spans="9:17">
      <c r="I566" s="29"/>
      <c r="J566" s="29"/>
      <c r="K566" s="150"/>
      <c r="M566" s="1001"/>
      <c r="N566" s="29"/>
      <c r="P566" s="29"/>
      <c r="Q566" s="29"/>
    </row>
    <row r="567" spans="9:17">
      <c r="I567" s="29"/>
      <c r="J567" s="29"/>
      <c r="K567" s="150"/>
      <c r="M567" s="1001"/>
      <c r="N567" s="29"/>
      <c r="P567" s="29"/>
      <c r="Q567" s="29"/>
    </row>
    <row r="568" spans="9:17">
      <c r="I568" s="29"/>
      <c r="J568" s="29"/>
      <c r="K568" s="150"/>
      <c r="M568" s="1001"/>
      <c r="N568" s="29"/>
      <c r="P568" s="29"/>
      <c r="Q568" s="29"/>
    </row>
    <row r="569" spans="9:17">
      <c r="I569" s="29"/>
      <c r="J569" s="29"/>
      <c r="K569" s="150"/>
      <c r="M569" s="1001"/>
      <c r="N569" s="29"/>
      <c r="P569" s="29"/>
      <c r="Q569" s="29"/>
    </row>
    <row r="570" spans="9:17">
      <c r="I570" s="29"/>
      <c r="J570" s="29"/>
      <c r="K570" s="150"/>
      <c r="M570" s="1001"/>
      <c r="N570" s="29"/>
      <c r="P570" s="29"/>
      <c r="Q570" s="29"/>
    </row>
    <row r="571" spans="9:17">
      <c r="I571" s="29"/>
      <c r="J571" s="29"/>
      <c r="K571" s="150"/>
      <c r="M571" s="1001"/>
      <c r="N571" s="29"/>
      <c r="P571" s="29"/>
      <c r="Q571" s="29"/>
    </row>
    <row r="572" spans="9:17">
      <c r="I572" s="29"/>
      <c r="J572" s="29"/>
      <c r="K572" s="150"/>
      <c r="M572" s="1001"/>
      <c r="N572" s="29"/>
      <c r="P572" s="29"/>
      <c r="Q572" s="29"/>
    </row>
    <row r="573" spans="9:17">
      <c r="I573" s="29"/>
      <c r="J573" s="29"/>
      <c r="K573" s="150"/>
      <c r="M573" s="1001"/>
      <c r="N573" s="29"/>
      <c r="P573" s="29"/>
      <c r="Q573" s="29"/>
    </row>
    <row r="574" spans="9:17">
      <c r="I574" s="29"/>
      <c r="J574" s="29"/>
      <c r="K574" s="150"/>
      <c r="M574" s="1001"/>
      <c r="N574" s="29"/>
      <c r="P574" s="29"/>
      <c r="Q574" s="29"/>
    </row>
    <row r="575" spans="9:17">
      <c r="I575" s="29"/>
      <c r="J575" s="29"/>
      <c r="K575" s="150"/>
      <c r="M575" s="1001"/>
      <c r="N575" s="29"/>
      <c r="P575" s="29"/>
      <c r="Q575" s="29"/>
    </row>
    <row r="576" spans="9:17">
      <c r="I576" s="29"/>
      <c r="J576" s="29"/>
      <c r="K576" s="150"/>
      <c r="M576" s="1001"/>
      <c r="N576" s="29"/>
      <c r="P576" s="29"/>
      <c r="Q576" s="29"/>
    </row>
    <row r="577" spans="9:17">
      <c r="I577" s="29"/>
      <c r="J577" s="29"/>
      <c r="K577" s="150"/>
      <c r="M577" s="1001"/>
      <c r="N577" s="29"/>
      <c r="P577" s="29"/>
      <c r="Q577" s="29"/>
    </row>
    <row r="578" spans="9:17">
      <c r="I578" s="29"/>
      <c r="J578" s="29"/>
      <c r="K578" s="150"/>
      <c r="M578" s="1001"/>
      <c r="N578" s="29"/>
      <c r="P578" s="29"/>
      <c r="Q578" s="29"/>
    </row>
    <row r="579" spans="9:17">
      <c r="I579" s="29"/>
      <c r="J579" s="29"/>
      <c r="K579" s="150"/>
      <c r="M579" s="1001"/>
      <c r="N579" s="29"/>
      <c r="P579" s="29"/>
      <c r="Q579" s="29"/>
    </row>
    <row r="580" spans="9:17">
      <c r="I580" s="29"/>
      <c r="J580" s="29"/>
      <c r="K580" s="150"/>
      <c r="M580" s="1001"/>
      <c r="N580" s="29"/>
      <c r="P580" s="29"/>
      <c r="Q580" s="29"/>
    </row>
    <row r="581" spans="9:17">
      <c r="I581" s="29"/>
      <c r="J581" s="29"/>
      <c r="K581" s="150"/>
      <c r="M581" s="1001"/>
      <c r="N581" s="29"/>
      <c r="P581" s="29"/>
      <c r="Q581" s="29"/>
    </row>
    <row r="582" spans="9:17">
      <c r="I582" s="29"/>
      <c r="J582" s="29"/>
      <c r="K582" s="150"/>
      <c r="M582" s="1001"/>
      <c r="N582" s="29"/>
      <c r="P582" s="29"/>
      <c r="Q582" s="29"/>
    </row>
    <row r="583" spans="9:17">
      <c r="I583" s="29"/>
      <c r="J583" s="29"/>
      <c r="K583" s="150"/>
      <c r="M583" s="1001"/>
      <c r="N583" s="29"/>
      <c r="P583" s="29"/>
      <c r="Q583" s="29"/>
    </row>
    <row r="584" spans="9:17">
      <c r="I584" s="29"/>
      <c r="J584" s="29"/>
      <c r="K584" s="150"/>
      <c r="M584" s="1001"/>
      <c r="N584" s="29"/>
      <c r="P584" s="29"/>
      <c r="Q584" s="29"/>
    </row>
    <row r="585" spans="9:17">
      <c r="I585" s="29"/>
      <c r="J585" s="29"/>
      <c r="K585" s="150"/>
      <c r="M585" s="1001"/>
      <c r="N585" s="29"/>
      <c r="P585" s="29"/>
      <c r="Q585" s="29"/>
    </row>
    <row r="586" spans="9:17">
      <c r="I586" s="29"/>
      <c r="J586" s="29"/>
      <c r="K586" s="150"/>
      <c r="M586" s="1001"/>
      <c r="N586" s="29"/>
      <c r="P586" s="29"/>
      <c r="Q586" s="29"/>
    </row>
    <row r="587" spans="9:17">
      <c r="I587" s="29"/>
      <c r="J587" s="29"/>
      <c r="K587" s="150"/>
      <c r="M587" s="1001"/>
      <c r="N587" s="29"/>
      <c r="P587" s="29"/>
      <c r="Q587" s="29"/>
    </row>
    <row r="588" spans="9:17">
      <c r="I588" s="29"/>
      <c r="J588" s="29"/>
      <c r="K588" s="150"/>
      <c r="M588" s="1001"/>
      <c r="N588" s="29"/>
      <c r="P588" s="29"/>
      <c r="Q588" s="29"/>
    </row>
    <row r="589" spans="9:17">
      <c r="I589" s="29"/>
      <c r="J589" s="29"/>
      <c r="K589" s="150"/>
      <c r="M589" s="1001"/>
      <c r="N589" s="29"/>
      <c r="P589" s="29"/>
      <c r="Q589" s="29"/>
    </row>
    <row r="590" spans="9:17">
      <c r="I590" s="29"/>
      <c r="J590" s="29"/>
      <c r="K590" s="150"/>
      <c r="M590" s="1001"/>
      <c r="N590" s="29"/>
      <c r="P590" s="29"/>
      <c r="Q590" s="29"/>
    </row>
    <row r="591" spans="9:17">
      <c r="I591" s="29"/>
      <c r="J591" s="29"/>
      <c r="K591" s="150"/>
      <c r="M591" s="1001"/>
      <c r="N591" s="29"/>
      <c r="P591" s="29"/>
      <c r="Q591" s="29"/>
    </row>
    <row r="592" spans="9:17">
      <c r="I592" s="29"/>
      <c r="J592" s="29"/>
      <c r="K592" s="150"/>
      <c r="M592" s="1001"/>
      <c r="N592" s="29"/>
      <c r="P592" s="29"/>
      <c r="Q592" s="29"/>
    </row>
    <row r="593" spans="9:17">
      <c r="I593" s="29"/>
      <c r="J593" s="29"/>
      <c r="K593" s="150"/>
      <c r="M593" s="1001"/>
      <c r="N593" s="29"/>
      <c r="P593" s="29"/>
      <c r="Q593" s="29"/>
    </row>
    <row r="594" spans="9:17">
      <c r="I594" s="29"/>
      <c r="J594" s="29"/>
      <c r="K594" s="150"/>
      <c r="M594" s="1001"/>
      <c r="N594" s="29"/>
      <c r="P594" s="29"/>
      <c r="Q594" s="29"/>
    </row>
    <row r="595" spans="9:17">
      <c r="I595" s="29"/>
      <c r="J595" s="29"/>
      <c r="K595" s="150"/>
      <c r="M595" s="1001"/>
      <c r="N595" s="29"/>
      <c r="P595" s="29"/>
      <c r="Q595" s="29"/>
    </row>
    <row r="596" spans="9:17">
      <c r="I596" s="29"/>
      <c r="J596" s="29"/>
      <c r="K596" s="150"/>
      <c r="M596" s="1001"/>
      <c r="N596" s="29"/>
      <c r="P596" s="29"/>
      <c r="Q596" s="29"/>
    </row>
    <row r="597" spans="9:17">
      <c r="I597" s="29"/>
      <c r="J597" s="29"/>
      <c r="K597" s="150"/>
      <c r="M597" s="1001"/>
      <c r="N597" s="29"/>
      <c r="P597" s="29"/>
      <c r="Q597" s="29"/>
    </row>
    <row r="598" spans="9:17">
      <c r="I598" s="29"/>
      <c r="J598" s="29"/>
      <c r="K598" s="150"/>
      <c r="M598" s="1001"/>
      <c r="N598" s="29"/>
      <c r="P598" s="29"/>
      <c r="Q598" s="29"/>
    </row>
    <row r="599" spans="9:17">
      <c r="I599" s="29"/>
      <c r="J599" s="29"/>
      <c r="K599" s="150"/>
      <c r="M599" s="1001"/>
      <c r="N599" s="29"/>
      <c r="P599" s="29"/>
      <c r="Q599" s="29"/>
    </row>
    <row r="600" spans="9:17">
      <c r="I600" s="29"/>
      <c r="J600" s="29"/>
      <c r="K600" s="150"/>
      <c r="M600" s="1001"/>
      <c r="N600" s="29"/>
      <c r="P600" s="29"/>
      <c r="Q600" s="29"/>
    </row>
    <row r="601" spans="9:17">
      <c r="I601" s="29"/>
      <c r="J601" s="29"/>
      <c r="K601" s="150"/>
      <c r="M601" s="1001"/>
      <c r="N601" s="29"/>
      <c r="P601" s="29"/>
      <c r="Q601" s="29"/>
    </row>
    <row r="602" spans="9:17">
      <c r="I602" s="29"/>
      <c r="J602" s="29"/>
      <c r="K602" s="150"/>
      <c r="M602" s="1001"/>
      <c r="N602" s="29"/>
      <c r="P602" s="29"/>
      <c r="Q602" s="29"/>
    </row>
    <row r="603" spans="9:17">
      <c r="I603" s="29"/>
      <c r="J603" s="29"/>
      <c r="K603" s="150"/>
      <c r="M603" s="1001"/>
      <c r="N603" s="29"/>
      <c r="P603" s="29"/>
      <c r="Q603" s="29"/>
    </row>
    <row r="604" spans="9:17">
      <c r="I604" s="29"/>
      <c r="J604" s="29"/>
      <c r="K604" s="150"/>
      <c r="M604" s="1001"/>
      <c r="N604" s="29"/>
      <c r="P604" s="29"/>
      <c r="Q604" s="29"/>
    </row>
    <row r="605" spans="9:17">
      <c r="I605" s="29"/>
      <c r="J605" s="29"/>
      <c r="K605" s="150"/>
      <c r="M605" s="1001"/>
      <c r="N605" s="29"/>
      <c r="P605" s="29"/>
      <c r="Q605" s="29"/>
    </row>
    <row r="606" spans="9:17">
      <c r="I606" s="29"/>
      <c r="J606" s="29"/>
      <c r="K606" s="150"/>
      <c r="M606" s="1001"/>
      <c r="N606" s="29"/>
      <c r="P606" s="29"/>
      <c r="Q606" s="29"/>
    </row>
    <row r="607" spans="9:17">
      <c r="I607" s="29"/>
      <c r="J607" s="29"/>
      <c r="K607" s="150"/>
      <c r="M607" s="1001"/>
      <c r="N607" s="29"/>
      <c r="P607" s="29"/>
      <c r="Q607" s="29"/>
    </row>
    <row r="608" spans="9:17">
      <c r="I608" s="29"/>
      <c r="J608" s="29"/>
      <c r="K608" s="150"/>
      <c r="M608" s="1001"/>
      <c r="N608" s="29"/>
      <c r="P608" s="29"/>
      <c r="Q608" s="29"/>
    </row>
    <row r="609" spans="9:17">
      <c r="I609" s="29"/>
      <c r="J609" s="29"/>
      <c r="K609" s="150"/>
      <c r="M609" s="1001"/>
      <c r="N609" s="29"/>
      <c r="P609" s="29"/>
      <c r="Q609" s="29"/>
    </row>
    <row r="610" spans="9:17">
      <c r="I610" s="29"/>
      <c r="J610" s="29"/>
      <c r="K610" s="150"/>
      <c r="M610" s="1001"/>
      <c r="N610" s="29"/>
      <c r="P610" s="29"/>
      <c r="Q610" s="29"/>
    </row>
    <row r="611" spans="9:17">
      <c r="I611" s="29"/>
      <c r="J611" s="29"/>
      <c r="K611" s="150"/>
      <c r="M611" s="1001"/>
      <c r="N611" s="29"/>
      <c r="P611" s="29"/>
      <c r="Q611" s="29"/>
    </row>
    <row r="612" spans="9:17">
      <c r="I612" s="29"/>
      <c r="J612" s="29"/>
      <c r="K612" s="150"/>
      <c r="M612" s="1001"/>
      <c r="N612" s="29"/>
      <c r="P612" s="29"/>
      <c r="Q612" s="29"/>
    </row>
    <row r="613" spans="9:17">
      <c r="I613" s="29"/>
      <c r="J613" s="29"/>
      <c r="K613" s="150"/>
      <c r="M613" s="1001"/>
      <c r="N613" s="29"/>
      <c r="P613" s="29"/>
      <c r="Q613" s="29"/>
    </row>
    <row r="614" spans="9:17">
      <c r="I614" s="29"/>
      <c r="J614" s="29"/>
      <c r="K614" s="150"/>
      <c r="M614" s="1001"/>
      <c r="N614" s="29"/>
      <c r="P614" s="29"/>
      <c r="Q614" s="29"/>
    </row>
    <row r="615" spans="9:17">
      <c r="I615" s="29"/>
      <c r="J615" s="29"/>
      <c r="K615" s="150"/>
      <c r="M615" s="1001"/>
      <c r="N615" s="29"/>
      <c r="P615" s="29"/>
      <c r="Q615" s="29"/>
    </row>
    <row r="616" spans="9:17">
      <c r="I616" s="29"/>
      <c r="J616" s="29"/>
      <c r="K616" s="150"/>
      <c r="M616" s="1001"/>
      <c r="N616" s="29"/>
      <c r="P616" s="29"/>
      <c r="Q616" s="29"/>
    </row>
    <row r="617" spans="9:17">
      <c r="I617" s="29"/>
      <c r="J617" s="29"/>
      <c r="K617" s="150"/>
      <c r="M617" s="1001"/>
      <c r="N617" s="29"/>
      <c r="P617" s="29"/>
      <c r="Q617" s="29"/>
    </row>
    <row r="618" spans="9:17">
      <c r="I618" s="29"/>
      <c r="J618" s="29"/>
      <c r="K618" s="150"/>
      <c r="M618" s="1001"/>
      <c r="N618" s="29"/>
      <c r="P618" s="29"/>
      <c r="Q618" s="29"/>
    </row>
    <row r="619" spans="9:17">
      <c r="I619" s="29"/>
      <c r="J619" s="29"/>
      <c r="K619" s="150"/>
      <c r="M619" s="1001"/>
      <c r="N619" s="29"/>
      <c r="P619" s="29"/>
      <c r="Q619" s="29"/>
    </row>
    <row r="620" spans="9:17">
      <c r="I620" s="29"/>
      <c r="J620" s="29"/>
      <c r="K620" s="150"/>
      <c r="M620" s="1001"/>
      <c r="N620" s="29"/>
      <c r="P620" s="29"/>
      <c r="Q620" s="29"/>
    </row>
    <row r="621" spans="9:17">
      <c r="I621" s="29"/>
      <c r="J621" s="29"/>
      <c r="K621" s="150"/>
      <c r="M621" s="1001"/>
      <c r="N621" s="29"/>
      <c r="P621" s="29"/>
      <c r="Q621" s="29"/>
    </row>
    <row r="622" spans="9:17">
      <c r="I622" s="29"/>
      <c r="J622" s="29"/>
      <c r="K622" s="150"/>
      <c r="M622" s="1001"/>
      <c r="N622" s="29"/>
      <c r="P622" s="29"/>
      <c r="Q622" s="29"/>
    </row>
    <row r="623" spans="9:17">
      <c r="I623" s="29"/>
      <c r="J623" s="29"/>
      <c r="K623" s="150"/>
      <c r="M623" s="1001"/>
      <c r="N623" s="29"/>
      <c r="P623" s="29"/>
      <c r="Q623" s="29"/>
    </row>
    <row r="624" spans="9:17">
      <c r="I624" s="29"/>
      <c r="J624" s="29"/>
      <c r="K624" s="150"/>
      <c r="M624" s="1001"/>
      <c r="N624" s="29"/>
      <c r="P624" s="29"/>
      <c r="Q624" s="29"/>
    </row>
    <row r="625" spans="9:17">
      <c r="I625" s="29"/>
      <c r="J625" s="29"/>
      <c r="K625" s="150"/>
      <c r="M625" s="1001"/>
      <c r="N625" s="29"/>
      <c r="P625" s="29"/>
      <c r="Q625" s="29"/>
    </row>
    <row r="626" spans="9:17">
      <c r="I626" s="29"/>
      <c r="J626" s="29"/>
      <c r="K626" s="150"/>
      <c r="M626" s="1001"/>
      <c r="N626" s="29"/>
      <c r="P626" s="29"/>
      <c r="Q626" s="29"/>
    </row>
    <row r="627" spans="9:17">
      <c r="I627" s="29"/>
      <c r="J627" s="29"/>
      <c r="K627" s="150"/>
      <c r="M627" s="1001"/>
      <c r="N627" s="29"/>
      <c r="P627" s="29"/>
      <c r="Q627" s="29"/>
    </row>
    <row r="628" spans="9:17">
      <c r="I628" s="29"/>
      <c r="J628" s="29"/>
      <c r="K628" s="150"/>
      <c r="M628" s="1001"/>
      <c r="N628" s="29"/>
      <c r="P628" s="29"/>
      <c r="Q628" s="29"/>
    </row>
    <row r="629" spans="9:17">
      <c r="I629" s="29"/>
      <c r="J629" s="29"/>
      <c r="K629" s="150"/>
      <c r="M629" s="1001"/>
      <c r="N629" s="29"/>
      <c r="P629" s="29"/>
      <c r="Q629" s="29"/>
    </row>
    <row r="630" spans="9:17">
      <c r="I630" s="29"/>
      <c r="J630" s="29"/>
      <c r="K630" s="150"/>
      <c r="M630" s="1001"/>
      <c r="N630" s="29"/>
      <c r="P630" s="29"/>
      <c r="Q630" s="29"/>
    </row>
    <row r="631" spans="9:17">
      <c r="I631" s="29"/>
      <c r="J631" s="29"/>
      <c r="K631" s="150"/>
      <c r="M631" s="1001"/>
      <c r="N631" s="29"/>
      <c r="P631" s="29"/>
      <c r="Q631" s="29"/>
    </row>
    <row r="632" spans="9:17">
      <c r="I632" s="29"/>
      <c r="J632" s="29"/>
      <c r="K632" s="150"/>
      <c r="M632" s="1001"/>
      <c r="N632" s="29"/>
      <c r="P632" s="29"/>
      <c r="Q632" s="29"/>
    </row>
    <row r="633" spans="9:17">
      <c r="I633" s="29"/>
      <c r="J633" s="29"/>
      <c r="K633" s="150"/>
      <c r="M633" s="1001"/>
      <c r="N633" s="29"/>
      <c r="P633" s="29"/>
      <c r="Q633" s="29"/>
    </row>
    <row r="634" spans="9:17">
      <c r="I634" s="29"/>
      <c r="J634" s="29"/>
      <c r="K634" s="150"/>
      <c r="M634" s="1001"/>
      <c r="N634" s="29"/>
      <c r="P634" s="29"/>
      <c r="Q634" s="29"/>
    </row>
    <row r="635" spans="9:17">
      <c r="I635" s="29"/>
      <c r="J635" s="29"/>
      <c r="K635" s="150"/>
      <c r="M635" s="1001"/>
      <c r="N635" s="29"/>
      <c r="P635" s="29"/>
      <c r="Q635" s="29"/>
    </row>
    <row r="636" spans="9:17">
      <c r="I636" s="29"/>
      <c r="J636" s="29"/>
      <c r="K636" s="150"/>
      <c r="M636" s="1001"/>
      <c r="N636" s="29"/>
      <c r="P636" s="29"/>
      <c r="Q636" s="29"/>
    </row>
    <row r="637" spans="9:17">
      <c r="I637" s="29"/>
      <c r="J637" s="29"/>
      <c r="K637" s="150"/>
      <c r="M637" s="1001"/>
      <c r="N637" s="29"/>
      <c r="P637" s="29"/>
      <c r="Q637" s="29"/>
    </row>
    <row r="638" spans="9:17">
      <c r="I638" s="29"/>
      <c r="J638" s="29"/>
      <c r="K638" s="150"/>
      <c r="M638" s="1001"/>
      <c r="N638" s="29"/>
      <c r="P638" s="29"/>
      <c r="Q638" s="29"/>
    </row>
    <row r="639" spans="9:17">
      <c r="I639" s="29"/>
      <c r="J639" s="29"/>
      <c r="K639" s="150"/>
      <c r="M639" s="1001"/>
      <c r="N639" s="29"/>
      <c r="P639" s="29"/>
      <c r="Q639" s="29"/>
    </row>
    <row r="640" spans="9:17">
      <c r="I640" s="29"/>
      <c r="J640" s="29"/>
      <c r="K640" s="150"/>
      <c r="M640" s="1001"/>
      <c r="N640" s="29"/>
      <c r="P640" s="29"/>
      <c r="Q640" s="29"/>
    </row>
    <row r="641" spans="9:17">
      <c r="I641" s="29"/>
      <c r="J641" s="29"/>
      <c r="K641" s="150"/>
      <c r="M641" s="1001"/>
      <c r="N641" s="29"/>
      <c r="P641" s="29"/>
      <c r="Q641" s="29"/>
    </row>
    <row r="642" spans="9:17">
      <c r="I642" s="29"/>
      <c r="J642" s="29"/>
      <c r="K642" s="150"/>
      <c r="M642" s="1001"/>
      <c r="N642" s="29"/>
      <c r="P642" s="29"/>
      <c r="Q642" s="29"/>
    </row>
    <row r="643" spans="9:17">
      <c r="I643" s="29"/>
      <c r="J643" s="29"/>
      <c r="K643" s="150"/>
      <c r="M643" s="1001"/>
      <c r="N643" s="29"/>
      <c r="P643" s="29"/>
      <c r="Q643" s="29"/>
    </row>
    <row r="644" spans="9:17">
      <c r="I644" s="29"/>
      <c r="J644" s="29"/>
      <c r="K644" s="150"/>
      <c r="M644" s="1001"/>
      <c r="N644" s="29"/>
      <c r="P644" s="29"/>
      <c r="Q644" s="29"/>
    </row>
    <row r="645" spans="9:17">
      <c r="I645" s="29"/>
      <c r="J645" s="29"/>
      <c r="K645" s="150"/>
      <c r="M645" s="1001"/>
      <c r="N645" s="29"/>
      <c r="P645" s="29"/>
      <c r="Q645" s="29"/>
    </row>
    <row r="646" spans="9:17">
      <c r="I646" s="29"/>
      <c r="J646" s="29"/>
      <c r="K646" s="150"/>
      <c r="M646" s="1001"/>
      <c r="N646" s="29"/>
      <c r="P646" s="29"/>
      <c r="Q646" s="29"/>
    </row>
    <row r="647" spans="9:17">
      <c r="I647" s="29"/>
      <c r="J647" s="29"/>
      <c r="K647" s="150"/>
      <c r="M647" s="1001"/>
      <c r="N647" s="29"/>
      <c r="P647" s="29"/>
      <c r="Q647" s="29"/>
    </row>
    <row r="648" spans="9:17">
      <c r="I648" s="29"/>
      <c r="J648" s="29"/>
      <c r="K648" s="150"/>
      <c r="M648" s="1001"/>
      <c r="N648" s="29"/>
      <c r="P648" s="29"/>
      <c r="Q648" s="29"/>
    </row>
    <row r="649" spans="9:17">
      <c r="I649" s="29"/>
      <c r="J649" s="29"/>
      <c r="K649" s="150"/>
      <c r="M649" s="1001"/>
      <c r="N649" s="29"/>
      <c r="P649" s="29"/>
      <c r="Q649" s="29"/>
    </row>
    <row r="650" spans="9:17">
      <c r="I650" s="29"/>
      <c r="J650" s="29"/>
      <c r="K650" s="150"/>
      <c r="M650" s="1001"/>
      <c r="N650" s="29"/>
      <c r="P650" s="29"/>
      <c r="Q650" s="29"/>
    </row>
    <row r="651" spans="9:17">
      <c r="I651" s="29"/>
      <c r="J651" s="29"/>
      <c r="K651" s="150"/>
      <c r="M651" s="1001"/>
      <c r="N651" s="29"/>
      <c r="P651" s="29"/>
      <c r="Q651" s="29"/>
    </row>
    <row r="652" spans="9:17">
      <c r="I652" s="29"/>
      <c r="J652" s="29"/>
      <c r="K652" s="150"/>
      <c r="M652" s="1001"/>
      <c r="N652" s="29"/>
      <c r="P652" s="29"/>
      <c r="Q652" s="29"/>
    </row>
    <row r="653" spans="9:17">
      <c r="I653" s="29"/>
      <c r="J653" s="29"/>
      <c r="K653" s="150"/>
      <c r="M653" s="1001"/>
      <c r="N653" s="29"/>
      <c r="P653" s="29"/>
      <c r="Q653" s="29"/>
    </row>
    <row r="654" spans="9:17">
      <c r="I654" s="29"/>
      <c r="J654" s="29"/>
      <c r="K654" s="150"/>
      <c r="M654" s="1001"/>
      <c r="N654" s="29"/>
      <c r="P654" s="29"/>
      <c r="Q654" s="29"/>
    </row>
    <row r="655" spans="9:17">
      <c r="I655" s="29"/>
      <c r="J655" s="29"/>
      <c r="K655" s="150"/>
      <c r="M655" s="1001"/>
      <c r="N655" s="29"/>
      <c r="P655" s="29"/>
      <c r="Q655" s="29"/>
    </row>
    <row r="656" spans="9:17">
      <c r="I656" s="29"/>
      <c r="J656" s="29"/>
      <c r="K656" s="150"/>
      <c r="M656" s="1001"/>
      <c r="N656" s="29"/>
      <c r="P656" s="29"/>
      <c r="Q656" s="29"/>
    </row>
    <row r="657" spans="9:17">
      <c r="I657" s="29"/>
      <c r="J657" s="29"/>
      <c r="K657" s="150"/>
      <c r="M657" s="1001"/>
      <c r="N657" s="29"/>
      <c r="P657" s="29"/>
      <c r="Q657" s="29"/>
    </row>
    <row r="658" spans="9:17">
      <c r="I658" s="29"/>
      <c r="J658" s="29"/>
      <c r="K658" s="150"/>
      <c r="M658" s="1001"/>
      <c r="N658" s="29"/>
      <c r="P658" s="29"/>
      <c r="Q658" s="29"/>
    </row>
    <row r="659" spans="9:17">
      <c r="I659" s="29"/>
      <c r="J659" s="29"/>
      <c r="K659" s="150"/>
      <c r="M659" s="1001"/>
      <c r="N659" s="29"/>
      <c r="P659" s="29"/>
      <c r="Q659" s="29"/>
    </row>
    <row r="660" spans="9:17">
      <c r="I660" s="29"/>
      <c r="J660" s="29"/>
      <c r="K660" s="150"/>
      <c r="M660" s="1001"/>
      <c r="N660" s="29"/>
      <c r="P660" s="29"/>
      <c r="Q660" s="29"/>
    </row>
    <row r="661" spans="9:17">
      <c r="I661" s="29"/>
      <c r="J661" s="29"/>
      <c r="K661" s="150"/>
      <c r="M661" s="1001"/>
      <c r="N661" s="29"/>
      <c r="P661" s="29"/>
      <c r="Q661" s="29"/>
    </row>
    <row r="662" spans="9:17">
      <c r="I662" s="29"/>
      <c r="J662" s="29"/>
      <c r="K662" s="150"/>
      <c r="M662" s="1001"/>
      <c r="N662" s="29"/>
      <c r="P662" s="29"/>
      <c r="Q662" s="29"/>
    </row>
    <row r="663" spans="9:17">
      <c r="I663" s="29"/>
      <c r="J663" s="29"/>
      <c r="K663" s="150"/>
      <c r="M663" s="1001"/>
      <c r="N663" s="29"/>
      <c r="P663" s="29"/>
      <c r="Q663" s="29"/>
    </row>
    <row r="664" spans="9:17">
      <c r="I664" s="29"/>
      <c r="J664" s="29"/>
      <c r="K664" s="150"/>
      <c r="M664" s="1001"/>
      <c r="N664" s="29"/>
      <c r="P664" s="29"/>
      <c r="Q664" s="29"/>
    </row>
    <row r="665" spans="9:17">
      <c r="I665" s="29"/>
      <c r="J665" s="29"/>
      <c r="K665" s="150"/>
      <c r="M665" s="1001"/>
      <c r="N665" s="29"/>
      <c r="P665" s="29"/>
      <c r="Q665" s="29"/>
    </row>
    <row r="666" spans="9:17">
      <c r="I666" s="29"/>
      <c r="J666" s="29"/>
      <c r="K666" s="150"/>
      <c r="M666" s="1001"/>
      <c r="N666" s="29"/>
      <c r="P666" s="29"/>
      <c r="Q666" s="29"/>
    </row>
    <row r="667" spans="9:17">
      <c r="I667" s="29"/>
      <c r="J667" s="29"/>
      <c r="K667" s="150"/>
      <c r="M667" s="1001"/>
      <c r="N667" s="29"/>
      <c r="P667" s="29"/>
      <c r="Q667" s="29"/>
    </row>
    <row r="668" spans="9:17">
      <c r="I668" s="29"/>
      <c r="J668" s="29"/>
      <c r="K668" s="150"/>
      <c r="M668" s="1001"/>
      <c r="N668" s="29"/>
      <c r="P668" s="29"/>
      <c r="Q668" s="29"/>
    </row>
    <row r="669" spans="9:17">
      <c r="I669" s="29"/>
      <c r="J669" s="29"/>
      <c r="K669" s="150"/>
      <c r="M669" s="1001"/>
      <c r="N669" s="29"/>
      <c r="P669" s="29"/>
      <c r="Q669" s="29"/>
    </row>
    <row r="670" spans="9:17">
      <c r="I670" s="29"/>
      <c r="J670" s="29"/>
      <c r="K670" s="150"/>
      <c r="M670" s="1001"/>
      <c r="N670" s="29"/>
      <c r="P670" s="29"/>
      <c r="Q670" s="29"/>
    </row>
    <row r="671" spans="9:17">
      <c r="I671" s="29"/>
      <c r="J671" s="29"/>
      <c r="K671" s="150"/>
      <c r="M671" s="1001"/>
      <c r="N671" s="29"/>
      <c r="P671" s="29"/>
      <c r="Q671" s="29"/>
    </row>
    <row r="672" spans="9:17">
      <c r="I672" s="29"/>
      <c r="J672" s="29"/>
      <c r="K672" s="150"/>
      <c r="M672" s="1001"/>
      <c r="N672" s="29"/>
      <c r="P672" s="29"/>
      <c r="Q672" s="29"/>
    </row>
    <row r="673" spans="9:17">
      <c r="I673" s="29"/>
      <c r="J673" s="29"/>
      <c r="K673" s="150"/>
      <c r="M673" s="1001"/>
      <c r="N673" s="29"/>
      <c r="P673" s="29"/>
      <c r="Q673" s="29"/>
    </row>
    <row r="674" spans="9:17">
      <c r="I674" s="29"/>
      <c r="J674" s="29"/>
      <c r="K674" s="150"/>
      <c r="M674" s="1001"/>
      <c r="N674" s="29"/>
      <c r="P674" s="29"/>
      <c r="Q674" s="29"/>
    </row>
    <row r="675" spans="9:17">
      <c r="I675" s="29"/>
      <c r="J675" s="29"/>
      <c r="K675" s="150"/>
      <c r="M675" s="1001"/>
      <c r="N675" s="29"/>
      <c r="P675" s="29"/>
      <c r="Q675" s="29"/>
    </row>
    <row r="676" spans="9:17">
      <c r="I676" s="29"/>
      <c r="J676" s="29"/>
      <c r="K676" s="150"/>
      <c r="M676" s="1001"/>
      <c r="N676" s="29"/>
      <c r="P676" s="29"/>
      <c r="Q676" s="29"/>
    </row>
    <row r="677" spans="9:17">
      <c r="I677" s="29"/>
      <c r="J677" s="29"/>
      <c r="K677" s="150"/>
      <c r="M677" s="1001"/>
      <c r="N677" s="29"/>
      <c r="P677" s="29"/>
      <c r="Q677" s="29"/>
    </row>
    <row r="678" spans="9:17">
      <c r="I678" s="29"/>
      <c r="J678" s="29"/>
      <c r="K678" s="150"/>
      <c r="M678" s="1001"/>
      <c r="N678" s="29"/>
      <c r="P678" s="29"/>
      <c r="Q678" s="29"/>
    </row>
    <row r="679" spans="9:17">
      <c r="I679" s="29"/>
      <c r="J679" s="29"/>
      <c r="K679" s="150"/>
      <c r="M679" s="1001"/>
      <c r="N679" s="29"/>
      <c r="P679" s="29"/>
      <c r="Q679" s="29"/>
    </row>
    <row r="680" spans="9:17">
      <c r="I680" s="29"/>
      <c r="J680" s="29"/>
      <c r="K680" s="150"/>
      <c r="M680" s="1001"/>
      <c r="N680" s="29"/>
      <c r="P680" s="29"/>
      <c r="Q680" s="29"/>
    </row>
    <row r="681" spans="9:17">
      <c r="I681" s="29"/>
      <c r="J681" s="29"/>
      <c r="K681" s="150"/>
      <c r="M681" s="1001"/>
      <c r="N681" s="29"/>
      <c r="P681" s="29"/>
      <c r="Q681" s="29"/>
    </row>
    <row r="682" spans="9:17">
      <c r="I682" s="29"/>
      <c r="J682" s="29"/>
      <c r="K682" s="150"/>
      <c r="M682" s="1001"/>
      <c r="N682" s="29"/>
      <c r="P682" s="29"/>
      <c r="Q682" s="29"/>
    </row>
    <row r="683" spans="9:17">
      <c r="I683" s="29"/>
      <c r="J683" s="29"/>
      <c r="K683" s="150"/>
      <c r="M683" s="1001"/>
      <c r="N683" s="29"/>
      <c r="P683" s="29"/>
      <c r="Q683" s="29"/>
    </row>
    <row r="684" spans="9:17">
      <c r="I684" s="29"/>
      <c r="J684" s="29"/>
      <c r="K684" s="150"/>
      <c r="M684" s="1001"/>
      <c r="N684" s="29"/>
      <c r="P684" s="29"/>
      <c r="Q684" s="29"/>
    </row>
    <row r="685" spans="9:17">
      <c r="I685" s="29"/>
      <c r="J685" s="29"/>
      <c r="K685" s="150"/>
      <c r="M685" s="1001"/>
      <c r="N685" s="29"/>
      <c r="P685" s="29"/>
      <c r="Q685" s="29"/>
    </row>
    <row r="686" spans="9:17">
      <c r="I686" s="29"/>
      <c r="J686" s="29"/>
      <c r="K686" s="150"/>
      <c r="M686" s="1001"/>
      <c r="N686" s="29"/>
      <c r="P686" s="29"/>
      <c r="Q686" s="29"/>
    </row>
    <row r="687" spans="9:17">
      <c r="I687" s="29"/>
      <c r="J687" s="29"/>
      <c r="K687" s="150"/>
      <c r="M687" s="1001"/>
      <c r="N687" s="29"/>
      <c r="P687" s="29"/>
      <c r="Q687" s="29"/>
    </row>
    <row r="688" spans="9:17">
      <c r="I688" s="29"/>
      <c r="J688" s="29"/>
      <c r="K688" s="150"/>
      <c r="M688" s="1001"/>
      <c r="N688" s="29"/>
      <c r="P688" s="29"/>
      <c r="Q688" s="29"/>
    </row>
    <row r="689" spans="9:17">
      <c r="I689" s="29"/>
      <c r="J689" s="29"/>
      <c r="K689" s="150"/>
      <c r="M689" s="1001"/>
      <c r="N689" s="29"/>
      <c r="P689" s="29"/>
      <c r="Q689" s="29"/>
    </row>
    <row r="690" spans="9:17">
      <c r="I690" s="29"/>
      <c r="J690" s="29"/>
      <c r="K690" s="150"/>
      <c r="M690" s="1001"/>
      <c r="N690" s="29"/>
      <c r="P690" s="29"/>
      <c r="Q690" s="29"/>
    </row>
    <row r="691" spans="9:17">
      <c r="I691" s="29"/>
      <c r="J691" s="29"/>
      <c r="K691" s="150"/>
      <c r="M691" s="1001"/>
      <c r="N691" s="29"/>
      <c r="P691" s="29"/>
      <c r="Q691" s="29"/>
    </row>
    <row r="692" spans="9:17">
      <c r="I692" s="29"/>
      <c r="J692" s="29"/>
      <c r="K692" s="150"/>
      <c r="M692" s="1001"/>
      <c r="N692" s="29"/>
      <c r="P692" s="29"/>
      <c r="Q692" s="29"/>
    </row>
    <row r="693" spans="9:17">
      <c r="I693" s="29"/>
      <c r="J693" s="29"/>
      <c r="K693" s="150"/>
      <c r="M693" s="1001"/>
      <c r="N693" s="29"/>
      <c r="P693" s="29"/>
      <c r="Q693" s="29"/>
    </row>
    <row r="694" spans="9:17">
      <c r="I694" s="29"/>
      <c r="J694" s="29"/>
      <c r="K694" s="150"/>
      <c r="M694" s="1001"/>
      <c r="N694" s="29"/>
      <c r="P694" s="29"/>
      <c r="Q694" s="29"/>
    </row>
    <row r="695" spans="9:17">
      <c r="I695" s="29"/>
      <c r="J695" s="29"/>
      <c r="K695" s="150"/>
      <c r="M695" s="1001"/>
      <c r="N695" s="29"/>
      <c r="P695" s="29"/>
      <c r="Q695" s="29"/>
    </row>
    <row r="696" spans="9:17">
      <c r="I696" s="29"/>
      <c r="J696" s="29"/>
      <c r="K696" s="150"/>
      <c r="M696" s="1001"/>
      <c r="N696" s="29"/>
      <c r="P696" s="29"/>
      <c r="Q696" s="29"/>
    </row>
    <row r="697" spans="9:17">
      <c r="I697" s="29"/>
      <c r="J697" s="29"/>
      <c r="K697" s="150"/>
      <c r="M697" s="1001"/>
      <c r="N697" s="29"/>
      <c r="P697" s="29"/>
      <c r="Q697" s="29"/>
    </row>
    <row r="698" spans="9:17">
      <c r="I698" s="29"/>
      <c r="J698" s="29"/>
      <c r="K698" s="150"/>
      <c r="M698" s="1001"/>
      <c r="N698" s="29"/>
      <c r="P698" s="29"/>
      <c r="Q698" s="29"/>
    </row>
    <row r="699" spans="9:17">
      <c r="I699" s="29"/>
      <c r="J699" s="29"/>
      <c r="K699" s="150"/>
      <c r="M699" s="1001"/>
      <c r="N699" s="29"/>
      <c r="P699" s="29"/>
      <c r="Q699" s="29"/>
    </row>
    <row r="700" spans="9:17">
      <c r="I700" s="29"/>
      <c r="J700" s="29"/>
      <c r="K700" s="150"/>
      <c r="M700" s="1001"/>
      <c r="N700" s="29"/>
      <c r="P700" s="29"/>
      <c r="Q700" s="29"/>
    </row>
    <row r="701" spans="9:17">
      <c r="I701" s="29"/>
      <c r="J701" s="29"/>
      <c r="K701" s="150"/>
      <c r="M701" s="1001"/>
      <c r="N701" s="29"/>
      <c r="P701" s="29"/>
      <c r="Q701" s="29"/>
    </row>
    <row r="702" spans="9:17">
      <c r="I702" s="29"/>
      <c r="J702" s="29"/>
      <c r="K702" s="150"/>
      <c r="M702" s="1001"/>
      <c r="N702" s="29"/>
      <c r="P702" s="29"/>
      <c r="Q702" s="29"/>
    </row>
    <row r="703" spans="9:17">
      <c r="I703" s="29"/>
      <c r="J703" s="29"/>
      <c r="K703" s="150"/>
      <c r="M703" s="1001"/>
      <c r="N703" s="29"/>
      <c r="P703" s="29"/>
      <c r="Q703" s="29"/>
    </row>
    <row r="704" spans="9:17">
      <c r="I704" s="29"/>
      <c r="J704" s="29"/>
      <c r="K704" s="150"/>
      <c r="M704" s="1001"/>
      <c r="N704" s="29"/>
      <c r="P704" s="29"/>
      <c r="Q704" s="29"/>
    </row>
    <row r="705" spans="9:17">
      <c r="I705" s="29"/>
      <c r="J705" s="29"/>
      <c r="K705" s="150"/>
      <c r="M705" s="1001"/>
      <c r="N705" s="29"/>
      <c r="P705" s="29"/>
      <c r="Q705" s="29"/>
    </row>
    <row r="706" spans="9:17">
      <c r="I706" s="29"/>
      <c r="J706" s="29"/>
      <c r="K706" s="150"/>
      <c r="M706" s="1001"/>
      <c r="N706" s="29"/>
      <c r="P706" s="29"/>
      <c r="Q706" s="29"/>
    </row>
    <row r="707" spans="9:17">
      <c r="I707" s="29"/>
      <c r="J707" s="29"/>
      <c r="K707" s="150"/>
      <c r="M707" s="1001"/>
      <c r="N707" s="29"/>
      <c r="P707" s="29"/>
      <c r="Q707" s="29"/>
    </row>
    <row r="708" spans="9:17">
      <c r="I708" s="29"/>
      <c r="J708" s="29"/>
      <c r="K708" s="150"/>
      <c r="M708" s="1001"/>
      <c r="N708" s="29"/>
      <c r="P708" s="29"/>
      <c r="Q708" s="29"/>
    </row>
    <row r="709" spans="9:17">
      <c r="I709" s="29"/>
      <c r="J709" s="29"/>
      <c r="K709" s="150"/>
      <c r="M709" s="1001"/>
      <c r="N709" s="29"/>
      <c r="P709" s="29"/>
      <c r="Q709" s="29"/>
    </row>
    <row r="710" spans="9:17">
      <c r="I710" s="29"/>
      <c r="J710" s="29"/>
      <c r="K710" s="150"/>
      <c r="M710" s="1001"/>
      <c r="N710" s="29"/>
      <c r="P710" s="29"/>
      <c r="Q710" s="29"/>
    </row>
    <row r="711" spans="9:17">
      <c r="I711" s="29"/>
      <c r="J711" s="29"/>
      <c r="K711" s="150"/>
      <c r="M711" s="1001"/>
      <c r="N711" s="29"/>
      <c r="P711" s="29"/>
      <c r="Q711" s="29"/>
    </row>
    <row r="712" spans="9:17">
      <c r="I712" s="29"/>
      <c r="J712" s="29"/>
      <c r="K712" s="150"/>
      <c r="M712" s="1001"/>
      <c r="N712" s="29"/>
      <c r="P712" s="29"/>
      <c r="Q712" s="29"/>
    </row>
    <row r="713" spans="9:17">
      <c r="I713" s="29"/>
      <c r="J713" s="29"/>
      <c r="K713" s="150"/>
      <c r="M713" s="1001"/>
      <c r="N713" s="29"/>
      <c r="P713" s="29"/>
      <c r="Q713" s="29"/>
    </row>
    <row r="714" spans="9:17">
      <c r="I714" s="29"/>
      <c r="J714" s="29"/>
      <c r="K714" s="150"/>
      <c r="M714" s="1001"/>
      <c r="N714" s="29"/>
      <c r="P714" s="29"/>
      <c r="Q714" s="29"/>
    </row>
    <row r="715" spans="9:17">
      <c r="I715" s="29"/>
      <c r="J715" s="29"/>
      <c r="K715" s="150"/>
      <c r="M715" s="1001"/>
      <c r="N715" s="29"/>
      <c r="P715" s="29"/>
      <c r="Q715" s="29"/>
    </row>
    <row r="716" spans="9:17">
      <c r="I716" s="29"/>
      <c r="J716" s="29"/>
      <c r="K716" s="150"/>
      <c r="M716" s="1001"/>
      <c r="N716" s="29"/>
      <c r="P716" s="29"/>
      <c r="Q716" s="29"/>
    </row>
    <row r="717" spans="9:17">
      <c r="I717" s="29"/>
      <c r="J717" s="29"/>
      <c r="K717" s="150"/>
      <c r="M717" s="1001"/>
      <c r="N717" s="29"/>
      <c r="P717" s="29"/>
      <c r="Q717" s="29"/>
    </row>
    <row r="718" spans="9:17">
      <c r="I718" s="29"/>
      <c r="J718" s="29"/>
      <c r="K718" s="150"/>
      <c r="M718" s="1001"/>
      <c r="N718" s="29"/>
      <c r="P718" s="29"/>
      <c r="Q718" s="29"/>
    </row>
    <row r="719" spans="9:17">
      <c r="I719" s="29"/>
      <c r="J719" s="29"/>
      <c r="K719" s="150"/>
      <c r="M719" s="1001"/>
      <c r="N719" s="29"/>
      <c r="P719" s="29"/>
      <c r="Q719" s="29"/>
    </row>
    <row r="720" spans="9:17">
      <c r="I720" s="29"/>
      <c r="J720" s="29"/>
      <c r="K720" s="150"/>
      <c r="M720" s="1001"/>
      <c r="N720" s="29"/>
      <c r="P720" s="29"/>
      <c r="Q720" s="29"/>
    </row>
    <row r="721" spans="9:17">
      <c r="I721" s="29"/>
      <c r="J721" s="29"/>
      <c r="K721" s="150"/>
      <c r="M721" s="1001"/>
      <c r="N721" s="29"/>
      <c r="P721" s="29"/>
      <c r="Q721" s="29"/>
    </row>
    <row r="722" spans="9:17">
      <c r="I722" s="29"/>
      <c r="J722" s="29"/>
      <c r="K722" s="150"/>
      <c r="M722" s="1001"/>
      <c r="N722" s="29"/>
      <c r="P722" s="29"/>
      <c r="Q722" s="29"/>
    </row>
    <row r="723" spans="9:17">
      <c r="I723" s="29"/>
      <c r="J723" s="29"/>
      <c r="K723" s="150"/>
      <c r="M723" s="1001"/>
      <c r="N723" s="29"/>
      <c r="P723" s="29"/>
      <c r="Q723" s="29"/>
    </row>
    <row r="724" spans="9:17">
      <c r="I724" s="29"/>
      <c r="J724" s="29"/>
      <c r="K724" s="150"/>
      <c r="M724" s="1001"/>
      <c r="N724" s="29"/>
      <c r="P724" s="29"/>
      <c r="Q724" s="29"/>
    </row>
    <row r="725" spans="9:17">
      <c r="I725" s="29"/>
      <c r="J725" s="29"/>
      <c r="K725" s="150"/>
      <c r="M725" s="1001"/>
      <c r="N725" s="29"/>
      <c r="P725" s="29"/>
      <c r="Q725" s="29"/>
    </row>
    <row r="726" spans="9:17">
      <c r="I726" s="29"/>
      <c r="J726" s="29"/>
      <c r="K726" s="150"/>
      <c r="M726" s="1001"/>
      <c r="N726" s="29"/>
      <c r="P726" s="29"/>
      <c r="Q726" s="29"/>
    </row>
    <row r="727" spans="9:17">
      <c r="I727" s="29"/>
      <c r="J727" s="29"/>
      <c r="K727" s="150"/>
      <c r="M727" s="1001"/>
      <c r="N727" s="29"/>
      <c r="P727" s="29"/>
      <c r="Q727" s="29"/>
    </row>
    <row r="728" spans="9:17">
      <c r="I728" s="29"/>
      <c r="J728" s="29"/>
      <c r="K728" s="150"/>
      <c r="M728" s="1001"/>
      <c r="N728" s="29"/>
      <c r="P728" s="29"/>
      <c r="Q728" s="29"/>
    </row>
    <row r="729" spans="9:17">
      <c r="I729" s="29"/>
      <c r="J729" s="29"/>
      <c r="K729" s="150"/>
      <c r="M729" s="1001"/>
      <c r="N729" s="29"/>
      <c r="P729" s="29"/>
      <c r="Q729" s="29"/>
    </row>
    <row r="730" spans="9:17">
      <c r="I730" s="29"/>
      <c r="J730" s="29"/>
      <c r="K730" s="150"/>
      <c r="M730" s="1001"/>
      <c r="N730" s="29"/>
      <c r="P730" s="29"/>
      <c r="Q730" s="29"/>
    </row>
    <row r="731" spans="9:17">
      <c r="I731" s="29"/>
      <c r="J731" s="29"/>
      <c r="K731" s="150"/>
      <c r="M731" s="1001"/>
      <c r="N731" s="29"/>
      <c r="P731" s="29"/>
      <c r="Q731" s="29"/>
    </row>
    <row r="732" spans="9:17">
      <c r="I732" s="29"/>
      <c r="J732" s="29"/>
      <c r="K732" s="150"/>
      <c r="M732" s="1001"/>
      <c r="N732" s="29"/>
      <c r="P732" s="29"/>
      <c r="Q732" s="29"/>
    </row>
    <row r="733" spans="9:17">
      <c r="I733" s="29"/>
      <c r="J733" s="29"/>
      <c r="K733" s="150"/>
      <c r="M733" s="1001"/>
      <c r="N733" s="29"/>
      <c r="P733" s="29"/>
      <c r="Q733" s="29"/>
    </row>
    <row r="734" spans="9:17">
      <c r="I734" s="29"/>
      <c r="J734" s="29"/>
      <c r="K734" s="150"/>
      <c r="M734" s="1001"/>
      <c r="N734" s="29"/>
      <c r="P734" s="29"/>
      <c r="Q734" s="29"/>
    </row>
    <row r="735" spans="9:17">
      <c r="I735" s="29"/>
      <c r="J735" s="29"/>
      <c r="K735" s="150"/>
      <c r="M735" s="1001"/>
      <c r="N735" s="29"/>
      <c r="P735" s="29"/>
      <c r="Q735" s="29"/>
    </row>
    <row r="736" spans="9:17">
      <c r="I736" s="29"/>
      <c r="J736" s="29"/>
      <c r="K736" s="150"/>
      <c r="M736" s="1001"/>
      <c r="N736" s="29"/>
      <c r="P736" s="29"/>
      <c r="Q736" s="29"/>
    </row>
    <row r="737" spans="9:17">
      <c r="I737" s="29"/>
      <c r="J737" s="29"/>
      <c r="K737" s="150"/>
      <c r="M737" s="1001"/>
      <c r="N737" s="29"/>
      <c r="P737" s="29"/>
      <c r="Q737" s="29"/>
    </row>
    <row r="738" spans="9:17">
      <c r="I738" s="29"/>
      <c r="J738" s="29"/>
      <c r="K738" s="150"/>
      <c r="M738" s="1001"/>
      <c r="N738" s="29"/>
      <c r="P738" s="29"/>
      <c r="Q738" s="29"/>
    </row>
    <row r="739" spans="9:17">
      <c r="I739" s="29"/>
      <c r="J739" s="29"/>
      <c r="K739" s="150"/>
      <c r="M739" s="1001"/>
      <c r="N739" s="29"/>
      <c r="P739" s="29"/>
      <c r="Q739" s="29"/>
    </row>
    <row r="740" spans="9:17">
      <c r="I740" s="29"/>
      <c r="J740" s="29"/>
      <c r="K740" s="150"/>
      <c r="M740" s="1001"/>
      <c r="N740" s="29"/>
      <c r="P740" s="29"/>
      <c r="Q740" s="29"/>
    </row>
    <row r="741" spans="9:17">
      <c r="I741" s="29"/>
      <c r="J741" s="29"/>
      <c r="K741" s="150"/>
      <c r="M741" s="1001"/>
      <c r="N741" s="29"/>
      <c r="P741" s="29"/>
      <c r="Q741" s="29"/>
    </row>
    <row r="742" spans="9:17">
      <c r="I742" s="29"/>
      <c r="J742" s="29"/>
      <c r="K742" s="150"/>
      <c r="M742" s="1001"/>
      <c r="N742" s="29"/>
      <c r="P742" s="29"/>
      <c r="Q742" s="29"/>
    </row>
    <row r="743" spans="9:17">
      <c r="I743" s="29"/>
      <c r="J743" s="29"/>
      <c r="K743" s="150"/>
      <c r="M743" s="1001"/>
      <c r="N743" s="29"/>
      <c r="P743" s="29"/>
      <c r="Q743" s="29"/>
    </row>
    <row r="744" spans="9:17">
      <c r="I744" s="29"/>
      <c r="J744" s="29"/>
      <c r="K744" s="150"/>
      <c r="M744" s="1001"/>
      <c r="N744" s="29"/>
      <c r="P744" s="29"/>
      <c r="Q744" s="29"/>
    </row>
    <row r="745" spans="9:17">
      <c r="I745" s="29"/>
      <c r="J745" s="29"/>
      <c r="K745" s="150"/>
      <c r="M745" s="1001"/>
      <c r="N745" s="29"/>
      <c r="P745" s="29"/>
      <c r="Q745" s="29"/>
    </row>
    <row r="746" spans="9:17">
      <c r="I746" s="29"/>
      <c r="J746" s="29"/>
      <c r="K746" s="150"/>
      <c r="M746" s="1001"/>
      <c r="N746" s="29"/>
      <c r="P746" s="29"/>
      <c r="Q746" s="29"/>
    </row>
    <row r="747" spans="9:17">
      <c r="I747" s="29"/>
      <c r="J747" s="29"/>
      <c r="K747" s="150"/>
      <c r="M747" s="1001"/>
      <c r="N747" s="29"/>
      <c r="P747" s="29"/>
      <c r="Q747" s="29"/>
    </row>
    <row r="748" spans="9:17">
      <c r="I748" s="29"/>
      <c r="J748" s="29"/>
      <c r="K748" s="150"/>
      <c r="M748" s="1001"/>
      <c r="N748" s="29"/>
      <c r="P748" s="29"/>
      <c r="Q748" s="29"/>
    </row>
    <row r="749" spans="9:17">
      <c r="I749" s="29"/>
      <c r="J749" s="29"/>
      <c r="K749" s="150"/>
      <c r="M749" s="1001"/>
      <c r="N749" s="29"/>
      <c r="P749" s="29"/>
      <c r="Q749" s="29"/>
    </row>
    <row r="750" spans="9:17">
      <c r="I750" s="29"/>
      <c r="J750" s="29"/>
      <c r="K750" s="150"/>
      <c r="M750" s="1001"/>
      <c r="N750" s="29"/>
      <c r="P750" s="29"/>
      <c r="Q750" s="29"/>
    </row>
    <row r="751" spans="9:17">
      <c r="I751" s="29"/>
      <c r="J751" s="29"/>
      <c r="K751" s="150"/>
      <c r="M751" s="1001"/>
      <c r="N751" s="29"/>
      <c r="P751" s="29"/>
      <c r="Q751" s="29"/>
    </row>
    <row r="752" spans="9:17">
      <c r="I752" s="29"/>
      <c r="J752" s="29"/>
      <c r="K752" s="150"/>
      <c r="M752" s="1001"/>
      <c r="N752" s="29"/>
      <c r="P752" s="29"/>
      <c r="Q752" s="29"/>
    </row>
    <row r="753" spans="9:17">
      <c r="I753" s="29"/>
      <c r="J753" s="29"/>
      <c r="K753" s="150"/>
      <c r="M753" s="1001"/>
      <c r="N753" s="29"/>
      <c r="P753" s="29"/>
      <c r="Q753" s="29"/>
    </row>
    <row r="754" spans="9:17">
      <c r="I754" s="29"/>
      <c r="J754" s="29"/>
      <c r="K754" s="150"/>
      <c r="M754" s="1001"/>
      <c r="N754" s="29"/>
      <c r="P754" s="29"/>
      <c r="Q754" s="29"/>
    </row>
    <row r="755" spans="9:17">
      <c r="I755" s="29"/>
      <c r="J755" s="29"/>
      <c r="K755" s="150"/>
      <c r="M755" s="1001"/>
      <c r="N755" s="29"/>
      <c r="P755" s="29"/>
      <c r="Q755" s="29"/>
    </row>
    <row r="756" spans="9:17">
      <c r="I756" s="29"/>
      <c r="J756" s="29"/>
      <c r="K756" s="150"/>
      <c r="M756" s="1001"/>
      <c r="N756" s="29"/>
      <c r="P756" s="29"/>
      <c r="Q756" s="29"/>
    </row>
    <row r="757" spans="9:17">
      <c r="I757" s="29"/>
      <c r="J757" s="29"/>
      <c r="K757" s="150"/>
      <c r="M757" s="1001"/>
      <c r="N757" s="29"/>
      <c r="P757" s="29"/>
      <c r="Q757" s="29"/>
    </row>
    <row r="758" spans="9:17">
      <c r="I758" s="29"/>
      <c r="J758" s="29"/>
      <c r="K758" s="150"/>
      <c r="M758" s="1001"/>
      <c r="N758" s="29"/>
      <c r="P758" s="29"/>
      <c r="Q758" s="29"/>
    </row>
    <row r="759" spans="9:17">
      <c r="I759" s="29"/>
      <c r="J759" s="29"/>
      <c r="K759" s="150"/>
      <c r="M759" s="1001"/>
      <c r="N759" s="29"/>
      <c r="P759" s="29"/>
      <c r="Q759" s="29"/>
    </row>
    <row r="760" spans="9:17">
      <c r="I760" s="29"/>
      <c r="J760" s="29"/>
      <c r="K760" s="150"/>
      <c r="M760" s="1001"/>
      <c r="N760" s="29"/>
      <c r="P760" s="29"/>
      <c r="Q760" s="29"/>
    </row>
    <row r="761" spans="9:17">
      <c r="I761" s="29"/>
      <c r="J761" s="29"/>
      <c r="K761" s="150"/>
      <c r="M761" s="1001"/>
      <c r="N761" s="29"/>
      <c r="P761" s="29"/>
      <c r="Q761" s="29"/>
    </row>
    <row r="762" spans="9:17">
      <c r="I762" s="29"/>
      <c r="J762" s="29"/>
      <c r="K762" s="150"/>
      <c r="M762" s="1001"/>
      <c r="N762" s="29"/>
      <c r="P762" s="29"/>
      <c r="Q762" s="29"/>
    </row>
    <row r="763" spans="9:17">
      <c r="I763" s="29"/>
      <c r="J763" s="29"/>
      <c r="K763" s="150"/>
      <c r="M763" s="1001"/>
      <c r="N763" s="29"/>
      <c r="P763" s="29"/>
      <c r="Q763" s="29"/>
    </row>
    <row r="764" spans="9:17">
      <c r="I764" s="29"/>
      <c r="J764" s="29"/>
      <c r="K764" s="150"/>
      <c r="M764" s="1001"/>
      <c r="N764" s="29"/>
      <c r="P764" s="29"/>
      <c r="Q764" s="29"/>
    </row>
    <row r="765" spans="9:17">
      <c r="I765" s="29"/>
      <c r="J765" s="29"/>
      <c r="K765" s="150"/>
      <c r="M765" s="1001"/>
      <c r="N765" s="29"/>
      <c r="P765" s="29"/>
      <c r="Q765" s="29"/>
    </row>
    <row r="766" spans="9:17">
      <c r="I766" s="29"/>
      <c r="J766" s="29"/>
      <c r="K766" s="150"/>
      <c r="M766" s="1001"/>
      <c r="N766" s="29"/>
      <c r="P766" s="29"/>
      <c r="Q766" s="29"/>
    </row>
    <row r="767" spans="9:17">
      <c r="I767" s="29"/>
      <c r="J767" s="29"/>
      <c r="K767" s="150"/>
      <c r="M767" s="1001"/>
      <c r="N767" s="29"/>
      <c r="P767" s="29"/>
      <c r="Q767" s="29"/>
    </row>
    <row r="768" spans="9:17">
      <c r="I768" s="29"/>
      <c r="J768" s="29"/>
      <c r="K768" s="150"/>
      <c r="M768" s="1001"/>
      <c r="N768" s="29"/>
      <c r="P768" s="29"/>
      <c r="Q768" s="29"/>
    </row>
    <row r="769" spans="9:17">
      <c r="I769" s="29"/>
      <c r="J769" s="29"/>
      <c r="K769" s="150"/>
      <c r="M769" s="1001"/>
      <c r="N769" s="29"/>
      <c r="P769" s="29"/>
      <c r="Q769" s="29"/>
    </row>
    <row r="770" spans="9:17">
      <c r="I770" s="29"/>
      <c r="J770" s="29"/>
      <c r="K770" s="150"/>
      <c r="M770" s="1001"/>
      <c r="N770" s="29"/>
      <c r="P770" s="29"/>
      <c r="Q770" s="29"/>
    </row>
    <row r="771" spans="9:17">
      <c r="I771" s="29"/>
      <c r="J771" s="29"/>
      <c r="K771" s="150"/>
      <c r="M771" s="1001"/>
      <c r="N771" s="29"/>
      <c r="P771" s="29"/>
      <c r="Q771" s="29"/>
    </row>
    <row r="772" spans="9:17">
      <c r="I772" s="29"/>
      <c r="J772" s="29"/>
      <c r="K772" s="150"/>
      <c r="M772" s="1001"/>
      <c r="N772" s="29"/>
      <c r="P772" s="29"/>
      <c r="Q772" s="29"/>
    </row>
    <row r="773" spans="9:17">
      <c r="I773" s="29"/>
      <c r="J773" s="29"/>
      <c r="K773" s="150"/>
      <c r="M773" s="1001"/>
      <c r="N773" s="29"/>
      <c r="P773" s="29"/>
      <c r="Q773" s="29"/>
    </row>
    <row r="774" spans="9:17">
      <c r="I774" s="29"/>
      <c r="J774" s="29"/>
      <c r="K774" s="150"/>
      <c r="M774" s="1001"/>
      <c r="N774" s="29"/>
      <c r="P774" s="29"/>
      <c r="Q774" s="29"/>
    </row>
    <row r="775" spans="9:17">
      <c r="I775" s="29"/>
      <c r="J775" s="29"/>
      <c r="K775" s="150"/>
      <c r="M775" s="1001"/>
      <c r="N775" s="29"/>
      <c r="P775" s="29"/>
      <c r="Q775" s="29"/>
    </row>
    <row r="776" spans="9:17">
      <c r="I776" s="29"/>
      <c r="J776" s="29"/>
      <c r="K776" s="150"/>
      <c r="M776" s="1001"/>
      <c r="N776" s="29"/>
      <c r="P776" s="29"/>
      <c r="Q776" s="29"/>
    </row>
    <row r="777" spans="9:17">
      <c r="I777" s="29"/>
      <c r="J777" s="29"/>
      <c r="K777" s="150"/>
      <c r="M777" s="1001"/>
      <c r="N777" s="29"/>
      <c r="P777" s="29"/>
      <c r="Q777" s="29"/>
    </row>
    <row r="778" spans="9:17">
      <c r="I778" s="29"/>
      <c r="J778" s="29"/>
      <c r="K778" s="150"/>
      <c r="M778" s="1001"/>
      <c r="N778" s="29"/>
      <c r="P778" s="29"/>
      <c r="Q778" s="29"/>
    </row>
    <row r="779" spans="9:17">
      <c r="I779" s="29"/>
      <c r="J779" s="29"/>
      <c r="K779" s="150"/>
      <c r="M779" s="1001"/>
      <c r="N779" s="29"/>
      <c r="P779" s="29"/>
      <c r="Q779" s="29"/>
    </row>
    <row r="780" spans="9:17">
      <c r="I780" s="29"/>
      <c r="J780" s="29"/>
      <c r="K780" s="150"/>
      <c r="M780" s="1001"/>
      <c r="N780" s="29"/>
      <c r="P780" s="29"/>
      <c r="Q780" s="29"/>
    </row>
    <row r="781" spans="9:17">
      <c r="I781" s="29"/>
      <c r="J781" s="29"/>
      <c r="K781" s="150"/>
      <c r="M781" s="1001"/>
      <c r="N781" s="29"/>
      <c r="P781" s="29"/>
      <c r="Q781" s="29"/>
    </row>
    <row r="782" spans="9:17">
      <c r="I782" s="29"/>
      <c r="J782" s="29"/>
      <c r="K782" s="150"/>
      <c r="M782" s="1001"/>
      <c r="N782" s="29"/>
      <c r="P782" s="29"/>
      <c r="Q782" s="29"/>
    </row>
    <row r="783" spans="9:17">
      <c r="I783" s="29"/>
      <c r="J783" s="29"/>
      <c r="K783" s="150"/>
      <c r="M783" s="1001"/>
      <c r="N783" s="29"/>
      <c r="P783" s="29"/>
      <c r="Q783" s="29"/>
    </row>
    <row r="784" spans="9:17">
      <c r="I784" s="29"/>
      <c r="J784" s="29"/>
      <c r="K784" s="150"/>
      <c r="M784" s="1001"/>
      <c r="N784" s="29"/>
      <c r="P784" s="29"/>
      <c r="Q784" s="29"/>
    </row>
    <row r="785" spans="9:17">
      <c r="I785" s="29"/>
      <c r="J785" s="29"/>
      <c r="K785" s="150"/>
      <c r="M785" s="1001"/>
      <c r="N785" s="29"/>
      <c r="P785" s="29"/>
      <c r="Q785" s="29"/>
    </row>
    <row r="786" spans="9:17">
      <c r="I786" s="29"/>
      <c r="J786" s="29"/>
      <c r="K786" s="150"/>
      <c r="M786" s="1001"/>
      <c r="N786" s="29"/>
      <c r="P786" s="29"/>
      <c r="Q786" s="29"/>
    </row>
    <row r="787" spans="9:17">
      <c r="I787" s="29"/>
      <c r="J787" s="29"/>
      <c r="K787" s="150"/>
      <c r="M787" s="1001"/>
      <c r="N787" s="29"/>
      <c r="P787" s="29"/>
      <c r="Q787" s="29"/>
    </row>
    <row r="788" spans="9:17">
      <c r="I788" s="29"/>
      <c r="J788" s="29"/>
      <c r="K788" s="150"/>
      <c r="M788" s="1001"/>
      <c r="N788" s="29"/>
      <c r="P788" s="29"/>
      <c r="Q788" s="29"/>
    </row>
    <row r="789" spans="9:17">
      <c r="I789" s="29"/>
      <c r="J789" s="29"/>
      <c r="K789" s="150"/>
      <c r="M789" s="1001"/>
      <c r="N789" s="29"/>
      <c r="P789" s="29"/>
      <c r="Q789" s="29"/>
    </row>
    <row r="790" spans="9:17">
      <c r="I790" s="29"/>
      <c r="J790" s="29"/>
      <c r="K790" s="150"/>
      <c r="M790" s="1001"/>
      <c r="N790" s="29"/>
      <c r="P790" s="29"/>
      <c r="Q790" s="29"/>
    </row>
    <row r="791" spans="9:17">
      <c r="I791" s="29"/>
      <c r="J791" s="29"/>
      <c r="K791" s="150"/>
      <c r="M791" s="1001"/>
      <c r="N791" s="29"/>
      <c r="P791" s="29"/>
      <c r="Q791" s="29"/>
    </row>
    <row r="792" spans="9:17">
      <c r="I792" s="29"/>
      <c r="J792" s="29"/>
      <c r="K792" s="150"/>
      <c r="M792" s="1001"/>
      <c r="N792" s="29"/>
      <c r="P792" s="29"/>
      <c r="Q792" s="29"/>
    </row>
    <row r="793" spans="9:17">
      <c r="I793" s="29"/>
      <c r="J793" s="29"/>
      <c r="K793" s="150"/>
      <c r="M793" s="1001"/>
      <c r="N793" s="29"/>
      <c r="P793" s="29"/>
      <c r="Q793" s="29"/>
    </row>
    <row r="794" spans="9:17">
      <c r="I794" s="29"/>
      <c r="J794" s="29"/>
      <c r="K794" s="150"/>
      <c r="M794" s="1001"/>
      <c r="N794" s="29"/>
      <c r="P794" s="29"/>
      <c r="Q794" s="29"/>
    </row>
    <row r="795" spans="9:17">
      <c r="I795" s="29"/>
      <c r="J795" s="29"/>
      <c r="K795" s="150"/>
      <c r="M795" s="1001"/>
      <c r="N795" s="29"/>
      <c r="P795" s="29"/>
      <c r="Q795" s="29"/>
    </row>
    <row r="796" spans="9:17">
      <c r="I796" s="29"/>
      <c r="J796" s="29"/>
      <c r="K796" s="150"/>
      <c r="M796" s="1001"/>
      <c r="N796" s="29"/>
      <c r="P796" s="29"/>
      <c r="Q796" s="29"/>
    </row>
    <row r="797" spans="9:17">
      <c r="I797" s="29"/>
      <c r="J797" s="29"/>
      <c r="K797" s="150"/>
      <c r="M797" s="1001"/>
      <c r="N797" s="29"/>
      <c r="P797" s="29"/>
      <c r="Q797" s="29"/>
    </row>
    <row r="798" spans="9:17">
      <c r="I798" s="29"/>
      <c r="J798" s="29"/>
      <c r="K798" s="150"/>
      <c r="M798" s="1001"/>
      <c r="N798" s="29"/>
      <c r="P798" s="29"/>
      <c r="Q798" s="29"/>
    </row>
    <row r="799" spans="9:17">
      <c r="I799" s="29"/>
      <c r="J799" s="29"/>
      <c r="K799" s="150"/>
      <c r="M799" s="1001"/>
      <c r="N799" s="29"/>
      <c r="P799" s="29"/>
      <c r="Q799" s="29"/>
    </row>
    <row r="800" spans="9:17">
      <c r="I800" s="29"/>
      <c r="J800" s="29"/>
      <c r="K800" s="150"/>
      <c r="M800" s="1001"/>
      <c r="N800" s="29"/>
      <c r="P800" s="29"/>
      <c r="Q800" s="29"/>
    </row>
    <row r="801" spans="9:17">
      <c r="I801" s="29"/>
      <c r="J801" s="29"/>
      <c r="K801" s="150"/>
      <c r="M801" s="1001"/>
      <c r="N801" s="29"/>
      <c r="P801" s="29"/>
      <c r="Q801" s="29"/>
    </row>
    <row r="802" spans="9:17">
      <c r="I802" s="29"/>
      <c r="J802" s="29"/>
      <c r="K802" s="150"/>
      <c r="M802" s="1001"/>
      <c r="N802" s="29"/>
      <c r="P802" s="29"/>
      <c r="Q802" s="29"/>
    </row>
    <row r="803" spans="9:17">
      <c r="I803" s="29"/>
      <c r="J803" s="29"/>
      <c r="K803" s="150"/>
      <c r="M803" s="1001"/>
      <c r="N803" s="29"/>
      <c r="P803" s="29"/>
      <c r="Q803" s="29"/>
    </row>
    <row r="804" spans="9:17">
      <c r="I804" s="29"/>
      <c r="J804" s="29"/>
      <c r="K804" s="150"/>
      <c r="M804" s="1001"/>
      <c r="N804" s="29"/>
      <c r="P804" s="29"/>
      <c r="Q804" s="29"/>
    </row>
    <row r="805" spans="9:17">
      <c r="I805" s="29"/>
      <c r="J805" s="29"/>
      <c r="K805" s="150"/>
      <c r="M805" s="1001"/>
      <c r="N805" s="29"/>
      <c r="P805" s="29"/>
      <c r="Q805" s="29"/>
    </row>
    <row r="806" spans="9:17">
      <c r="I806" s="29"/>
      <c r="J806" s="29"/>
      <c r="K806" s="150"/>
      <c r="M806" s="1001"/>
      <c r="N806" s="29"/>
      <c r="P806" s="29"/>
      <c r="Q806" s="29"/>
    </row>
    <row r="807" spans="9:17">
      <c r="I807" s="29"/>
      <c r="J807" s="29"/>
      <c r="K807" s="150"/>
      <c r="M807" s="1001"/>
      <c r="N807" s="29"/>
      <c r="P807" s="29"/>
      <c r="Q807" s="29"/>
    </row>
    <row r="808" spans="9:17">
      <c r="I808" s="29"/>
      <c r="J808" s="29"/>
      <c r="K808" s="150"/>
      <c r="M808" s="1001"/>
      <c r="N808" s="29"/>
      <c r="P808" s="29"/>
      <c r="Q808" s="29"/>
    </row>
    <row r="809" spans="9:17">
      <c r="I809" s="29"/>
      <c r="J809" s="29"/>
      <c r="K809" s="150"/>
      <c r="M809" s="1001"/>
      <c r="N809" s="29"/>
      <c r="P809" s="29"/>
      <c r="Q809" s="29"/>
    </row>
    <row r="810" spans="9:17">
      <c r="I810" s="29"/>
      <c r="J810" s="29"/>
      <c r="K810" s="150"/>
      <c r="M810" s="1001"/>
      <c r="N810" s="29"/>
      <c r="P810" s="29"/>
      <c r="Q810" s="29"/>
    </row>
    <row r="811" spans="9:17">
      <c r="I811" s="29"/>
      <c r="J811" s="29"/>
      <c r="K811" s="150"/>
      <c r="M811" s="1001"/>
      <c r="N811" s="29"/>
      <c r="P811" s="29"/>
      <c r="Q811" s="29"/>
    </row>
    <row r="812" spans="9:17">
      <c r="I812" s="29"/>
      <c r="J812" s="29"/>
      <c r="K812" s="150"/>
      <c r="M812" s="1001"/>
      <c r="N812" s="29"/>
      <c r="P812" s="29"/>
      <c r="Q812" s="29"/>
    </row>
    <row r="813" spans="9:17">
      <c r="I813" s="29"/>
      <c r="J813" s="29"/>
      <c r="K813" s="150"/>
      <c r="M813" s="1001"/>
      <c r="N813" s="29"/>
      <c r="P813" s="29"/>
      <c r="Q813" s="29"/>
    </row>
    <row r="814" spans="9:17">
      <c r="I814" s="29"/>
      <c r="J814" s="29"/>
      <c r="K814" s="150"/>
      <c r="M814" s="1001"/>
      <c r="N814" s="29"/>
      <c r="P814" s="29"/>
      <c r="Q814" s="29"/>
    </row>
    <row r="815" spans="9:17">
      <c r="I815" s="29"/>
      <c r="J815" s="29"/>
      <c r="K815" s="150"/>
      <c r="M815" s="1001"/>
      <c r="N815" s="29"/>
      <c r="P815" s="29"/>
      <c r="Q815" s="29"/>
    </row>
    <row r="816" spans="9:17">
      <c r="I816" s="29"/>
      <c r="J816" s="29"/>
      <c r="K816" s="150"/>
      <c r="M816" s="1001"/>
      <c r="N816" s="29"/>
      <c r="P816" s="29"/>
      <c r="Q816" s="29"/>
    </row>
    <row r="817" spans="9:17">
      <c r="I817" s="29"/>
      <c r="J817" s="29"/>
      <c r="K817" s="150"/>
      <c r="M817" s="1001"/>
      <c r="N817" s="29"/>
      <c r="P817" s="29"/>
      <c r="Q817" s="29"/>
    </row>
    <row r="818" spans="9:17">
      <c r="I818" s="29"/>
      <c r="J818" s="29"/>
      <c r="K818" s="150"/>
      <c r="M818" s="1001"/>
      <c r="N818" s="29"/>
      <c r="P818" s="29"/>
      <c r="Q818" s="29"/>
    </row>
    <row r="819" spans="9:17">
      <c r="I819" s="29"/>
      <c r="J819" s="29"/>
      <c r="K819" s="150"/>
      <c r="M819" s="1001"/>
      <c r="N819" s="29"/>
      <c r="P819" s="29"/>
      <c r="Q819" s="29"/>
    </row>
    <row r="820" spans="9:17">
      <c r="I820" s="29"/>
      <c r="J820" s="29"/>
      <c r="K820" s="150"/>
      <c r="M820" s="1001"/>
      <c r="N820" s="29"/>
      <c r="P820" s="29"/>
      <c r="Q820" s="29"/>
    </row>
    <row r="821" spans="9:17">
      <c r="I821" s="29"/>
      <c r="J821" s="29"/>
      <c r="K821" s="150"/>
      <c r="M821" s="1001"/>
      <c r="N821" s="29"/>
      <c r="P821" s="29"/>
      <c r="Q821" s="29"/>
    </row>
    <row r="822" spans="9:17">
      <c r="I822" s="29"/>
      <c r="J822" s="29"/>
      <c r="K822" s="150"/>
      <c r="M822" s="1001"/>
      <c r="N822" s="29"/>
      <c r="P822" s="29"/>
      <c r="Q822" s="29"/>
    </row>
    <row r="823" spans="9:17">
      <c r="I823" s="29"/>
      <c r="J823" s="29"/>
      <c r="K823" s="150"/>
      <c r="M823" s="1001"/>
      <c r="N823" s="29"/>
      <c r="P823" s="29"/>
      <c r="Q823" s="29"/>
    </row>
    <row r="824" spans="9:17">
      <c r="I824" s="29"/>
      <c r="J824" s="29"/>
      <c r="K824" s="150"/>
      <c r="M824" s="1001"/>
      <c r="N824" s="29"/>
      <c r="P824" s="29"/>
      <c r="Q824" s="29"/>
    </row>
    <row r="825" spans="9:17">
      <c r="I825" s="29"/>
      <c r="J825" s="29"/>
      <c r="K825" s="150"/>
      <c r="M825" s="1001"/>
      <c r="N825" s="29"/>
      <c r="P825" s="29"/>
      <c r="Q825" s="29"/>
    </row>
    <row r="826" spans="9:17">
      <c r="I826" s="29"/>
      <c r="J826" s="29"/>
      <c r="K826" s="150"/>
      <c r="M826" s="1001"/>
      <c r="N826" s="29"/>
      <c r="P826" s="29"/>
      <c r="Q826" s="29"/>
    </row>
    <row r="827" spans="9:17">
      <c r="I827" s="29"/>
      <c r="J827" s="29"/>
      <c r="K827" s="150"/>
      <c r="M827" s="1001"/>
      <c r="N827" s="29"/>
      <c r="P827" s="29"/>
      <c r="Q827" s="29"/>
    </row>
    <row r="828" spans="9:17">
      <c r="I828" s="29"/>
      <c r="J828" s="29"/>
      <c r="K828" s="150"/>
      <c r="M828" s="1001"/>
      <c r="N828" s="29"/>
      <c r="P828" s="29"/>
      <c r="Q828" s="29"/>
    </row>
    <row r="829" spans="9:17">
      <c r="I829" s="29"/>
      <c r="J829" s="29"/>
      <c r="K829" s="150"/>
      <c r="M829" s="1001"/>
      <c r="N829" s="29"/>
      <c r="P829" s="29"/>
      <c r="Q829" s="29"/>
    </row>
    <row r="830" spans="9:17">
      <c r="I830" s="29"/>
      <c r="J830" s="29"/>
      <c r="K830" s="150"/>
      <c r="M830" s="1001"/>
      <c r="N830" s="29"/>
      <c r="P830" s="29"/>
      <c r="Q830" s="29"/>
    </row>
    <row r="831" spans="9:17">
      <c r="I831" s="29"/>
      <c r="J831" s="29"/>
      <c r="K831" s="150"/>
      <c r="M831" s="1001"/>
      <c r="N831" s="29"/>
      <c r="P831" s="29"/>
      <c r="Q831" s="29"/>
    </row>
    <row r="832" spans="9:17">
      <c r="I832" s="29"/>
      <c r="J832" s="29"/>
      <c r="K832" s="150"/>
      <c r="M832" s="1001"/>
      <c r="N832" s="29"/>
      <c r="P832" s="29"/>
      <c r="Q832" s="29"/>
    </row>
    <row r="833" spans="9:17">
      <c r="I833" s="29"/>
      <c r="J833" s="29"/>
      <c r="K833" s="150"/>
      <c r="M833" s="1001"/>
      <c r="N833" s="29"/>
      <c r="P833" s="29"/>
      <c r="Q833" s="29"/>
    </row>
    <row r="834" spans="9:17">
      <c r="I834" s="29"/>
      <c r="J834" s="29"/>
      <c r="K834" s="150"/>
      <c r="M834" s="1001"/>
      <c r="N834" s="29"/>
      <c r="P834" s="29"/>
      <c r="Q834" s="29"/>
    </row>
    <row r="835" spans="9:17">
      <c r="I835" s="29"/>
      <c r="J835" s="29"/>
      <c r="K835" s="150"/>
      <c r="M835" s="1001"/>
      <c r="N835" s="29"/>
      <c r="P835" s="29"/>
      <c r="Q835" s="29"/>
    </row>
    <row r="836" spans="9:17">
      <c r="I836" s="29"/>
      <c r="J836" s="29"/>
      <c r="K836" s="150"/>
      <c r="M836" s="1001"/>
      <c r="N836" s="29"/>
      <c r="P836" s="29"/>
      <c r="Q836" s="29"/>
    </row>
    <row r="837" spans="9:17">
      <c r="I837" s="29"/>
      <c r="J837" s="29"/>
      <c r="K837" s="150"/>
      <c r="M837" s="1001"/>
      <c r="N837" s="29"/>
      <c r="P837" s="29"/>
      <c r="Q837" s="29"/>
    </row>
    <row r="838" spans="9:17">
      <c r="I838" s="29"/>
      <c r="J838" s="29"/>
      <c r="K838" s="150"/>
      <c r="M838" s="1001"/>
      <c r="N838" s="29"/>
      <c r="P838" s="29"/>
      <c r="Q838" s="29"/>
    </row>
    <row r="839" spans="9:17">
      <c r="I839" s="29"/>
      <c r="J839" s="29"/>
      <c r="K839" s="150"/>
      <c r="M839" s="1001"/>
      <c r="N839" s="29"/>
      <c r="P839" s="29"/>
      <c r="Q839" s="29"/>
    </row>
    <row r="840" spans="9:17">
      <c r="I840" s="29"/>
      <c r="J840" s="29"/>
      <c r="K840" s="150"/>
      <c r="M840" s="1001"/>
      <c r="N840" s="29"/>
      <c r="P840" s="29"/>
      <c r="Q840" s="29"/>
    </row>
    <row r="841" spans="9:17">
      <c r="I841" s="29"/>
      <c r="J841" s="29"/>
      <c r="K841" s="150"/>
      <c r="M841" s="1001"/>
      <c r="N841" s="29"/>
      <c r="P841" s="29"/>
      <c r="Q841" s="29"/>
    </row>
    <row r="842" spans="9:17">
      <c r="I842" s="29"/>
      <c r="J842" s="29"/>
      <c r="K842" s="150"/>
      <c r="M842" s="1001"/>
      <c r="N842" s="29"/>
      <c r="P842" s="29"/>
      <c r="Q842" s="29"/>
    </row>
    <row r="843" spans="9:17">
      <c r="I843" s="29"/>
      <c r="J843" s="29"/>
      <c r="K843" s="150"/>
      <c r="M843" s="1001"/>
      <c r="N843" s="29"/>
      <c r="P843" s="29"/>
      <c r="Q843" s="29"/>
    </row>
    <row r="844" spans="9:17">
      <c r="I844" s="29"/>
      <c r="J844" s="29"/>
      <c r="K844" s="150"/>
      <c r="M844" s="1001"/>
      <c r="N844" s="29"/>
      <c r="P844" s="29"/>
      <c r="Q844" s="29"/>
    </row>
    <row r="845" spans="9:17">
      <c r="I845" s="29"/>
      <c r="J845" s="29"/>
      <c r="K845" s="150"/>
      <c r="M845" s="1001"/>
      <c r="N845" s="29"/>
      <c r="P845" s="29"/>
      <c r="Q845" s="29"/>
    </row>
    <row r="846" spans="9:17">
      <c r="I846" s="29"/>
      <c r="J846" s="29"/>
      <c r="K846" s="150"/>
      <c r="M846" s="1001"/>
      <c r="N846" s="29"/>
      <c r="P846" s="29"/>
      <c r="Q846" s="29"/>
    </row>
    <row r="847" spans="9:17">
      <c r="I847" s="29"/>
      <c r="J847" s="29"/>
      <c r="K847" s="150"/>
      <c r="M847" s="1001"/>
      <c r="N847" s="29"/>
      <c r="P847" s="29"/>
      <c r="Q847" s="29"/>
    </row>
    <row r="848" spans="9:17">
      <c r="I848" s="29"/>
      <c r="J848" s="29"/>
      <c r="K848" s="150"/>
      <c r="M848" s="1001"/>
      <c r="N848" s="29"/>
      <c r="P848" s="29"/>
      <c r="Q848" s="29"/>
    </row>
    <row r="849" spans="9:17">
      <c r="I849" s="29"/>
      <c r="J849" s="29"/>
      <c r="K849" s="150"/>
      <c r="M849" s="1001"/>
      <c r="N849" s="29"/>
      <c r="P849" s="29"/>
      <c r="Q849" s="29"/>
    </row>
    <row r="850" spans="9:17">
      <c r="I850" s="29"/>
      <c r="J850" s="29"/>
      <c r="K850" s="150"/>
      <c r="M850" s="1001"/>
      <c r="N850" s="29"/>
      <c r="P850" s="29"/>
      <c r="Q850" s="29"/>
    </row>
    <row r="851" spans="9:17">
      <c r="I851" s="29"/>
      <c r="J851" s="29"/>
      <c r="K851" s="150"/>
      <c r="M851" s="1001"/>
      <c r="N851" s="29"/>
      <c r="P851" s="29"/>
      <c r="Q851" s="29"/>
    </row>
    <row r="852" spans="9:17">
      <c r="I852" s="29"/>
      <c r="J852" s="29"/>
      <c r="K852" s="150"/>
      <c r="M852" s="1001"/>
      <c r="N852" s="29"/>
      <c r="P852" s="29"/>
      <c r="Q852" s="29"/>
    </row>
    <row r="853" spans="9:17">
      <c r="I853" s="29"/>
      <c r="J853" s="29"/>
      <c r="K853" s="150"/>
      <c r="M853" s="1001"/>
      <c r="N853" s="29"/>
      <c r="P853" s="29"/>
      <c r="Q853" s="29"/>
    </row>
    <row r="854" spans="9:17">
      <c r="I854" s="29"/>
      <c r="J854" s="29"/>
      <c r="K854" s="150"/>
      <c r="M854" s="1001"/>
      <c r="N854" s="29"/>
      <c r="P854" s="29"/>
      <c r="Q854" s="29"/>
    </row>
    <row r="855" spans="9:17">
      <c r="I855" s="29"/>
      <c r="J855" s="29"/>
      <c r="K855" s="150"/>
      <c r="M855" s="1001"/>
      <c r="N855" s="29"/>
      <c r="P855" s="29"/>
      <c r="Q855" s="29"/>
    </row>
    <row r="856" spans="9:17">
      <c r="I856" s="29"/>
      <c r="J856" s="29"/>
      <c r="K856" s="150"/>
      <c r="M856" s="1001"/>
      <c r="N856" s="29"/>
      <c r="P856" s="29"/>
      <c r="Q856" s="29"/>
    </row>
    <row r="857" spans="9:17">
      <c r="I857" s="29"/>
      <c r="J857" s="29"/>
      <c r="K857" s="150"/>
      <c r="M857" s="1001"/>
      <c r="N857" s="29"/>
      <c r="P857" s="29"/>
      <c r="Q857" s="29"/>
    </row>
    <row r="858" spans="9:17">
      <c r="I858" s="29"/>
      <c r="J858" s="29"/>
      <c r="K858" s="150"/>
      <c r="M858" s="1001"/>
      <c r="N858" s="29"/>
      <c r="P858" s="29"/>
      <c r="Q858" s="29"/>
    </row>
    <row r="859" spans="9:17">
      <c r="I859" s="29"/>
      <c r="J859" s="29"/>
      <c r="K859" s="150"/>
      <c r="M859" s="1001"/>
      <c r="N859" s="29"/>
      <c r="P859" s="29"/>
      <c r="Q859" s="29"/>
    </row>
    <row r="860" spans="9:17">
      <c r="I860" s="29"/>
      <c r="J860" s="29"/>
      <c r="K860" s="150"/>
      <c r="M860" s="1001"/>
      <c r="N860" s="29"/>
      <c r="P860" s="29"/>
      <c r="Q860" s="29"/>
    </row>
    <row r="861" spans="9:17">
      <c r="I861" s="29"/>
      <c r="J861" s="29"/>
      <c r="K861" s="150"/>
      <c r="M861" s="1001"/>
      <c r="N861" s="29"/>
      <c r="P861" s="29"/>
      <c r="Q861" s="29"/>
    </row>
    <row r="862" spans="9:17">
      <c r="I862" s="29"/>
      <c r="J862" s="29"/>
      <c r="K862" s="150"/>
      <c r="M862" s="1001"/>
      <c r="N862" s="29"/>
      <c r="P862" s="29"/>
      <c r="Q862" s="29"/>
    </row>
    <row r="863" spans="9:17">
      <c r="I863" s="29"/>
      <c r="J863" s="29"/>
      <c r="K863" s="150"/>
      <c r="M863" s="1001"/>
      <c r="N863" s="29"/>
      <c r="P863" s="29"/>
      <c r="Q863" s="29"/>
    </row>
    <row r="864" spans="9:17">
      <c r="I864" s="29"/>
      <c r="J864" s="29"/>
      <c r="K864" s="150"/>
      <c r="M864" s="1001"/>
      <c r="N864" s="29"/>
      <c r="P864" s="29"/>
      <c r="Q864" s="29"/>
    </row>
    <row r="865" spans="9:17">
      <c r="I865" s="29"/>
      <c r="J865" s="29"/>
      <c r="K865" s="150"/>
      <c r="M865" s="1001"/>
      <c r="N865" s="29"/>
      <c r="P865" s="29"/>
      <c r="Q865" s="29"/>
    </row>
    <row r="866" spans="9:17">
      <c r="I866" s="29"/>
      <c r="J866" s="29"/>
      <c r="K866" s="150"/>
      <c r="M866" s="1001"/>
      <c r="N866" s="29"/>
      <c r="P866" s="29"/>
      <c r="Q866" s="29"/>
    </row>
    <row r="867" spans="9:17">
      <c r="I867" s="29"/>
      <c r="J867" s="29"/>
      <c r="K867" s="150"/>
      <c r="M867" s="1001"/>
      <c r="N867" s="29"/>
      <c r="P867" s="29"/>
      <c r="Q867" s="29"/>
    </row>
    <row r="868" spans="9:17">
      <c r="I868" s="29"/>
      <c r="J868" s="29"/>
      <c r="K868" s="150"/>
      <c r="M868" s="1001"/>
      <c r="N868" s="29"/>
      <c r="P868" s="29"/>
      <c r="Q868" s="29"/>
    </row>
    <row r="869" spans="9:17">
      <c r="I869" s="29"/>
      <c r="J869" s="29"/>
      <c r="K869" s="150"/>
      <c r="M869" s="1001"/>
      <c r="N869" s="29"/>
      <c r="P869" s="29"/>
      <c r="Q869" s="29"/>
    </row>
    <row r="870" spans="9:17">
      <c r="I870" s="29"/>
      <c r="J870" s="29"/>
      <c r="K870" s="150"/>
      <c r="M870" s="1001"/>
      <c r="N870" s="29"/>
      <c r="P870" s="29"/>
      <c r="Q870" s="29"/>
    </row>
    <row r="871" spans="9:17">
      <c r="I871" s="29"/>
      <c r="J871" s="29"/>
      <c r="K871" s="150"/>
      <c r="M871" s="1001"/>
      <c r="N871" s="29"/>
      <c r="P871" s="29"/>
      <c r="Q871" s="29"/>
    </row>
    <row r="872" spans="9:17">
      <c r="I872" s="29"/>
      <c r="J872" s="29"/>
      <c r="K872" s="150"/>
      <c r="M872" s="1001"/>
      <c r="N872" s="29"/>
      <c r="P872" s="29"/>
      <c r="Q872" s="29"/>
    </row>
    <row r="873" spans="9:17">
      <c r="I873" s="29"/>
      <c r="J873" s="29"/>
      <c r="K873" s="150"/>
      <c r="M873" s="1001"/>
      <c r="N873" s="29"/>
      <c r="P873" s="29"/>
      <c r="Q873" s="29"/>
    </row>
    <row r="874" spans="9:17">
      <c r="I874" s="29"/>
      <c r="J874" s="29"/>
      <c r="K874" s="150"/>
      <c r="M874" s="1001"/>
      <c r="N874" s="29"/>
      <c r="P874" s="29"/>
      <c r="Q874" s="29"/>
    </row>
    <row r="875" spans="9:17">
      <c r="I875" s="29"/>
      <c r="J875" s="29"/>
      <c r="K875" s="150"/>
      <c r="M875" s="1001"/>
      <c r="N875" s="29"/>
      <c r="P875" s="29"/>
      <c r="Q875" s="29"/>
    </row>
    <row r="876" spans="9:17">
      <c r="I876" s="29"/>
      <c r="J876" s="29"/>
      <c r="K876" s="150"/>
      <c r="M876" s="1001"/>
      <c r="N876" s="29"/>
      <c r="P876" s="29"/>
      <c r="Q876" s="29"/>
    </row>
    <row r="877" spans="9:17">
      <c r="I877" s="29"/>
      <c r="J877" s="29"/>
      <c r="K877" s="150"/>
      <c r="M877" s="1001"/>
      <c r="N877" s="29"/>
      <c r="P877" s="29"/>
      <c r="Q877" s="29"/>
    </row>
    <row r="878" spans="9:17">
      <c r="I878" s="29"/>
      <c r="J878" s="29"/>
      <c r="K878" s="150"/>
      <c r="M878" s="1001"/>
      <c r="N878" s="29"/>
      <c r="P878" s="29"/>
      <c r="Q878" s="29"/>
    </row>
    <row r="879" spans="9:17">
      <c r="I879" s="29"/>
      <c r="J879" s="29"/>
      <c r="K879" s="150"/>
      <c r="M879" s="1001"/>
      <c r="N879" s="29"/>
      <c r="P879" s="29"/>
      <c r="Q879" s="29"/>
    </row>
    <row r="880" spans="9:17">
      <c r="I880" s="29"/>
      <c r="J880" s="29"/>
      <c r="K880" s="150"/>
      <c r="M880" s="1001"/>
      <c r="N880" s="29"/>
      <c r="P880" s="29"/>
      <c r="Q880" s="29"/>
    </row>
    <row r="881" spans="9:17">
      <c r="I881" s="29"/>
      <c r="J881" s="29"/>
      <c r="K881" s="150"/>
      <c r="M881" s="1001"/>
      <c r="N881" s="29"/>
      <c r="P881" s="29"/>
      <c r="Q881" s="29"/>
    </row>
    <row r="882" spans="9:17">
      <c r="I882" s="29"/>
      <c r="J882" s="29"/>
      <c r="K882" s="150"/>
      <c r="M882" s="1001"/>
      <c r="N882" s="29"/>
      <c r="P882" s="29"/>
      <c r="Q882" s="29"/>
    </row>
    <row r="883" spans="9:17">
      <c r="I883" s="29"/>
      <c r="J883" s="29"/>
      <c r="K883" s="150"/>
      <c r="M883" s="1001"/>
      <c r="N883" s="29"/>
      <c r="P883" s="29"/>
      <c r="Q883" s="29"/>
    </row>
    <row r="884" spans="9:17">
      <c r="I884" s="29"/>
      <c r="J884" s="29"/>
      <c r="K884" s="150"/>
      <c r="M884" s="1001"/>
      <c r="N884" s="29"/>
      <c r="P884" s="29"/>
      <c r="Q884" s="29"/>
    </row>
    <row r="885" spans="9:17">
      <c r="I885" s="29"/>
      <c r="J885" s="29"/>
      <c r="K885" s="150"/>
      <c r="M885" s="1001"/>
      <c r="N885" s="29"/>
      <c r="P885" s="29"/>
      <c r="Q885" s="29"/>
    </row>
    <row r="886" spans="9:17">
      <c r="I886" s="29"/>
      <c r="J886" s="29"/>
      <c r="K886" s="150"/>
      <c r="M886" s="1001"/>
      <c r="N886" s="29"/>
      <c r="P886" s="29"/>
      <c r="Q886" s="29"/>
    </row>
    <row r="887" spans="9:17">
      <c r="I887" s="29"/>
      <c r="J887" s="29"/>
      <c r="K887" s="150"/>
      <c r="M887" s="1001"/>
      <c r="N887" s="29"/>
      <c r="P887" s="29"/>
      <c r="Q887" s="29"/>
    </row>
    <row r="888" spans="9:17">
      <c r="I888" s="29"/>
      <c r="J888" s="29"/>
      <c r="K888" s="150"/>
      <c r="M888" s="1001"/>
      <c r="N888" s="29"/>
      <c r="P888" s="29"/>
      <c r="Q888" s="29"/>
    </row>
    <row r="889" spans="9:17">
      <c r="I889" s="29"/>
      <c r="J889" s="29"/>
      <c r="K889" s="150"/>
      <c r="M889" s="1001"/>
      <c r="N889" s="29"/>
      <c r="P889" s="29"/>
      <c r="Q889" s="29"/>
    </row>
    <row r="890" spans="9:17">
      <c r="I890" s="29"/>
      <c r="J890" s="29"/>
      <c r="K890" s="150"/>
      <c r="M890" s="1001"/>
      <c r="N890" s="29"/>
      <c r="P890" s="29"/>
      <c r="Q890" s="29"/>
    </row>
    <row r="891" spans="9:17">
      <c r="I891" s="29"/>
      <c r="J891" s="29"/>
      <c r="K891" s="150"/>
      <c r="M891" s="1001"/>
      <c r="N891" s="29"/>
      <c r="P891" s="29"/>
      <c r="Q891" s="29"/>
    </row>
    <row r="892" spans="9:17">
      <c r="I892" s="29"/>
      <c r="J892" s="29"/>
      <c r="K892" s="150"/>
      <c r="M892" s="1001"/>
      <c r="N892" s="29"/>
      <c r="P892" s="29"/>
      <c r="Q892" s="29"/>
    </row>
    <row r="893" spans="9:17">
      <c r="I893" s="29"/>
      <c r="J893" s="29"/>
      <c r="K893" s="150"/>
      <c r="M893" s="1001"/>
      <c r="N893" s="29"/>
      <c r="P893" s="29"/>
      <c r="Q893" s="29"/>
    </row>
    <row r="894" spans="9:17">
      <c r="I894" s="29"/>
      <c r="J894" s="29"/>
      <c r="K894" s="150"/>
      <c r="M894" s="1001"/>
      <c r="N894" s="29"/>
      <c r="P894" s="29"/>
      <c r="Q894" s="29"/>
    </row>
    <row r="895" spans="9:17">
      <c r="I895" s="29"/>
      <c r="J895" s="29"/>
      <c r="K895" s="150"/>
      <c r="M895" s="1001"/>
      <c r="N895" s="29"/>
      <c r="P895" s="29"/>
      <c r="Q895" s="29"/>
    </row>
    <row r="896" spans="9:17">
      <c r="I896" s="29"/>
      <c r="J896" s="29"/>
      <c r="K896" s="150"/>
      <c r="M896" s="1001"/>
      <c r="N896" s="29"/>
      <c r="P896" s="29"/>
      <c r="Q896" s="29"/>
    </row>
    <row r="897" spans="9:17">
      <c r="I897" s="29"/>
      <c r="J897" s="29"/>
      <c r="K897" s="150"/>
      <c r="M897" s="1001"/>
      <c r="N897" s="29"/>
      <c r="P897" s="29"/>
      <c r="Q897" s="29"/>
    </row>
    <row r="898" spans="9:17">
      <c r="I898" s="29"/>
      <c r="J898" s="29"/>
      <c r="K898" s="150"/>
      <c r="M898" s="1001"/>
      <c r="N898" s="29"/>
      <c r="P898" s="29"/>
      <c r="Q898" s="29"/>
    </row>
    <row r="899" spans="9:17">
      <c r="I899" s="29"/>
      <c r="J899" s="29"/>
      <c r="K899" s="150"/>
      <c r="M899" s="1001"/>
      <c r="N899" s="29"/>
      <c r="P899" s="29"/>
      <c r="Q899" s="29"/>
    </row>
    <row r="900" spans="9:17">
      <c r="I900" s="29"/>
      <c r="J900" s="29"/>
      <c r="K900" s="150"/>
      <c r="M900" s="1001"/>
      <c r="N900" s="29"/>
      <c r="P900" s="29"/>
      <c r="Q900" s="29"/>
    </row>
    <row r="901" spans="9:17">
      <c r="I901" s="29"/>
      <c r="J901" s="29"/>
      <c r="K901" s="150"/>
      <c r="M901" s="1001"/>
      <c r="N901" s="29"/>
      <c r="P901" s="29"/>
      <c r="Q901" s="29"/>
    </row>
    <row r="902" spans="9:17">
      <c r="I902" s="29"/>
      <c r="J902" s="29"/>
      <c r="K902" s="150"/>
      <c r="M902" s="1001"/>
      <c r="N902" s="29"/>
      <c r="P902" s="29"/>
      <c r="Q902" s="29"/>
    </row>
    <row r="903" spans="9:17">
      <c r="I903" s="29"/>
      <c r="J903" s="29"/>
      <c r="K903" s="150"/>
      <c r="M903" s="1001"/>
      <c r="N903" s="29"/>
      <c r="P903" s="29"/>
      <c r="Q903" s="29"/>
    </row>
    <row r="904" spans="9:17">
      <c r="I904" s="29"/>
      <c r="J904" s="29"/>
      <c r="K904" s="150"/>
      <c r="M904" s="1001"/>
      <c r="N904" s="29"/>
      <c r="P904" s="29"/>
      <c r="Q904" s="29"/>
    </row>
    <row r="905" spans="9:17">
      <c r="I905" s="29"/>
      <c r="J905" s="29"/>
      <c r="K905" s="150"/>
      <c r="M905" s="1001"/>
      <c r="N905" s="29"/>
      <c r="P905" s="29"/>
      <c r="Q905" s="29"/>
    </row>
    <row r="906" spans="9:17">
      <c r="I906" s="29"/>
      <c r="J906" s="29"/>
      <c r="K906" s="150"/>
      <c r="M906" s="1001"/>
      <c r="N906" s="29"/>
      <c r="P906" s="29"/>
      <c r="Q906" s="29"/>
    </row>
    <row r="907" spans="9:17">
      <c r="I907" s="29"/>
      <c r="J907" s="29"/>
      <c r="K907" s="150"/>
      <c r="M907" s="1001"/>
      <c r="N907" s="29"/>
      <c r="P907" s="29"/>
      <c r="Q907" s="29"/>
    </row>
    <row r="908" spans="9:17">
      <c r="I908" s="29"/>
      <c r="J908" s="29"/>
      <c r="K908" s="150"/>
      <c r="M908" s="1001"/>
      <c r="N908" s="29"/>
      <c r="P908" s="29"/>
      <c r="Q908" s="29"/>
    </row>
    <row r="909" spans="9:17">
      <c r="I909" s="29"/>
      <c r="J909" s="29"/>
      <c r="K909" s="150"/>
      <c r="M909" s="1001"/>
      <c r="N909" s="29"/>
      <c r="P909" s="29"/>
      <c r="Q909" s="29"/>
    </row>
    <row r="910" spans="9:17">
      <c r="I910" s="29"/>
      <c r="J910" s="29"/>
      <c r="K910" s="150"/>
      <c r="M910" s="1001"/>
      <c r="N910" s="29"/>
      <c r="P910" s="29"/>
      <c r="Q910" s="29"/>
    </row>
    <row r="911" spans="9:17">
      <c r="I911" s="29"/>
      <c r="J911" s="29"/>
      <c r="K911" s="150"/>
      <c r="M911" s="1001"/>
      <c r="N911" s="29"/>
      <c r="P911" s="29"/>
      <c r="Q911" s="29"/>
    </row>
    <row r="912" spans="9:17">
      <c r="I912" s="29"/>
      <c r="J912" s="29"/>
      <c r="K912" s="150"/>
      <c r="M912" s="1001"/>
      <c r="N912" s="29"/>
      <c r="P912" s="29"/>
      <c r="Q912" s="29"/>
    </row>
    <row r="913" spans="9:17">
      <c r="I913" s="29"/>
      <c r="J913" s="29"/>
      <c r="K913" s="150"/>
      <c r="M913" s="1001"/>
      <c r="N913" s="29"/>
      <c r="P913" s="29"/>
      <c r="Q913" s="29"/>
    </row>
    <row r="914" spans="9:17">
      <c r="I914" s="29"/>
      <c r="J914" s="29"/>
      <c r="K914" s="150"/>
      <c r="M914" s="1001"/>
      <c r="N914" s="29"/>
      <c r="P914" s="29"/>
      <c r="Q914" s="29"/>
    </row>
    <row r="915" spans="9:17">
      <c r="I915" s="29"/>
      <c r="J915" s="29"/>
      <c r="K915" s="150"/>
      <c r="M915" s="1001"/>
      <c r="N915" s="29"/>
      <c r="P915" s="29"/>
      <c r="Q915" s="29"/>
    </row>
    <row r="916" spans="9:17">
      <c r="I916" s="29"/>
      <c r="J916" s="29"/>
      <c r="K916" s="150"/>
      <c r="M916" s="1001"/>
      <c r="N916" s="29"/>
      <c r="P916" s="29"/>
      <c r="Q916" s="29"/>
    </row>
    <row r="917" spans="9:17">
      <c r="I917" s="29"/>
      <c r="J917" s="29"/>
      <c r="K917" s="150"/>
      <c r="M917" s="1001"/>
      <c r="N917" s="29"/>
      <c r="P917" s="29"/>
      <c r="Q917" s="29"/>
    </row>
    <row r="918" spans="9:17">
      <c r="I918" s="29"/>
      <c r="J918" s="29"/>
      <c r="K918" s="150"/>
      <c r="M918" s="1001"/>
      <c r="N918" s="29"/>
      <c r="P918" s="29"/>
      <c r="Q918" s="29"/>
    </row>
    <row r="919" spans="9:17">
      <c r="I919" s="29"/>
      <c r="J919" s="29"/>
      <c r="K919" s="150"/>
      <c r="M919" s="1001"/>
      <c r="N919" s="29"/>
      <c r="P919" s="29"/>
      <c r="Q919" s="29"/>
    </row>
    <row r="920" spans="9:17">
      <c r="I920" s="29"/>
      <c r="J920" s="29"/>
      <c r="K920" s="150"/>
      <c r="M920" s="1001"/>
      <c r="N920" s="29"/>
      <c r="P920" s="29"/>
      <c r="Q920" s="29"/>
    </row>
    <row r="921" spans="9:17">
      <c r="I921" s="29"/>
      <c r="J921" s="29"/>
      <c r="K921" s="150"/>
      <c r="M921" s="1001"/>
      <c r="N921" s="29"/>
      <c r="P921" s="29"/>
      <c r="Q921" s="29"/>
    </row>
    <row r="922" spans="9:17">
      <c r="I922" s="29"/>
      <c r="J922" s="29"/>
      <c r="K922" s="150"/>
      <c r="M922" s="1001"/>
      <c r="N922" s="29"/>
      <c r="P922" s="29"/>
      <c r="Q922" s="29"/>
    </row>
    <row r="923" spans="9:17">
      <c r="I923" s="29"/>
      <c r="J923" s="29"/>
      <c r="K923" s="150"/>
      <c r="M923" s="1001"/>
      <c r="N923" s="29"/>
      <c r="P923" s="29"/>
      <c r="Q923" s="29"/>
    </row>
    <row r="924" spans="9:17">
      <c r="I924" s="29"/>
      <c r="J924" s="29"/>
      <c r="K924" s="150"/>
      <c r="M924" s="1001"/>
      <c r="N924" s="29"/>
      <c r="P924" s="29"/>
      <c r="Q924" s="29"/>
    </row>
    <row r="925" spans="9:17">
      <c r="I925" s="29"/>
      <c r="J925" s="29"/>
      <c r="K925" s="150"/>
      <c r="M925" s="1001"/>
      <c r="N925" s="29"/>
      <c r="P925" s="29"/>
      <c r="Q925" s="29"/>
    </row>
    <row r="926" spans="9:17">
      <c r="I926" s="29"/>
      <c r="J926" s="29"/>
      <c r="K926" s="150"/>
      <c r="M926" s="1001"/>
      <c r="N926" s="29"/>
      <c r="P926" s="29"/>
      <c r="Q926" s="29"/>
    </row>
    <row r="927" spans="9:17">
      <c r="I927" s="29"/>
      <c r="J927" s="29"/>
      <c r="K927" s="150"/>
      <c r="M927" s="1001"/>
      <c r="N927" s="29"/>
      <c r="P927" s="29"/>
      <c r="Q927" s="29"/>
    </row>
    <row r="928" spans="9:17">
      <c r="I928" s="29"/>
      <c r="J928" s="29"/>
      <c r="K928" s="150"/>
      <c r="M928" s="1001"/>
      <c r="N928" s="29"/>
      <c r="P928" s="29"/>
      <c r="Q928" s="29"/>
    </row>
    <row r="929" spans="9:17">
      <c r="I929" s="29"/>
      <c r="J929" s="29"/>
      <c r="K929" s="150"/>
      <c r="M929" s="1001"/>
      <c r="N929" s="29"/>
      <c r="P929" s="29"/>
      <c r="Q929" s="29"/>
    </row>
    <row r="930" spans="9:17">
      <c r="I930" s="29"/>
      <c r="J930" s="29"/>
      <c r="K930" s="150"/>
      <c r="M930" s="1001"/>
      <c r="N930" s="29"/>
      <c r="P930" s="29"/>
      <c r="Q930" s="29"/>
    </row>
    <row r="931" spans="9:17">
      <c r="I931" s="29"/>
      <c r="J931" s="29"/>
      <c r="K931" s="150"/>
      <c r="M931" s="1001"/>
      <c r="N931" s="29"/>
      <c r="P931" s="29"/>
      <c r="Q931" s="29"/>
    </row>
    <row r="932" spans="9:17">
      <c r="I932" s="29"/>
      <c r="J932" s="29"/>
      <c r="K932" s="150"/>
      <c r="M932" s="1001"/>
      <c r="N932" s="29"/>
      <c r="P932" s="29"/>
      <c r="Q932" s="29"/>
    </row>
    <row r="933" spans="9:17">
      <c r="I933" s="29"/>
      <c r="J933" s="29"/>
      <c r="K933" s="150"/>
      <c r="M933" s="1001"/>
      <c r="N933" s="29"/>
      <c r="P933" s="29"/>
      <c r="Q933" s="29"/>
    </row>
    <row r="934" spans="9:17">
      <c r="I934" s="29"/>
      <c r="J934" s="29"/>
      <c r="K934" s="150"/>
      <c r="M934" s="1001"/>
      <c r="N934" s="29"/>
      <c r="P934" s="29"/>
      <c r="Q934" s="29"/>
    </row>
    <row r="935" spans="9:17">
      <c r="I935" s="29"/>
      <c r="J935" s="29"/>
      <c r="K935" s="150"/>
      <c r="M935" s="1001"/>
      <c r="N935" s="29"/>
      <c r="P935" s="29"/>
      <c r="Q935" s="29"/>
    </row>
    <row r="936" spans="9:17">
      <c r="I936" s="29"/>
      <c r="J936" s="29"/>
      <c r="K936" s="150"/>
      <c r="M936" s="1001"/>
      <c r="N936" s="29"/>
      <c r="P936" s="29"/>
      <c r="Q936" s="29"/>
    </row>
    <row r="937" spans="9:17">
      <c r="I937" s="29"/>
      <c r="J937" s="29"/>
      <c r="K937" s="150"/>
      <c r="M937" s="1001"/>
      <c r="N937" s="29"/>
      <c r="P937" s="29"/>
      <c r="Q937" s="29"/>
    </row>
    <row r="938" spans="9:17">
      <c r="I938" s="29"/>
      <c r="J938" s="29"/>
      <c r="K938" s="150"/>
      <c r="M938" s="1001"/>
      <c r="N938" s="29"/>
      <c r="P938" s="29"/>
      <c r="Q938" s="29"/>
    </row>
    <row r="939" spans="9:17">
      <c r="I939" s="29"/>
      <c r="J939" s="29"/>
      <c r="K939" s="150"/>
      <c r="M939" s="1001"/>
      <c r="N939" s="29"/>
      <c r="P939" s="29"/>
      <c r="Q939" s="29"/>
    </row>
    <row r="940" spans="9:17">
      <c r="I940" s="29"/>
      <c r="J940" s="29"/>
      <c r="K940" s="150"/>
      <c r="M940" s="1001"/>
      <c r="N940" s="29"/>
      <c r="P940" s="29"/>
      <c r="Q940" s="29"/>
    </row>
    <row r="941" spans="9:17">
      <c r="I941" s="29"/>
      <c r="J941" s="29"/>
      <c r="K941" s="150"/>
      <c r="M941" s="1001"/>
      <c r="N941" s="29"/>
      <c r="P941" s="29"/>
      <c r="Q941" s="29"/>
    </row>
    <row r="942" spans="9:17">
      <c r="I942" s="29"/>
      <c r="J942" s="29"/>
      <c r="K942" s="150"/>
      <c r="M942" s="1001"/>
      <c r="N942" s="29"/>
      <c r="P942" s="29"/>
      <c r="Q942" s="29"/>
    </row>
    <row r="943" spans="9:17">
      <c r="I943" s="29"/>
      <c r="J943" s="29"/>
      <c r="K943" s="150"/>
      <c r="M943" s="1001"/>
      <c r="N943" s="29"/>
      <c r="P943" s="29"/>
      <c r="Q943" s="29"/>
    </row>
    <row r="944" spans="9:17">
      <c r="I944" s="29"/>
      <c r="J944" s="29"/>
      <c r="K944" s="150"/>
      <c r="M944" s="1001"/>
      <c r="N944" s="29"/>
      <c r="P944" s="29"/>
      <c r="Q944" s="29"/>
    </row>
    <row r="945" spans="9:17">
      <c r="I945" s="29"/>
      <c r="J945" s="29"/>
      <c r="K945" s="150"/>
      <c r="M945" s="1001"/>
      <c r="N945" s="29"/>
      <c r="P945" s="29"/>
      <c r="Q945" s="29"/>
    </row>
    <row r="946" spans="9:17">
      <c r="I946" s="29"/>
      <c r="J946" s="29"/>
      <c r="K946" s="150"/>
      <c r="M946" s="1001"/>
      <c r="N946" s="29"/>
      <c r="P946" s="29"/>
      <c r="Q946" s="29"/>
    </row>
    <row r="947" spans="9:17">
      <c r="I947" s="29"/>
      <c r="J947" s="29"/>
      <c r="K947" s="150"/>
      <c r="M947" s="1001"/>
      <c r="N947" s="29"/>
      <c r="P947" s="29"/>
      <c r="Q947" s="29"/>
    </row>
    <row r="948" spans="9:17">
      <c r="I948" s="29"/>
      <c r="J948" s="29"/>
      <c r="K948" s="150"/>
      <c r="M948" s="1001"/>
      <c r="N948" s="29"/>
      <c r="P948" s="29"/>
      <c r="Q948" s="29"/>
    </row>
    <row r="949" spans="9:17">
      <c r="I949" s="29"/>
      <c r="J949" s="29"/>
      <c r="K949" s="150"/>
      <c r="M949" s="1001"/>
      <c r="N949" s="29"/>
      <c r="P949" s="29"/>
      <c r="Q949" s="29"/>
    </row>
    <row r="950" spans="9:17">
      <c r="I950" s="29"/>
      <c r="J950" s="29"/>
      <c r="K950" s="150"/>
      <c r="M950" s="1001"/>
      <c r="N950" s="29"/>
      <c r="P950" s="29"/>
      <c r="Q950" s="29"/>
    </row>
    <row r="951" spans="9:17">
      <c r="I951" s="29"/>
      <c r="J951" s="29"/>
      <c r="K951" s="150"/>
      <c r="M951" s="1001"/>
      <c r="N951" s="29"/>
      <c r="P951" s="29"/>
      <c r="Q951" s="29"/>
    </row>
    <row r="952" spans="9:17">
      <c r="I952" s="29"/>
      <c r="J952" s="29"/>
      <c r="K952" s="150"/>
      <c r="M952" s="1001"/>
      <c r="N952" s="29"/>
      <c r="P952" s="29"/>
      <c r="Q952" s="29"/>
    </row>
    <row r="953" spans="9:17">
      <c r="I953" s="29"/>
      <c r="J953" s="29"/>
      <c r="K953" s="150"/>
      <c r="M953" s="1001"/>
      <c r="N953" s="29"/>
      <c r="P953" s="29"/>
      <c r="Q953" s="29"/>
    </row>
    <row r="954" spans="9:17">
      <c r="I954" s="29"/>
      <c r="J954" s="29"/>
      <c r="K954" s="150"/>
      <c r="M954" s="1001"/>
      <c r="N954" s="29"/>
      <c r="P954" s="29"/>
      <c r="Q954" s="29"/>
    </row>
    <row r="955" spans="9:17">
      <c r="I955" s="29"/>
      <c r="J955" s="29"/>
      <c r="K955" s="150"/>
      <c r="M955" s="1001"/>
      <c r="N955" s="29"/>
      <c r="P955" s="29"/>
      <c r="Q955" s="29"/>
    </row>
    <row r="956" spans="9:17">
      <c r="I956" s="29"/>
      <c r="J956" s="29"/>
      <c r="K956" s="150"/>
      <c r="M956" s="1001"/>
      <c r="N956" s="29"/>
      <c r="P956" s="29"/>
      <c r="Q956" s="29"/>
    </row>
    <row r="957" spans="9:17">
      <c r="I957" s="29"/>
      <c r="J957" s="29"/>
      <c r="K957" s="150"/>
      <c r="M957" s="1001"/>
      <c r="N957" s="29"/>
      <c r="P957" s="29"/>
      <c r="Q957" s="29"/>
    </row>
    <row r="958" spans="9:17">
      <c r="I958" s="29"/>
      <c r="J958" s="29"/>
      <c r="K958" s="150"/>
      <c r="M958" s="1001"/>
      <c r="N958" s="29"/>
      <c r="P958" s="29"/>
      <c r="Q958" s="29"/>
    </row>
    <row r="959" spans="9:17">
      <c r="I959" s="29"/>
      <c r="J959" s="29"/>
      <c r="K959" s="150"/>
      <c r="M959" s="1001"/>
      <c r="N959" s="29"/>
      <c r="P959" s="29"/>
      <c r="Q959" s="29"/>
    </row>
    <row r="960" spans="9:17">
      <c r="I960" s="29"/>
      <c r="J960" s="29"/>
      <c r="K960" s="150"/>
      <c r="M960" s="1001"/>
      <c r="N960" s="29"/>
      <c r="P960" s="29"/>
      <c r="Q960" s="29"/>
    </row>
    <row r="961" spans="9:17">
      <c r="I961" s="29"/>
      <c r="J961" s="29"/>
      <c r="K961" s="150"/>
      <c r="M961" s="1001"/>
      <c r="N961" s="29"/>
      <c r="P961" s="29"/>
      <c r="Q961" s="29"/>
    </row>
    <row r="962" spans="9:17">
      <c r="I962" s="29"/>
      <c r="J962" s="29"/>
      <c r="K962" s="150"/>
      <c r="M962" s="1001"/>
      <c r="N962" s="29"/>
      <c r="P962" s="29"/>
      <c r="Q962" s="29"/>
    </row>
    <row r="963" spans="9:17">
      <c r="I963" s="29"/>
      <c r="J963" s="29"/>
      <c r="K963" s="150"/>
      <c r="M963" s="1001"/>
      <c r="N963" s="29"/>
      <c r="P963" s="29"/>
      <c r="Q963" s="29"/>
    </row>
    <row r="964" spans="9:17">
      <c r="I964" s="29"/>
      <c r="J964" s="29"/>
      <c r="K964" s="150"/>
      <c r="M964" s="1001"/>
      <c r="N964" s="29"/>
      <c r="P964" s="29"/>
      <c r="Q964" s="29"/>
    </row>
    <row r="965" spans="9:17">
      <c r="I965" s="29"/>
      <c r="J965" s="29"/>
      <c r="K965" s="150"/>
      <c r="M965" s="1001"/>
      <c r="N965" s="29"/>
      <c r="P965" s="29"/>
      <c r="Q965" s="29"/>
    </row>
    <row r="966" spans="9:17">
      <c r="I966" s="29"/>
      <c r="J966" s="29"/>
      <c r="K966" s="150"/>
      <c r="M966" s="1001"/>
      <c r="N966" s="29"/>
      <c r="P966" s="29"/>
      <c r="Q966" s="29"/>
    </row>
    <row r="967" spans="9:17">
      <c r="I967" s="29"/>
      <c r="J967" s="29"/>
      <c r="K967" s="150"/>
      <c r="M967" s="1001"/>
      <c r="N967" s="29"/>
      <c r="P967" s="29"/>
      <c r="Q967" s="29"/>
    </row>
    <row r="968" spans="9:17">
      <c r="I968" s="29"/>
      <c r="J968" s="29"/>
      <c r="K968" s="150"/>
      <c r="M968" s="1001"/>
      <c r="N968" s="29"/>
      <c r="P968" s="29"/>
      <c r="Q968" s="29"/>
    </row>
    <row r="969" spans="9:17">
      <c r="I969" s="29"/>
      <c r="J969" s="29"/>
      <c r="K969" s="150"/>
      <c r="M969" s="1001"/>
      <c r="N969" s="29"/>
      <c r="P969" s="29"/>
      <c r="Q969" s="29"/>
    </row>
    <row r="970" spans="9:17">
      <c r="I970" s="29"/>
      <c r="J970" s="29"/>
      <c r="K970" s="150"/>
      <c r="M970" s="1001"/>
      <c r="N970" s="29"/>
      <c r="P970" s="29"/>
      <c r="Q970" s="29"/>
    </row>
    <row r="971" spans="9:17">
      <c r="I971" s="29"/>
      <c r="J971" s="29"/>
      <c r="K971" s="150"/>
      <c r="M971" s="1001"/>
      <c r="N971" s="29"/>
      <c r="P971" s="29"/>
      <c r="Q971" s="29"/>
    </row>
    <row r="972" spans="9:17">
      <c r="I972" s="29"/>
      <c r="J972" s="29"/>
      <c r="K972" s="150"/>
      <c r="M972" s="1001"/>
      <c r="N972" s="29"/>
      <c r="P972" s="29"/>
      <c r="Q972" s="29"/>
    </row>
    <row r="973" spans="9:17">
      <c r="I973" s="29"/>
      <c r="J973" s="29"/>
      <c r="K973" s="150"/>
      <c r="M973" s="1001"/>
      <c r="N973" s="29"/>
      <c r="P973" s="29"/>
      <c r="Q973" s="29"/>
    </row>
    <row r="974" spans="9:17">
      <c r="I974" s="29"/>
      <c r="J974" s="29"/>
      <c r="K974" s="150"/>
      <c r="M974" s="1001"/>
      <c r="N974" s="29"/>
      <c r="P974" s="29"/>
      <c r="Q974" s="29"/>
    </row>
    <row r="975" spans="9:17">
      <c r="I975" s="29"/>
      <c r="J975" s="29"/>
      <c r="K975" s="150"/>
      <c r="M975" s="1001"/>
      <c r="N975" s="29"/>
      <c r="P975" s="29"/>
      <c r="Q975" s="29"/>
    </row>
    <row r="976" spans="9:17">
      <c r="I976" s="29"/>
      <c r="J976" s="29"/>
      <c r="K976" s="150"/>
      <c r="M976" s="1001"/>
      <c r="N976" s="29"/>
      <c r="P976" s="29"/>
      <c r="Q976" s="29"/>
    </row>
    <row r="977" spans="9:17">
      <c r="I977" s="29"/>
      <c r="J977" s="29"/>
      <c r="K977" s="150"/>
      <c r="M977" s="1001"/>
      <c r="N977" s="29"/>
      <c r="P977" s="29"/>
      <c r="Q977" s="29"/>
    </row>
    <row r="978" spans="9:17">
      <c r="I978" s="29"/>
      <c r="J978" s="29"/>
      <c r="K978" s="150"/>
      <c r="M978" s="1001"/>
      <c r="N978" s="29"/>
      <c r="P978" s="29"/>
      <c r="Q978" s="29"/>
    </row>
    <row r="979" spans="9:17">
      <c r="I979" s="29"/>
      <c r="J979" s="29"/>
      <c r="K979" s="150"/>
      <c r="M979" s="1001"/>
      <c r="N979" s="29"/>
      <c r="P979" s="29"/>
      <c r="Q979" s="29"/>
    </row>
    <row r="980" spans="9:17">
      <c r="I980" s="29"/>
      <c r="J980" s="29"/>
      <c r="K980" s="150"/>
      <c r="M980" s="1001"/>
      <c r="N980" s="29"/>
      <c r="P980" s="29"/>
      <c r="Q980" s="29"/>
    </row>
    <row r="981" spans="9:17">
      <c r="I981" s="29"/>
      <c r="J981" s="29"/>
      <c r="K981" s="150"/>
      <c r="M981" s="1001"/>
      <c r="N981" s="29"/>
      <c r="P981" s="29"/>
      <c r="Q981" s="29"/>
    </row>
    <row r="982" spans="9:17">
      <c r="I982" s="29"/>
      <c r="J982" s="29"/>
      <c r="K982" s="150"/>
      <c r="M982" s="1001"/>
      <c r="N982" s="29"/>
      <c r="P982" s="29"/>
      <c r="Q982" s="29"/>
    </row>
    <row r="983" spans="9:17">
      <c r="I983" s="29"/>
      <c r="J983" s="29"/>
      <c r="K983" s="150"/>
      <c r="M983" s="1001"/>
      <c r="N983" s="29"/>
      <c r="P983" s="29"/>
      <c r="Q983" s="29"/>
    </row>
    <row r="984" spans="9:17">
      <c r="I984" s="29"/>
      <c r="J984" s="29"/>
      <c r="K984" s="150"/>
      <c r="M984" s="1001"/>
      <c r="N984" s="29"/>
      <c r="P984" s="29"/>
      <c r="Q984" s="29"/>
    </row>
    <row r="985" spans="9:17">
      <c r="I985" s="29"/>
      <c r="J985" s="29"/>
      <c r="K985" s="150"/>
      <c r="M985" s="1001"/>
      <c r="N985" s="29"/>
      <c r="P985" s="29"/>
      <c r="Q985" s="29"/>
    </row>
    <row r="986" spans="9:17">
      <c r="I986" s="29"/>
      <c r="J986" s="29"/>
      <c r="K986" s="150"/>
      <c r="M986" s="1001"/>
      <c r="N986" s="29"/>
      <c r="P986" s="29"/>
      <c r="Q986" s="29"/>
    </row>
    <row r="987" spans="9:17">
      <c r="I987" s="29"/>
      <c r="J987" s="29"/>
      <c r="K987" s="150"/>
      <c r="M987" s="1001"/>
      <c r="N987" s="29"/>
      <c r="P987" s="29"/>
      <c r="Q987" s="29"/>
    </row>
    <row r="988" spans="9:17">
      <c r="I988" s="29"/>
      <c r="J988" s="29"/>
      <c r="K988" s="150"/>
      <c r="M988" s="1001"/>
      <c r="N988" s="29"/>
      <c r="P988" s="29"/>
      <c r="Q988" s="29"/>
    </row>
    <row r="989" spans="9:17">
      <c r="I989" s="29"/>
      <c r="J989" s="29"/>
      <c r="K989" s="150"/>
      <c r="M989" s="1001"/>
      <c r="N989" s="29"/>
      <c r="P989" s="29"/>
      <c r="Q989" s="29"/>
    </row>
    <row r="990" spans="9:17">
      <c r="I990" s="29"/>
      <c r="J990" s="29"/>
      <c r="K990" s="150"/>
      <c r="M990" s="1001"/>
      <c r="N990" s="29"/>
      <c r="P990" s="29"/>
      <c r="Q990" s="29"/>
    </row>
    <row r="991" spans="9:17">
      <c r="I991" s="29"/>
      <c r="J991" s="29"/>
      <c r="K991" s="150"/>
      <c r="M991" s="1001"/>
      <c r="N991" s="29"/>
      <c r="P991" s="29"/>
      <c r="Q991" s="29"/>
    </row>
    <row r="992" spans="9:17">
      <c r="I992" s="29"/>
      <c r="J992" s="29"/>
      <c r="K992" s="150"/>
      <c r="M992" s="1001"/>
      <c r="N992" s="29"/>
      <c r="P992" s="29"/>
      <c r="Q992" s="29"/>
    </row>
    <row r="993" spans="9:17">
      <c r="I993" s="29"/>
      <c r="J993" s="29"/>
      <c r="K993" s="150"/>
      <c r="M993" s="1001"/>
      <c r="N993" s="29"/>
      <c r="P993" s="29"/>
      <c r="Q993" s="29"/>
    </row>
    <row r="994" spans="9:17">
      <c r="I994" s="29"/>
      <c r="J994" s="29"/>
      <c r="K994" s="150"/>
      <c r="M994" s="1001"/>
      <c r="N994" s="29"/>
      <c r="P994" s="29"/>
      <c r="Q994" s="29"/>
    </row>
    <row r="995" spans="9:17">
      <c r="I995" s="29"/>
      <c r="J995" s="29"/>
      <c r="K995" s="150"/>
      <c r="M995" s="1001"/>
      <c r="N995" s="29"/>
      <c r="P995" s="29"/>
      <c r="Q995" s="29"/>
    </row>
    <row r="996" spans="9:17">
      <c r="I996" s="29"/>
      <c r="J996" s="29"/>
      <c r="K996" s="150"/>
      <c r="M996" s="1001"/>
      <c r="N996" s="29"/>
      <c r="P996" s="29"/>
      <c r="Q996" s="29"/>
    </row>
    <row r="997" spans="9:17">
      <c r="I997" s="29"/>
      <c r="J997" s="29"/>
      <c r="K997" s="150"/>
      <c r="M997" s="1001"/>
      <c r="N997" s="29"/>
      <c r="P997" s="29"/>
      <c r="Q997" s="29"/>
    </row>
    <row r="998" spans="9:17">
      <c r="I998" s="29"/>
      <c r="J998" s="29"/>
      <c r="K998" s="150"/>
      <c r="M998" s="1001"/>
      <c r="N998" s="29"/>
      <c r="P998" s="29"/>
      <c r="Q998" s="29"/>
    </row>
    <row r="999" spans="9:17">
      <c r="I999" s="29"/>
      <c r="J999" s="29"/>
      <c r="K999" s="150"/>
      <c r="M999" s="1001"/>
      <c r="N999" s="29"/>
      <c r="P999" s="29"/>
      <c r="Q999" s="29"/>
    </row>
    <row r="1000" spans="9:17">
      <c r="I1000" s="29"/>
      <c r="J1000" s="29"/>
      <c r="K1000" s="150"/>
      <c r="M1000" s="1001"/>
      <c r="N1000" s="29"/>
      <c r="P1000" s="29"/>
      <c r="Q1000" s="29"/>
    </row>
    <row r="1001" spans="9:17">
      <c r="I1001" s="29"/>
      <c r="J1001" s="29"/>
      <c r="K1001" s="150"/>
      <c r="M1001" s="1001"/>
      <c r="N1001" s="29"/>
      <c r="P1001" s="29"/>
      <c r="Q1001" s="29"/>
    </row>
    <row r="1002" spans="9:17">
      <c r="I1002" s="29"/>
      <c r="J1002" s="29"/>
      <c r="K1002" s="150"/>
      <c r="M1002" s="1001"/>
      <c r="N1002" s="29"/>
      <c r="P1002" s="29"/>
      <c r="Q1002" s="29"/>
    </row>
    <row r="1003" spans="9:17">
      <c r="I1003" s="29"/>
      <c r="J1003" s="29"/>
      <c r="K1003" s="150"/>
      <c r="M1003" s="1001"/>
      <c r="N1003" s="29"/>
      <c r="P1003" s="29"/>
      <c r="Q1003" s="29"/>
    </row>
    <row r="1004" spans="9:17">
      <c r="I1004" s="29"/>
      <c r="J1004" s="29"/>
      <c r="K1004" s="150"/>
      <c r="M1004" s="1001"/>
      <c r="N1004" s="29"/>
      <c r="P1004" s="29"/>
      <c r="Q1004" s="29"/>
    </row>
    <row r="1005" spans="9:17">
      <c r="I1005" s="29"/>
      <c r="J1005" s="29"/>
      <c r="K1005" s="150"/>
      <c r="M1005" s="1001"/>
      <c r="N1005" s="29"/>
      <c r="P1005" s="29"/>
      <c r="Q1005" s="29"/>
    </row>
    <row r="1006" spans="9:17">
      <c r="I1006" s="29"/>
      <c r="J1006" s="29"/>
      <c r="K1006" s="150"/>
      <c r="M1006" s="1001"/>
      <c r="N1006" s="29"/>
      <c r="P1006" s="29"/>
      <c r="Q1006" s="29"/>
    </row>
    <row r="1007" spans="9:17">
      <c r="I1007" s="29"/>
      <c r="J1007" s="29"/>
      <c r="K1007" s="150"/>
      <c r="M1007" s="1001"/>
      <c r="N1007" s="29"/>
      <c r="P1007" s="29"/>
      <c r="Q1007" s="29"/>
    </row>
    <row r="1008" spans="9:17">
      <c r="I1008" s="29"/>
      <c r="J1008" s="29"/>
      <c r="K1008" s="150"/>
      <c r="M1008" s="1001"/>
      <c r="N1008" s="29"/>
      <c r="P1008" s="29"/>
      <c r="Q1008" s="29"/>
    </row>
    <row r="1009" spans="9:17">
      <c r="I1009" s="29"/>
      <c r="J1009" s="29"/>
      <c r="K1009" s="150"/>
      <c r="M1009" s="1001"/>
      <c r="N1009" s="29"/>
      <c r="P1009" s="29"/>
      <c r="Q1009" s="29"/>
    </row>
    <row r="1010" spans="9:17">
      <c r="I1010" s="29"/>
      <c r="J1010" s="29"/>
      <c r="K1010" s="150"/>
      <c r="M1010" s="1001"/>
      <c r="N1010" s="29"/>
      <c r="P1010" s="29"/>
      <c r="Q1010" s="29"/>
    </row>
    <row r="1011" spans="9:17">
      <c r="I1011" s="29"/>
      <c r="J1011" s="29"/>
      <c r="K1011" s="150"/>
      <c r="M1011" s="1001"/>
      <c r="N1011" s="29"/>
      <c r="P1011" s="29"/>
      <c r="Q1011" s="29"/>
    </row>
    <row r="1012" spans="9:17">
      <c r="I1012" s="29"/>
      <c r="J1012" s="29"/>
      <c r="K1012" s="150"/>
      <c r="M1012" s="1001"/>
      <c r="N1012" s="29"/>
      <c r="P1012" s="29"/>
      <c r="Q1012" s="29"/>
    </row>
    <row r="1013" spans="9:17">
      <c r="I1013" s="29"/>
      <c r="J1013" s="29"/>
      <c r="K1013" s="150"/>
      <c r="M1013" s="1001"/>
      <c r="N1013" s="29"/>
      <c r="P1013" s="29"/>
      <c r="Q1013" s="29"/>
    </row>
    <row r="1014" spans="9:17">
      <c r="I1014" s="29"/>
      <c r="J1014" s="29"/>
      <c r="K1014" s="150"/>
      <c r="M1014" s="1001"/>
      <c r="N1014" s="29"/>
      <c r="P1014" s="29"/>
      <c r="Q1014" s="29"/>
    </row>
    <row r="1015" spans="9:17">
      <c r="I1015" s="29"/>
      <c r="J1015" s="29"/>
      <c r="K1015" s="150"/>
      <c r="M1015" s="1001"/>
      <c r="N1015" s="29"/>
      <c r="P1015" s="29"/>
      <c r="Q1015" s="29"/>
    </row>
    <row r="1016" spans="9:17">
      <c r="I1016" s="29"/>
      <c r="J1016" s="29"/>
      <c r="K1016" s="150"/>
      <c r="M1016" s="1001"/>
      <c r="N1016" s="29"/>
      <c r="P1016" s="29"/>
      <c r="Q1016" s="29"/>
    </row>
    <row r="1017" spans="9:17">
      <c r="I1017" s="29"/>
      <c r="J1017" s="29"/>
      <c r="K1017" s="150"/>
      <c r="M1017" s="1001"/>
      <c r="N1017" s="29"/>
      <c r="P1017" s="29"/>
      <c r="Q1017" s="29"/>
    </row>
    <row r="1018" spans="9:17">
      <c r="I1018" s="29"/>
      <c r="J1018" s="29"/>
      <c r="K1018" s="150"/>
      <c r="M1018" s="1001"/>
      <c r="N1018" s="29"/>
      <c r="P1018" s="29"/>
      <c r="Q1018" s="29"/>
    </row>
    <row r="1019" spans="9:17">
      <c r="I1019" s="29"/>
      <c r="J1019" s="29"/>
      <c r="K1019" s="150"/>
      <c r="M1019" s="1001"/>
      <c r="N1019" s="29"/>
      <c r="P1019" s="29"/>
      <c r="Q1019" s="29"/>
    </row>
    <row r="1020" spans="9:17">
      <c r="I1020" s="29"/>
      <c r="J1020" s="29"/>
      <c r="K1020" s="150"/>
      <c r="M1020" s="1001"/>
      <c r="N1020" s="29"/>
      <c r="P1020" s="29"/>
      <c r="Q1020" s="29"/>
    </row>
    <row r="1021" spans="9:17">
      <c r="I1021" s="29"/>
      <c r="J1021" s="29"/>
      <c r="K1021" s="150"/>
      <c r="M1021" s="1001"/>
      <c r="N1021" s="29"/>
      <c r="P1021" s="29"/>
      <c r="Q1021" s="29"/>
    </row>
    <row r="1022" spans="9:17">
      <c r="I1022" s="29"/>
      <c r="J1022" s="29"/>
      <c r="K1022" s="150"/>
      <c r="M1022" s="1001"/>
      <c r="N1022" s="29"/>
      <c r="P1022" s="29"/>
      <c r="Q1022" s="29"/>
    </row>
    <row r="1023" spans="9:17">
      <c r="I1023" s="29"/>
      <c r="J1023" s="29"/>
      <c r="K1023" s="150"/>
      <c r="M1023" s="1001"/>
      <c r="N1023" s="29"/>
      <c r="P1023" s="29"/>
      <c r="Q1023" s="29"/>
    </row>
    <row r="1024" spans="9:17">
      <c r="I1024" s="29"/>
      <c r="J1024" s="29"/>
      <c r="K1024" s="150"/>
      <c r="M1024" s="1001"/>
      <c r="N1024" s="29"/>
      <c r="P1024" s="29"/>
      <c r="Q1024" s="29"/>
    </row>
    <row r="1025" spans="9:17">
      <c r="I1025" s="29"/>
      <c r="J1025" s="29"/>
      <c r="K1025" s="150"/>
      <c r="M1025" s="1001"/>
      <c r="N1025" s="29"/>
      <c r="P1025" s="29"/>
      <c r="Q1025" s="29"/>
    </row>
    <row r="1026" spans="9:17">
      <c r="I1026" s="29"/>
      <c r="J1026" s="29"/>
      <c r="K1026" s="150"/>
      <c r="M1026" s="1001"/>
      <c r="N1026" s="29"/>
      <c r="P1026" s="29"/>
      <c r="Q1026" s="29"/>
    </row>
    <row r="1027" spans="9:17">
      <c r="I1027" s="29"/>
      <c r="J1027" s="29"/>
      <c r="K1027" s="150"/>
      <c r="M1027" s="1001"/>
      <c r="N1027" s="29"/>
      <c r="P1027" s="29"/>
      <c r="Q1027" s="29"/>
    </row>
    <row r="1028" spans="9:17">
      <c r="I1028" s="29"/>
      <c r="J1028" s="29"/>
      <c r="K1028" s="150"/>
      <c r="M1028" s="1001"/>
      <c r="N1028" s="29"/>
      <c r="P1028" s="29"/>
      <c r="Q1028" s="29"/>
    </row>
    <row r="1029" spans="9:17">
      <c r="I1029" s="29"/>
      <c r="J1029" s="29"/>
      <c r="K1029" s="150"/>
      <c r="M1029" s="1001"/>
      <c r="N1029" s="29"/>
      <c r="P1029" s="29"/>
      <c r="Q1029" s="29"/>
    </row>
    <row r="1030" spans="9:17">
      <c r="I1030" s="29"/>
      <c r="J1030" s="29"/>
      <c r="K1030" s="150"/>
      <c r="M1030" s="1001"/>
      <c r="N1030" s="29"/>
      <c r="P1030" s="29"/>
      <c r="Q1030" s="29"/>
    </row>
    <row r="1031" spans="9:17">
      <c r="I1031" s="29"/>
      <c r="J1031" s="29"/>
      <c r="K1031" s="150"/>
      <c r="M1031" s="1001"/>
      <c r="N1031" s="29"/>
      <c r="P1031" s="29"/>
      <c r="Q1031" s="29"/>
    </row>
    <row r="1032" spans="9:17">
      <c r="I1032" s="29"/>
      <c r="J1032" s="29"/>
      <c r="K1032" s="150"/>
      <c r="M1032" s="1001"/>
      <c r="N1032" s="29"/>
      <c r="P1032" s="29"/>
      <c r="Q1032" s="29"/>
    </row>
    <row r="1033" spans="9:17">
      <c r="I1033" s="29"/>
      <c r="J1033" s="29"/>
      <c r="K1033" s="150"/>
      <c r="M1033" s="1001"/>
      <c r="N1033" s="29"/>
      <c r="P1033" s="29"/>
      <c r="Q1033" s="29"/>
    </row>
    <row r="1034" spans="9:17">
      <c r="I1034" s="29"/>
      <c r="J1034" s="29"/>
      <c r="K1034" s="150"/>
      <c r="M1034" s="1001"/>
      <c r="N1034" s="29"/>
      <c r="P1034" s="29"/>
      <c r="Q1034" s="29"/>
    </row>
    <row r="1035" spans="9:17">
      <c r="I1035" s="29"/>
      <c r="J1035" s="29"/>
      <c r="K1035" s="150"/>
      <c r="M1035" s="1001"/>
      <c r="N1035" s="29"/>
      <c r="P1035" s="29"/>
      <c r="Q1035" s="29"/>
    </row>
    <row r="1036" spans="9:17">
      <c r="I1036" s="29"/>
      <c r="J1036" s="29"/>
      <c r="K1036" s="150"/>
      <c r="M1036" s="1001"/>
      <c r="N1036" s="29"/>
      <c r="P1036" s="29"/>
      <c r="Q1036" s="29"/>
    </row>
    <row r="1037" spans="9:17">
      <c r="I1037" s="29"/>
      <c r="J1037" s="29"/>
      <c r="K1037" s="150"/>
      <c r="M1037" s="1001"/>
      <c r="N1037" s="29"/>
      <c r="P1037" s="29"/>
      <c r="Q1037" s="29"/>
    </row>
    <row r="1038" spans="9:17">
      <c r="I1038" s="29"/>
      <c r="J1038" s="29"/>
      <c r="K1038" s="150"/>
      <c r="M1038" s="1001"/>
      <c r="N1038" s="29"/>
      <c r="P1038" s="29"/>
      <c r="Q1038" s="29"/>
    </row>
    <row r="1039" spans="9:17">
      <c r="I1039" s="29"/>
      <c r="J1039" s="29"/>
      <c r="K1039" s="150"/>
      <c r="M1039" s="1001"/>
      <c r="N1039" s="29"/>
      <c r="P1039" s="29"/>
      <c r="Q1039" s="29"/>
    </row>
    <row r="1040" spans="9:17">
      <c r="I1040" s="29"/>
      <c r="J1040" s="29"/>
      <c r="K1040" s="150"/>
      <c r="M1040" s="1001"/>
      <c r="N1040" s="29"/>
      <c r="P1040" s="29"/>
      <c r="Q1040" s="29"/>
    </row>
    <row r="1041" spans="9:17">
      <c r="I1041" s="29"/>
      <c r="J1041" s="29"/>
      <c r="K1041" s="150"/>
      <c r="M1041" s="1001"/>
      <c r="N1041" s="29"/>
      <c r="P1041" s="29"/>
      <c r="Q1041" s="29"/>
    </row>
    <row r="1042" spans="9:17">
      <c r="I1042" s="29"/>
      <c r="J1042" s="29"/>
      <c r="K1042" s="150"/>
      <c r="M1042" s="1001"/>
      <c r="N1042" s="29"/>
      <c r="P1042" s="29"/>
      <c r="Q1042" s="29"/>
    </row>
    <row r="1043" spans="9:17">
      <c r="I1043" s="29"/>
      <c r="J1043" s="29"/>
      <c r="K1043" s="150"/>
      <c r="M1043" s="1001"/>
      <c r="N1043" s="29"/>
      <c r="P1043" s="29"/>
      <c r="Q1043" s="29"/>
    </row>
    <row r="1044" spans="9:17">
      <c r="I1044" s="29"/>
      <c r="J1044" s="29"/>
      <c r="K1044" s="150"/>
      <c r="M1044" s="1001"/>
      <c r="N1044" s="29"/>
      <c r="P1044" s="29"/>
      <c r="Q1044" s="29"/>
    </row>
    <row r="1045" spans="9:17">
      <c r="I1045" s="29"/>
      <c r="J1045" s="29"/>
      <c r="K1045" s="150"/>
      <c r="M1045" s="1001"/>
      <c r="N1045" s="29"/>
      <c r="P1045" s="29"/>
      <c r="Q1045" s="29"/>
    </row>
    <row r="1046" spans="9:17">
      <c r="I1046" s="29"/>
      <c r="J1046" s="29"/>
      <c r="K1046" s="150"/>
      <c r="M1046" s="1001"/>
      <c r="N1046" s="29"/>
      <c r="P1046" s="29"/>
      <c r="Q1046" s="29"/>
    </row>
    <row r="1047" spans="9:17">
      <c r="I1047" s="29"/>
      <c r="J1047" s="29"/>
      <c r="K1047" s="150"/>
      <c r="M1047" s="1001"/>
      <c r="N1047" s="29"/>
      <c r="P1047" s="29"/>
      <c r="Q1047" s="29"/>
    </row>
    <row r="1048" spans="9:17">
      <c r="I1048" s="29"/>
      <c r="J1048" s="29"/>
      <c r="K1048" s="150"/>
      <c r="M1048" s="1001"/>
      <c r="N1048" s="29"/>
      <c r="P1048" s="29"/>
      <c r="Q1048" s="29"/>
    </row>
    <row r="1049" spans="9:17">
      <c r="I1049" s="29"/>
      <c r="J1049" s="29"/>
      <c r="K1049" s="150"/>
      <c r="M1049" s="1001"/>
      <c r="N1049" s="29"/>
      <c r="P1049" s="29"/>
      <c r="Q1049" s="29"/>
    </row>
    <row r="1050" spans="9:17">
      <c r="I1050" s="29"/>
      <c r="J1050" s="29"/>
      <c r="K1050" s="150"/>
      <c r="M1050" s="1001"/>
      <c r="N1050" s="29"/>
      <c r="P1050" s="29"/>
      <c r="Q1050" s="29"/>
    </row>
    <row r="1051" spans="9:17">
      <c r="I1051" s="29"/>
      <c r="J1051" s="29"/>
      <c r="K1051" s="150"/>
      <c r="M1051" s="1001"/>
      <c r="N1051" s="29"/>
      <c r="P1051" s="29"/>
      <c r="Q1051" s="29"/>
    </row>
    <row r="1052" spans="9:17">
      <c r="I1052" s="29"/>
      <c r="J1052" s="29"/>
      <c r="K1052" s="150"/>
      <c r="M1052" s="1001"/>
      <c r="N1052" s="29"/>
      <c r="P1052" s="29"/>
      <c r="Q1052" s="29"/>
    </row>
    <row r="1053" spans="9:17">
      <c r="I1053" s="29"/>
      <c r="J1053" s="29"/>
      <c r="K1053" s="150"/>
      <c r="M1053" s="1001"/>
      <c r="N1053" s="29"/>
      <c r="P1053" s="29"/>
      <c r="Q1053" s="29"/>
    </row>
    <row r="1054" spans="9:17">
      <c r="I1054" s="29"/>
      <c r="J1054" s="29"/>
      <c r="K1054" s="150"/>
      <c r="M1054" s="1001"/>
      <c r="N1054" s="29"/>
      <c r="P1054" s="29"/>
      <c r="Q1054" s="29"/>
    </row>
    <row r="1055" spans="9:17">
      <c r="I1055" s="29"/>
      <c r="J1055" s="29"/>
      <c r="K1055" s="150"/>
      <c r="M1055" s="1001"/>
      <c r="N1055" s="29"/>
      <c r="P1055" s="29"/>
      <c r="Q1055" s="29"/>
    </row>
    <row r="1056" spans="9:17">
      <c r="I1056" s="29"/>
      <c r="J1056" s="29"/>
      <c r="K1056" s="150"/>
      <c r="M1056" s="1001"/>
      <c r="N1056" s="29"/>
      <c r="P1056" s="29"/>
      <c r="Q1056" s="29"/>
    </row>
    <row r="1057" spans="9:17">
      <c r="I1057" s="29"/>
      <c r="J1057" s="29"/>
      <c r="K1057" s="150"/>
      <c r="M1057" s="1001"/>
      <c r="N1057" s="29"/>
      <c r="P1057" s="29"/>
      <c r="Q1057" s="29"/>
    </row>
    <row r="1058" spans="9:17">
      <c r="I1058" s="29"/>
      <c r="J1058" s="29"/>
      <c r="K1058" s="150"/>
      <c r="M1058" s="1001"/>
      <c r="N1058" s="29"/>
      <c r="P1058" s="29"/>
      <c r="Q1058" s="29"/>
    </row>
    <row r="1059" spans="9:17">
      <c r="I1059" s="29"/>
      <c r="J1059" s="29"/>
      <c r="K1059" s="150"/>
      <c r="M1059" s="1001"/>
      <c r="N1059" s="29"/>
      <c r="P1059" s="29"/>
      <c r="Q1059" s="29"/>
    </row>
    <row r="1060" spans="9:17">
      <c r="I1060" s="29"/>
      <c r="J1060" s="29"/>
      <c r="K1060" s="150"/>
      <c r="M1060" s="1001"/>
      <c r="N1060" s="29"/>
      <c r="P1060" s="29"/>
      <c r="Q1060" s="29"/>
    </row>
    <row r="1061" spans="9:17">
      <c r="I1061" s="29"/>
      <c r="J1061" s="29"/>
      <c r="K1061" s="150"/>
      <c r="M1061" s="1001"/>
      <c r="N1061" s="29"/>
      <c r="P1061" s="29"/>
      <c r="Q1061" s="29"/>
    </row>
    <row r="1062" spans="9:17">
      <c r="I1062" s="29"/>
      <c r="J1062" s="29"/>
      <c r="K1062" s="150"/>
      <c r="M1062" s="1001"/>
      <c r="N1062" s="29"/>
      <c r="P1062" s="29"/>
      <c r="Q1062" s="29"/>
    </row>
    <row r="1063" spans="9:17">
      <c r="I1063" s="29"/>
      <c r="J1063" s="29"/>
      <c r="K1063" s="150"/>
      <c r="M1063" s="1001"/>
      <c r="N1063" s="29"/>
      <c r="P1063" s="29"/>
      <c r="Q1063" s="29"/>
    </row>
    <row r="1064" spans="9:17">
      <c r="I1064" s="29"/>
      <c r="J1064" s="29"/>
      <c r="K1064" s="150"/>
      <c r="M1064" s="1001"/>
      <c r="N1064" s="29"/>
      <c r="P1064" s="29"/>
      <c r="Q1064" s="29"/>
    </row>
    <row r="1065" spans="9:17">
      <c r="I1065" s="29"/>
      <c r="J1065" s="29"/>
      <c r="K1065" s="150"/>
      <c r="M1065" s="1001"/>
      <c r="N1065" s="29"/>
      <c r="P1065" s="29"/>
      <c r="Q1065" s="29"/>
    </row>
    <row r="1066" spans="9:17">
      <c r="I1066" s="29"/>
      <c r="J1066" s="29"/>
      <c r="K1066" s="150"/>
      <c r="M1066" s="1001"/>
      <c r="N1066" s="29"/>
      <c r="P1066" s="29"/>
      <c r="Q1066" s="29"/>
    </row>
    <row r="1067" spans="9:17">
      <c r="I1067" s="29"/>
      <c r="J1067" s="29"/>
      <c r="K1067" s="150"/>
      <c r="M1067" s="1001"/>
      <c r="N1067" s="29"/>
      <c r="P1067" s="29"/>
      <c r="Q1067" s="29"/>
    </row>
    <row r="1068" spans="9:17">
      <c r="I1068" s="29"/>
      <c r="J1068" s="29"/>
      <c r="K1068" s="150"/>
      <c r="M1068" s="1001"/>
      <c r="N1068" s="29"/>
      <c r="P1068" s="29"/>
      <c r="Q1068" s="29"/>
    </row>
    <row r="1069" spans="9:17">
      <c r="I1069" s="29"/>
      <c r="J1069" s="29"/>
      <c r="K1069" s="150"/>
      <c r="M1069" s="1001"/>
      <c r="N1069" s="29"/>
      <c r="P1069" s="29"/>
      <c r="Q1069" s="29"/>
    </row>
    <row r="1070" spans="9:17">
      <c r="I1070" s="29"/>
      <c r="J1070" s="29"/>
      <c r="K1070" s="150"/>
      <c r="M1070" s="1001"/>
      <c r="N1070" s="29"/>
      <c r="P1070" s="29"/>
      <c r="Q1070" s="29"/>
    </row>
    <row r="1071" spans="9:17">
      <c r="I1071" s="29"/>
      <c r="J1071" s="29"/>
      <c r="K1071" s="150"/>
      <c r="M1071" s="1001"/>
      <c r="N1071" s="29"/>
      <c r="P1071" s="29"/>
      <c r="Q1071" s="29"/>
    </row>
    <row r="1072" spans="9:17">
      <c r="I1072" s="29"/>
      <c r="J1072" s="29"/>
      <c r="K1072" s="150"/>
      <c r="M1072" s="1001"/>
      <c r="N1072" s="29"/>
      <c r="P1072" s="29"/>
      <c r="Q1072" s="29"/>
    </row>
    <row r="1073" spans="9:17">
      <c r="I1073" s="29"/>
      <c r="J1073" s="29"/>
      <c r="K1073" s="150"/>
      <c r="M1073" s="1001"/>
      <c r="N1073" s="29"/>
      <c r="P1073" s="29"/>
      <c r="Q1073" s="29"/>
    </row>
    <row r="1074" spans="9:17">
      <c r="I1074" s="29"/>
      <c r="J1074" s="29"/>
      <c r="K1074" s="150"/>
      <c r="M1074" s="1001"/>
      <c r="N1074" s="29"/>
      <c r="P1074" s="29"/>
      <c r="Q1074" s="29"/>
    </row>
    <row r="1075" spans="9:17">
      <c r="I1075" s="29"/>
      <c r="J1075" s="29"/>
      <c r="K1075" s="150"/>
      <c r="M1075" s="1001"/>
      <c r="N1075" s="29"/>
      <c r="P1075" s="29"/>
      <c r="Q1075" s="29"/>
    </row>
    <row r="1076" spans="9:17">
      <c r="I1076" s="29"/>
      <c r="J1076" s="29"/>
      <c r="K1076" s="150"/>
      <c r="M1076" s="1001"/>
      <c r="N1076" s="29"/>
      <c r="P1076" s="29"/>
      <c r="Q1076" s="29"/>
    </row>
    <row r="1077" spans="9:17">
      <c r="I1077" s="29"/>
      <c r="J1077" s="29"/>
      <c r="K1077" s="150"/>
      <c r="M1077" s="1001"/>
      <c r="N1077" s="29"/>
      <c r="P1077" s="29"/>
      <c r="Q1077" s="29"/>
    </row>
    <row r="1078" spans="9:17">
      <c r="I1078" s="29"/>
      <c r="J1078" s="29"/>
      <c r="K1078" s="150"/>
      <c r="M1078" s="1001"/>
      <c r="N1078" s="29"/>
      <c r="P1078" s="29"/>
      <c r="Q1078" s="29"/>
    </row>
    <row r="1079" spans="9:17">
      <c r="I1079" s="29"/>
      <c r="J1079" s="29"/>
      <c r="K1079" s="150"/>
      <c r="M1079" s="1001"/>
      <c r="N1079" s="29"/>
      <c r="P1079" s="29"/>
      <c r="Q1079" s="29"/>
    </row>
    <row r="1080" spans="9:17">
      <c r="I1080" s="29"/>
      <c r="J1080" s="29"/>
      <c r="K1080" s="150"/>
      <c r="M1080" s="1001"/>
      <c r="N1080" s="29"/>
      <c r="P1080" s="29"/>
      <c r="Q1080" s="29"/>
    </row>
    <row r="1081" spans="9:17">
      <c r="I1081" s="29"/>
      <c r="J1081" s="29"/>
      <c r="K1081" s="150"/>
      <c r="M1081" s="1001"/>
      <c r="N1081" s="29"/>
      <c r="P1081" s="29"/>
      <c r="Q1081" s="29"/>
    </row>
    <row r="1082" spans="9:17">
      <c r="I1082" s="29"/>
      <c r="J1082" s="29"/>
      <c r="K1082" s="150"/>
      <c r="M1082" s="1001"/>
      <c r="N1082" s="29"/>
      <c r="P1082" s="29"/>
      <c r="Q1082" s="29"/>
    </row>
    <row r="1083" spans="9:17">
      <c r="I1083" s="29"/>
      <c r="J1083" s="29"/>
      <c r="K1083" s="150"/>
      <c r="M1083" s="1001"/>
      <c r="N1083" s="29"/>
      <c r="P1083" s="29"/>
      <c r="Q1083" s="29"/>
    </row>
    <row r="1084" spans="9:17">
      <c r="I1084" s="29"/>
      <c r="J1084" s="29"/>
      <c r="K1084" s="150"/>
      <c r="M1084" s="1001"/>
      <c r="N1084" s="29"/>
      <c r="P1084" s="29"/>
      <c r="Q1084" s="29"/>
    </row>
    <row r="1085" spans="9:17">
      <c r="I1085" s="29"/>
      <c r="J1085" s="29"/>
      <c r="K1085" s="150"/>
      <c r="M1085" s="1001"/>
      <c r="N1085" s="29"/>
      <c r="P1085" s="29"/>
      <c r="Q1085" s="29"/>
    </row>
    <row r="1086" spans="9:17">
      <c r="I1086" s="29"/>
      <c r="J1086" s="29"/>
      <c r="K1086" s="150"/>
      <c r="M1086" s="1001"/>
      <c r="N1086" s="29"/>
      <c r="P1086" s="29"/>
      <c r="Q1086" s="29"/>
    </row>
    <row r="1087" spans="9:17">
      <c r="I1087" s="29"/>
      <c r="J1087" s="29"/>
      <c r="K1087" s="150"/>
      <c r="M1087" s="1001"/>
      <c r="N1087" s="29"/>
      <c r="P1087" s="29"/>
      <c r="Q1087" s="29"/>
    </row>
    <row r="1088" spans="9:17">
      <c r="I1088" s="29"/>
      <c r="J1088" s="29"/>
      <c r="K1088" s="150"/>
      <c r="M1088" s="1001"/>
      <c r="N1088" s="29"/>
      <c r="P1088" s="29"/>
      <c r="Q1088" s="29"/>
    </row>
    <row r="1089" spans="9:17">
      <c r="I1089" s="29"/>
      <c r="J1089" s="29"/>
      <c r="K1089" s="150"/>
      <c r="M1089" s="1001"/>
      <c r="N1089" s="29"/>
      <c r="P1089" s="29"/>
      <c r="Q1089" s="29"/>
    </row>
    <row r="1090" spans="9:17">
      <c r="I1090" s="29"/>
      <c r="J1090" s="29"/>
      <c r="K1090" s="150"/>
      <c r="M1090" s="1001"/>
      <c r="N1090" s="29"/>
      <c r="P1090" s="29"/>
      <c r="Q1090" s="29"/>
    </row>
    <row r="1091" spans="9:17">
      <c r="I1091" s="29"/>
      <c r="J1091" s="29"/>
      <c r="K1091" s="150"/>
      <c r="M1091" s="1001"/>
      <c r="N1091" s="29"/>
      <c r="P1091" s="29"/>
      <c r="Q1091" s="29"/>
    </row>
    <row r="1092" spans="9:17">
      <c r="I1092" s="29"/>
      <c r="J1092" s="29"/>
      <c r="K1092" s="150"/>
      <c r="M1092" s="1001"/>
      <c r="N1092" s="29"/>
      <c r="P1092" s="29"/>
      <c r="Q1092" s="29"/>
    </row>
    <row r="1093" spans="9:17">
      <c r="I1093" s="29"/>
      <c r="J1093" s="29"/>
      <c r="K1093" s="150"/>
      <c r="M1093" s="1001"/>
      <c r="N1093" s="29"/>
      <c r="P1093" s="29"/>
      <c r="Q1093" s="29"/>
    </row>
    <row r="1094" spans="9:17">
      <c r="I1094" s="29"/>
      <c r="J1094" s="29"/>
      <c r="K1094" s="150"/>
      <c r="M1094" s="1001"/>
      <c r="N1094" s="29"/>
      <c r="P1094" s="29"/>
      <c r="Q1094" s="29"/>
    </row>
    <row r="1095" spans="9:17">
      <c r="I1095" s="29"/>
      <c r="J1095" s="29"/>
      <c r="K1095" s="150"/>
      <c r="M1095" s="1001"/>
      <c r="N1095" s="29"/>
      <c r="P1095" s="29"/>
      <c r="Q1095" s="29"/>
    </row>
    <row r="1096" spans="9:17">
      <c r="I1096" s="29"/>
      <c r="J1096" s="29"/>
      <c r="K1096" s="150"/>
      <c r="M1096" s="1001"/>
      <c r="N1096" s="29"/>
      <c r="P1096" s="29"/>
      <c r="Q1096" s="29"/>
    </row>
    <row r="1097" spans="9:17">
      <c r="I1097" s="29"/>
      <c r="J1097" s="29"/>
      <c r="K1097" s="150"/>
      <c r="M1097" s="1001"/>
      <c r="N1097" s="29"/>
      <c r="P1097" s="29"/>
      <c r="Q1097" s="29"/>
    </row>
    <row r="1098" spans="9:17">
      <c r="I1098" s="29"/>
      <c r="J1098" s="29"/>
      <c r="K1098" s="150"/>
      <c r="M1098" s="1001"/>
      <c r="N1098" s="29"/>
      <c r="P1098" s="29"/>
      <c r="Q1098" s="29"/>
    </row>
    <row r="1099" spans="9:17">
      <c r="I1099" s="29"/>
      <c r="J1099" s="29"/>
      <c r="K1099" s="150"/>
      <c r="M1099" s="1001"/>
      <c r="N1099" s="29"/>
      <c r="P1099" s="29"/>
      <c r="Q1099" s="29"/>
    </row>
    <row r="1100" spans="9:17">
      <c r="I1100" s="29"/>
      <c r="J1100" s="29"/>
      <c r="K1100" s="150"/>
      <c r="M1100" s="1001"/>
      <c r="N1100" s="29"/>
      <c r="P1100" s="29"/>
      <c r="Q1100" s="29"/>
    </row>
    <row r="1101" spans="9:17">
      <c r="I1101" s="29"/>
      <c r="J1101" s="29"/>
      <c r="K1101" s="150"/>
      <c r="M1101" s="1001"/>
      <c r="N1101" s="29"/>
      <c r="P1101" s="29"/>
      <c r="Q1101" s="29"/>
    </row>
    <row r="1102" spans="9:17">
      <c r="I1102" s="29"/>
      <c r="J1102" s="29"/>
      <c r="K1102" s="150"/>
      <c r="M1102" s="1001"/>
      <c r="N1102" s="29"/>
      <c r="P1102" s="29"/>
      <c r="Q1102" s="29"/>
    </row>
    <row r="1103" spans="9:17">
      <c r="I1103" s="29"/>
      <c r="J1103" s="29"/>
      <c r="K1103" s="150"/>
      <c r="M1103" s="1001"/>
      <c r="N1103" s="29"/>
      <c r="P1103" s="29"/>
      <c r="Q1103" s="29"/>
    </row>
    <row r="1104" spans="9:17">
      <c r="I1104" s="29"/>
      <c r="J1104" s="29"/>
      <c r="K1104" s="150"/>
      <c r="M1104" s="1001"/>
      <c r="N1104" s="29"/>
      <c r="P1104" s="29"/>
      <c r="Q1104" s="29"/>
    </row>
    <row r="1105" spans="9:17">
      <c r="I1105" s="29"/>
      <c r="J1105" s="29"/>
      <c r="K1105" s="150"/>
      <c r="M1105" s="1001"/>
      <c r="N1105" s="29"/>
      <c r="P1105" s="29"/>
      <c r="Q1105" s="29"/>
    </row>
    <row r="1106" spans="9:17">
      <c r="I1106" s="29"/>
      <c r="J1106" s="29"/>
      <c r="K1106" s="150"/>
      <c r="M1106" s="1001"/>
      <c r="N1106" s="29"/>
      <c r="P1106" s="29"/>
      <c r="Q1106" s="29"/>
    </row>
    <row r="1107" spans="9:17">
      <c r="I1107" s="29"/>
      <c r="J1107" s="29"/>
      <c r="K1107" s="150"/>
      <c r="M1107" s="1001"/>
      <c r="N1107" s="29"/>
      <c r="P1107" s="29"/>
      <c r="Q1107" s="29"/>
    </row>
    <row r="1108" spans="9:17">
      <c r="I1108" s="29"/>
      <c r="J1108" s="29"/>
      <c r="K1108" s="150"/>
      <c r="M1108" s="1001"/>
      <c r="N1108" s="29"/>
      <c r="P1108" s="29"/>
      <c r="Q1108" s="29"/>
    </row>
    <row r="1109" spans="9:17">
      <c r="I1109" s="29"/>
      <c r="J1109" s="29"/>
      <c r="K1109" s="150"/>
      <c r="M1109" s="1001"/>
      <c r="N1109" s="29"/>
      <c r="P1109" s="29"/>
      <c r="Q1109" s="29"/>
    </row>
    <row r="1110" spans="9:17">
      <c r="I1110" s="29"/>
      <c r="J1110" s="29"/>
      <c r="K1110" s="150"/>
      <c r="M1110" s="1001"/>
      <c r="N1110" s="29"/>
      <c r="P1110" s="29"/>
      <c r="Q1110" s="29"/>
    </row>
    <row r="1111" spans="9:17">
      <c r="I1111" s="29"/>
      <c r="J1111" s="29"/>
      <c r="K1111" s="150"/>
      <c r="M1111" s="1001"/>
      <c r="N1111" s="29"/>
      <c r="P1111" s="29"/>
      <c r="Q1111" s="29"/>
    </row>
    <row r="1112" spans="9:17">
      <c r="I1112" s="29"/>
      <c r="J1112" s="29"/>
      <c r="K1112" s="150"/>
      <c r="M1112" s="1001"/>
      <c r="N1112" s="29"/>
      <c r="P1112" s="29"/>
      <c r="Q1112" s="29"/>
    </row>
    <row r="1113" spans="9:17">
      <c r="I1113" s="29"/>
      <c r="J1113" s="29"/>
      <c r="K1113" s="150"/>
      <c r="M1113" s="1001"/>
      <c r="N1113" s="29"/>
      <c r="P1113" s="29"/>
      <c r="Q1113" s="29"/>
    </row>
    <row r="1114" spans="9:17">
      <c r="I1114" s="29"/>
      <c r="J1114" s="29"/>
      <c r="K1114" s="150"/>
      <c r="M1114" s="1001"/>
      <c r="N1114" s="29"/>
      <c r="P1114" s="29"/>
      <c r="Q1114" s="29"/>
    </row>
    <row r="1115" spans="9:17">
      <c r="I1115" s="29"/>
      <c r="J1115" s="29"/>
      <c r="K1115" s="150"/>
      <c r="M1115" s="1001"/>
      <c r="N1115" s="29"/>
      <c r="P1115" s="29"/>
      <c r="Q1115" s="29"/>
    </row>
    <row r="1116" spans="9:17">
      <c r="I1116" s="29"/>
      <c r="J1116" s="29"/>
      <c r="K1116" s="150"/>
      <c r="M1116" s="1001"/>
      <c r="N1116" s="29"/>
      <c r="P1116" s="29"/>
      <c r="Q1116" s="29"/>
    </row>
    <row r="1117" spans="9:17">
      <c r="I1117" s="29"/>
      <c r="J1117" s="29"/>
      <c r="K1117" s="150"/>
      <c r="M1117" s="1001"/>
      <c r="N1117" s="29"/>
      <c r="P1117" s="29"/>
      <c r="Q1117" s="29"/>
    </row>
    <row r="1118" spans="9:17">
      <c r="I1118" s="29"/>
      <c r="J1118" s="29"/>
      <c r="K1118" s="150"/>
      <c r="M1118" s="1001"/>
      <c r="N1118" s="29"/>
      <c r="P1118" s="29"/>
      <c r="Q1118" s="29"/>
    </row>
    <row r="1119" spans="9:17">
      <c r="I1119" s="29"/>
      <c r="J1119" s="29"/>
      <c r="K1119" s="150"/>
      <c r="M1119" s="1001"/>
      <c r="N1119" s="29"/>
      <c r="P1119" s="29"/>
      <c r="Q1119" s="29"/>
    </row>
    <row r="1120" spans="9:17">
      <c r="I1120" s="29"/>
      <c r="J1120" s="29"/>
      <c r="K1120" s="150"/>
      <c r="M1120" s="1001"/>
      <c r="N1120" s="29"/>
      <c r="P1120" s="29"/>
      <c r="Q1120" s="29"/>
    </row>
    <row r="1121" spans="9:17">
      <c r="I1121" s="29"/>
      <c r="J1121" s="29"/>
      <c r="K1121" s="150"/>
      <c r="M1121" s="1001"/>
      <c r="N1121" s="29"/>
      <c r="P1121" s="29"/>
      <c r="Q1121" s="29"/>
    </row>
    <row r="1122" spans="9:17">
      <c r="I1122" s="29"/>
      <c r="J1122" s="29"/>
      <c r="K1122" s="150"/>
      <c r="M1122" s="1001"/>
      <c r="N1122" s="29"/>
      <c r="P1122" s="29"/>
      <c r="Q1122" s="29"/>
    </row>
    <row r="1123" spans="9:17">
      <c r="I1123" s="29"/>
      <c r="J1123" s="29"/>
      <c r="K1123" s="150"/>
      <c r="M1123" s="1001"/>
      <c r="N1123" s="29"/>
      <c r="P1123" s="29"/>
      <c r="Q1123" s="29"/>
    </row>
    <row r="1124" spans="9:17">
      <c r="I1124" s="29"/>
      <c r="J1124" s="29"/>
      <c r="K1124" s="150"/>
      <c r="M1124" s="1001"/>
      <c r="N1124" s="29"/>
      <c r="P1124" s="29"/>
      <c r="Q1124" s="29"/>
    </row>
    <row r="1125" spans="9:17">
      <c r="I1125" s="29"/>
      <c r="J1125" s="29"/>
      <c r="K1125" s="150"/>
      <c r="M1125" s="1001"/>
      <c r="N1125" s="29"/>
      <c r="P1125" s="29"/>
      <c r="Q1125" s="29"/>
    </row>
    <row r="1126" spans="9:17">
      <c r="I1126" s="29"/>
      <c r="J1126" s="29"/>
      <c r="K1126" s="150"/>
      <c r="M1126" s="1001"/>
      <c r="N1126" s="29"/>
      <c r="P1126" s="29"/>
      <c r="Q1126" s="29"/>
    </row>
    <row r="1127" spans="9:17">
      <c r="I1127" s="29"/>
      <c r="J1127" s="29"/>
      <c r="K1127" s="150"/>
      <c r="M1127" s="1001"/>
      <c r="N1127" s="29"/>
      <c r="P1127" s="29"/>
      <c r="Q1127" s="29"/>
    </row>
    <row r="1128" spans="9:17">
      <c r="I1128" s="29"/>
      <c r="J1128" s="29"/>
      <c r="K1128" s="150"/>
      <c r="M1128" s="1001"/>
      <c r="N1128" s="29"/>
      <c r="P1128" s="29"/>
      <c r="Q1128" s="29"/>
    </row>
    <row r="1129" spans="9:17">
      <c r="I1129" s="29"/>
      <c r="J1129" s="29"/>
      <c r="K1129" s="150"/>
      <c r="M1129" s="1001"/>
      <c r="N1129" s="29"/>
      <c r="P1129" s="29"/>
      <c r="Q1129" s="29"/>
    </row>
    <row r="1130" spans="9:17">
      <c r="I1130" s="29"/>
      <c r="J1130" s="29"/>
      <c r="K1130" s="150"/>
      <c r="M1130" s="1001"/>
      <c r="N1130" s="29"/>
      <c r="P1130" s="29"/>
      <c r="Q1130" s="29"/>
    </row>
    <row r="1131" spans="9:17">
      <c r="I1131" s="29"/>
      <c r="J1131" s="29"/>
      <c r="K1131" s="150"/>
      <c r="M1131" s="1001"/>
      <c r="N1131" s="29"/>
      <c r="P1131" s="29"/>
      <c r="Q1131" s="29"/>
    </row>
    <row r="1132" spans="9:17">
      <c r="I1132" s="29"/>
      <c r="J1132" s="29"/>
      <c r="K1132" s="150"/>
      <c r="M1132" s="1001"/>
      <c r="N1132" s="29"/>
      <c r="P1132" s="29"/>
      <c r="Q1132" s="29"/>
    </row>
    <row r="1133" spans="9:17">
      <c r="I1133" s="29"/>
      <c r="J1133" s="29"/>
      <c r="K1133" s="150"/>
      <c r="M1133" s="1001"/>
      <c r="N1133" s="29"/>
      <c r="P1133" s="29"/>
      <c r="Q1133" s="29"/>
    </row>
    <row r="1134" spans="9:17">
      <c r="I1134" s="29"/>
      <c r="J1134" s="29"/>
      <c r="K1134" s="150"/>
      <c r="M1134" s="1001"/>
      <c r="N1134" s="29"/>
      <c r="P1134" s="29"/>
      <c r="Q1134" s="29"/>
    </row>
    <row r="1135" spans="9:17">
      <c r="I1135" s="29"/>
      <c r="J1135" s="29"/>
      <c r="K1135" s="150"/>
      <c r="M1135" s="1001"/>
      <c r="N1135" s="29"/>
      <c r="P1135" s="29"/>
      <c r="Q1135" s="29"/>
    </row>
    <row r="1136" spans="9:17">
      <c r="I1136" s="29"/>
      <c r="J1136" s="29"/>
      <c r="K1136" s="150"/>
      <c r="M1136" s="1001"/>
      <c r="N1136" s="29"/>
      <c r="P1136" s="29"/>
      <c r="Q1136" s="29"/>
    </row>
    <row r="1137" spans="9:17">
      <c r="I1137" s="29"/>
      <c r="J1137" s="29"/>
      <c r="K1137" s="150"/>
      <c r="M1137" s="1001"/>
      <c r="N1137" s="29"/>
      <c r="P1137" s="29"/>
      <c r="Q1137" s="29"/>
    </row>
    <row r="1138" spans="9:17">
      <c r="I1138" s="29"/>
      <c r="J1138" s="29"/>
      <c r="K1138" s="150"/>
      <c r="M1138" s="1001"/>
      <c r="N1138" s="29"/>
      <c r="P1138" s="29"/>
      <c r="Q1138" s="29"/>
    </row>
    <row r="1139" spans="9:17">
      <c r="I1139" s="29"/>
      <c r="J1139" s="29"/>
      <c r="K1139" s="150"/>
      <c r="M1139" s="1001"/>
      <c r="N1139" s="29"/>
      <c r="P1139" s="29"/>
      <c r="Q1139" s="29"/>
    </row>
    <row r="1140" spans="9:17">
      <c r="I1140" s="29"/>
      <c r="J1140" s="29"/>
      <c r="K1140" s="150"/>
      <c r="M1140" s="1001"/>
      <c r="N1140" s="29"/>
      <c r="P1140" s="29"/>
      <c r="Q1140" s="29"/>
    </row>
    <row r="1141" spans="9:17">
      <c r="I1141" s="29"/>
      <c r="J1141" s="29"/>
      <c r="K1141" s="150"/>
      <c r="M1141" s="1001"/>
      <c r="N1141" s="29"/>
      <c r="P1141" s="29"/>
      <c r="Q1141" s="29"/>
    </row>
    <row r="1142" spans="9:17">
      <c r="I1142" s="29"/>
      <c r="J1142" s="29"/>
      <c r="K1142" s="150"/>
      <c r="M1142" s="1001"/>
      <c r="N1142" s="29"/>
      <c r="P1142" s="29"/>
      <c r="Q1142" s="29"/>
    </row>
    <row r="1143" spans="9:17">
      <c r="I1143" s="29"/>
      <c r="J1143" s="29"/>
      <c r="K1143" s="150"/>
      <c r="M1143" s="1001"/>
      <c r="N1143" s="29"/>
      <c r="P1143" s="29"/>
      <c r="Q1143" s="29"/>
    </row>
    <row r="1144" spans="9:17">
      <c r="I1144" s="29"/>
      <c r="J1144" s="29"/>
      <c r="K1144" s="150"/>
      <c r="M1144" s="1001"/>
      <c r="N1144" s="29"/>
      <c r="P1144" s="29"/>
      <c r="Q1144" s="29"/>
    </row>
    <row r="1145" spans="9:17">
      <c r="I1145" s="29"/>
      <c r="J1145" s="29"/>
      <c r="K1145" s="150"/>
      <c r="M1145" s="1001"/>
      <c r="N1145" s="29"/>
      <c r="P1145" s="29"/>
      <c r="Q1145" s="29"/>
    </row>
    <row r="1146" spans="9:17">
      <c r="I1146" s="29"/>
      <c r="J1146" s="29"/>
      <c r="K1146" s="150"/>
      <c r="M1146" s="1001"/>
      <c r="N1146" s="29"/>
      <c r="P1146" s="29"/>
      <c r="Q1146" s="29"/>
    </row>
    <row r="1147" spans="9:17">
      <c r="I1147" s="29"/>
      <c r="J1147" s="29"/>
      <c r="K1147" s="150"/>
      <c r="M1147" s="1001"/>
      <c r="N1147" s="29"/>
      <c r="P1147" s="29"/>
      <c r="Q1147" s="29"/>
    </row>
    <row r="1148" spans="9:17">
      <c r="I1148" s="29"/>
      <c r="J1148" s="29"/>
      <c r="K1148" s="150"/>
      <c r="M1148" s="1001"/>
      <c r="N1148" s="29"/>
      <c r="P1148" s="29"/>
      <c r="Q1148" s="29"/>
    </row>
    <row r="1149" spans="9:17">
      <c r="I1149" s="29"/>
      <c r="J1149" s="29"/>
      <c r="K1149" s="150"/>
      <c r="M1149" s="1001"/>
      <c r="N1149" s="29"/>
      <c r="P1149" s="29"/>
      <c r="Q1149" s="29"/>
    </row>
    <row r="1150" spans="9:17">
      <c r="I1150" s="29"/>
      <c r="J1150" s="29"/>
      <c r="K1150" s="150"/>
      <c r="M1150" s="1001"/>
      <c r="N1150" s="29"/>
      <c r="P1150" s="29"/>
      <c r="Q1150" s="29"/>
    </row>
    <row r="1151" spans="9:17">
      <c r="I1151" s="29"/>
      <c r="J1151" s="29"/>
      <c r="K1151" s="150"/>
      <c r="M1151" s="1001"/>
      <c r="N1151" s="29"/>
      <c r="P1151" s="29"/>
      <c r="Q1151" s="29"/>
    </row>
    <row r="1152" spans="9:17">
      <c r="I1152" s="29"/>
      <c r="J1152" s="29"/>
      <c r="K1152" s="150"/>
      <c r="M1152" s="1001"/>
      <c r="N1152" s="29"/>
      <c r="P1152" s="29"/>
      <c r="Q1152" s="29"/>
    </row>
    <row r="1153" spans="9:17">
      <c r="I1153" s="29"/>
      <c r="J1153" s="29"/>
      <c r="K1153" s="150"/>
      <c r="M1153" s="1001"/>
      <c r="N1153" s="29"/>
      <c r="P1153" s="29"/>
      <c r="Q1153" s="29"/>
    </row>
    <row r="1154" spans="9:17">
      <c r="I1154" s="29"/>
      <c r="J1154" s="29"/>
      <c r="K1154" s="150"/>
      <c r="M1154" s="1001"/>
      <c r="N1154" s="29"/>
      <c r="P1154" s="29"/>
      <c r="Q1154" s="29"/>
    </row>
    <row r="1155" spans="9:17">
      <c r="I1155" s="29"/>
      <c r="J1155" s="29"/>
      <c r="K1155" s="150"/>
      <c r="M1155" s="1001"/>
      <c r="N1155" s="29"/>
      <c r="P1155" s="29"/>
      <c r="Q1155" s="29"/>
    </row>
    <row r="1156" spans="9:17">
      <c r="I1156" s="29"/>
      <c r="J1156" s="29"/>
      <c r="K1156" s="150"/>
      <c r="M1156" s="1001"/>
      <c r="N1156" s="29"/>
      <c r="P1156" s="29"/>
      <c r="Q1156" s="29"/>
    </row>
    <row r="1157" spans="9:17">
      <c r="I1157" s="29"/>
      <c r="J1157" s="29"/>
      <c r="K1157" s="150"/>
      <c r="M1157" s="1001"/>
      <c r="N1157" s="29"/>
      <c r="P1157" s="29"/>
      <c r="Q1157" s="29"/>
    </row>
    <row r="1158" spans="9:17">
      <c r="I1158" s="29"/>
      <c r="J1158" s="29"/>
      <c r="K1158" s="150"/>
      <c r="M1158" s="1001"/>
      <c r="N1158" s="29"/>
      <c r="P1158" s="29"/>
      <c r="Q1158" s="29"/>
    </row>
    <row r="1159" spans="9:17">
      <c r="I1159" s="29"/>
      <c r="J1159" s="29"/>
      <c r="K1159" s="150"/>
      <c r="M1159" s="1001"/>
      <c r="N1159" s="29"/>
      <c r="P1159" s="29"/>
      <c r="Q1159" s="29"/>
    </row>
    <row r="1160" spans="9:17">
      <c r="I1160" s="29"/>
      <c r="J1160" s="29"/>
      <c r="K1160" s="150"/>
      <c r="M1160" s="1001"/>
      <c r="N1160" s="29"/>
      <c r="P1160" s="29"/>
      <c r="Q1160" s="29"/>
    </row>
    <row r="1161" spans="9:17">
      <c r="I1161" s="29"/>
      <c r="J1161" s="29"/>
      <c r="K1161" s="150"/>
      <c r="M1161" s="1001"/>
      <c r="N1161" s="29"/>
      <c r="P1161" s="29"/>
      <c r="Q1161" s="29"/>
    </row>
    <row r="1162" spans="9:17">
      <c r="I1162" s="29"/>
      <c r="J1162" s="29"/>
      <c r="K1162" s="150"/>
      <c r="M1162" s="1001"/>
      <c r="N1162" s="29"/>
      <c r="P1162" s="29"/>
      <c r="Q1162" s="29"/>
    </row>
    <row r="1163" spans="9:17">
      <c r="I1163" s="29"/>
      <c r="J1163" s="29"/>
      <c r="K1163" s="150"/>
      <c r="M1163" s="1001"/>
      <c r="N1163" s="29"/>
      <c r="P1163" s="29"/>
      <c r="Q1163" s="29"/>
    </row>
    <row r="1164" spans="9:17">
      <c r="I1164" s="29"/>
      <c r="J1164" s="29"/>
      <c r="K1164" s="150"/>
      <c r="M1164" s="1001"/>
      <c r="N1164" s="29"/>
      <c r="P1164" s="29"/>
      <c r="Q1164" s="29"/>
    </row>
    <row r="1165" spans="9:17">
      <c r="I1165" s="29"/>
      <c r="J1165" s="29"/>
      <c r="K1165" s="150"/>
      <c r="M1165" s="1001"/>
      <c r="N1165" s="29"/>
      <c r="P1165" s="29"/>
      <c r="Q1165" s="29"/>
    </row>
    <row r="1166" spans="9:17">
      <c r="I1166" s="29"/>
      <c r="J1166" s="29"/>
      <c r="K1166" s="150"/>
      <c r="M1166" s="1001"/>
      <c r="N1166" s="29"/>
      <c r="P1166" s="29"/>
      <c r="Q1166" s="29"/>
    </row>
    <row r="1167" spans="9:17">
      <c r="I1167" s="29"/>
      <c r="J1167" s="29"/>
      <c r="K1167" s="150"/>
      <c r="M1167" s="1001"/>
      <c r="N1167" s="29"/>
      <c r="P1167" s="29"/>
      <c r="Q1167" s="29"/>
    </row>
    <row r="1168" spans="9:17">
      <c r="I1168" s="29"/>
      <c r="J1168" s="29"/>
      <c r="K1168" s="150"/>
      <c r="M1168" s="1001"/>
      <c r="N1168" s="29"/>
      <c r="P1168" s="29"/>
      <c r="Q1168" s="29"/>
    </row>
    <row r="1169" spans="9:17">
      <c r="I1169" s="29"/>
      <c r="J1169" s="29"/>
      <c r="K1169" s="150"/>
      <c r="M1169" s="1001"/>
      <c r="N1169" s="29"/>
      <c r="P1169" s="29"/>
      <c r="Q1169" s="29"/>
    </row>
    <row r="1170" spans="9:17">
      <c r="I1170" s="29"/>
      <c r="J1170" s="29"/>
      <c r="K1170" s="150"/>
      <c r="M1170" s="1001"/>
      <c r="N1170" s="29"/>
      <c r="P1170" s="29"/>
      <c r="Q1170" s="29"/>
    </row>
    <row r="1171" spans="9:17">
      <c r="I1171" s="29"/>
      <c r="J1171" s="29"/>
      <c r="K1171" s="150"/>
      <c r="M1171" s="1001"/>
      <c r="N1171" s="29"/>
      <c r="P1171" s="29"/>
      <c r="Q1171" s="29"/>
    </row>
    <row r="1172" spans="9:17">
      <c r="I1172" s="29"/>
      <c r="J1172" s="29"/>
      <c r="K1172" s="150"/>
      <c r="M1172" s="1001"/>
      <c r="N1172" s="29"/>
      <c r="P1172" s="29"/>
      <c r="Q1172" s="29"/>
    </row>
    <row r="1173" spans="9:17">
      <c r="I1173" s="29"/>
      <c r="J1173" s="29"/>
      <c r="K1173" s="150"/>
      <c r="M1173" s="1001"/>
      <c r="N1173" s="29"/>
      <c r="P1173" s="29"/>
      <c r="Q1173" s="29"/>
    </row>
    <row r="1174" spans="9:17">
      <c r="I1174" s="29"/>
      <c r="J1174" s="29"/>
      <c r="K1174" s="150"/>
      <c r="M1174" s="1001"/>
      <c r="N1174" s="29"/>
      <c r="P1174" s="29"/>
      <c r="Q1174" s="29"/>
    </row>
    <row r="1175" spans="9:17">
      <c r="I1175" s="29"/>
      <c r="J1175" s="29"/>
      <c r="K1175" s="150"/>
      <c r="M1175" s="1001"/>
      <c r="N1175" s="29"/>
      <c r="P1175" s="29"/>
      <c r="Q1175" s="29"/>
    </row>
    <row r="1176" spans="9:17">
      <c r="I1176" s="29"/>
      <c r="J1176" s="29"/>
      <c r="K1176" s="150"/>
      <c r="M1176" s="1001"/>
      <c r="N1176" s="29"/>
      <c r="P1176" s="29"/>
      <c r="Q1176" s="29"/>
    </row>
    <row r="1177" spans="9:17">
      <c r="I1177" s="29"/>
      <c r="J1177" s="29"/>
      <c r="K1177" s="150"/>
      <c r="M1177" s="1001"/>
      <c r="N1177" s="29"/>
      <c r="P1177" s="29"/>
      <c r="Q1177" s="29"/>
    </row>
    <row r="1178" spans="9:17">
      <c r="I1178" s="29"/>
      <c r="J1178" s="29"/>
      <c r="K1178" s="150"/>
      <c r="M1178" s="1001"/>
      <c r="N1178" s="29"/>
      <c r="P1178" s="29"/>
      <c r="Q1178" s="29"/>
    </row>
    <row r="1179" spans="9:17">
      <c r="I1179" s="29"/>
      <c r="J1179" s="29"/>
      <c r="K1179" s="150"/>
      <c r="M1179" s="1001"/>
      <c r="N1179" s="29"/>
      <c r="P1179" s="29"/>
      <c r="Q1179" s="29"/>
    </row>
    <row r="1180" spans="9:17">
      <c r="I1180" s="29"/>
      <c r="J1180" s="29"/>
      <c r="K1180" s="150"/>
      <c r="M1180" s="1001"/>
      <c r="N1180" s="29"/>
      <c r="P1180" s="29"/>
      <c r="Q1180" s="29"/>
    </row>
    <row r="1181" spans="9:17">
      <c r="I1181" s="29"/>
      <c r="J1181" s="29"/>
      <c r="K1181" s="150"/>
      <c r="M1181" s="1001"/>
      <c r="N1181" s="29"/>
      <c r="P1181" s="29"/>
      <c r="Q1181" s="29"/>
    </row>
    <row r="1182" spans="9:17">
      <c r="I1182" s="29"/>
      <c r="J1182" s="29"/>
      <c r="K1182" s="150"/>
      <c r="M1182" s="1001"/>
      <c r="N1182" s="29"/>
      <c r="P1182" s="29"/>
      <c r="Q1182" s="29"/>
    </row>
    <row r="1183" spans="9:17">
      <c r="I1183" s="29"/>
      <c r="J1183" s="29"/>
      <c r="K1183" s="150"/>
      <c r="M1183" s="1001"/>
      <c r="N1183" s="29"/>
      <c r="P1183" s="29"/>
      <c r="Q1183" s="29"/>
    </row>
    <row r="1184" spans="9:17">
      <c r="I1184" s="29"/>
      <c r="J1184" s="29"/>
      <c r="K1184" s="150"/>
      <c r="M1184" s="1001"/>
      <c r="N1184" s="29"/>
      <c r="P1184" s="29"/>
      <c r="Q1184" s="29"/>
    </row>
    <row r="1185" spans="9:17">
      <c r="I1185" s="29"/>
      <c r="J1185" s="29"/>
      <c r="K1185" s="150"/>
      <c r="M1185" s="1001"/>
      <c r="N1185" s="29"/>
      <c r="P1185" s="29"/>
      <c r="Q1185" s="29"/>
    </row>
    <row r="1186" spans="9:17">
      <c r="I1186" s="29"/>
      <c r="J1186" s="29"/>
      <c r="K1186" s="150"/>
      <c r="M1186" s="1001"/>
      <c r="N1186" s="29"/>
      <c r="P1186" s="29"/>
      <c r="Q1186" s="29"/>
    </row>
    <row r="1187" spans="9:17">
      <c r="I1187" s="29"/>
      <c r="J1187" s="29"/>
      <c r="K1187" s="150"/>
      <c r="M1187" s="1001"/>
      <c r="N1187" s="29"/>
      <c r="P1187" s="29"/>
      <c r="Q1187" s="29"/>
    </row>
    <row r="1188" spans="9:17">
      <c r="I1188" s="29"/>
      <c r="J1188" s="29"/>
      <c r="K1188" s="150"/>
      <c r="M1188" s="1001"/>
      <c r="N1188" s="29"/>
      <c r="P1188" s="29"/>
      <c r="Q1188" s="29"/>
    </row>
    <row r="1189" spans="9:17">
      <c r="I1189" s="29"/>
      <c r="J1189" s="29"/>
      <c r="K1189" s="150"/>
      <c r="M1189" s="1001"/>
      <c r="N1189" s="29"/>
      <c r="P1189" s="29"/>
      <c r="Q1189" s="29"/>
    </row>
    <row r="1190" spans="9:17">
      <c r="I1190" s="29"/>
      <c r="J1190" s="29"/>
      <c r="K1190" s="150"/>
      <c r="M1190" s="1001"/>
      <c r="N1190" s="29"/>
      <c r="P1190" s="29"/>
      <c r="Q1190" s="29"/>
    </row>
    <row r="1191" spans="9:17">
      <c r="I1191" s="29"/>
      <c r="J1191" s="29"/>
      <c r="K1191" s="150"/>
      <c r="M1191" s="1001"/>
      <c r="N1191" s="29"/>
      <c r="P1191" s="29"/>
      <c r="Q1191" s="29"/>
    </row>
    <row r="1192" spans="9:17">
      <c r="I1192" s="29"/>
      <c r="J1192" s="29"/>
      <c r="K1192" s="150"/>
      <c r="M1192" s="1001"/>
      <c r="N1192" s="29"/>
      <c r="P1192" s="29"/>
      <c r="Q1192" s="29"/>
    </row>
    <row r="1193" spans="9:17">
      <c r="I1193" s="29"/>
      <c r="J1193" s="29"/>
      <c r="K1193" s="150"/>
      <c r="M1193" s="1001"/>
      <c r="N1193" s="29"/>
      <c r="P1193" s="29"/>
      <c r="Q1193" s="29"/>
    </row>
    <row r="1194" spans="9:17">
      <c r="I1194" s="29"/>
      <c r="J1194" s="29"/>
      <c r="K1194" s="150"/>
      <c r="M1194" s="1001"/>
      <c r="N1194" s="29"/>
      <c r="P1194" s="29"/>
      <c r="Q1194" s="29"/>
    </row>
    <row r="1195" spans="9:17">
      <c r="I1195" s="29"/>
      <c r="J1195" s="29"/>
      <c r="K1195" s="150"/>
      <c r="M1195" s="1001"/>
      <c r="N1195" s="29"/>
      <c r="P1195" s="29"/>
      <c r="Q1195" s="29"/>
    </row>
    <row r="1196" spans="9:17">
      <c r="I1196" s="29"/>
      <c r="J1196" s="29"/>
      <c r="K1196" s="150"/>
      <c r="M1196" s="1001"/>
      <c r="N1196" s="29"/>
      <c r="P1196" s="29"/>
      <c r="Q1196" s="29"/>
    </row>
    <row r="1197" spans="9:17">
      <c r="I1197" s="29"/>
      <c r="J1197" s="29"/>
      <c r="K1197" s="150"/>
      <c r="M1197" s="1001"/>
      <c r="N1197" s="29"/>
      <c r="P1197" s="29"/>
      <c r="Q1197" s="29"/>
    </row>
    <row r="1198" spans="9:17">
      <c r="I1198" s="29"/>
      <c r="J1198" s="29"/>
      <c r="K1198" s="150"/>
      <c r="M1198" s="1001"/>
      <c r="N1198" s="29"/>
      <c r="P1198" s="29"/>
      <c r="Q1198" s="29"/>
    </row>
    <row r="1199" spans="9:17">
      <c r="I1199" s="29"/>
      <c r="J1199" s="29"/>
      <c r="K1199" s="150"/>
      <c r="M1199" s="1001"/>
      <c r="N1199" s="29"/>
      <c r="P1199" s="29"/>
      <c r="Q1199" s="29"/>
    </row>
    <row r="1200" spans="9:17">
      <c r="I1200" s="29"/>
      <c r="J1200" s="29"/>
      <c r="K1200" s="150"/>
      <c r="M1200" s="1001"/>
      <c r="N1200" s="29"/>
      <c r="P1200" s="29"/>
      <c r="Q1200" s="29"/>
    </row>
    <row r="1201" spans="9:17">
      <c r="I1201" s="29"/>
      <c r="J1201" s="29"/>
      <c r="K1201" s="150"/>
      <c r="M1201" s="1001"/>
      <c r="N1201" s="29"/>
      <c r="P1201" s="29"/>
      <c r="Q1201" s="29"/>
    </row>
    <row r="1202" spans="9:17">
      <c r="I1202" s="29"/>
      <c r="J1202" s="29"/>
      <c r="K1202" s="150"/>
      <c r="M1202" s="1001"/>
      <c r="N1202" s="29"/>
      <c r="P1202" s="29"/>
      <c r="Q1202" s="29"/>
    </row>
    <row r="1203" spans="9:17">
      <c r="I1203" s="29"/>
      <c r="J1203" s="29"/>
      <c r="K1203" s="150"/>
      <c r="M1203" s="1001"/>
      <c r="N1203" s="29"/>
      <c r="P1203" s="29"/>
      <c r="Q1203" s="29"/>
    </row>
    <row r="1204" spans="9:17">
      <c r="I1204" s="29"/>
      <c r="J1204" s="29"/>
      <c r="K1204" s="150"/>
      <c r="M1204" s="1001"/>
      <c r="N1204" s="29"/>
      <c r="P1204" s="29"/>
      <c r="Q1204" s="29"/>
    </row>
    <row r="1205" spans="9:17">
      <c r="I1205" s="29"/>
      <c r="J1205" s="29"/>
      <c r="K1205" s="150"/>
      <c r="M1205" s="1001"/>
      <c r="N1205" s="29"/>
      <c r="P1205" s="29"/>
      <c r="Q1205" s="29"/>
    </row>
    <row r="1206" spans="9:17">
      <c r="I1206" s="29"/>
      <c r="J1206" s="29"/>
      <c r="K1206" s="150"/>
      <c r="M1206" s="1001"/>
      <c r="N1206" s="29"/>
      <c r="P1206" s="29"/>
      <c r="Q1206" s="29"/>
    </row>
    <row r="1207" spans="9:17">
      <c r="I1207" s="29"/>
      <c r="J1207" s="29"/>
      <c r="K1207" s="150"/>
      <c r="M1207" s="1001"/>
      <c r="N1207" s="29"/>
      <c r="P1207" s="29"/>
      <c r="Q1207" s="29"/>
    </row>
    <row r="1208" spans="9:17">
      <c r="I1208" s="29"/>
      <c r="J1208" s="29"/>
      <c r="K1208" s="150"/>
      <c r="M1208" s="1001"/>
      <c r="N1208" s="29"/>
      <c r="P1208" s="29"/>
      <c r="Q1208" s="29"/>
    </row>
    <row r="1209" spans="9:17">
      <c r="I1209" s="29"/>
      <c r="J1209" s="29"/>
      <c r="K1209" s="150"/>
      <c r="M1209" s="1001"/>
      <c r="N1209" s="29"/>
      <c r="P1209" s="29"/>
      <c r="Q1209" s="29"/>
    </row>
    <row r="1210" spans="9:17">
      <c r="I1210" s="29"/>
      <c r="J1210" s="29"/>
      <c r="K1210" s="150"/>
      <c r="M1210" s="1001"/>
      <c r="N1210" s="29"/>
      <c r="P1210" s="29"/>
      <c r="Q1210" s="29"/>
    </row>
    <row r="1211" spans="9:17">
      <c r="I1211" s="29"/>
      <c r="J1211" s="29"/>
      <c r="K1211" s="150"/>
      <c r="M1211" s="1001"/>
      <c r="N1211" s="29"/>
      <c r="P1211" s="29"/>
      <c r="Q1211" s="29"/>
    </row>
    <row r="1212" spans="9:17">
      <c r="I1212" s="29"/>
      <c r="J1212" s="29"/>
      <c r="K1212" s="150"/>
      <c r="M1212" s="1001"/>
      <c r="N1212" s="29"/>
      <c r="P1212" s="29"/>
      <c r="Q1212" s="29"/>
    </row>
    <row r="1213" spans="9:17">
      <c r="I1213" s="29"/>
      <c r="J1213" s="29"/>
      <c r="K1213" s="150"/>
      <c r="M1213" s="1001"/>
      <c r="N1213" s="29"/>
      <c r="P1213" s="29"/>
      <c r="Q1213" s="29"/>
    </row>
    <row r="1214" spans="9:17">
      <c r="I1214" s="29"/>
      <c r="J1214" s="29"/>
      <c r="K1214" s="150"/>
      <c r="M1214" s="1001"/>
      <c r="N1214" s="29"/>
      <c r="P1214" s="29"/>
      <c r="Q1214" s="29"/>
    </row>
    <row r="1215" spans="9:17">
      <c r="I1215" s="29"/>
      <c r="J1215" s="29"/>
      <c r="K1215" s="150"/>
      <c r="M1215" s="1001"/>
      <c r="N1215" s="29"/>
      <c r="P1215" s="29"/>
      <c r="Q1215" s="29"/>
    </row>
    <row r="1216" spans="9:17">
      <c r="I1216" s="29"/>
      <c r="J1216" s="29"/>
      <c r="K1216" s="150"/>
      <c r="M1216" s="1001"/>
      <c r="N1216" s="29"/>
      <c r="P1216" s="29"/>
      <c r="Q1216" s="29"/>
    </row>
    <row r="1217" spans="9:17">
      <c r="I1217" s="29"/>
      <c r="J1217" s="29"/>
      <c r="K1217" s="150"/>
      <c r="M1217" s="1001"/>
      <c r="N1217" s="29"/>
      <c r="P1217" s="29"/>
      <c r="Q1217" s="29"/>
    </row>
    <row r="1218" spans="9:17">
      <c r="I1218" s="29"/>
      <c r="J1218" s="29"/>
      <c r="K1218" s="150"/>
      <c r="M1218" s="1001"/>
      <c r="N1218" s="29"/>
      <c r="P1218" s="29"/>
      <c r="Q1218" s="29"/>
    </row>
    <row r="1219" spans="9:17">
      <c r="I1219" s="29"/>
      <c r="J1219" s="29"/>
      <c r="K1219" s="150"/>
      <c r="M1219" s="1001"/>
      <c r="N1219" s="29"/>
      <c r="P1219" s="29"/>
      <c r="Q1219" s="29"/>
    </row>
    <row r="1220" spans="9:17">
      <c r="I1220" s="29"/>
      <c r="J1220" s="29"/>
      <c r="K1220" s="150"/>
      <c r="M1220" s="1001"/>
      <c r="N1220" s="29"/>
      <c r="P1220" s="29"/>
      <c r="Q1220" s="29"/>
    </row>
    <row r="1221" spans="9:17">
      <c r="I1221" s="29"/>
      <c r="J1221" s="29"/>
      <c r="K1221" s="150"/>
      <c r="M1221" s="1001"/>
      <c r="N1221" s="29"/>
      <c r="P1221" s="29"/>
      <c r="Q1221" s="29"/>
    </row>
    <row r="1222" spans="9:17">
      <c r="I1222" s="29"/>
      <c r="J1222" s="29"/>
      <c r="K1222" s="150"/>
      <c r="M1222" s="1001"/>
      <c r="N1222" s="29"/>
      <c r="P1222" s="29"/>
      <c r="Q1222" s="29"/>
    </row>
    <row r="1223" spans="9:17">
      <c r="I1223" s="29"/>
      <c r="J1223" s="29"/>
      <c r="K1223" s="150"/>
      <c r="M1223" s="1001"/>
      <c r="N1223" s="29"/>
      <c r="P1223" s="29"/>
      <c r="Q1223" s="29"/>
    </row>
    <row r="1224" spans="9:17">
      <c r="I1224" s="29"/>
      <c r="J1224" s="29"/>
      <c r="K1224" s="150"/>
      <c r="M1224" s="1001"/>
      <c r="N1224" s="29"/>
      <c r="P1224" s="29"/>
      <c r="Q1224" s="29"/>
    </row>
    <row r="1225" spans="9:17">
      <c r="I1225" s="29"/>
      <c r="J1225" s="29"/>
      <c r="K1225" s="150"/>
      <c r="M1225" s="1001"/>
      <c r="N1225" s="29"/>
      <c r="P1225" s="29"/>
      <c r="Q1225" s="29"/>
    </row>
    <row r="1226" spans="9:17">
      <c r="I1226" s="29"/>
      <c r="J1226" s="29"/>
      <c r="K1226" s="150"/>
      <c r="M1226" s="1001"/>
      <c r="N1226" s="29"/>
      <c r="P1226" s="29"/>
      <c r="Q1226" s="29"/>
    </row>
    <row r="1227" spans="9:17">
      <c r="I1227" s="29"/>
      <c r="J1227" s="29"/>
      <c r="K1227" s="150"/>
      <c r="M1227" s="1001"/>
      <c r="N1227" s="29"/>
      <c r="P1227" s="29"/>
      <c r="Q1227" s="29"/>
    </row>
    <row r="1228" spans="9:17">
      <c r="I1228" s="29"/>
      <c r="J1228" s="29"/>
      <c r="K1228" s="150"/>
      <c r="M1228" s="1001"/>
      <c r="N1228" s="29"/>
      <c r="P1228" s="29"/>
      <c r="Q1228" s="29"/>
    </row>
    <row r="1229" spans="9:17">
      <c r="I1229" s="29"/>
      <c r="J1229" s="29"/>
      <c r="K1229" s="150"/>
      <c r="M1229" s="1001"/>
      <c r="N1229" s="29"/>
      <c r="P1229" s="29"/>
      <c r="Q1229" s="29"/>
    </row>
    <row r="1230" spans="9:17">
      <c r="I1230" s="29"/>
      <c r="J1230" s="29"/>
      <c r="K1230" s="150"/>
      <c r="M1230" s="1001"/>
      <c r="N1230" s="29"/>
      <c r="P1230" s="29"/>
      <c r="Q1230" s="29"/>
    </row>
    <row r="1231" spans="9:17">
      <c r="I1231" s="29"/>
      <c r="J1231" s="29"/>
      <c r="K1231" s="150"/>
      <c r="M1231" s="1001"/>
      <c r="N1231" s="29"/>
      <c r="P1231" s="29"/>
      <c r="Q1231" s="29"/>
    </row>
    <row r="1232" spans="9:17">
      <c r="I1232" s="29"/>
      <c r="J1232" s="29"/>
      <c r="K1232" s="150"/>
      <c r="M1232" s="1001"/>
      <c r="N1232" s="29"/>
      <c r="P1232" s="29"/>
      <c r="Q1232" s="29"/>
    </row>
    <row r="1233" spans="9:17">
      <c r="I1233" s="29"/>
      <c r="J1233" s="29"/>
      <c r="K1233" s="150"/>
      <c r="M1233" s="1001"/>
      <c r="N1233" s="29"/>
      <c r="P1233" s="29"/>
      <c r="Q1233" s="29"/>
    </row>
    <row r="1234" spans="9:17">
      <c r="I1234" s="29"/>
      <c r="J1234" s="29"/>
      <c r="K1234" s="150"/>
      <c r="M1234" s="1001"/>
      <c r="N1234" s="29"/>
      <c r="P1234" s="29"/>
      <c r="Q1234" s="29"/>
    </row>
    <row r="1235" spans="9:17">
      <c r="I1235" s="29"/>
      <c r="J1235" s="29"/>
      <c r="K1235" s="150"/>
      <c r="M1235" s="1001"/>
      <c r="N1235" s="29"/>
      <c r="P1235" s="29"/>
      <c r="Q1235" s="29"/>
    </row>
    <row r="1236" spans="9:17">
      <c r="I1236" s="29"/>
      <c r="J1236" s="29"/>
      <c r="K1236" s="150"/>
      <c r="M1236" s="1001"/>
      <c r="N1236" s="29"/>
      <c r="P1236" s="29"/>
      <c r="Q1236" s="29"/>
    </row>
    <row r="1237" spans="9:17">
      <c r="I1237" s="29"/>
      <c r="J1237" s="29"/>
      <c r="K1237" s="150"/>
      <c r="M1237" s="1001"/>
      <c r="N1237" s="29"/>
      <c r="P1237" s="29"/>
      <c r="Q1237" s="29"/>
    </row>
    <row r="1238" spans="9:17">
      <c r="I1238" s="29"/>
      <c r="J1238" s="29"/>
      <c r="K1238" s="150"/>
      <c r="M1238" s="1001"/>
      <c r="N1238" s="29"/>
      <c r="P1238" s="29"/>
      <c r="Q1238" s="29"/>
    </row>
    <row r="1239" spans="9:17">
      <c r="I1239" s="29"/>
      <c r="J1239" s="29"/>
      <c r="K1239" s="150"/>
      <c r="M1239" s="1001"/>
      <c r="N1239" s="29"/>
      <c r="P1239" s="29"/>
      <c r="Q1239" s="29"/>
    </row>
    <row r="1240" spans="9:17">
      <c r="I1240" s="29"/>
      <c r="J1240" s="29"/>
      <c r="K1240" s="150"/>
      <c r="M1240" s="1001"/>
      <c r="N1240" s="29"/>
      <c r="P1240" s="29"/>
      <c r="Q1240" s="29"/>
    </row>
    <row r="1241" spans="9:17">
      <c r="I1241" s="29"/>
      <c r="J1241" s="29"/>
      <c r="K1241" s="150"/>
      <c r="M1241" s="1001"/>
      <c r="N1241" s="29"/>
      <c r="P1241" s="29"/>
      <c r="Q1241" s="29"/>
    </row>
    <row r="1242" spans="9:17">
      <c r="I1242" s="29"/>
      <c r="J1242" s="29"/>
      <c r="K1242" s="150"/>
      <c r="M1242" s="1001"/>
      <c r="N1242" s="29"/>
      <c r="P1242" s="29"/>
      <c r="Q1242" s="29"/>
    </row>
    <row r="1243" spans="9:17">
      <c r="I1243" s="29"/>
      <c r="J1243" s="29"/>
      <c r="K1243" s="150"/>
      <c r="M1243" s="1001"/>
      <c r="N1243" s="29"/>
      <c r="P1243" s="29"/>
      <c r="Q1243" s="29"/>
    </row>
    <row r="1244" spans="9:17">
      <c r="I1244" s="29"/>
      <c r="J1244" s="29"/>
      <c r="K1244" s="150"/>
      <c r="M1244" s="1001"/>
      <c r="N1244" s="29"/>
      <c r="P1244" s="29"/>
      <c r="Q1244" s="29"/>
    </row>
    <row r="1245" spans="9:17">
      <c r="I1245" s="29"/>
      <c r="J1245" s="29"/>
      <c r="K1245" s="150"/>
      <c r="M1245" s="1001"/>
      <c r="N1245" s="29"/>
      <c r="P1245" s="29"/>
      <c r="Q1245" s="29"/>
    </row>
    <row r="1246" spans="9:17">
      <c r="I1246" s="29"/>
      <c r="J1246" s="29"/>
      <c r="K1246" s="150"/>
      <c r="M1246" s="1001"/>
      <c r="N1246" s="29"/>
      <c r="P1246" s="29"/>
      <c r="Q1246" s="29"/>
    </row>
    <row r="1247" spans="9:17">
      <c r="I1247" s="29"/>
      <c r="J1247" s="29"/>
      <c r="K1247" s="150"/>
      <c r="M1247" s="1001"/>
      <c r="N1247" s="29"/>
      <c r="P1247" s="29"/>
      <c r="Q1247" s="29"/>
    </row>
    <row r="1248" spans="9:17">
      <c r="I1248" s="29"/>
      <c r="J1248" s="29"/>
      <c r="K1248" s="150"/>
      <c r="M1248" s="1001"/>
      <c r="N1248" s="29"/>
      <c r="P1248" s="29"/>
      <c r="Q1248" s="29"/>
    </row>
    <row r="1249" spans="9:17">
      <c r="I1249" s="29"/>
      <c r="J1249" s="29"/>
      <c r="K1249" s="150"/>
      <c r="M1249" s="1001"/>
      <c r="N1249" s="29"/>
      <c r="P1249" s="29"/>
      <c r="Q1249" s="29"/>
    </row>
    <row r="1250" spans="9:17">
      <c r="I1250" s="29"/>
      <c r="J1250" s="29"/>
      <c r="K1250" s="150"/>
      <c r="M1250" s="1001"/>
      <c r="N1250" s="29"/>
      <c r="P1250" s="29"/>
      <c r="Q1250" s="29"/>
    </row>
    <row r="1251" spans="9:17">
      <c r="I1251" s="29"/>
      <c r="J1251" s="29"/>
      <c r="K1251" s="150"/>
      <c r="M1251" s="1001"/>
      <c r="N1251" s="29"/>
      <c r="P1251" s="29"/>
      <c r="Q1251" s="29"/>
    </row>
    <row r="1252" spans="9:17">
      <c r="I1252" s="29"/>
      <c r="J1252" s="29"/>
      <c r="K1252" s="150"/>
      <c r="M1252" s="1001"/>
      <c r="N1252" s="29"/>
      <c r="P1252" s="29"/>
      <c r="Q1252" s="29"/>
    </row>
    <row r="1253" spans="9:17">
      <c r="I1253" s="29"/>
      <c r="J1253" s="29"/>
      <c r="K1253" s="150"/>
      <c r="M1253" s="1001"/>
      <c r="N1253" s="29"/>
      <c r="P1253" s="29"/>
      <c r="Q1253" s="29"/>
    </row>
    <row r="1254" spans="9:17">
      <c r="I1254" s="29"/>
      <c r="J1254" s="29"/>
      <c r="K1254" s="150"/>
      <c r="M1254" s="1001"/>
      <c r="N1254" s="29"/>
      <c r="P1254" s="29"/>
      <c r="Q1254" s="29"/>
    </row>
    <row r="1255" spans="9:17">
      <c r="I1255" s="29"/>
      <c r="J1255" s="29"/>
      <c r="K1255" s="150"/>
      <c r="M1255" s="1001"/>
      <c r="N1255" s="29"/>
      <c r="P1255" s="29"/>
      <c r="Q1255" s="29"/>
    </row>
    <row r="1256" spans="9:17">
      <c r="I1256" s="29"/>
      <c r="J1256" s="29"/>
      <c r="K1256" s="150"/>
      <c r="M1256" s="1001"/>
      <c r="N1256" s="29"/>
      <c r="P1256" s="29"/>
      <c r="Q1256" s="29"/>
    </row>
    <row r="1257" spans="9:17">
      <c r="I1257" s="29"/>
      <c r="J1257" s="29"/>
      <c r="K1257" s="150"/>
      <c r="M1257" s="1001"/>
      <c r="N1257" s="29"/>
      <c r="P1257" s="29"/>
      <c r="Q1257" s="29"/>
    </row>
    <row r="1258" spans="9:17">
      <c r="I1258" s="29"/>
      <c r="J1258" s="29"/>
      <c r="K1258" s="150"/>
      <c r="M1258" s="1001"/>
      <c r="N1258" s="29"/>
      <c r="P1258" s="29"/>
      <c r="Q1258" s="29"/>
    </row>
    <row r="1259" spans="9:17">
      <c r="I1259" s="29"/>
      <c r="J1259" s="29"/>
      <c r="K1259" s="150"/>
      <c r="M1259" s="1001"/>
      <c r="N1259" s="29"/>
      <c r="P1259" s="29"/>
      <c r="Q1259" s="29"/>
    </row>
    <row r="1260" spans="9:17">
      <c r="I1260" s="29"/>
      <c r="J1260" s="29"/>
      <c r="K1260" s="150"/>
      <c r="M1260" s="1001"/>
      <c r="N1260" s="29"/>
      <c r="P1260" s="29"/>
      <c r="Q1260" s="29"/>
    </row>
    <row r="1261" spans="9:17">
      <c r="I1261" s="29"/>
      <c r="J1261" s="29"/>
      <c r="K1261" s="150"/>
      <c r="M1261" s="1001"/>
      <c r="N1261" s="29"/>
      <c r="P1261" s="29"/>
      <c r="Q1261" s="29"/>
    </row>
    <row r="1262" spans="9:17">
      <c r="I1262" s="29"/>
      <c r="J1262" s="29"/>
      <c r="K1262" s="150"/>
      <c r="M1262" s="1001"/>
      <c r="N1262" s="29"/>
      <c r="P1262" s="29"/>
      <c r="Q1262" s="29"/>
    </row>
    <row r="1263" spans="9:17">
      <c r="I1263" s="29"/>
      <c r="J1263" s="29"/>
      <c r="K1263" s="150"/>
      <c r="M1263" s="1001"/>
      <c r="N1263" s="29"/>
      <c r="P1263" s="29"/>
      <c r="Q1263" s="29"/>
    </row>
    <row r="1264" spans="9:17">
      <c r="I1264" s="29"/>
      <c r="J1264" s="29"/>
      <c r="K1264" s="150"/>
      <c r="M1264" s="1001"/>
      <c r="N1264" s="29"/>
      <c r="P1264" s="29"/>
      <c r="Q1264" s="29"/>
    </row>
    <row r="1265" spans="9:17">
      <c r="I1265" s="29"/>
      <c r="J1265" s="29"/>
      <c r="K1265" s="150"/>
      <c r="M1265" s="1001"/>
      <c r="N1265" s="29"/>
      <c r="P1265" s="29"/>
      <c r="Q1265" s="29"/>
    </row>
    <row r="1266" spans="9:17">
      <c r="I1266" s="29"/>
      <c r="J1266" s="29"/>
      <c r="K1266" s="150"/>
      <c r="M1266" s="1001"/>
      <c r="N1266" s="29"/>
      <c r="P1266" s="29"/>
      <c r="Q1266" s="29"/>
    </row>
    <row r="1267" spans="9:17">
      <c r="I1267" s="29"/>
      <c r="J1267" s="29"/>
      <c r="K1267" s="150"/>
      <c r="M1267" s="1001"/>
      <c r="N1267" s="29"/>
      <c r="P1267" s="29"/>
      <c r="Q1267" s="29"/>
    </row>
    <row r="1268" spans="9:17">
      <c r="I1268" s="29"/>
      <c r="J1268" s="29"/>
      <c r="K1268" s="150"/>
      <c r="M1268" s="1001"/>
      <c r="N1268" s="29"/>
      <c r="P1268" s="29"/>
      <c r="Q1268" s="29"/>
    </row>
    <row r="1269" spans="9:17">
      <c r="I1269" s="29"/>
      <c r="J1269" s="29"/>
      <c r="K1269" s="150"/>
      <c r="M1269" s="1001"/>
      <c r="N1269" s="29"/>
      <c r="P1269" s="29"/>
      <c r="Q1269" s="29"/>
    </row>
    <row r="1270" spans="9:17">
      <c r="I1270" s="29"/>
      <c r="J1270" s="29"/>
      <c r="K1270" s="150"/>
      <c r="M1270" s="1001"/>
      <c r="N1270" s="29"/>
      <c r="P1270" s="29"/>
      <c r="Q1270" s="29"/>
    </row>
    <row r="1271" spans="9:17">
      <c r="I1271" s="29"/>
      <c r="J1271" s="29"/>
      <c r="K1271" s="150"/>
      <c r="M1271" s="1001"/>
      <c r="N1271" s="29"/>
      <c r="P1271" s="29"/>
      <c r="Q1271" s="29"/>
    </row>
    <row r="1272" spans="9:17">
      <c r="I1272" s="29"/>
      <c r="J1272" s="29"/>
      <c r="K1272" s="150"/>
      <c r="M1272" s="1001"/>
      <c r="N1272" s="29"/>
      <c r="P1272" s="29"/>
      <c r="Q1272" s="29"/>
    </row>
    <row r="1273" spans="9:17">
      <c r="I1273" s="29"/>
      <c r="J1273" s="29"/>
      <c r="K1273" s="150"/>
      <c r="M1273" s="1001"/>
      <c r="N1273" s="29"/>
      <c r="P1273" s="29"/>
      <c r="Q1273" s="29"/>
    </row>
    <row r="1274" spans="9:17">
      <c r="I1274" s="29"/>
      <c r="J1274" s="29"/>
      <c r="K1274" s="150"/>
      <c r="M1274" s="1001"/>
      <c r="N1274" s="29"/>
      <c r="P1274" s="29"/>
      <c r="Q1274" s="29"/>
    </row>
    <row r="1275" spans="9:17">
      <c r="I1275" s="29"/>
      <c r="J1275" s="29"/>
      <c r="K1275" s="150"/>
      <c r="M1275" s="1001"/>
      <c r="N1275" s="29"/>
      <c r="P1275" s="29"/>
      <c r="Q1275" s="29"/>
    </row>
    <row r="1276" spans="9:17">
      <c r="I1276" s="29"/>
      <c r="J1276" s="29"/>
      <c r="K1276" s="150"/>
      <c r="M1276" s="1001"/>
      <c r="N1276" s="29"/>
      <c r="P1276" s="29"/>
      <c r="Q1276" s="29"/>
    </row>
    <row r="1277" spans="9:17">
      <c r="I1277" s="29"/>
      <c r="J1277" s="29"/>
      <c r="K1277" s="150"/>
      <c r="M1277" s="1001"/>
      <c r="N1277" s="29"/>
      <c r="P1277" s="29"/>
      <c r="Q1277" s="29"/>
    </row>
    <row r="1278" spans="9:17">
      <c r="I1278" s="29"/>
      <c r="J1278" s="29"/>
      <c r="K1278" s="150"/>
      <c r="M1278" s="1001"/>
      <c r="N1278" s="29"/>
      <c r="P1278" s="29"/>
      <c r="Q1278" s="29"/>
    </row>
    <row r="1279" spans="9:17">
      <c r="I1279" s="29"/>
      <c r="J1279" s="29"/>
      <c r="K1279" s="150"/>
      <c r="M1279" s="1001"/>
      <c r="N1279" s="29"/>
      <c r="P1279" s="29"/>
      <c r="Q1279" s="29"/>
    </row>
    <row r="1280" spans="9:17">
      <c r="I1280" s="29"/>
      <c r="J1280" s="29"/>
      <c r="K1280" s="150"/>
      <c r="M1280" s="1001"/>
      <c r="N1280" s="29"/>
      <c r="P1280" s="29"/>
      <c r="Q1280" s="29"/>
    </row>
    <row r="1281" spans="9:17">
      <c r="I1281" s="29"/>
      <c r="J1281" s="29"/>
      <c r="K1281" s="150"/>
      <c r="M1281" s="1001"/>
      <c r="N1281" s="29"/>
      <c r="P1281" s="29"/>
      <c r="Q1281" s="29"/>
    </row>
    <row r="1282" spans="9:17">
      <c r="I1282" s="29"/>
      <c r="J1282" s="29"/>
      <c r="K1282" s="150"/>
      <c r="M1282" s="1001"/>
      <c r="N1282" s="29"/>
      <c r="P1282" s="29"/>
      <c r="Q1282" s="29"/>
    </row>
    <row r="1283" spans="9:17">
      <c r="I1283" s="29"/>
      <c r="J1283" s="29"/>
      <c r="K1283" s="150"/>
      <c r="M1283" s="1001"/>
      <c r="N1283" s="29"/>
      <c r="P1283" s="29"/>
      <c r="Q1283" s="29"/>
    </row>
    <row r="1284" spans="9:17">
      <c r="I1284" s="29"/>
      <c r="J1284" s="29"/>
      <c r="K1284" s="150"/>
      <c r="M1284" s="1001"/>
      <c r="N1284" s="29"/>
      <c r="P1284" s="29"/>
      <c r="Q1284" s="29"/>
    </row>
    <row r="1285" spans="9:17">
      <c r="I1285" s="29"/>
      <c r="J1285" s="29"/>
      <c r="K1285" s="150"/>
      <c r="M1285" s="1001"/>
      <c r="N1285" s="29"/>
      <c r="P1285" s="29"/>
      <c r="Q1285" s="29"/>
    </row>
    <row r="1286" spans="9:17">
      <c r="I1286" s="29"/>
      <c r="J1286" s="29"/>
      <c r="K1286" s="150"/>
      <c r="M1286" s="1001"/>
      <c r="N1286" s="29"/>
      <c r="P1286" s="29"/>
      <c r="Q1286" s="29"/>
    </row>
    <row r="1287" spans="9:17">
      <c r="I1287" s="29"/>
      <c r="J1287" s="29"/>
      <c r="K1287" s="150"/>
      <c r="M1287" s="1001"/>
      <c r="N1287" s="29"/>
      <c r="P1287" s="29"/>
      <c r="Q1287" s="29"/>
    </row>
    <row r="1288" spans="9:17">
      <c r="I1288" s="29"/>
      <c r="J1288" s="29"/>
      <c r="K1288" s="150"/>
      <c r="M1288" s="1001"/>
      <c r="N1288" s="29"/>
      <c r="P1288" s="29"/>
      <c r="Q1288" s="29"/>
    </row>
    <row r="1289" spans="9:17">
      <c r="I1289" s="29"/>
      <c r="J1289" s="29"/>
      <c r="K1289" s="150"/>
      <c r="M1289" s="1001"/>
      <c r="N1289" s="29"/>
      <c r="P1289" s="29"/>
      <c r="Q1289" s="29"/>
    </row>
    <row r="1290" spans="9:17">
      <c r="I1290" s="29"/>
      <c r="J1290" s="29"/>
      <c r="K1290" s="150"/>
      <c r="M1290" s="1001"/>
      <c r="N1290" s="29"/>
      <c r="P1290" s="29"/>
      <c r="Q1290" s="29"/>
    </row>
    <row r="1291" spans="9:17">
      <c r="I1291" s="29"/>
      <c r="J1291" s="29"/>
      <c r="K1291" s="150"/>
      <c r="M1291" s="1001"/>
      <c r="N1291" s="29"/>
      <c r="P1291" s="29"/>
      <c r="Q1291" s="29"/>
    </row>
    <row r="1292" spans="9:17">
      <c r="I1292" s="29"/>
      <c r="J1292" s="29"/>
      <c r="K1292" s="150"/>
      <c r="M1292" s="1001"/>
      <c r="N1292" s="29"/>
      <c r="P1292" s="29"/>
      <c r="Q1292" s="29"/>
    </row>
    <row r="1293" spans="9:17">
      <c r="I1293" s="29"/>
      <c r="J1293" s="29"/>
      <c r="K1293" s="150"/>
      <c r="M1293" s="1001"/>
      <c r="N1293" s="29"/>
      <c r="P1293" s="29"/>
      <c r="Q1293" s="29"/>
    </row>
    <row r="1294" spans="9:17">
      <c r="I1294" s="29"/>
      <c r="J1294" s="29"/>
      <c r="K1294" s="150"/>
      <c r="M1294" s="1001"/>
      <c r="N1294" s="29"/>
      <c r="P1294" s="29"/>
      <c r="Q1294" s="29"/>
    </row>
    <row r="1295" spans="9:17">
      <c r="I1295" s="29"/>
      <c r="J1295" s="29"/>
      <c r="K1295" s="150"/>
      <c r="M1295" s="1001"/>
      <c r="N1295" s="29"/>
      <c r="P1295" s="29"/>
      <c r="Q1295" s="29"/>
    </row>
    <row r="1296" spans="9:17">
      <c r="I1296" s="29"/>
      <c r="J1296" s="29"/>
      <c r="K1296" s="150"/>
      <c r="M1296" s="1001"/>
      <c r="N1296" s="29"/>
      <c r="P1296" s="29"/>
      <c r="Q1296" s="29"/>
    </row>
    <row r="1297" spans="9:17">
      <c r="I1297" s="29"/>
      <c r="J1297" s="29"/>
      <c r="K1297" s="150"/>
      <c r="M1297" s="1001"/>
      <c r="N1297" s="29"/>
      <c r="P1297" s="29"/>
      <c r="Q1297" s="29"/>
    </row>
    <row r="1298" spans="9:17">
      <c r="I1298" s="29"/>
      <c r="J1298" s="29"/>
      <c r="K1298" s="150"/>
      <c r="M1298" s="1001"/>
      <c r="N1298" s="29"/>
      <c r="P1298" s="29"/>
      <c r="Q1298" s="29"/>
    </row>
    <row r="1299" spans="9:17">
      <c r="I1299" s="29"/>
      <c r="J1299" s="29"/>
      <c r="K1299" s="150"/>
      <c r="M1299" s="1001"/>
      <c r="N1299" s="29"/>
      <c r="P1299" s="29"/>
      <c r="Q1299" s="29"/>
    </row>
    <row r="1300" spans="9:17">
      <c r="I1300" s="29"/>
      <c r="J1300" s="29"/>
      <c r="K1300" s="150"/>
      <c r="M1300" s="1001"/>
      <c r="N1300" s="29"/>
      <c r="P1300" s="29"/>
      <c r="Q1300" s="29"/>
    </row>
    <row r="1301" spans="9:17">
      <c r="I1301" s="29"/>
      <c r="J1301" s="29"/>
      <c r="K1301" s="150"/>
      <c r="M1301" s="1001"/>
      <c r="N1301" s="29"/>
      <c r="P1301" s="29"/>
      <c r="Q1301" s="29"/>
    </row>
    <row r="1302" spans="9:17">
      <c r="I1302" s="29"/>
      <c r="J1302" s="29"/>
      <c r="K1302" s="150"/>
      <c r="M1302" s="1001"/>
      <c r="N1302" s="29"/>
      <c r="P1302" s="29"/>
      <c r="Q1302" s="29"/>
    </row>
    <row r="1303" spans="9:17">
      <c r="I1303" s="29"/>
      <c r="J1303" s="29"/>
      <c r="K1303" s="150"/>
      <c r="M1303" s="1001"/>
      <c r="N1303" s="29"/>
      <c r="P1303" s="29"/>
      <c r="Q1303" s="29"/>
    </row>
    <row r="1304" spans="9:17">
      <c r="I1304" s="29"/>
      <c r="J1304" s="29"/>
      <c r="K1304" s="150"/>
      <c r="M1304" s="1001"/>
      <c r="N1304" s="29"/>
      <c r="P1304" s="29"/>
      <c r="Q1304" s="29"/>
    </row>
    <row r="1305" spans="9:17">
      <c r="I1305" s="29"/>
      <c r="J1305" s="29"/>
      <c r="K1305" s="150"/>
      <c r="M1305" s="1001"/>
      <c r="N1305" s="29"/>
      <c r="P1305" s="29"/>
      <c r="Q1305" s="29"/>
    </row>
    <row r="1306" spans="9:17">
      <c r="I1306" s="29"/>
      <c r="J1306" s="29"/>
      <c r="K1306" s="150"/>
      <c r="M1306" s="1001"/>
      <c r="N1306" s="29"/>
      <c r="P1306" s="29"/>
      <c r="Q1306" s="29"/>
    </row>
    <row r="1307" spans="9:17">
      <c r="I1307" s="29"/>
      <c r="J1307" s="29"/>
      <c r="K1307" s="150"/>
      <c r="M1307" s="1001"/>
      <c r="N1307" s="29"/>
      <c r="P1307" s="29"/>
      <c r="Q1307" s="29"/>
    </row>
    <row r="1308" spans="9:17">
      <c r="I1308" s="29"/>
      <c r="J1308" s="29"/>
      <c r="K1308" s="150"/>
      <c r="M1308" s="1001"/>
      <c r="N1308" s="29"/>
      <c r="P1308" s="29"/>
      <c r="Q1308" s="29"/>
    </row>
    <row r="1309" spans="9:17">
      <c r="I1309" s="29"/>
      <c r="J1309" s="29"/>
      <c r="K1309" s="150"/>
      <c r="M1309" s="1001"/>
      <c r="N1309" s="29"/>
      <c r="P1309" s="29"/>
      <c r="Q1309" s="29"/>
    </row>
    <row r="1310" spans="9:17">
      <c r="I1310" s="29"/>
      <c r="J1310" s="29"/>
      <c r="K1310" s="150"/>
      <c r="M1310" s="1001"/>
      <c r="N1310" s="29"/>
      <c r="P1310" s="29"/>
      <c r="Q1310" s="29"/>
    </row>
    <row r="1311" spans="9:17">
      <c r="I1311" s="29"/>
      <c r="J1311" s="29"/>
      <c r="K1311" s="150"/>
      <c r="M1311" s="1001"/>
      <c r="N1311" s="29"/>
      <c r="P1311" s="29"/>
      <c r="Q1311" s="29"/>
    </row>
    <row r="1312" spans="9:17">
      <c r="I1312" s="29"/>
      <c r="J1312" s="29"/>
      <c r="K1312" s="150"/>
      <c r="M1312" s="1001"/>
      <c r="N1312" s="29"/>
      <c r="P1312" s="29"/>
      <c r="Q1312" s="29"/>
    </row>
    <row r="1313" spans="9:17">
      <c r="I1313" s="29"/>
      <c r="J1313" s="29"/>
      <c r="K1313" s="150"/>
      <c r="M1313" s="1001"/>
      <c r="N1313" s="29"/>
      <c r="P1313" s="29"/>
      <c r="Q1313" s="29"/>
    </row>
    <row r="1314" spans="9:17">
      <c r="I1314" s="29"/>
      <c r="J1314" s="29"/>
      <c r="K1314" s="150"/>
      <c r="M1314" s="1001"/>
      <c r="N1314" s="29"/>
      <c r="P1314" s="29"/>
      <c r="Q1314" s="29"/>
    </row>
    <row r="1315" spans="9:17">
      <c r="I1315" s="29"/>
      <c r="J1315" s="29"/>
      <c r="K1315" s="150"/>
      <c r="M1315" s="1001"/>
      <c r="N1315" s="29"/>
      <c r="P1315" s="29"/>
      <c r="Q1315" s="29"/>
    </row>
    <row r="1316" spans="9:17">
      <c r="I1316" s="29"/>
      <c r="J1316" s="29"/>
      <c r="K1316" s="150"/>
      <c r="M1316" s="1001"/>
      <c r="N1316" s="29"/>
      <c r="P1316" s="29"/>
      <c r="Q1316" s="29"/>
    </row>
    <row r="1317" spans="9:17">
      <c r="I1317" s="29"/>
      <c r="J1317" s="29"/>
      <c r="K1317" s="150"/>
      <c r="M1317" s="1001"/>
      <c r="N1317" s="29"/>
      <c r="P1317" s="29"/>
      <c r="Q1317" s="29"/>
    </row>
    <row r="1318" spans="9:17">
      <c r="I1318" s="29"/>
      <c r="J1318" s="29"/>
      <c r="K1318" s="150"/>
      <c r="M1318" s="1001"/>
      <c r="N1318" s="29"/>
      <c r="P1318" s="29"/>
      <c r="Q1318" s="29"/>
    </row>
    <row r="1319" spans="9:17">
      <c r="I1319" s="29"/>
      <c r="J1319" s="29"/>
      <c r="K1319" s="150"/>
      <c r="M1319" s="1001"/>
      <c r="N1319" s="29"/>
      <c r="P1319" s="29"/>
      <c r="Q1319" s="29"/>
    </row>
    <row r="1320" spans="9:17">
      <c r="I1320" s="29"/>
      <c r="J1320" s="29"/>
      <c r="K1320" s="150"/>
      <c r="M1320" s="1001"/>
      <c r="N1320" s="29"/>
      <c r="P1320" s="29"/>
      <c r="Q1320" s="29"/>
    </row>
    <row r="1321" spans="9:17">
      <c r="I1321" s="29"/>
      <c r="J1321" s="29"/>
      <c r="K1321" s="150"/>
      <c r="M1321" s="1001"/>
      <c r="N1321" s="29"/>
      <c r="P1321" s="29"/>
      <c r="Q1321" s="29"/>
    </row>
    <row r="1322" spans="9:17">
      <c r="I1322" s="29"/>
      <c r="J1322" s="29"/>
      <c r="K1322" s="150"/>
      <c r="M1322" s="1001"/>
      <c r="N1322" s="29"/>
      <c r="P1322" s="29"/>
      <c r="Q1322" s="29"/>
    </row>
    <row r="1323" spans="9:17">
      <c r="I1323" s="29"/>
      <c r="J1323" s="29"/>
      <c r="K1323" s="150"/>
      <c r="M1323" s="1001"/>
      <c r="N1323" s="29"/>
      <c r="P1323" s="29"/>
      <c r="Q1323" s="29"/>
    </row>
    <row r="1324" spans="9:17">
      <c r="I1324" s="29"/>
      <c r="J1324" s="29"/>
      <c r="K1324" s="150"/>
      <c r="M1324" s="1001"/>
      <c r="N1324" s="29"/>
      <c r="P1324" s="29"/>
      <c r="Q1324" s="29"/>
    </row>
    <row r="1325" spans="9:17">
      <c r="I1325" s="29"/>
      <c r="J1325" s="29"/>
      <c r="K1325" s="150"/>
      <c r="M1325" s="1001"/>
      <c r="N1325" s="29"/>
      <c r="P1325" s="29"/>
      <c r="Q1325" s="29"/>
    </row>
    <row r="1326" spans="9:17">
      <c r="I1326" s="29"/>
      <c r="J1326" s="29"/>
      <c r="K1326" s="150"/>
      <c r="M1326" s="1001"/>
      <c r="N1326" s="29"/>
      <c r="P1326" s="29"/>
      <c r="Q1326" s="29"/>
    </row>
    <row r="1327" spans="9:17">
      <c r="I1327" s="29"/>
      <c r="J1327" s="29"/>
      <c r="K1327" s="150"/>
      <c r="M1327" s="1001"/>
      <c r="N1327" s="29"/>
      <c r="P1327" s="29"/>
      <c r="Q1327" s="29"/>
    </row>
    <row r="1328" spans="9:17">
      <c r="I1328" s="29"/>
      <c r="J1328" s="29"/>
      <c r="K1328" s="150"/>
      <c r="M1328" s="1001"/>
      <c r="N1328" s="29"/>
      <c r="P1328" s="29"/>
      <c r="Q1328" s="29"/>
    </row>
    <row r="1329" spans="9:17">
      <c r="I1329" s="29"/>
      <c r="J1329" s="29"/>
      <c r="K1329" s="150"/>
      <c r="M1329" s="1001"/>
      <c r="N1329" s="29"/>
      <c r="P1329" s="29"/>
      <c r="Q1329" s="29"/>
    </row>
    <row r="1330" spans="9:17">
      <c r="I1330" s="29"/>
      <c r="J1330" s="29"/>
      <c r="K1330" s="150"/>
      <c r="M1330" s="1001"/>
      <c r="N1330" s="29"/>
      <c r="P1330" s="29"/>
      <c r="Q1330" s="29"/>
    </row>
    <row r="1331" spans="9:17">
      <c r="I1331" s="29"/>
      <c r="J1331" s="29"/>
      <c r="K1331" s="150"/>
      <c r="M1331" s="1001"/>
      <c r="N1331" s="29"/>
      <c r="P1331" s="29"/>
      <c r="Q1331" s="29"/>
    </row>
    <row r="1332" spans="9:17">
      <c r="I1332" s="29"/>
      <c r="J1332" s="29"/>
      <c r="K1332" s="150"/>
      <c r="M1332" s="1001"/>
      <c r="N1332" s="29"/>
      <c r="P1332" s="29"/>
      <c r="Q1332" s="29"/>
    </row>
    <row r="1333" spans="9:17">
      <c r="I1333" s="29"/>
      <c r="J1333" s="29"/>
      <c r="K1333" s="150"/>
      <c r="M1333" s="1001"/>
      <c r="N1333" s="29"/>
      <c r="P1333" s="29"/>
      <c r="Q1333" s="29"/>
    </row>
    <row r="1334" spans="9:17">
      <c r="I1334" s="29"/>
      <c r="J1334" s="29"/>
      <c r="K1334" s="150"/>
      <c r="M1334" s="1001"/>
      <c r="N1334" s="29"/>
      <c r="P1334" s="29"/>
      <c r="Q1334" s="29"/>
    </row>
    <row r="1335" spans="9:17">
      <c r="I1335" s="29"/>
      <c r="J1335" s="29"/>
      <c r="K1335" s="150"/>
      <c r="M1335" s="1001"/>
      <c r="N1335" s="29"/>
      <c r="P1335" s="29"/>
      <c r="Q1335" s="29"/>
    </row>
    <row r="1336" spans="9:17">
      <c r="I1336" s="29"/>
      <c r="J1336" s="29"/>
      <c r="K1336" s="150"/>
      <c r="M1336" s="1001"/>
      <c r="N1336" s="29"/>
      <c r="P1336" s="29"/>
      <c r="Q1336" s="29"/>
    </row>
    <row r="1337" spans="9:17">
      <c r="I1337" s="29"/>
      <c r="J1337" s="29"/>
      <c r="K1337" s="150"/>
      <c r="M1337" s="1001"/>
      <c r="N1337" s="29"/>
      <c r="P1337" s="29"/>
      <c r="Q1337" s="29"/>
    </row>
    <row r="1338" spans="9:17">
      <c r="I1338" s="29"/>
      <c r="J1338" s="29"/>
      <c r="K1338" s="150"/>
      <c r="M1338" s="1001"/>
      <c r="N1338" s="29"/>
      <c r="P1338" s="29"/>
      <c r="Q1338" s="29"/>
    </row>
    <row r="1339" spans="9:17">
      <c r="I1339" s="29"/>
      <c r="J1339" s="29"/>
      <c r="K1339" s="150"/>
      <c r="M1339" s="1001"/>
      <c r="N1339" s="29"/>
      <c r="P1339" s="29"/>
      <c r="Q1339" s="29"/>
    </row>
    <row r="1340" spans="9:17">
      <c r="I1340" s="29"/>
      <c r="J1340" s="29"/>
      <c r="K1340" s="150"/>
      <c r="M1340" s="1001"/>
      <c r="N1340" s="29"/>
      <c r="P1340" s="29"/>
      <c r="Q1340" s="29"/>
    </row>
    <row r="1341" spans="9:17">
      <c r="I1341" s="29"/>
      <c r="J1341" s="29"/>
      <c r="K1341" s="150"/>
      <c r="M1341" s="1001"/>
      <c r="N1341" s="29"/>
      <c r="P1341" s="29"/>
      <c r="Q1341" s="29"/>
    </row>
    <row r="1342" spans="9:17">
      <c r="I1342" s="29"/>
      <c r="J1342" s="29"/>
      <c r="K1342" s="150"/>
      <c r="M1342" s="1001"/>
      <c r="N1342" s="29"/>
      <c r="P1342" s="29"/>
      <c r="Q1342" s="29"/>
    </row>
    <row r="1343" spans="9:17">
      <c r="I1343" s="29"/>
      <c r="J1343" s="29"/>
      <c r="K1343" s="150"/>
      <c r="M1343" s="1001"/>
      <c r="N1343" s="29"/>
      <c r="P1343" s="29"/>
      <c r="Q1343" s="29"/>
    </row>
    <row r="1344" spans="9:17">
      <c r="I1344" s="29"/>
      <c r="J1344" s="29"/>
      <c r="K1344" s="150"/>
      <c r="M1344" s="1001"/>
      <c r="N1344" s="29"/>
      <c r="P1344" s="29"/>
      <c r="Q1344" s="29"/>
    </row>
    <row r="1345" spans="9:17">
      <c r="I1345" s="29"/>
      <c r="J1345" s="29"/>
      <c r="K1345" s="150"/>
      <c r="M1345" s="1001"/>
      <c r="N1345" s="29"/>
      <c r="P1345" s="29"/>
      <c r="Q1345" s="29"/>
    </row>
    <row r="1346" spans="9:17">
      <c r="I1346" s="29"/>
      <c r="J1346" s="29"/>
      <c r="K1346" s="150"/>
      <c r="M1346" s="1001"/>
      <c r="N1346" s="29"/>
      <c r="P1346" s="29"/>
      <c r="Q1346" s="29"/>
    </row>
    <row r="1347" spans="9:17">
      <c r="I1347" s="29"/>
      <c r="J1347" s="29"/>
      <c r="K1347" s="150"/>
      <c r="M1347" s="1001"/>
      <c r="N1347" s="29"/>
      <c r="P1347" s="29"/>
      <c r="Q1347" s="29"/>
    </row>
    <row r="1348" spans="9:17">
      <c r="I1348" s="29"/>
      <c r="J1348" s="29"/>
      <c r="K1348" s="150"/>
      <c r="M1348" s="1001"/>
      <c r="N1348" s="29"/>
      <c r="P1348" s="29"/>
      <c r="Q1348" s="29"/>
    </row>
    <row r="1349" spans="9:17">
      <c r="I1349" s="29"/>
      <c r="J1349" s="29"/>
      <c r="K1349" s="150"/>
      <c r="M1349" s="1001"/>
      <c r="N1349" s="29"/>
      <c r="P1349" s="29"/>
      <c r="Q1349" s="29"/>
    </row>
    <row r="1350" spans="9:17">
      <c r="I1350" s="29"/>
      <c r="J1350" s="29"/>
      <c r="K1350" s="150"/>
      <c r="M1350" s="1001"/>
      <c r="N1350" s="29"/>
      <c r="P1350" s="29"/>
      <c r="Q1350" s="29"/>
    </row>
    <row r="1351" spans="9:17">
      <c r="I1351" s="29"/>
      <c r="J1351" s="29"/>
      <c r="K1351" s="150"/>
      <c r="M1351" s="1001"/>
      <c r="N1351" s="29"/>
      <c r="P1351" s="29"/>
      <c r="Q1351" s="29"/>
    </row>
    <row r="1352" spans="9:17">
      <c r="I1352" s="29"/>
      <c r="J1352" s="29"/>
      <c r="K1352" s="150"/>
      <c r="M1352" s="1001"/>
      <c r="N1352" s="29"/>
      <c r="P1352" s="29"/>
      <c r="Q1352" s="29"/>
    </row>
    <row r="1353" spans="9:17">
      <c r="I1353" s="29"/>
      <c r="J1353" s="29"/>
      <c r="K1353" s="150"/>
      <c r="M1353" s="1001"/>
      <c r="N1353" s="29"/>
      <c r="P1353" s="29"/>
      <c r="Q1353" s="29"/>
    </row>
    <row r="1354" spans="9:17">
      <c r="I1354" s="29"/>
      <c r="J1354" s="29"/>
      <c r="K1354" s="150"/>
      <c r="M1354" s="1001"/>
      <c r="N1354" s="29"/>
      <c r="P1354" s="29"/>
      <c r="Q1354" s="29"/>
    </row>
    <row r="1355" spans="9:17">
      <c r="I1355" s="29"/>
      <c r="J1355" s="29"/>
      <c r="K1355" s="150"/>
      <c r="M1355" s="1001"/>
      <c r="N1355" s="29"/>
      <c r="P1355" s="29"/>
      <c r="Q1355" s="29"/>
    </row>
    <row r="1356" spans="9:17">
      <c r="I1356" s="29"/>
      <c r="J1356" s="29"/>
      <c r="K1356" s="150"/>
      <c r="M1356" s="1001"/>
      <c r="N1356" s="29"/>
      <c r="P1356" s="29"/>
      <c r="Q1356" s="29"/>
    </row>
    <row r="1357" spans="9:17">
      <c r="I1357" s="29"/>
      <c r="J1357" s="29"/>
      <c r="K1357" s="150"/>
      <c r="M1357" s="1001"/>
      <c r="N1357" s="29"/>
      <c r="P1357" s="29"/>
      <c r="Q1357" s="29"/>
    </row>
    <row r="1358" spans="9:17">
      <c r="I1358" s="29"/>
      <c r="J1358" s="29"/>
      <c r="K1358" s="150"/>
      <c r="M1358" s="1001"/>
      <c r="N1358" s="29"/>
      <c r="P1358" s="29"/>
      <c r="Q1358" s="29"/>
    </row>
    <row r="1359" spans="9:17">
      <c r="I1359" s="29"/>
      <c r="J1359" s="29"/>
      <c r="K1359" s="150"/>
      <c r="M1359" s="1001"/>
      <c r="N1359" s="29"/>
      <c r="P1359" s="29"/>
      <c r="Q1359" s="29"/>
    </row>
    <row r="1360" spans="9:17">
      <c r="I1360" s="29"/>
      <c r="J1360" s="29"/>
      <c r="K1360" s="150"/>
      <c r="M1360" s="1001"/>
      <c r="N1360" s="29"/>
      <c r="P1360" s="29"/>
      <c r="Q1360" s="29"/>
    </row>
    <row r="1361" spans="9:17">
      <c r="I1361" s="29"/>
      <c r="J1361" s="29"/>
      <c r="K1361" s="150"/>
      <c r="M1361" s="1001"/>
      <c r="N1361" s="29"/>
      <c r="P1361" s="29"/>
      <c r="Q1361" s="29"/>
    </row>
    <row r="1362" spans="9:17">
      <c r="I1362" s="29"/>
      <c r="J1362" s="29"/>
      <c r="K1362" s="150"/>
      <c r="M1362" s="1001"/>
      <c r="N1362" s="29"/>
      <c r="P1362" s="29"/>
      <c r="Q1362" s="29"/>
    </row>
    <row r="1363" spans="9:17">
      <c r="I1363" s="29"/>
      <c r="J1363" s="29"/>
      <c r="K1363" s="150"/>
      <c r="M1363" s="1001"/>
      <c r="N1363" s="29"/>
      <c r="P1363" s="29"/>
      <c r="Q1363" s="29"/>
    </row>
    <row r="1364" spans="9:17">
      <c r="I1364" s="29"/>
      <c r="J1364" s="29"/>
      <c r="K1364" s="150"/>
      <c r="M1364" s="1001"/>
      <c r="N1364" s="29"/>
      <c r="P1364" s="29"/>
      <c r="Q1364" s="29"/>
    </row>
    <row r="1365" spans="9:17">
      <c r="I1365" s="29"/>
      <c r="J1365" s="29"/>
      <c r="K1365" s="150"/>
      <c r="M1365" s="1001"/>
      <c r="N1365" s="29"/>
      <c r="P1365" s="29"/>
      <c r="Q1365" s="29"/>
    </row>
    <row r="1366" spans="9:17">
      <c r="I1366" s="29"/>
      <c r="J1366" s="29"/>
      <c r="K1366" s="150"/>
      <c r="M1366" s="1001"/>
      <c r="N1366" s="29"/>
      <c r="P1366" s="29"/>
      <c r="Q1366" s="29"/>
    </row>
    <row r="1367" spans="9:17">
      <c r="I1367" s="29"/>
      <c r="J1367" s="29"/>
      <c r="K1367" s="150"/>
      <c r="M1367" s="1001"/>
      <c r="N1367" s="29"/>
      <c r="P1367" s="29"/>
      <c r="Q1367" s="29"/>
    </row>
    <row r="1368" spans="9:17">
      <c r="I1368" s="29"/>
      <c r="J1368" s="29"/>
      <c r="K1368" s="150"/>
      <c r="M1368" s="1001"/>
      <c r="N1368" s="29"/>
      <c r="P1368" s="29"/>
      <c r="Q1368" s="29"/>
    </row>
    <row r="1369" spans="9:17">
      <c r="I1369" s="29"/>
      <c r="J1369" s="29"/>
      <c r="K1369" s="150"/>
      <c r="M1369" s="1001"/>
      <c r="N1369" s="29"/>
      <c r="P1369" s="29"/>
      <c r="Q1369" s="29"/>
    </row>
    <row r="1370" spans="9:17">
      <c r="I1370" s="29"/>
      <c r="J1370" s="29"/>
      <c r="K1370" s="150"/>
      <c r="M1370" s="1001"/>
      <c r="N1370" s="29"/>
      <c r="P1370" s="29"/>
      <c r="Q1370" s="29"/>
    </row>
    <row r="1371" spans="9:17">
      <c r="I1371" s="29"/>
      <c r="J1371" s="29"/>
      <c r="K1371" s="150"/>
      <c r="M1371" s="1001"/>
      <c r="N1371" s="29"/>
      <c r="P1371" s="29"/>
      <c r="Q1371" s="29"/>
    </row>
    <row r="1372" spans="9:17">
      <c r="I1372" s="29"/>
      <c r="J1372" s="29"/>
      <c r="K1372" s="150"/>
      <c r="M1372" s="1001"/>
      <c r="N1372" s="29"/>
      <c r="P1372" s="29"/>
      <c r="Q1372" s="29"/>
    </row>
    <row r="1373" spans="9:17">
      <c r="I1373" s="29"/>
      <c r="J1373" s="29"/>
      <c r="K1373" s="150"/>
      <c r="M1373" s="1001"/>
      <c r="N1373" s="29"/>
      <c r="P1373" s="29"/>
      <c r="Q1373" s="29"/>
    </row>
    <row r="1374" spans="9:17">
      <c r="I1374" s="29"/>
      <c r="J1374" s="29"/>
      <c r="K1374" s="150"/>
      <c r="M1374" s="1001"/>
      <c r="N1374" s="29"/>
      <c r="P1374" s="29"/>
      <c r="Q1374" s="29"/>
    </row>
    <row r="1375" spans="9:17">
      <c r="I1375" s="29"/>
      <c r="J1375" s="29"/>
      <c r="K1375" s="150"/>
      <c r="M1375" s="1001"/>
      <c r="N1375" s="29"/>
      <c r="P1375" s="29"/>
      <c r="Q1375" s="29"/>
    </row>
    <row r="1376" spans="9:17">
      <c r="I1376" s="29"/>
      <c r="J1376" s="29"/>
      <c r="K1376" s="150"/>
      <c r="M1376" s="1001"/>
      <c r="N1376" s="29"/>
      <c r="P1376" s="29"/>
      <c r="Q1376" s="29"/>
    </row>
    <row r="1377" spans="9:17">
      <c r="I1377" s="29"/>
      <c r="J1377" s="29"/>
      <c r="K1377" s="150"/>
      <c r="M1377" s="1001"/>
      <c r="N1377" s="29"/>
      <c r="P1377" s="29"/>
      <c r="Q1377" s="29"/>
    </row>
    <row r="1378" spans="9:17">
      <c r="I1378" s="29"/>
      <c r="J1378" s="29"/>
      <c r="K1378" s="150"/>
      <c r="M1378" s="1001"/>
      <c r="N1378" s="29"/>
      <c r="P1378" s="29"/>
      <c r="Q1378" s="29"/>
    </row>
    <row r="1379" spans="9:17">
      <c r="I1379" s="29"/>
      <c r="J1379" s="29"/>
      <c r="K1379" s="150"/>
      <c r="M1379" s="1001"/>
      <c r="N1379" s="29"/>
      <c r="P1379" s="29"/>
      <c r="Q1379" s="29"/>
    </row>
    <row r="1380" spans="9:17">
      <c r="I1380" s="29"/>
      <c r="J1380" s="29"/>
      <c r="K1380" s="150"/>
      <c r="M1380" s="1001"/>
      <c r="N1380" s="29"/>
      <c r="P1380" s="29"/>
      <c r="Q1380" s="29"/>
    </row>
    <row r="1381" spans="9:17">
      <c r="I1381" s="29"/>
      <c r="J1381" s="29"/>
      <c r="K1381" s="150"/>
      <c r="M1381" s="1001"/>
      <c r="N1381" s="29"/>
      <c r="P1381" s="29"/>
      <c r="Q1381" s="29"/>
    </row>
    <row r="1382" spans="9:17">
      <c r="I1382" s="29"/>
      <c r="J1382" s="29"/>
      <c r="K1382" s="150"/>
      <c r="M1382" s="1001"/>
      <c r="N1382" s="29"/>
      <c r="P1382" s="29"/>
      <c r="Q1382" s="29"/>
    </row>
    <row r="1383" spans="9:17">
      <c r="I1383" s="29"/>
      <c r="J1383" s="29"/>
      <c r="K1383" s="150"/>
      <c r="M1383" s="1001"/>
      <c r="N1383" s="29"/>
      <c r="P1383" s="29"/>
      <c r="Q1383" s="29"/>
    </row>
    <row r="1384" spans="9:17">
      <c r="I1384" s="29"/>
      <c r="J1384" s="29"/>
      <c r="K1384" s="150"/>
      <c r="M1384" s="1001"/>
      <c r="N1384" s="29"/>
      <c r="P1384" s="29"/>
      <c r="Q1384" s="29"/>
    </row>
    <row r="1385" spans="9:17">
      <c r="I1385" s="29"/>
      <c r="J1385" s="29"/>
      <c r="K1385" s="150"/>
      <c r="M1385" s="1001"/>
      <c r="N1385" s="29"/>
      <c r="P1385" s="29"/>
      <c r="Q1385" s="29"/>
    </row>
    <row r="1386" spans="9:17">
      <c r="I1386" s="29"/>
      <c r="J1386" s="29"/>
      <c r="K1386" s="150"/>
      <c r="M1386" s="1001"/>
      <c r="N1386" s="29"/>
      <c r="P1386" s="29"/>
      <c r="Q1386" s="29"/>
    </row>
    <row r="1387" spans="9:17">
      <c r="I1387" s="29"/>
      <c r="J1387" s="29"/>
      <c r="K1387" s="150"/>
      <c r="M1387" s="1001"/>
      <c r="N1387" s="29"/>
      <c r="P1387" s="29"/>
      <c r="Q1387" s="29"/>
    </row>
    <row r="1388" spans="9:17">
      <c r="I1388" s="29"/>
      <c r="J1388" s="29"/>
      <c r="K1388" s="150"/>
      <c r="M1388" s="1001"/>
      <c r="N1388" s="29"/>
      <c r="P1388" s="29"/>
      <c r="Q1388" s="29"/>
    </row>
    <row r="1389" spans="9:17">
      <c r="I1389" s="29"/>
      <c r="J1389" s="29"/>
      <c r="K1389" s="150"/>
      <c r="M1389" s="1001"/>
      <c r="N1389" s="29"/>
      <c r="P1389" s="29"/>
      <c r="Q1389" s="29"/>
    </row>
    <row r="1390" spans="9:17">
      <c r="I1390" s="29"/>
      <c r="J1390" s="29"/>
      <c r="K1390" s="150"/>
      <c r="M1390" s="1001"/>
      <c r="N1390" s="29"/>
      <c r="P1390" s="29"/>
      <c r="Q1390" s="29"/>
    </row>
    <row r="1391" spans="9:17">
      <c r="I1391" s="29"/>
      <c r="J1391" s="29"/>
      <c r="K1391" s="150"/>
      <c r="M1391" s="1001"/>
      <c r="N1391" s="29"/>
      <c r="P1391" s="29"/>
      <c r="Q1391" s="29"/>
    </row>
    <row r="1392" spans="9:17">
      <c r="I1392" s="29"/>
      <c r="J1392" s="29"/>
      <c r="K1392" s="150"/>
      <c r="M1392" s="1001"/>
      <c r="N1392" s="29"/>
      <c r="P1392" s="29"/>
      <c r="Q1392" s="29"/>
    </row>
    <row r="1393" spans="9:17">
      <c r="I1393" s="29"/>
      <c r="J1393" s="29"/>
      <c r="K1393" s="150"/>
      <c r="M1393" s="1001"/>
      <c r="N1393" s="29"/>
      <c r="P1393" s="29"/>
      <c r="Q1393" s="29"/>
    </row>
    <row r="1394" spans="9:17">
      <c r="I1394" s="29"/>
      <c r="J1394" s="29"/>
      <c r="K1394" s="150"/>
      <c r="M1394" s="1001"/>
      <c r="N1394" s="29"/>
      <c r="P1394" s="29"/>
      <c r="Q1394" s="29"/>
    </row>
    <row r="1395" spans="9:17">
      <c r="I1395" s="29"/>
      <c r="J1395" s="29"/>
      <c r="K1395" s="150"/>
      <c r="M1395" s="1001"/>
      <c r="N1395" s="29"/>
      <c r="P1395" s="29"/>
      <c r="Q1395" s="29"/>
    </row>
    <row r="1396" spans="9:17">
      <c r="I1396" s="29"/>
      <c r="J1396" s="29"/>
      <c r="K1396" s="150"/>
      <c r="M1396" s="1001"/>
      <c r="N1396" s="29"/>
      <c r="P1396" s="29"/>
      <c r="Q1396" s="29"/>
    </row>
    <row r="1397" spans="9:17">
      <c r="I1397" s="29"/>
      <c r="J1397" s="29"/>
      <c r="K1397" s="150"/>
      <c r="M1397" s="1001"/>
      <c r="N1397" s="29"/>
      <c r="P1397" s="29"/>
      <c r="Q1397" s="29"/>
    </row>
    <row r="1398" spans="9:17">
      <c r="I1398" s="29"/>
      <c r="J1398" s="29"/>
      <c r="K1398" s="150"/>
      <c r="M1398" s="1001"/>
      <c r="N1398" s="29"/>
      <c r="P1398" s="29"/>
      <c r="Q1398" s="29"/>
    </row>
    <row r="1399" spans="9:17">
      <c r="I1399" s="29"/>
      <c r="J1399" s="29"/>
      <c r="K1399" s="150"/>
      <c r="M1399" s="1001"/>
      <c r="N1399" s="29"/>
      <c r="P1399" s="29"/>
      <c r="Q1399" s="29"/>
    </row>
    <row r="1400" spans="9:17">
      <c r="I1400" s="29"/>
      <c r="J1400" s="29"/>
      <c r="K1400" s="150"/>
      <c r="M1400" s="1001"/>
      <c r="N1400" s="29"/>
      <c r="P1400" s="29"/>
      <c r="Q1400" s="29"/>
    </row>
    <row r="1401" spans="9:17">
      <c r="I1401" s="29"/>
      <c r="J1401" s="29"/>
      <c r="K1401" s="150"/>
      <c r="M1401" s="1001"/>
      <c r="N1401" s="29"/>
      <c r="P1401" s="29"/>
      <c r="Q1401" s="29"/>
    </row>
    <row r="1402" spans="9:17">
      <c r="I1402" s="29"/>
      <c r="J1402" s="29"/>
      <c r="K1402" s="150"/>
      <c r="M1402" s="1001"/>
      <c r="N1402" s="29"/>
      <c r="P1402" s="29"/>
      <c r="Q1402" s="29"/>
    </row>
    <row r="1403" spans="9:17">
      <c r="I1403" s="29"/>
      <c r="J1403" s="29"/>
      <c r="K1403" s="150"/>
      <c r="M1403" s="1001"/>
      <c r="N1403" s="29"/>
      <c r="P1403" s="29"/>
      <c r="Q1403" s="29"/>
    </row>
    <row r="1404" spans="9:17">
      <c r="I1404" s="29"/>
      <c r="J1404" s="29"/>
      <c r="K1404" s="150"/>
      <c r="M1404" s="1001"/>
      <c r="N1404" s="29"/>
      <c r="P1404" s="29"/>
      <c r="Q1404" s="29"/>
    </row>
    <row r="1405" spans="9:17">
      <c r="I1405" s="29"/>
      <c r="J1405" s="29"/>
      <c r="K1405" s="150"/>
      <c r="M1405" s="1001"/>
      <c r="N1405" s="29"/>
      <c r="P1405" s="29"/>
      <c r="Q1405" s="29"/>
    </row>
    <row r="1406" spans="9:17">
      <c r="I1406" s="29"/>
      <c r="J1406" s="29"/>
      <c r="K1406" s="150"/>
      <c r="M1406" s="1001"/>
      <c r="N1406" s="29"/>
      <c r="P1406" s="29"/>
      <c r="Q1406" s="29"/>
    </row>
    <row r="1407" spans="9:17">
      <c r="I1407" s="29"/>
      <c r="J1407" s="29"/>
      <c r="K1407" s="150"/>
      <c r="M1407" s="1001"/>
      <c r="N1407" s="29"/>
      <c r="P1407" s="29"/>
      <c r="Q1407" s="29"/>
    </row>
    <row r="1408" spans="9:17">
      <c r="I1408" s="29"/>
      <c r="J1408" s="29"/>
      <c r="K1408" s="150"/>
      <c r="M1408" s="1001"/>
      <c r="N1408" s="29"/>
      <c r="P1408" s="29"/>
      <c r="Q1408" s="29"/>
    </row>
    <row r="1409" spans="9:17">
      <c r="I1409" s="29"/>
      <c r="J1409" s="29"/>
      <c r="K1409" s="150"/>
      <c r="M1409" s="1001"/>
      <c r="N1409" s="29"/>
      <c r="P1409" s="29"/>
      <c r="Q1409" s="29"/>
    </row>
    <row r="1410" spans="9:17">
      <c r="I1410" s="29"/>
      <c r="J1410" s="29"/>
      <c r="K1410" s="150"/>
      <c r="M1410" s="1001"/>
      <c r="N1410" s="29"/>
      <c r="P1410" s="29"/>
      <c r="Q1410" s="29"/>
    </row>
    <row r="1411" spans="9:17">
      <c r="I1411" s="29"/>
      <c r="J1411" s="29"/>
      <c r="K1411" s="150"/>
      <c r="M1411" s="1001"/>
      <c r="N1411" s="29"/>
      <c r="P1411" s="29"/>
      <c r="Q1411" s="29"/>
    </row>
    <row r="1412" spans="9:17">
      <c r="I1412" s="29"/>
      <c r="J1412" s="29"/>
      <c r="K1412" s="150"/>
      <c r="M1412" s="1001"/>
      <c r="N1412" s="29"/>
      <c r="P1412" s="29"/>
      <c r="Q1412" s="29"/>
    </row>
    <row r="1413" spans="9:17">
      <c r="I1413" s="29"/>
      <c r="J1413" s="29"/>
      <c r="K1413" s="150"/>
      <c r="M1413" s="1001"/>
      <c r="N1413" s="29"/>
      <c r="P1413" s="29"/>
      <c r="Q1413" s="29"/>
    </row>
    <row r="1414" spans="9:17">
      <c r="I1414" s="29"/>
      <c r="J1414" s="29"/>
      <c r="K1414" s="150"/>
      <c r="M1414" s="1001"/>
      <c r="N1414" s="29"/>
      <c r="P1414" s="29"/>
      <c r="Q1414" s="29"/>
    </row>
    <row r="1415" spans="9:17">
      <c r="I1415" s="29"/>
      <c r="J1415" s="29"/>
      <c r="K1415" s="150"/>
      <c r="M1415" s="1001"/>
      <c r="N1415" s="29"/>
      <c r="P1415" s="29"/>
      <c r="Q1415" s="29"/>
    </row>
    <row r="1416" spans="9:17">
      <c r="I1416" s="29"/>
      <c r="J1416" s="29"/>
      <c r="K1416" s="150"/>
      <c r="M1416" s="1001"/>
      <c r="N1416" s="29"/>
      <c r="P1416" s="29"/>
      <c r="Q1416" s="29"/>
    </row>
    <row r="1417" spans="9:17">
      <c r="I1417" s="29"/>
      <c r="J1417" s="29"/>
      <c r="K1417" s="150"/>
      <c r="M1417" s="1001"/>
      <c r="N1417" s="29"/>
      <c r="P1417" s="29"/>
      <c r="Q1417" s="29"/>
    </row>
    <row r="1418" spans="9:17">
      <c r="I1418" s="29"/>
      <c r="J1418" s="29"/>
      <c r="K1418" s="150"/>
      <c r="M1418" s="1001"/>
      <c r="N1418" s="29"/>
      <c r="P1418" s="29"/>
      <c r="Q1418" s="29"/>
    </row>
    <row r="1419" spans="9:17">
      <c r="I1419" s="29"/>
      <c r="J1419" s="29"/>
      <c r="K1419" s="150"/>
      <c r="M1419" s="1001"/>
      <c r="N1419" s="29"/>
      <c r="P1419" s="29"/>
      <c r="Q1419" s="29"/>
    </row>
    <row r="1420" spans="9:17">
      <c r="I1420" s="29"/>
      <c r="J1420" s="29"/>
      <c r="K1420" s="150"/>
      <c r="M1420" s="1001"/>
      <c r="N1420" s="29"/>
      <c r="P1420" s="29"/>
      <c r="Q1420" s="29"/>
    </row>
    <row r="1421" spans="9:17">
      <c r="I1421" s="29"/>
      <c r="J1421" s="29"/>
      <c r="K1421" s="150"/>
      <c r="M1421" s="1001"/>
      <c r="N1421" s="29"/>
      <c r="P1421" s="29"/>
      <c r="Q1421" s="29"/>
    </row>
    <row r="1422" spans="9:17">
      <c r="I1422" s="29"/>
      <c r="J1422" s="29"/>
      <c r="K1422" s="150"/>
      <c r="M1422" s="1001"/>
      <c r="N1422" s="29"/>
      <c r="P1422" s="29"/>
      <c r="Q1422" s="29"/>
    </row>
    <row r="1423" spans="9:17">
      <c r="I1423" s="29"/>
      <c r="J1423" s="29"/>
      <c r="K1423" s="150"/>
      <c r="M1423" s="1001"/>
      <c r="N1423" s="29"/>
      <c r="P1423" s="29"/>
      <c r="Q1423" s="29"/>
    </row>
    <row r="1424" spans="9:17">
      <c r="I1424" s="29"/>
      <c r="J1424" s="29"/>
      <c r="K1424" s="150"/>
      <c r="M1424" s="1001"/>
      <c r="N1424" s="29"/>
      <c r="P1424" s="29"/>
      <c r="Q1424" s="29"/>
    </row>
    <row r="1425" spans="9:17">
      <c r="I1425" s="29"/>
      <c r="J1425" s="29"/>
      <c r="K1425" s="150"/>
      <c r="M1425" s="1001"/>
      <c r="N1425" s="29"/>
      <c r="P1425" s="29"/>
      <c r="Q1425" s="29"/>
    </row>
    <row r="1426" spans="9:17">
      <c r="I1426" s="29"/>
      <c r="J1426" s="29"/>
      <c r="K1426" s="150"/>
      <c r="M1426" s="1001"/>
      <c r="N1426" s="29"/>
      <c r="P1426" s="29"/>
      <c r="Q1426" s="29"/>
    </row>
    <row r="1427" spans="9:17">
      <c r="I1427" s="29"/>
      <c r="J1427" s="29"/>
      <c r="K1427" s="150"/>
      <c r="M1427" s="1001"/>
      <c r="N1427" s="29"/>
      <c r="P1427" s="29"/>
      <c r="Q1427" s="29"/>
    </row>
    <row r="1428" spans="9:17">
      <c r="I1428" s="29"/>
      <c r="J1428" s="29"/>
      <c r="K1428" s="150"/>
      <c r="M1428" s="1001"/>
      <c r="N1428" s="29"/>
      <c r="P1428" s="29"/>
      <c r="Q1428" s="29"/>
    </row>
    <row r="1429" spans="9:17">
      <c r="I1429" s="29"/>
      <c r="J1429" s="29"/>
      <c r="K1429" s="150"/>
      <c r="M1429" s="1001"/>
      <c r="N1429" s="29"/>
      <c r="P1429" s="29"/>
      <c r="Q1429" s="29"/>
    </row>
    <row r="1430" spans="9:17">
      <c r="I1430" s="29"/>
      <c r="J1430" s="29"/>
      <c r="K1430" s="150"/>
      <c r="M1430" s="1001"/>
      <c r="N1430" s="29"/>
      <c r="P1430" s="29"/>
      <c r="Q1430" s="29"/>
    </row>
    <row r="1431" spans="9:17">
      <c r="I1431" s="29"/>
      <c r="J1431" s="29"/>
      <c r="K1431" s="150"/>
      <c r="M1431" s="1001"/>
      <c r="N1431" s="29"/>
      <c r="P1431" s="29"/>
      <c r="Q1431" s="29"/>
    </row>
    <row r="1432" spans="9:17">
      <c r="I1432" s="29"/>
      <c r="J1432" s="29"/>
      <c r="K1432" s="150"/>
      <c r="M1432" s="1001"/>
      <c r="N1432" s="29"/>
      <c r="P1432" s="29"/>
      <c r="Q1432" s="29"/>
    </row>
    <row r="1433" spans="9:17">
      <c r="I1433" s="29"/>
      <c r="J1433" s="29"/>
      <c r="K1433" s="150"/>
      <c r="M1433" s="1001"/>
      <c r="N1433" s="29"/>
      <c r="P1433" s="29"/>
      <c r="Q1433" s="29"/>
    </row>
    <row r="1434" spans="9:17">
      <c r="I1434" s="29"/>
      <c r="J1434" s="29"/>
      <c r="K1434" s="150"/>
      <c r="M1434" s="1001"/>
      <c r="N1434" s="29"/>
      <c r="P1434" s="29"/>
      <c r="Q1434" s="29"/>
    </row>
    <row r="1435" spans="9:17">
      <c r="I1435" s="29"/>
      <c r="J1435" s="29"/>
      <c r="K1435" s="150"/>
      <c r="M1435" s="1001"/>
      <c r="N1435" s="29"/>
      <c r="P1435" s="29"/>
      <c r="Q1435" s="29"/>
    </row>
    <row r="1436" spans="9:17">
      <c r="I1436" s="29"/>
      <c r="J1436" s="29"/>
      <c r="K1436" s="150"/>
      <c r="M1436" s="1001"/>
      <c r="N1436" s="29"/>
      <c r="P1436" s="29"/>
      <c r="Q1436" s="29"/>
    </row>
    <row r="1437" spans="9:17">
      <c r="I1437" s="29"/>
      <c r="J1437" s="29"/>
      <c r="K1437" s="150"/>
      <c r="M1437" s="1001"/>
      <c r="N1437" s="29"/>
      <c r="P1437" s="29"/>
      <c r="Q1437" s="29"/>
    </row>
    <row r="1438" spans="9:17">
      <c r="I1438" s="29"/>
      <c r="J1438" s="29"/>
      <c r="K1438" s="150"/>
      <c r="M1438" s="1001"/>
      <c r="N1438" s="29"/>
      <c r="P1438" s="29"/>
      <c r="Q1438" s="29"/>
    </row>
    <row r="1439" spans="9:17">
      <c r="I1439" s="29"/>
      <c r="J1439" s="29"/>
      <c r="K1439" s="150"/>
      <c r="M1439" s="1001"/>
      <c r="N1439" s="29"/>
      <c r="P1439" s="29"/>
      <c r="Q1439" s="29"/>
    </row>
    <row r="1440" spans="9:17">
      <c r="I1440" s="29"/>
      <c r="J1440" s="29"/>
      <c r="K1440" s="150"/>
      <c r="M1440" s="1001"/>
      <c r="N1440" s="29"/>
      <c r="P1440" s="29"/>
      <c r="Q1440" s="29"/>
    </row>
    <row r="1441" spans="9:17">
      <c r="I1441" s="29"/>
      <c r="J1441" s="29"/>
      <c r="K1441" s="150"/>
      <c r="M1441" s="1001"/>
      <c r="N1441" s="29"/>
      <c r="P1441" s="29"/>
      <c r="Q1441" s="29"/>
    </row>
    <row r="1442" spans="9:17">
      <c r="I1442" s="29"/>
      <c r="J1442" s="29"/>
      <c r="K1442" s="150"/>
      <c r="M1442" s="1001"/>
      <c r="N1442" s="29"/>
      <c r="P1442" s="29"/>
      <c r="Q1442" s="29"/>
    </row>
    <row r="1443" spans="9:17">
      <c r="I1443" s="29"/>
      <c r="J1443" s="29"/>
      <c r="K1443" s="150"/>
      <c r="M1443" s="1001"/>
      <c r="N1443" s="29"/>
      <c r="P1443" s="29"/>
      <c r="Q1443" s="29"/>
    </row>
    <row r="1444" spans="9:17">
      <c r="I1444" s="29"/>
      <c r="J1444" s="29"/>
      <c r="K1444" s="150"/>
      <c r="M1444" s="1001"/>
      <c r="N1444" s="29"/>
      <c r="P1444" s="29"/>
      <c r="Q1444" s="29"/>
    </row>
    <row r="1445" spans="9:17">
      <c r="I1445" s="29"/>
      <c r="J1445" s="29"/>
      <c r="K1445" s="150"/>
      <c r="M1445" s="1001"/>
      <c r="N1445" s="29"/>
      <c r="P1445" s="29"/>
      <c r="Q1445" s="29"/>
    </row>
    <row r="1446" spans="9:17">
      <c r="I1446" s="29"/>
      <c r="J1446" s="29"/>
      <c r="K1446" s="150"/>
      <c r="M1446" s="1001"/>
      <c r="N1446" s="29"/>
      <c r="P1446" s="29"/>
      <c r="Q1446" s="29"/>
    </row>
    <row r="1447" spans="9:17">
      <c r="I1447" s="29"/>
      <c r="J1447" s="29"/>
      <c r="K1447" s="150"/>
      <c r="M1447" s="1001"/>
      <c r="N1447" s="29"/>
      <c r="P1447" s="29"/>
      <c r="Q1447" s="29"/>
    </row>
    <row r="1448" spans="9:17">
      <c r="I1448" s="29"/>
      <c r="J1448" s="29"/>
      <c r="K1448" s="150"/>
      <c r="M1448" s="1001"/>
      <c r="N1448" s="29"/>
      <c r="P1448" s="29"/>
      <c r="Q1448" s="29"/>
    </row>
    <row r="1449" spans="9:17">
      <c r="I1449" s="29"/>
      <c r="J1449" s="29"/>
      <c r="K1449" s="150"/>
      <c r="M1449" s="1001"/>
      <c r="N1449" s="29"/>
      <c r="P1449" s="29"/>
      <c r="Q1449" s="29"/>
    </row>
    <row r="1450" spans="9:17">
      <c r="I1450" s="29"/>
      <c r="J1450" s="29"/>
      <c r="K1450" s="150"/>
      <c r="M1450" s="1001"/>
      <c r="N1450" s="29"/>
      <c r="P1450" s="29"/>
      <c r="Q1450" s="29"/>
    </row>
    <row r="1451" spans="9:17">
      <c r="I1451" s="29"/>
      <c r="J1451" s="29"/>
      <c r="K1451" s="150"/>
      <c r="M1451" s="1001"/>
      <c r="N1451" s="29"/>
      <c r="P1451" s="29"/>
      <c r="Q1451" s="29"/>
    </row>
    <row r="1452" spans="9:17">
      <c r="I1452" s="29"/>
      <c r="J1452" s="29"/>
      <c r="K1452" s="150"/>
      <c r="M1452" s="1001"/>
      <c r="N1452" s="29"/>
      <c r="P1452" s="29"/>
      <c r="Q1452" s="29"/>
    </row>
    <row r="1453" spans="9:17">
      <c r="I1453" s="29"/>
      <c r="J1453" s="29"/>
      <c r="K1453" s="150"/>
      <c r="M1453" s="1001"/>
      <c r="N1453" s="29"/>
      <c r="P1453" s="29"/>
      <c r="Q1453" s="29"/>
    </row>
    <row r="1454" spans="9:17">
      <c r="I1454" s="29"/>
      <c r="J1454" s="29"/>
      <c r="K1454" s="150"/>
      <c r="M1454" s="1001"/>
      <c r="N1454" s="29"/>
      <c r="P1454" s="29"/>
      <c r="Q1454" s="29"/>
    </row>
    <row r="1455" spans="9:17">
      <c r="I1455" s="29"/>
      <c r="J1455" s="29"/>
      <c r="K1455" s="150"/>
      <c r="M1455" s="1001"/>
      <c r="N1455" s="29"/>
      <c r="P1455" s="29"/>
      <c r="Q1455" s="29"/>
    </row>
    <row r="1456" spans="9:17">
      <c r="I1456" s="29"/>
      <c r="J1456" s="29"/>
      <c r="K1456" s="150"/>
      <c r="M1456" s="1001"/>
      <c r="N1456" s="29"/>
      <c r="P1456" s="29"/>
      <c r="Q1456" s="29"/>
    </row>
    <row r="1457" spans="9:17">
      <c r="I1457" s="29"/>
      <c r="J1457" s="29"/>
      <c r="K1457" s="150"/>
      <c r="M1457" s="1001"/>
      <c r="N1457" s="29"/>
      <c r="P1457" s="29"/>
      <c r="Q1457" s="29"/>
    </row>
    <row r="1458" spans="9:17">
      <c r="I1458" s="29"/>
      <c r="J1458" s="29"/>
      <c r="K1458" s="150"/>
      <c r="M1458" s="1001"/>
      <c r="N1458" s="29"/>
      <c r="P1458" s="29"/>
      <c r="Q1458" s="29"/>
    </row>
    <row r="1459" spans="9:17">
      <c r="I1459" s="29"/>
      <c r="J1459" s="29"/>
      <c r="K1459" s="150"/>
      <c r="M1459" s="1001"/>
      <c r="N1459" s="29"/>
      <c r="P1459" s="29"/>
      <c r="Q1459" s="29"/>
    </row>
    <row r="1460" spans="9:17">
      <c r="I1460" s="29"/>
      <c r="J1460" s="29"/>
      <c r="K1460" s="150"/>
      <c r="M1460" s="1001"/>
      <c r="N1460" s="29"/>
      <c r="P1460" s="29"/>
      <c r="Q1460" s="29"/>
    </row>
    <row r="1461" spans="9:17">
      <c r="I1461" s="29"/>
      <c r="J1461" s="29"/>
      <c r="K1461" s="150"/>
      <c r="M1461" s="1001"/>
      <c r="N1461" s="29"/>
      <c r="P1461" s="29"/>
      <c r="Q1461" s="29"/>
    </row>
    <row r="1462" spans="9:17">
      <c r="I1462" s="29"/>
      <c r="J1462" s="29"/>
      <c r="K1462" s="150"/>
      <c r="M1462" s="1001"/>
      <c r="N1462" s="29"/>
      <c r="P1462" s="29"/>
      <c r="Q1462" s="29"/>
    </row>
    <row r="1463" spans="9:17">
      <c r="I1463" s="29"/>
      <c r="J1463" s="29"/>
      <c r="K1463" s="150"/>
      <c r="M1463" s="1001"/>
      <c r="N1463" s="29"/>
      <c r="P1463" s="29"/>
      <c r="Q1463" s="29"/>
    </row>
    <row r="1464" spans="9:17">
      <c r="I1464" s="29"/>
      <c r="J1464" s="29"/>
      <c r="K1464" s="150"/>
      <c r="M1464" s="1001"/>
      <c r="N1464" s="29"/>
      <c r="P1464" s="29"/>
      <c r="Q1464" s="29"/>
    </row>
    <row r="1465" spans="9:17">
      <c r="I1465" s="29"/>
      <c r="J1465" s="29"/>
      <c r="K1465" s="150"/>
      <c r="M1465" s="1001"/>
      <c r="N1465" s="29"/>
      <c r="P1465" s="29"/>
      <c r="Q1465" s="29"/>
    </row>
    <row r="1466" spans="9:17">
      <c r="I1466" s="29"/>
      <c r="J1466" s="29"/>
      <c r="K1466" s="150"/>
      <c r="M1466" s="1001"/>
      <c r="N1466" s="29"/>
      <c r="P1466" s="29"/>
      <c r="Q1466" s="29"/>
    </row>
    <row r="1467" spans="9:17">
      <c r="I1467" s="29"/>
      <c r="J1467" s="29"/>
      <c r="K1467" s="150"/>
      <c r="M1467" s="1001"/>
      <c r="N1467" s="29"/>
      <c r="P1467" s="29"/>
      <c r="Q1467" s="29"/>
    </row>
    <row r="1468" spans="9:17">
      <c r="I1468" s="29"/>
      <c r="J1468" s="29"/>
      <c r="K1468" s="150"/>
      <c r="M1468" s="1001"/>
      <c r="N1468" s="29"/>
      <c r="P1468" s="29"/>
      <c r="Q1468" s="29"/>
    </row>
    <row r="1469" spans="9:17">
      <c r="I1469" s="29"/>
      <c r="J1469" s="29"/>
      <c r="K1469" s="150"/>
      <c r="M1469" s="1001"/>
      <c r="N1469" s="29"/>
      <c r="P1469" s="29"/>
      <c r="Q1469" s="29"/>
    </row>
    <row r="1470" spans="9:17">
      <c r="I1470" s="29"/>
      <c r="J1470" s="29"/>
      <c r="K1470" s="150"/>
      <c r="M1470" s="1001"/>
      <c r="N1470" s="29"/>
      <c r="P1470" s="29"/>
      <c r="Q1470" s="29"/>
    </row>
    <row r="1471" spans="9:17">
      <c r="I1471" s="29"/>
      <c r="J1471" s="29"/>
      <c r="K1471" s="150"/>
      <c r="M1471" s="1001"/>
      <c r="N1471" s="29"/>
      <c r="P1471" s="29"/>
      <c r="Q1471" s="29"/>
    </row>
    <row r="1472" spans="9:17">
      <c r="I1472" s="29"/>
      <c r="J1472" s="29"/>
      <c r="K1472" s="150"/>
      <c r="M1472" s="1001"/>
      <c r="N1472" s="29"/>
      <c r="P1472" s="29"/>
      <c r="Q1472" s="29"/>
    </row>
    <row r="1473" spans="9:17">
      <c r="I1473" s="29"/>
      <c r="J1473" s="29"/>
      <c r="K1473" s="150"/>
      <c r="M1473" s="1001"/>
      <c r="N1473" s="29"/>
      <c r="P1473" s="29"/>
      <c r="Q1473" s="29"/>
    </row>
    <row r="1474" spans="9:17">
      <c r="I1474" s="29"/>
      <c r="J1474" s="29"/>
      <c r="K1474" s="150"/>
      <c r="M1474" s="1001"/>
      <c r="N1474" s="29"/>
      <c r="P1474" s="29"/>
      <c r="Q1474" s="29"/>
    </row>
    <row r="1475" spans="9:17">
      <c r="I1475" s="29"/>
      <c r="J1475" s="29"/>
      <c r="K1475" s="150"/>
      <c r="M1475" s="1001"/>
      <c r="N1475" s="29"/>
      <c r="P1475" s="29"/>
      <c r="Q1475" s="29"/>
    </row>
    <row r="1476" spans="9:17">
      <c r="I1476" s="29"/>
      <c r="J1476" s="29"/>
      <c r="K1476" s="150"/>
      <c r="M1476" s="1001"/>
      <c r="N1476" s="29"/>
      <c r="P1476" s="29"/>
      <c r="Q1476" s="29"/>
    </row>
    <row r="1477" spans="9:17">
      <c r="I1477" s="29"/>
      <c r="J1477" s="29"/>
      <c r="K1477" s="150"/>
      <c r="M1477" s="1001"/>
      <c r="N1477" s="29"/>
      <c r="P1477" s="29"/>
      <c r="Q1477" s="29"/>
    </row>
    <row r="1478" spans="9:17">
      <c r="I1478" s="29"/>
      <c r="J1478" s="29"/>
      <c r="K1478" s="150"/>
      <c r="M1478" s="1001"/>
      <c r="N1478" s="29"/>
      <c r="P1478" s="29"/>
      <c r="Q1478" s="29"/>
    </row>
    <row r="1479" spans="9:17">
      <c r="I1479" s="29"/>
      <c r="J1479" s="29"/>
      <c r="K1479" s="150"/>
      <c r="M1479" s="1001"/>
      <c r="N1479" s="29"/>
      <c r="P1479" s="29"/>
      <c r="Q1479" s="29"/>
    </row>
    <row r="1480" spans="9:17">
      <c r="I1480" s="29"/>
      <c r="J1480" s="29"/>
      <c r="K1480" s="150"/>
      <c r="M1480" s="1001"/>
      <c r="N1480" s="29"/>
      <c r="P1480" s="29"/>
      <c r="Q1480" s="29"/>
    </row>
    <row r="1481" spans="9:17">
      <c r="I1481" s="29"/>
      <c r="J1481" s="29"/>
      <c r="K1481" s="150"/>
      <c r="M1481" s="1001"/>
      <c r="N1481" s="29"/>
      <c r="P1481" s="29"/>
      <c r="Q1481" s="29"/>
    </row>
    <row r="1482" spans="9:17">
      <c r="I1482" s="29"/>
      <c r="J1482" s="29"/>
      <c r="K1482" s="150"/>
      <c r="M1482" s="1001"/>
      <c r="N1482" s="29"/>
      <c r="P1482" s="29"/>
      <c r="Q1482" s="29"/>
    </row>
    <row r="1483" spans="9:17">
      <c r="I1483" s="29"/>
      <c r="J1483" s="29"/>
      <c r="K1483" s="150"/>
      <c r="M1483" s="1001"/>
      <c r="N1483" s="29"/>
      <c r="P1483" s="29"/>
      <c r="Q1483" s="29"/>
    </row>
    <row r="1484" spans="9:17">
      <c r="I1484" s="29"/>
      <c r="J1484" s="29"/>
      <c r="K1484" s="150"/>
      <c r="M1484" s="1001"/>
      <c r="N1484" s="29"/>
      <c r="P1484" s="29"/>
      <c r="Q1484" s="29"/>
    </row>
    <row r="1485" spans="9:17">
      <c r="I1485" s="29"/>
      <c r="J1485" s="29"/>
      <c r="K1485" s="150"/>
      <c r="M1485" s="1001"/>
      <c r="N1485" s="29"/>
      <c r="P1485" s="29"/>
      <c r="Q1485" s="29"/>
    </row>
    <row r="1486" spans="9:17">
      <c r="I1486" s="29"/>
      <c r="J1486" s="29"/>
      <c r="K1486" s="150"/>
      <c r="M1486" s="1001"/>
      <c r="N1486" s="29"/>
      <c r="P1486" s="29"/>
      <c r="Q1486" s="29"/>
    </row>
    <row r="1487" spans="9:17">
      <c r="I1487" s="29"/>
      <c r="J1487" s="29"/>
      <c r="K1487" s="150"/>
      <c r="M1487" s="1001"/>
      <c r="N1487" s="29"/>
      <c r="P1487" s="29"/>
      <c r="Q1487" s="29"/>
    </row>
    <row r="1488" spans="9:17">
      <c r="I1488" s="29"/>
      <c r="J1488" s="29"/>
      <c r="K1488" s="150"/>
      <c r="M1488" s="1001"/>
      <c r="N1488" s="29"/>
      <c r="P1488" s="29"/>
      <c r="Q1488" s="29"/>
    </row>
    <row r="1489" spans="9:17">
      <c r="I1489" s="29"/>
      <c r="J1489" s="29"/>
      <c r="K1489" s="150"/>
      <c r="M1489" s="1001"/>
      <c r="N1489" s="29"/>
      <c r="P1489" s="29"/>
      <c r="Q1489" s="29"/>
    </row>
    <row r="1490" spans="9:17">
      <c r="I1490" s="29"/>
      <c r="J1490" s="29"/>
      <c r="K1490" s="150"/>
      <c r="M1490" s="1001"/>
      <c r="N1490" s="29"/>
      <c r="P1490" s="29"/>
      <c r="Q1490" s="29"/>
    </row>
    <row r="1491" spans="9:17">
      <c r="I1491" s="29"/>
      <c r="J1491" s="29"/>
      <c r="K1491" s="150"/>
      <c r="M1491" s="1001"/>
      <c r="N1491" s="29"/>
      <c r="P1491" s="29"/>
      <c r="Q1491" s="29"/>
    </row>
    <row r="1492" spans="9:17">
      <c r="I1492" s="29"/>
      <c r="J1492" s="29"/>
      <c r="K1492" s="150"/>
      <c r="M1492" s="1001"/>
      <c r="N1492" s="29"/>
      <c r="P1492" s="29"/>
      <c r="Q1492" s="29"/>
    </row>
    <row r="1493" spans="9:17">
      <c r="I1493" s="29"/>
      <c r="J1493" s="29"/>
      <c r="K1493" s="150"/>
      <c r="M1493" s="1001"/>
      <c r="N1493" s="29"/>
      <c r="P1493" s="29"/>
      <c r="Q1493" s="29"/>
    </row>
    <row r="1494" spans="9:17">
      <c r="I1494" s="29"/>
      <c r="J1494" s="29"/>
      <c r="K1494" s="150"/>
      <c r="M1494" s="1001"/>
      <c r="N1494" s="29"/>
      <c r="P1494" s="29"/>
      <c r="Q1494" s="29"/>
    </row>
    <row r="1495" spans="9:17">
      <c r="I1495" s="29"/>
      <c r="J1495" s="29"/>
      <c r="K1495" s="150"/>
      <c r="M1495" s="1001"/>
      <c r="N1495" s="29"/>
      <c r="P1495" s="29"/>
      <c r="Q1495" s="29"/>
    </row>
    <row r="1496" spans="9:17">
      <c r="I1496" s="29"/>
      <c r="J1496" s="29"/>
      <c r="K1496" s="150"/>
      <c r="M1496" s="1001"/>
      <c r="N1496" s="29"/>
      <c r="P1496" s="29"/>
      <c r="Q1496" s="29"/>
    </row>
    <row r="1497" spans="9:17">
      <c r="I1497" s="29"/>
      <c r="J1497" s="29"/>
      <c r="K1497" s="150"/>
      <c r="M1497" s="1001"/>
      <c r="N1497" s="29"/>
      <c r="P1497" s="29"/>
      <c r="Q1497" s="29"/>
    </row>
    <row r="1498" spans="9:17">
      <c r="I1498" s="29"/>
      <c r="J1498" s="29"/>
      <c r="K1498" s="150"/>
      <c r="M1498" s="1001"/>
      <c r="N1498" s="29"/>
      <c r="P1498" s="29"/>
      <c r="Q1498" s="29"/>
    </row>
    <row r="1499" spans="9:17">
      <c r="I1499" s="29"/>
      <c r="J1499" s="29"/>
      <c r="K1499" s="150"/>
      <c r="M1499" s="1001"/>
      <c r="N1499" s="29"/>
      <c r="P1499" s="29"/>
      <c r="Q1499" s="29"/>
    </row>
    <row r="1500" spans="9:17">
      <c r="I1500" s="29"/>
      <c r="J1500" s="29"/>
      <c r="K1500" s="150"/>
      <c r="M1500" s="1001"/>
      <c r="N1500" s="29"/>
      <c r="P1500" s="29"/>
      <c r="Q1500" s="29"/>
    </row>
    <row r="1501" spans="9:17">
      <c r="I1501" s="29"/>
      <c r="J1501" s="29"/>
      <c r="K1501" s="150"/>
      <c r="M1501" s="1001"/>
      <c r="N1501" s="29"/>
      <c r="P1501" s="29"/>
      <c r="Q1501" s="29"/>
    </row>
    <row r="1502" spans="9:17">
      <c r="I1502" s="29"/>
      <c r="J1502" s="29"/>
      <c r="K1502" s="150"/>
      <c r="M1502" s="1001"/>
      <c r="N1502" s="29"/>
      <c r="P1502" s="29"/>
      <c r="Q1502" s="29"/>
    </row>
    <row r="1503" spans="9:17">
      <c r="I1503" s="29"/>
      <c r="J1503" s="29"/>
      <c r="K1503" s="150"/>
      <c r="M1503" s="1001"/>
      <c r="N1503" s="29"/>
      <c r="P1503" s="29"/>
      <c r="Q1503" s="29"/>
    </row>
    <row r="1504" spans="9:17">
      <c r="I1504" s="29"/>
      <c r="J1504" s="29"/>
      <c r="K1504" s="150"/>
      <c r="M1504" s="1001"/>
      <c r="N1504" s="29"/>
      <c r="P1504" s="29"/>
      <c r="Q1504" s="29"/>
    </row>
    <row r="1505" spans="9:17">
      <c r="I1505" s="29"/>
      <c r="J1505" s="29"/>
      <c r="K1505" s="150"/>
      <c r="M1505" s="1001"/>
      <c r="N1505" s="29"/>
      <c r="P1505" s="29"/>
      <c r="Q1505" s="29"/>
    </row>
    <row r="1506" spans="9:17">
      <c r="I1506" s="29"/>
      <c r="J1506" s="29"/>
      <c r="K1506" s="150"/>
      <c r="M1506" s="1001"/>
      <c r="N1506" s="29"/>
      <c r="P1506" s="29"/>
      <c r="Q1506" s="29"/>
    </row>
    <row r="1507" spans="9:17">
      <c r="I1507" s="29"/>
      <c r="J1507" s="29"/>
      <c r="K1507" s="150"/>
      <c r="M1507" s="1001"/>
      <c r="N1507" s="29"/>
      <c r="P1507" s="29"/>
      <c r="Q1507" s="29"/>
    </row>
    <row r="1508" spans="9:17">
      <c r="I1508" s="29"/>
      <c r="J1508" s="29"/>
      <c r="K1508" s="150"/>
      <c r="M1508" s="1001"/>
      <c r="N1508" s="29"/>
      <c r="P1508" s="29"/>
      <c r="Q1508" s="29"/>
    </row>
    <row r="1509" spans="9:17">
      <c r="I1509" s="29"/>
      <c r="J1509" s="29"/>
      <c r="K1509" s="150"/>
      <c r="M1509" s="1001"/>
      <c r="N1509" s="29"/>
      <c r="P1509" s="29"/>
      <c r="Q1509" s="29"/>
    </row>
    <row r="1510" spans="9:17">
      <c r="I1510" s="29"/>
      <c r="J1510" s="29"/>
      <c r="K1510" s="150"/>
      <c r="M1510" s="1001"/>
      <c r="N1510" s="29"/>
      <c r="P1510" s="29"/>
      <c r="Q1510" s="29"/>
    </row>
    <row r="1511" spans="9:17">
      <c r="I1511" s="29"/>
      <c r="J1511" s="29"/>
      <c r="K1511" s="150"/>
      <c r="M1511" s="1001"/>
      <c r="N1511" s="29"/>
      <c r="P1511" s="29"/>
      <c r="Q1511" s="29"/>
    </row>
    <row r="1512" spans="9:17">
      <c r="I1512" s="29"/>
      <c r="J1512" s="29"/>
      <c r="K1512" s="150"/>
      <c r="M1512" s="1001"/>
      <c r="N1512" s="29"/>
      <c r="P1512" s="29"/>
      <c r="Q1512" s="29"/>
    </row>
    <row r="1513" spans="9:17">
      <c r="I1513" s="29"/>
      <c r="J1513" s="29"/>
      <c r="K1513" s="150"/>
      <c r="M1513" s="1001"/>
      <c r="N1513" s="29"/>
      <c r="P1513" s="29"/>
      <c r="Q1513" s="29"/>
    </row>
    <row r="1514" spans="9:17">
      <c r="I1514" s="29"/>
      <c r="J1514" s="29"/>
      <c r="K1514" s="150"/>
      <c r="M1514" s="1001"/>
      <c r="N1514" s="29"/>
      <c r="P1514" s="29"/>
      <c r="Q1514" s="29"/>
    </row>
    <row r="1515" spans="9:17">
      <c r="I1515" s="29"/>
      <c r="J1515" s="29"/>
      <c r="K1515" s="150"/>
      <c r="M1515" s="1001"/>
      <c r="N1515" s="29"/>
      <c r="P1515" s="29"/>
      <c r="Q1515" s="29"/>
    </row>
    <row r="1516" spans="9:17">
      <c r="I1516" s="29"/>
      <c r="J1516" s="29"/>
      <c r="K1516" s="150"/>
      <c r="M1516" s="1001"/>
      <c r="N1516" s="29"/>
      <c r="P1516" s="29"/>
      <c r="Q1516" s="29"/>
    </row>
    <row r="1517" spans="9:17">
      <c r="I1517" s="29"/>
      <c r="J1517" s="29"/>
      <c r="K1517" s="150"/>
      <c r="M1517" s="1001"/>
      <c r="N1517" s="29"/>
      <c r="P1517" s="29"/>
      <c r="Q1517" s="29"/>
    </row>
    <row r="1518" spans="9:17">
      <c r="I1518" s="29"/>
      <c r="J1518" s="29"/>
      <c r="K1518" s="150"/>
      <c r="M1518" s="1001"/>
      <c r="N1518" s="29"/>
      <c r="P1518" s="29"/>
      <c r="Q1518" s="29"/>
    </row>
    <row r="1519" spans="9:17">
      <c r="I1519" s="29"/>
      <c r="J1519" s="29"/>
      <c r="K1519" s="150"/>
      <c r="M1519" s="1001"/>
      <c r="N1519" s="29"/>
      <c r="P1519" s="29"/>
      <c r="Q1519" s="29"/>
    </row>
    <row r="1520" spans="9:17">
      <c r="I1520" s="29"/>
      <c r="J1520" s="29"/>
      <c r="K1520" s="150"/>
      <c r="M1520" s="1001"/>
      <c r="N1520" s="29"/>
      <c r="P1520" s="29"/>
      <c r="Q1520" s="29"/>
    </row>
    <row r="1521" spans="9:17">
      <c r="I1521" s="29"/>
      <c r="J1521" s="29"/>
      <c r="K1521" s="150"/>
      <c r="M1521" s="1001"/>
      <c r="N1521" s="29"/>
      <c r="P1521" s="29"/>
      <c r="Q1521" s="29"/>
    </row>
    <row r="1522" spans="9:17">
      <c r="I1522" s="29"/>
      <c r="J1522" s="29"/>
      <c r="K1522" s="150"/>
      <c r="M1522" s="1001"/>
      <c r="N1522" s="29"/>
      <c r="P1522" s="29"/>
      <c r="Q1522" s="29"/>
    </row>
    <row r="1523" spans="9:17">
      <c r="I1523" s="29"/>
      <c r="J1523" s="29"/>
      <c r="K1523" s="150"/>
      <c r="M1523" s="1001"/>
      <c r="N1523" s="29"/>
      <c r="P1523" s="29"/>
      <c r="Q1523" s="29"/>
    </row>
    <row r="1524" spans="9:17">
      <c r="I1524" s="29"/>
      <c r="J1524" s="29"/>
      <c r="K1524" s="150"/>
      <c r="M1524" s="1001"/>
      <c r="N1524" s="29"/>
      <c r="P1524" s="29"/>
      <c r="Q1524" s="29"/>
    </row>
    <row r="1525" spans="9:17">
      <c r="I1525" s="29"/>
      <c r="J1525" s="29"/>
      <c r="K1525" s="150"/>
      <c r="M1525" s="1001"/>
      <c r="N1525" s="29"/>
      <c r="P1525" s="29"/>
      <c r="Q1525" s="29"/>
    </row>
    <row r="1526" spans="9:17">
      <c r="I1526" s="29"/>
      <c r="J1526" s="29"/>
      <c r="K1526" s="150"/>
      <c r="M1526" s="1001"/>
      <c r="N1526" s="29"/>
      <c r="P1526" s="29"/>
      <c r="Q1526" s="29"/>
    </row>
    <row r="1527" spans="9:17">
      <c r="I1527" s="29"/>
      <c r="J1527" s="29"/>
      <c r="K1527" s="150"/>
      <c r="M1527" s="1001"/>
      <c r="N1527" s="29"/>
      <c r="P1527" s="29"/>
      <c r="Q1527" s="29"/>
    </row>
    <row r="1528" spans="9:17">
      <c r="I1528" s="29"/>
      <c r="J1528" s="29"/>
      <c r="K1528" s="150"/>
      <c r="M1528" s="1001"/>
      <c r="N1528" s="29"/>
      <c r="P1528" s="29"/>
      <c r="Q1528" s="29"/>
    </row>
    <row r="1529" spans="9:17">
      <c r="I1529" s="29"/>
      <c r="J1529" s="29"/>
      <c r="K1529" s="150"/>
      <c r="M1529" s="1001"/>
      <c r="N1529" s="29"/>
      <c r="P1529" s="29"/>
      <c r="Q1529" s="29"/>
    </row>
    <row r="1530" spans="9:17">
      <c r="I1530" s="29"/>
      <c r="J1530" s="29"/>
      <c r="K1530" s="150"/>
      <c r="M1530" s="1001"/>
      <c r="N1530" s="29"/>
      <c r="P1530" s="29"/>
      <c r="Q1530" s="29"/>
    </row>
    <row r="1531" spans="9:17">
      <c r="I1531" s="29"/>
      <c r="J1531" s="29"/>
      <c r="K1531" s="150"/>
      <c r="M1531" s="1001"/>
      <c r="N1531" s="29"/>
      <c r="P1531" s="29"/>
      <c r="Q1531" s="29"/>
    </row>
    <row r="1532" spans="9:17">
      <c r="I1532" s="29"/>
      <c r="J1532" s="29"/>
      <c r="K1532" s="150"/>
      <c r="M1532" s="1001"/>
      <c r="N1532" s="29"/>
      <c r="P1532" s="29"/>
      <c r="Q1532" s="29"/>
    </row>
    <row r="1533" spans="9:17">
      <c r="I1533" s="29"/>
      <c r="J1533" s="29"/>
      <c r="K1533" s="150"/>
      <c r="M1533" s="1001"/>
      <c r="N1533" s="29"/>
      <c r="P1533" s="29"/>
      <c r="Q1533" s="29"/>
    </row>
    <row r="1534" spans="9:17">
      <c r="I1534" s="29"/>
      <c r="J1534" s="29"/>
      <c r="K1534" s="150"/>
      <c r="M1534" s="1001"/>
      <c r="N1534" s="29"/>
      <c r="P1534" s="29"/>
      <c r="Q1534" s="29"/>
    </row>
    <row r="1535" spans="9:17">
      <c r="I1535" s="29"/>
      <c r="J1535" s="29"/>
      <c r="K1535" s="150"/>
      <c r="M1535" s="1001"/>
      <c r="N1535" s="29"/>
      <c r="P1535" s="29"/>
      <c r="Q1535" s="29"/>
    </row>
    <row r="1536" spans="9:17">
      <c r="I1536" s="29"/>
      <c r="J1536" s="29"/>
      <c r="K1536" s="150"/>
      <c r="M1536" s="1001"/>
      <c r="N1536" s="29"/>
      <c r="P1536" s="29"/>
      <c r="Q1536" s="29"/>
    </row>
    <row r="1537" spans="9:17">
      <c r="I1537" s="29"/>
      <c r="J1537" s="29"/>
      <c r="K1537" s="150"/>
      <c r="M1537" s="1001"/>
      <c r="N1537" s="29"/>
      <c r="P1537" s="29"/>
      <c r="Q1537" s="29"/>
    </row>
    <row r="1538" spans="9:17">
      <c r="I1538" s="29"/>
      <c r="J1538" s="29"/>
      <c r="K1538" s="150"/>
      <c r="M1538" s="1001"/>
      <c r="N1538" s="29"/>
      <c r="P1538" s="29"/>
      <c r="Q1538" s="29"/>
    </row>
    <row r="1539" spans="9:17">
      <c r="I1539" s="29"/>
      <c r="J1539" s="29"/>
      <c r="K1539" s="150"/>
      <c r="M1539" s="1001"/>
      <c r="N1539" s="29"/>
      <c r="P1539" s="29"/>
      <c r="Q1539" s="29"/>
    </row>
    <row r="1540" spans="9:17">
      <c r="I1540" s="29"/>
      <c r="J1540" s="29"/>
      <c r="K1540" s="150"/>
      <c r="M1540" s="1001"/>
      <c r="N1540" s="29"/>
      <c r="P1540" s="29"/>
      <c r="Q1540" s="29"/>
    </row>
    <row r="1541" spans="9:17">
      <c r="I1541" s="29"/>
      <c r="J1541" s="29"/>
      <c r="K1541" s="150"/>
      <c r="M1541" s="1001"/>
      <c r="N1541" s="29"/>
      <c r="P1541" s="29"/>
      <c r="Q1541" s="29"/>
    </row>
    <row r="1542" spans="9:17">
      <c r="I1542" s="29"/>
      <c r="J1542" s="29"/>
      <c r="K1542" s="150"/>
      <c r="M1542" s="1001"/>
      <c r="N1542" s="29"/>
      <c r="P1542" s="29"/>
      <c r="Q1542" s="29"/>
    </row>
    <row r="1543" spans="9:17">
      <c r="I1543" s="29"/>
      <c r="J1543" s="29"/>
      <c r="K1543" s="150"/>
      <c r="M1543" s="1001"/>
      <c r="N1543" s="29"/>
      <c r="P1543" s="29"/>
      <c r="Q1543" s="29"/>
    </row>
    <row r="1544" spans="9:17">
      <c r="I1544" s="29"/>
      <c r="J1544" s="29"/>
      <c r="K1544" s="150"/>
      <c r="M1544" s="1001"/>
      <c r="N1544" s="29"/>
      <c r="P1544" s="29"/>
      <c r="Q1544" s="29"/>
    </row>
    <row r="1545" spans="9:17">
      <c r="I1545" s="29"/>
      <c r="J1545" s="29"/>
      <c r="K1545" s="150"/>
      <c r="M1545" s="1001"/>
      <c r="N1545" s="29"/>
      <c r="P1545" s="29"/>
      <c r="Q1545" s="29"/>
    </row>
    <row r="1546" spans="9:17">
      <c r="I1546" s="29"/>
      <c r="J1546" s="29"/>
      <c r="K1546" s="150"/>
      <c r="M1546" s="1001"/>
      <c r="N1546" s="29"/>
      <c r="P1546" s="29"/>
      <c r="Q1546" s="29"/>
    </row>
    <row r="1547" spans="9:17">
      <c r="I1547" s="29"/>
      <c r="J1547" s="29"/>
      <c r="K1547" s="150"/>
      <c r="M1547" s="1001"/>
      <c r="N1547" s="29"/>
      <c r="P1547" s="29"/>
      <c r="Q1547" s="29"/>
    </row>
    <row r="1548" spans="9:17">
      <c r="I1548" s="29"/>
      <c r="J1548" s="29"/>
      <c r="K1548" s="150"/>
      <c r="M1548" s="1001"/>
      <c r="N1548" s="29"/>
      <c r="P1548" s="29"/>
      <c r="Q1548" s="29"/>
    </row>
    <row r="1549" spans="9:17">
      <c r="I1549" s="29"/>
      <c r="J1549" s="29"/>
      <c r="K1549" s="150"/>
      <c r="M1549" s="1001"/>
      <c r="N1549" s="29"/>
      <c r="P1549" s="29"/>
      <c r="Q1549" s="29"/>
    </row>
    <row r="1550" spans="9:17">
      <c r="I1550" s="29"/>
      <c r="J1550" s="29"/>
      <c r="K1550" s="150"/>
      <c r="M1550" s="1001"/>
      <c r="N1550" s="29"/>
      <c r="P1550" s="29"/>
      <c r="Q1550" s="29"/>
    </row>
    <row r="1551" spans="9:17">
      <c r="I1551" s="29"/>
      <c r="J1551" s="29"/>
      <c r="K1551" s="150"/>
      <c r="M1551" s="1001"/>
      <c r="N1551" s="29"/>
      <c r="P1551" s="29"/>
      <c r="Q1551" s="29"/>
    </row>
    <row r="1552" spans="9:17">
      <c r="I1552" s="29"/>
      <c r="J1552" s="29"/>
      <c r="K1552" s="150"/>
      <c r="M1552" s="1001"/>
      <c r="N1552" s="29"/>
      <c r="P1552" s="29"/>
      <c r="Q1552" s="29"/>
    </row>
    <row r="1553" spans="9:17">
      <c r="I1553" s="29"/>
      <c r="J1553" s="29"/>
      <c r="K1553" s="150"/>
      <c r="M1553" s="1001"/>
      <c r="N1553" s="29"/>
      <c r="P1553" s="29"/>
      <c r="Q1553" s="29"/>
    </row>
    <row r="1554" spans="9:17">
      <c r="I1554" s="29"/>
      <c r="J1554" s="29"/>
      <c r="K1554" s="150"/>
      <c r="M1554" s="1001"/>
      <c r="N1554" s="29"/>
      <c r="P1554" s="29"/>
      <c r="Q1554" s="29"/>
    </row>
    <row r="1555" spans="9:17">
      <c r="I1555" s="29"/>
      <c r="J1555" s="29"/>
      <c r="K1555" s="150"/>
      <c r="M1555" s="1001"/>
      <c r="N1555" s="29"/>
      <c r="P1555" s="29"/>
      <c r="Q1555" s="29"/>
    </row>
    <row r="1556" spans="9:17">
      <c r="I1556" s="29"/>
      <c r="J1556" s="29"/>
      <c r="K1556" s="150"/>
      <c r="M1556" s="1001"/>
      <c r="N1556" s="29"/>
      <c r="P1556" s="29"/>
      <c r="Q1556" s="29"/>
    </row>
    <row r="1557" spans="9:17">
      <c r="I1557" s="29"/>
      <c r="J1557" s="29"/>
      <c r="K1557" s="150"/>
      <c r="M1557" s="1001"/>
      <c r="N1557" s="29"/>
      <c r="P1557" s="29"/>
      <c r="Q1557" s="29"/>
    </row>
    <row r="1558" spans="9:17">
      <c r="I1558" s="29"/>
      <c r="J1558" s="29"/>
      <c r="K1558" s="150"/>
      <c r="M1558" s="1001"/>
      <c r="N1558" s="29"/>
      <c r="P1558" s="29"/>
      <c r="Q1558" s="29"/>
    </row>
    <row r="1559" spans="9:17">
      <c r="I1559" s="29"/>
      <c r="J1559" s="29"/>
      <c r="K1559" s="150"/>
      <c r="M1559" s="1001"/>
      <c r="N1559" s="29"/>
      <c r="P1559" s="29"/>
      <c r="Q1559" s="29"/>
    </row>
    <row r="1560" spans="9:17">
      <c r="I1560" s="29"/>
      <c r="J1560" s="29"/>
      <c r="K1560" s="150"/>
      <c r="M1560" s="1001"/>
      <c r="N1560" s="29"/>
      <c r="P1560" s="29"/>
      <c r="Q1560" s="29"/>
    </row>
    <row r="1561" spans="9:17">
      <c r="I1561" s="29"/>
      <c r="J1561" s="29"/>
      <c r="K1561" s="150"/>
      <c r="M1561" s="1001"/>
      <c r="N1561" s="29"/>
      <c r="P1561" s="29"/>
      <c r="Q1561" s="29"/>
    </row>
    <row r="1562" spans="9:17">
      <c r="I1562" s="29"/>
      <c r="J1562" s="29"/>
      <c r="K1562" s="150"/>
      <c r="M1562" s="1001"/>
      <c r="N1562" s="29"/>
      <c r="P1562" s="29"/>
      <c r="Q1562" s="29"/>
    </row>
    <row r="1563" spans="9:17">
      <c r="I1563" s="29"/>
      <c r="J1563" s="29"/>
      <c r="K1563" s="150"/>
      <c r="M1563" s="1001"/>
      <c r="N1563" s="29"/>
      <c r="P1563" s="29"/>
      <c r="Q1563" s="29"/>
    </row>
    <row r="1564" spans="9:17">
      <c r="I1564" s="29"/>
      <c r="J1564" s="29"/>
      <c r="K1564" s="150"/>
      <c r="M1564" s="1001"/>
      <c r="N1564" s="29"/>
      <c r="P1564" s="29"/>
      <c r="Q1564" s="29"/>
    </row>
    <row r="1565" spans="9:17">
      <c r="I1565" s="29"/>
      <c r="J1565" s="29"/>
      <c r="K1565" s="150"/>
      <c r="M1565" s="1001"/>
      <c r="N1565" s="29"/>
      <c r="P1565" s="29"/>
      <c r="Q1565" s="29"/>
    </row>
    <row r="1566" spans="9:17">
      <c r="I1566" s="29"/>
      <c r="J1566" s="29"/>
      <c r="K1566" s="150"/>
      <c r="M1566" s="1001"/>
      <c r="N1566" s="29"/>
      <c r="P1566" s="29"/>
      <c r="Q1566" s="29"/>
    </row>
    <row r="1567" spans="9:17">
      <c r="I1567" s="29"/>
      <c r="J1567" s="29"/>
      <c r="K1567" s="150"/>
      <c r="M1567" s="1001"/>
      <c r="N1567" s="29"/>
      <c r="P1567" s="29"/>
      <c r="Q1567" s="29"/>
    </row>
    <row r="1568" spans="9:17">
      <c r="I1568" s="29"/>
      <c r="J1568" s="29"/>
      <c r="K1568" s="150"/>
      <c r="M1568" s="1001"/>
      <c r="N1568" s="29"/>
      <c r="P1568" s="29"/>
      <c r="Q1568" s="29"/>
    </row>
    <row r="1569" spans="9:17">
      <c r="I1569" s="29"/>
      <c r="J1569" s="29"/>
      <c r="K1569" s="150"/>
      <c r="M1569" s="1001"/>
      <c r="N1569" s="29"/>
      <c r="P1569" s="29"/>
      <c r="Q1569" s="29"/>
    </row>
    <row r="1570" spans="9:17">
      <c r="I1570" s="29"/>
      <c r="J1570" s="29"/>
      <c r="K1570" s="150"/>
      <c r="M1570" s="1001"/>
      <c r="N1570" s="29"/>
      <c r="P1570" s="29"/>
      <c r="Q1570" s="29"/>
    </row>
    <row r="1571" spans="9:17">
      <c r="I1571" s="29"/>
      <c r="J1571" s="29"/>
      <c r="K1571" s="150"/>
      <c r="M1571" s="1001"/>
      <c r="N1571" s="29"/>
      <c r="P1571" s="29"/>
      <c r="Q1571" s="29"/>
    </row>
    <row r="1572" spans="9:17">
      <c r="I1572" s="29"/>
      <c r="J1572" s="29"/>
      <c r="K1572" s="150"/>
      <c r="M1572" s="1001"/>
      <c r="N1572" s="29"/>
      <c r="P1572" s="29"/>
      <c r="Q1572" s="29"/>
    </row>
    <row r="1573" spans="9:17">
      <c r="I1573" s="29"/>
      <c r="J1573" s="29"/>
      <c r="K1573" s="150"/>
      <c r="M1573" s="1001"/>
      <c r="N1573" s="29"/>
      <c r="P1573" s="29"/>
      <c r="Q1573" s="29"/>
    </row>
    <row r="1574" spans="9:17">
      <c r="I1574" s="29"/>
      <c r="J1574" s="29"/>
      <c r="K1574" s="150"/>
      <c r="M1574" s="1001"/>
      <c r="N1574" s="29"/>
      <c r="P1574" s="29"/>
      <c r="Q1574" s="29"/>
    </row>
    <row r="1575" spans="9:17">
      <c r="I1575" s="29"/>
      <c r="J1575" s="29"/>
      <c r="K1575" s="150"/>
      <c r="M1575" s="1001"/>
      <c r="N1575" s="29"/>
      <c r="P1575" s="29"/>
      <c r="Q1575" s="29"/>
    </row>
    <row r="1576" spans="9:17">
      <c r="I1576" s="29"/>
      <c r="J1576" s="29"/>
      <c r="K1576" s="150"/>
      <c r="M1576" s="1001"/>
      <c r="N1576" s="29"/>
      <c r="P1576" s="29"/>
      <c r="Q1576" s="29"/>
    </row>
    <row r="1577" spans="9:17">
      <c r="I1577" s="29"/>
      <c r="J1577" s="29"/>
      <c r="K1577" s="150"/>
      <c r="M1577" s="1001"/>
      <c r="N1577" s="29"/>
      <c r="P1577" s="29"/>
      <c r="Q1577" s="29"/>
    </row>
    <row r="1578" spans="9:17">
      <c r="I1578" s="29"/>
      <c r="J1578" s="29"/>
      <c r="K1578" s="150"/>
      <c r="M1578" s="1001"/>
      <c r="N1578" s="29"/>
      <c r="P1578" s="29"/>
      <c r="Q1578" s="29"/>
    </row>
    <row r="1579" spans="9:17">
      <c r="I1579" s="29"/>
      <c r="J1579" s="29"/>
      <c r="K1579" s="150"/>
      <c r="M1579" s="1001"/>
      <c r="N1579" s="29"/>
      <c r="P1579" s="29"/>
      <c r="Q1579" s="29"/>
    </row>
    <row r="1580" spans="9:17">
      <c r="I1580" s="29"/>
      <c r="J1580" s="29"/>
      <c r="K1580" s="150"/>
      <c r="M1580" s="1001"/>
      <c r="N1580" s="29"/>
      <c r="P1580" s="29"/>
      <c r="Q1580" s="29"/>
    </row>
    <row r="1581" spans="9:17">
      <c r="I1581" s="29"/>
      <c r="J1581" s="29"/>
      <c r="K1581" s="150"/>
      <c r="M1581" s="1001"/>
      <c r="N1581" s="29"/>
      <c r="P1581" s="29"/>
      <c r="Q1581" s="29"/>
    </row>
    <row r="1582" spans="9:17">
      <c r="I1582" s="29"/>
      <c r="J1582" s="29"/>
      <c r="K1582" s="150"/>
      <c r="M1582" s="1001"/>
      <c r="N1582" s="29"/>
      <c r="P1582" s="29"/>
      <c r="Q1582" s="29"/>
    </row>
    <row r="1583" spans="9:17">
      <c r="I1583" s="29"/>
      <c r="J1583" s="29"/>
      <c r="K1583" s="150"/>
      <c r="M1583" s="1001"/>
      <c r="N1583" s="29"/>
      <c r="P1583" s="29"/>
      <c r="Q1583" s="29"/>
    </row>
    <row r="1584" spans="9:17">
      <c r="I1584" s="29"/>
      <c r="J1584" s="29"/>
      <c r="K1584" s="150"/>
      <c r="M1584" s="1001"/>
      <c r="N1584" s="29"/>
      <c r="P1584" s="29"/>
      <c r="Q1584" s="29"/>
    </row>
    <row r="1585" spans="9:17">
      <c r="I1585" s="29"/>
      <c r="J1585" s="29"/>
      <c r="K1585" s="150"/>
      <c r="M1585" s="1001"/>
      <c r="N1585" s="29"/>
      <c r="P1585" s="29"/>
      <c r="Q1585" s="29"/>
    </row>
    <row r="1586" spans="9:17">
      <c r="I1586" s="29"/>
      <c r="J1586" s="29"/>
      <c r="K1586" s="150"/>
      <c r="M1586" s="1001"/>
      <c r="N1586" s="29"/>
      <c r="P1586" s="29"/>
      <c r="Q1586" s="29"/>
    </row>
    <row r="1587" spans="9:17">
      <c r="I1587" s="29"/>
      <c r="J1587" s="29"/>
      <c r="K1587" s="150"/>
      <c r="M1587" s="1001"/>
      <c r="N1587" s="29"/>
      <c r="P1587" s="29"/>
      <c r="Q1587" s="29"/>
    </row>
    <row r="1588" spans="9:17">
      <c r="I1588" s="29"/>
      <c r="J1588" s="29"/>
      <c r="K1588" s="150"/>
      <c r="M1588" s="1001"/>
      <c r="N1588" s="29"/>
      <c r="P1588" s="29"/>
      <c r="Q1588" s="29"/>
    </row>
    <row r="1589" spans="9:17">
      <c r="I1589" s="29"/>
      <c r="J1589" s="29"/>
      <c r="K1589" s="150"/>
      <c r="M1589" s="1001"/>
      <c r="N1589" s="29"/>
      <c r="P1589" s="29"/>
      <c r="Q1589" s="29"/>
    </row>
    <row r="1590" spans="9:17">
      <c r="I1590" s="29"/>
      <c r="J1590" s="29"/>
      <c r="K1590" s="150"/>
      <c r="M1590" s="1001"/>
      <c r="N1590" s="29"/>
      <c r="P1590" s="29"/>
      <c r="Q1590" s="29"/>
    </row>
    <row r="1591" spans="9:17">
      <c r="I1591" s="29"/>
      <c r="J1591" s="29"/>
      <c r="K1591" s="150"/>
      <c r="M1591" s="1001"/>
      <c r="N1591" s="29"/>
      <c r="P1591" s="29"/>
      <c r="Q1591" s="29"/>
    </row>
    <row r="1592" spans="9:17">
      <c r="I1592" s="29"/>
      <c r="J1592" s="29"/>
      <c r="K1592" s="150"/>
      <c r="M1592" s="1001"/>
      <c r="N1592" s="29"/>
      <c r="P1592" s="29"/>
      <c r="Q1592" s="29"/>
    </row>
    <row r="1593" spans="9:17">
      <c r="I1593" s="29"/>
      <c r="J1593" s="29"/>
      <c r="K1593" s="150"/>
      <c r="M1593" s="1001"/>
      <c r="N1593" s="29"/>
      <c r="P1593" s="29"/>
      <c r="Q1593" s="29"/>
    </row>
    <row r="1594" spans="9:17">
      <c r="I1594" s="29"/>
      <c r="J1594" s="29"/>
      <c r="K1594" s="150"/>
      <c r="M1594" s="1001"/>
      <c r="N1594" s="29"/>
      <c r="P1594" s="29"/>
      <c r="Q1594" s="29"/>
    </row>
    <row r="1595" spans="9:17">
      <c r="I1595" s="29"/>
      <c r="J1595" s="29"/>
      <c r="K1595" s="150"/>
      <c r="M1595" s="1001"/>
      <c r="N1595" s="29"/>
      <c r="P1595" s="29"/>
      <c r="Q1595" s="29"/>
    </row>
    <row r="1596" spans="9:17">
      <c r="I1596" s="29"/>
      <c r="J1596" s="29"/>
      <c r="K1596" s="150"/>
      <c r="M1596" s="1001"/>
      <c r="N1596" s="29"/>
      <c r="P1596" s="29"/>
      <c r="Q1596" s="29"/>
    </row>
    <row r="1597" spans="9:17">
      <c r="I1597" s="29"/>
      <c r="J1597" s="29"/>
      <c r="K1597" s="150"/>
      <c r="M1597" s="1001"/>
      <c r="N1597" s="29"/>
      <c r="P1597" s="29"/>
      <c r="Q1597" s="29"/>
    </row>
    <row r="1598" spans="9:17">
      <c r="I1598" s="29"/>
      <c r="J1598" s="29"/>
      <c r="K1598" s="150"/>
      <c r="M1598" s="1001"/>
      <c r="N1598" s="29"/>
      <c r="P1598" s="29"/>
      <c r="Q1598" s="29"/>
    </row>
    <row r="1599" spans="9:17">
      <c r="I1599" s="29"/>
      <c r="J1599" s="29"/>
      <c r="K1599" s="150"/>
      <c r="M1599" s="1001"/>
      <c r="N1599" s="29"/>
      <c r="P1599" s="29"/>
      <c r="Q1599" s="29"/>
    </row>
    <row r="1600" spans="9:17">
      <c r="I1600" s="29"/>
      <c r="J1600" s="29"/>
      <c r="K1600" s="150"/>
      <c r="M1600" s="1001"/>
      <c r="N1600" s="29"/>
      <c r="P1600" s="29"/>
      <c r="Q1600" s="29"/>
    </row>
    <row r="1601" spans="9:17">
      <c r="I1601" s="29"/>
      <c r="J1601" s="29"/>
      <c r="K1601" s="150"/>
      <c r="M1601" s="1001"/>
      <c r="N1601" s="29"/>
      <c r="P1601" s="29"/>
      <c r="Q1601" s="29"/>
    </row>
    <row r="1602" spans="9:17">
      <c r="I1602" s="29"/>
      <c r="J1602" s="29"/>
      <c r="K1602" s="150"/>
      <c r="M1602" s="1001"/>
      <c r="N1602" s="29"/>
      <c r="P1602" s="29"/>
      <c r="Q1602" s="29"/>
    </row>
    <row r="1603" spans="9:17">
      <c r="I1603" s="29"/>
      <c r="J1603" s="29"/>
      <c r="K1603" s="150"/>
      <c r="M1603" s="1001"/>
      <c r="N1603" s="29"/>
      <c r="P1603" s="29"/>
      <c r="Q1603" s="29"/>
    </row>
    <row r="1604" spans="9:17">
      <c r="I1604" s="29"/>
      <c r="J1604" s="29"/>
      <c r="K1604" s="150"/>
      <c r="M1604" s="1001"/>
      <c r="N1604" s="29"/>
      <c r="P1604" s="29"/>
      <c r="Q1604" s="29"/>
    </row>
    <row r="1605" spans="9:17">
      <c r="I1605" s="29"/>
      <c r="J1605" s="29"/>
      <c r="K1605" s="150"/>
      <c r="M1605" s="1001"/>
      <c r="N1605" s="29"/>
      <c r="P1605" s="29"/>
      <c r="Q1605" s="29"/>
    </row>
    <row r="1606" spans="9:17">
      <c r="I1606" s="29"/>
      <c r="J1606" s="29"/>
      <c r="K1606" s="150"/>
      <c r="M1606" s="1001"/>
      <c r="N1606" s="29"/>
      <c r="P1606" s="29"/>
      <c r="Q1606" s="29"/>
    </row>
    <row r="1607" spans="9:17">
      <c r="I1607" s="29"/>
      <c r="J1607" s="29"/>
      <c r="K1607" s="150"/>
      <c r="M1607" s="1001"/>
      <c r="N1607" s="29"/>
      <c r="P1607" s="29"/>
      <c r="Q1607" s="29"/>
    </row>
    <row r="1608" spans="9:17">
      <c r="I1608" s="29"/>
      <c r="J1608" s="29"/>
      <c r="K1608" s="150"/>
      <c r="M1608" s="1001"/>
      <c r="N1608" s="29"/>
      <c r="P1608" s="29"/>
      <c r="Q1608" s="29"/>
    </row>
    <row r="1609" spans="9:17">
      <c r="I1609" s="29"/>
      <c r="J1609" s="29"/>
      <c r="K1609" s="150"/>
      <c r="M1609" s="1001"/>
      <c r="N1609" s="29"/>
      <c r="P1609" s="29"/>
      <c r="Q1609" s="29"/>
    </row>
    <row r="1610" spans="9:17">
      <c r="I1610" s="29"/>
      <c r="J1610" s="29"/>
      <c r="K1610" s="150"/>
      <c r="M1610" s="1001"/>
      <c r="N1610" s="29"/>
      <c r="P1610" s="29"/>
      <c r="Q1610" s="29"/>
    </row>
    <row r="1611" spans="9:17">
      <c r="I1611" s="29"/>
      <c r="J1611" s="29"/>
      <c r="K1611" s="150"/>
      <c r="M1611" s="1001"/>
      <c r="N1611" s="29"/>
      <c r="P1611" s="29"/>
      <c r="Q1611" s="29"/>
    </row>
    <row r="1612" spans="9:17">
      <c r="I1612" s="29"/>
      <c r="J1612" s="29"/>
      <c r="K1612" s="150"/>
      <c r="M1612" s="1001"/>
      <c r="N1612" s="29"/>
      <c r="P1612" s="29"/>
      <c r="Q1612" s="29"/>
    </row>
    <row r="1613" spans="9:17">
      <c r="I1613" s="29"/>
      <c r="J1613" s="29"/>
      <c r="K1613" s="150"/>
      <c r="M1613" s="1001"/>
      <c r="N1613" s="29"/>
      <c r="P1613" s="29"/>
      <c r="Q1613" s="29"/>
    </row>
    <row r="1614" spans="9:17">
      <c r="I1614" s="29"/>
      <c r="J1614" s="29"/>
      <c r="K1614" s="150"/>
      <c r="M1614" s="1001"/>
      <c r="N1614" s="29"/>
      <c r="P1614" s="29"/>
      <c r="Q1614" s="29"/>
    </row>
    <row r="1615" spans="9:17">
      <c r="I1615" s="29"/>
      <c r="J1615" s="29"/>
      <c r="K1615" s="150"/>
      <c r="M1615" s="1001"/>
      <c r="N1615" s="29"/>
      <c r="P1615" s="29"/>
      <c r="Q1615" s="29"/>
    </row>
    <row r="1616" spans="9:17">
      <c r="I1616" s="29"/>
      <c r="J1616" s="29"/>
      <c r="K1616" s="150"/>
      <c r="M1616" s="1001"/>
      <c r="N1616" s="29"/>
      <c r="P1616" s="29"/>
      <c r="Q1616" s="29"/>
    </row>
    <row r="1617" spans="9:17">
      <c r="I1617" s="29"/>
      <c r="J1617" s="29"/>
      <c r="K1617" s="150"/>
      <c r="M1617" s="1001"/>
      <c r="N1617" s="29"/>
      <c r="P1617" s="29"/>
      <c r="Q1617" s="29"/>
    </row>
    <row r="1618" spans="9:17">
      <c r="I1618" s="29"/>
      <c r="J1618" s="29"/>
      <c r="K1618" s="150"/>
      <c r="M1618" s="1001"/>
      <c r="N1618" s="29"/>
      <c r="P1618" s="29"/>
      <c r="Q1618" s="29"/>
    </row>
    <row r="1619" spans="9:17">
      <c r="I1619" s="29"/>
      <c r="J1619" s="29"/>
      <c r="K1619" s="150"/>
      <c r="M1619" s="1001"/>
      <c r="N1619" s="29"/>
      <c r="P1619" s="29"/>
      <c r="Q1619" s="29"/>
    </row>
    <row r="1620" spans="9:17">
      <c r="I1620" s="29"/>
      <c r="J1620" s="29"/>
      <c r="K1620" s="150"/>
      <c r="M1620" s="1001"/>
      <c r="N1620" s="29"/>
      <c r="P1620" s="29"/>
      <c r="Q1620" s="29"/>
    </row>
    <row r="1621" spans="9:17">
      <c r="I1621" s="29"/>
      <c r="J1621" s="29"/>
      <c r="K1621" s="150"/>
      <c r="M1621" s="1001"/>
      <c r="N1621" s="29"/>
      <c r="P1621" s="29"/>
      <c r="Q1621" s="29"/>
    </row>
    <row r="1622" spans="9:17">
      <c r="I1622" s="29"/>
      <c r="J1622" s="29"/>
      <c r="K1622" s="150"/>
      <c r="M1622" s="1001"/>
      <c r="N1622" s="29"/>
      <c r="P1622" s="29"/>
      <c r="Q1622" s="29"/>
    </row>
    <row r="1623" spans="9:17">
      <c r="I1623" s="29"/>
      <c r="J1623" s="29"/>
      <c r="K1623" s="150"/>
      <c r="M1623" s="1001"/>
      <c r="N1623" s="29"/>
      <c r="P1623" s="29"/>
      <c r="Q1623" s="29"/>
    </row>
    <row r="1624" spans="9:17">
      <c r="I1624" s="29"/>
      <c r="J1624" s="29"/>
      <c r="K1624" s="150"/>
      <c r="M1624" s="1001"/>
      <c r="N1624" s="29"/>
      <c r="P1624" s="29"/>
      <c r="Q1624" s="29"/>
    </row>
    <row r="1625" spans="9:17">
      <c r="I1625" s="29"/>
      <c r="J1625" s="29"/>
      <c r="K1625" s="150"/>
      <c r="M1625" s="1001"/>
      <c r="N1625" s="29"/>
      <c r="P1625" s="29"/>
      <c r="Q1625" s="29"/>
    </row>
    <row r="1626" spans="9:17">
      <c r="I1626" s="29"/>
      <c r="J1626" s="29"/>
      <c r="K1626" s="150"/>
      <c r="M1626" s="1001"/>
      <c r="N1626" s="29"/>
      <c r="P1626" s="29"/>
      <c r="Q1626" s="29"/>
    </row>
    <row r="1627" spans="9:17">
      <c r="I1627" s="29"/>
      <c r="J1627" s="29"/>
      <c r="K1627" s="150"/>
      <c r="M1627" s="1001"/>
      <c r="N1627" s="29"/>
      <c r="P1627" s="29"/>
      <c r="Q1627" s="29"/>
    </row>
    <row r="1628" spans="9:17">
      <c r="I1628" s="29"/>
      <c r="J1628" s="29"/>
      <c r="K1628" s="150"/>
      <c r="M1628" s="1001"/>
      <c r="N1628" s="29"/>
      <c r="P1628" s="29"/>
      <c r="Q1628" s="29"/>
    </row>
    <row r="1629" spans="9:17">
      <c r="I1629" s="29"/>
      <c r="J1629" s="29"/>
      <c r="K1629" s="150"/>
      <c r="M1629" s="1001"/>
      <c r="N1629" s="29"/>
      <c r="P1629" s="29"/>
      <c r="Q1629" s="29"/>
    </row>
    <row r="1630" spans="9:17">
      <c r="I1630" s="29"/>
      <c r="J1630" s="29"/>
      <c r="K1630" s="150"/>
      <c r="M1630" s="1001"/>
      <c r="N1630" s="29"/>
      <c r="P1630" s="29"/>
      <c r="Q1630" s="29"/>
    </row>
    <row r="1631" spans="9:17">
      <c r="I1631" s="29"/>
      <c r="J1631" s="29"/>
      <c r="K1631" s="150"/>
      <c r="M1631" s="1001"/>
      <c r="N1631" s="29"/>
      <c r="P1631" s="29"/>
      <c r="Q1631" s="29"/>
    </row>
    <row r="1632" spans="9:17">
      <c r="I1632" s="29"/>
      <c r="J1632" s="29"/>
      <c r="K1632" s="150"/>
      <c r="M1632" s="1001"/>
      <c r="N1632" s="29"/>
      <c r="P1632" s="29"/>
      <c r="Q1632" s="29"/>
    </row>
    <row r="1633" spans="9:17">
      <c r="I1633" s="29"/>
      <c r="J1633" s="29"/>
      <c r="K1633" s="150"/>
      <c r="M1633" s="1001"/>
      <c r="N1633" s="29"/>
      <c r="P1633" s="29"/>
      <c r="Q1633" s="29"/>
    </row>
    <row r="1634" spans="9:17">
      <c r="I1634" s="29"/>
      <c r="J1634" s="29"/>
      <c r="K1634" s="150"/>
      <c r="M1634" s="1001"/>
      <c r="N1634" s="29"/>
      <c r="P1634" s="29"/>
      <c r="Q1634" s="29"/>
    </row>
    <row r="1635" spans="9:17">
      <c r="I1635" s="29"/>
      <c r="J1635" s="29"/>
      <c r="K1635" s="150"/>
      <c r="M1635" s="1001"/>
      <c r="N1635" s="29"/>
      <c r="P1635" s="29"/>
      <c r="Q1635" s="29"/>
    </row>
    <row r="1636" spans="9:17">
      <c r="I1636" s="29"/>
      <c r="J1636" s="29"/>
      <c r="K1636" s="150"/>
      <c r="M1636" s="1001"/>
      <c r="N1636" s="29"/>
      <c r="P1636" s="29"/>
      <c r="Q1636" s="29"/>
    </row>
    <row r="1637" spans="9:17">
      <c r="I1637" s="29"/>
      <c r="J1637" s="29"/>
      <c r="K1637" s="150"/>
      <c r="M1637" s="1001"/>
      <c r="N1637" s="29"/>
      <c r="P1637" s="29"/>
      <c r="Q1637" s="29"/>
    </row>
    <row r="1638" spans="9:17">
      <c r="I1638" s="29"/>
      <c r="J1638" s="29"/>
      <c r="K1638" s="150"/>
      <c r="M1638" s="1001"/>
      <c r="N1638" s="29"/>
      <c r="P1638" s="29"/>
      <c r="Q1638" s="29"/>
    </row>
    <row r="1639" spans="9:17">
      <c r="I1639" s="29"/>
      <c r="J1639" s="29"/>
      <c r="K1639" s="150"/>
      <c r="M1639" s="1001"/>
      <c r="N1639" s="29"/>
      <c r="P1639" s="29"/>
      <c r="Q1639" s="29"/>
    </row>
    <row r="1640" spans="9:17">
      <c r="I1640" s="29"/>
      <c r="J1640" s="29"/>
      <c r="K1640" s="150"/>
      <c r="M1640" s="1001"/>
      <c r="N1640" s="29"/>
      <c r="P1640" s="29"/>
      <c r="Q1640" s="29"/>
    </row>
    <row r="1641" spans="9:17">
      <c r="I1641" s="29"/>
      <c r="J1641" s="29"/>
      <c r="K1641" s="150"/>
      <c r="M1641" s="1001"/>
      <c r="N1641" s="29"/>
      <c r="P1641" s="29"/>
      <c r="Q1641" s="29"/>
    </row>
    <row r="1642" spans="9:17">
      <c r="I1642" s="29"/>
      <c r="J1642" s="29"/>
      <c r="K1642" s="150"/>
      <c r="M1642" s="1001"/>
      <c r="N1642" s="29"/>
      <c r="P1642" s="29"/>
      <c r="Q1642" s="29"/>
    </row>
    <row r="1643" spans="9:17">
      <c r="I1643" s="29"/>
      <c r="J1643" s="29"/>
      <c r="K1643" s="150"/>
      <c r="M1643" s="1001"/>
      <c r="N1643" s="29"/>
      <c r="P1643" s="29"/>
      <c r="Q1643" s="29"/>
    </row>
    <row r="1644" spans="9:17">
      <c r="I1644" s="29"/>
      <c r="J1644" s="29"/>
      <c r="K1644" s="150"/>
      <c r="M1644" s="1001"/>
      <c r="N1644" s="29"/>
      <c r="P1644" s="29"/>
      <c r="Q1644" s="29"/>
    </row>
    <row r="1645" spans="9:17">
      <c r="I1645" s="29"/>
      <c r="J1645" s="29"/>
      <c r="K1645" s="150"/>
      <c r="M1645" s="1001"/>
      <c r="N1645" s="29"/>
      <c r="P1645" s="29"/>
      <c r="Q1645" s="29"/>
    </row>
    <row r="1646" spans="9:17">
      <c r="I1646" s="29"/>
      <c r="J1646" s="29"/>
      <c r="K1646" s="150"/>
      <c r="M1646" s="1001"/>
      <c r="N1646" s="29"/>
      <c r="P1646" s="29"/>
      <c r="Q1646" s="29"/>
    </row>
    <row r="1647" spans="9:17">
      <c r="I1647" s="29"/>
      <c r="J1647" s="29"/>
      <c r="K1647" s="150"/>
      <c r="M1647" s="1001"/>
      <c r="N1647" s="29"/>
      <c r="P1647" s="29"/>
      <c r="Q1647" s="29"/>
    </row>
    <row r="1648" spans="9:17">
      <c r="I1648" s="29"/>
      <c r="J1648" s="29"/>
      <c r="K1648" s="150"/>
      <c r="M1648" s="1001"/>
      <c r="N1648" s="29"/>
      <c r="P1648" s="29"/>
      <c r="Q1648" s="29"/>
    </row>
    <row r="1649" spans="9:17">
      <c r="I1649" s="29"/>
      <c r="J1649" s="29"/>
      <c r="K1649" s="150"/>
      <c r="M1649" s="1001"/>
      <c r="N1649" s="29"/>
      <c r="P1649" s="29"/>
      <c r="Q1649" s="29"/>
    </row>
    <row r="1650" spans="9:17">
      <c r="I1650" s="29"/>
      <c r="J1650" s="29"/>
      <c r="K1650" s="150"/>
      <c r="M1650" s="1001"/>
      <c r="N1650" s="29"/>
      <c r="P1650" s="29"/>
      <c r="Q1650" s="29"/>
    </row>
    <row r="1651" spans="9:17">
      <c r="I1651" s="29"/>
      <c r="J1651" s="29"/>
      <c r="K1651" s="150"/>
      <c r="M1651" s="1001"/>
      <c r="N1651" s="29"/>
      <c r="P1651" s="29"/>
      <c r="Q1651" s="29"/>
    </row>
    <row r="1652" spans="9:17">
      <c r="I1652" s="29"/>
      <c r="J1652" s="29"/>
      <c r="K1652" s="150"/>
      <c r="M1652" s="1001"/>
      <c r="N1652" s="29"/>
      <c r="P1652" s="29"/>
      <c r="Q1652" s="29"/>
    </row>
    <row r="1653" spans="9:17">
      <c r="I1653" s="29"/>
      <c r="J1653" s="29"/>
      <c r="K1653" s="150"/>
      <c r="M1653" s="1001"/>
      <c r="N1653" s="29"/>
      <c r="P1653" s="29"/>
      <c r="Q1653" s="29"/>
    </row>
    <row r="1654" spans="9:17">
      <c r="I1654" s="29"/>
      <c r="J1654" s="29"/>
      <c r="K1654" s="150"/>
      <c r="M1654" s="1001"/>
      <c r="N1654" s="29"/>
      <c r="P1654" s="29"/>
      <c r="Q1654" s="29"/>
    </row>
    <row r="1655" spans="9:17">
      <c r="I1655" s="29"/>
      <c r="J1655" s="29"/>
      <c r="K1655" s="150"/>
      <c r="M1655" s="1001"/>
      <c r="N1655" s="29"/>
      <c r="P1655" s="29"/>
      <c r="Q1655" s="29"/>
    </row>
    <row r="1656" spans="9:17">
      <c r="I1656" s="29"/>
      <c r="J1656" s="29"/>
      <c r="K1656" s="150"/>
      <c r="M1656" s="1001"/>
      <c r="N1656" s="29"/>
      <c r="P1656" s="29"/>
      <c r="Q1656" s="29"/>
    </row>
    <row r="1657" spans="9:17">
      <c r="I1657" s="29"/>
      <c r="J1657" s="29"/>
      <c r="K1657" s="150"/>
      <c r="M1657" s="1001"/>
      <c r="N1657" s="29"/>
      <c r="P1657" s="29"/>
      <c r="Q1657" s="29"/>
    </row>
    <row r="1658" spans="9:17">
      <c r="I1658" s="29"/>
      <c r="J1658" s="29"/>
      <c r="K1658" s="150"/>
      <c r="M1658" s="1001"/>
      <c r="N1658" s="29"/>
      <c r="P1658" s="29"/>
      <c r="Q1658" s="29"/>
    </row>
    <row r="1659" spans="9:17">
      <c r="I1659" s="29"/>
      <c r="J1659" s="29"/>
      <c r="K1659" s="150"/>
      <c r="M1659" s="1001"/>
      <c r="N1659" s="29"/>
      <c r="P1659" s="29"/>
      <c r="Q1659" s="29"/>
    </row>
    <row r="1660" spans="9:17">
      <c r="I1660" s="29"/>
      <c r="J1660" s="29"/>
      <c r="K1660" s="150"/>
      <c r="M1660" s="1001"/>
      <c r="N1660" s="29"/>
      <c r="P1660" s="29"/>
      <c r="Q1660" s="29"/>
    </row>
    <row r="1661" spans="9:17">
      <c r="I1661" s="29"/>
      <c r="J1661" s="29"/>
      <c r="K1661" s="150"/>
      <c r="M1661" s="1001"/>
      <c r="N1661" s="29"/>
      <c r="P1661" s="29"/>
      <c r="Q1661" s="29"/>
    </row>
    <row r="1662" spans="9:17">
      <c r="I1662" s="29"/>
      <c r="J1662" s="29"/>
      <c r="K1662" s="150"/>
      <c r="M1662" s="1001"/>
      <c r="N1662" s="29"/>
      <c r="P1662" s="29"/>
      <c r="Q1662" s="29"/>
    </row>
    <row r="1663" spans="9:17">
      <c r="I1663" s="29"/>
      <c r="J1663" s="29"/>
      <c r="K1663" s="150"/>
      <c r="M1663" s="1001"/>
      <c r="N1663" s="29"/>
      <c r="P1663" s="29"/>
      <c r="Q1663" s="29"/>
    </row>
    <row r="1664" spans="9:17">
      <c r="I1664" s="29"/>
      <c r="J1664" s="29"/>
      <c r="K1664" s="150"/>
      <c r="M1664" s="1001"/>
      <c r="N1664" s="29"/>
      <c r="P1664" s="29"/>
      <c r="Q1664" s="29"/>
    </row>
    <row r="1665" spans="9:17">
      <c r="I1665" s="29"/>
      <c r="J1665" s="29"/>
      <c r="K1665" s="150"/>
      <c r="M1665" s="1001"/>
      <c r="N1665" s="29"/>
      <c r="P1665" s="29"/>
      <c r="Q1665" s="29"/>
    </row>
    <row r="1666" spans="9:17">
      <c r="I1666" s="29"/>
      <c r="J1666" s="29"/>
      <c r="K1666" s="150"/>
      <c r="M1666" s="1001"/>
      <c r="N1666" s="29"/>
      <c r="P1666" s="29"/>
      <c r="Q1666" s="29"/>
    </row>
    <row r="1667" spans="9:17">
      <c r="I1667" s="29"/>
      <c r="J1667" s="29"/>
      <c r="K1667" s="150"/>
      <c r="M1667" s="1001"/>
      <c r="N1667" s="29"/>
      <c r="P1667" s="29"/>
      <c r="Q1667" s="29"/>
    </row>
    <row r="1668" spans="9:17">
      <c r="I1668" s="29"/>
      <c r="J1668" s="29"/>
      <c r="K1668" s="150"/>
      <c r="M1668" s="1001"/>
      <c r="N1668" s="29"/>
      <c r="P1668" s="29"/>
      <c r="Q1668" s="29"/>
    </row>
    <row r="1669" spans="9:17">
      <c r="I1669" s="29"/>
      <c r="J1669" s="29"/>
      <c r="K1669" s="150"/>
      <c r="M1669" s="1001"/>
      <c r="N1669" s="29"/>
      <c r="P1669" s="29"/>
      <c r="Q1669" s="29"/>
    </row>
    <row r="1670" spans="9:17">
      <c r="I1670" s="29"/>
      <c r="J1670" s="29"/>
      <c r="K1670" s="150"/>
      <c r="M1670" s="1001"/>
      <c r="N1670" s="29"/>
      <c r="P1670" s="29"/>
      <c r="Q1670" s="29"/>
    </row>
    <row r="1671" spans="9:17">
      <c r="I1671" s="29"/>
      <c r="J1671" s="29"/>
      <c r="K1671" s="150"/>
      <c r="M1671" s="1001"/>
      <c r="N1671" s="29"/>
      <c r="P1671" s="29"/>
      <c r="Q1671" s="29"/>
    </row>
    <row r="1672" spans="9:17">
      <c r="I1672" s="29"/>
      <c r="J1672" s="29"/>
      <c r="K1672" s="150"/>
      <c r="M1672" s="1001"/>
      <c r="N1672" s="29"/>
      <c r="P1672" s="29"/>
      <c r="Q1672" s="29"/>
    </row>
    <row r="1673" spans="9:17">
      <c r="I1673" s="29"/>
      <c r="J1673" s="29"/>
      <c r="K1673" s="150"/>
      <c r="M1673" s="1001"/>
      <c r="N1673" s="29"/>
      <c r="P1673" s="29"/>
      <c r="Q1673" s="29"/>
    </row>
    <row r="1674" spans="9:17">
      <c r="I1674" s="29"/>
      <c r="J1674" s="29"/>
      <c r="K1674" s="150"/>
      <c r="M1674" s="1001"/>
      <c r="N1674" s="29"/>
      <c r="P1674" s="29"/>
      <c r="Q1674" s="29"/>
    </row>
    <row r="1675" spans="9:17">
      <c r="I1675" s="29"/>
      <c r="J1675" s="29"/>
      <c r="K1675" s="150"/>
      <c r="M1675" s="1001"/>
      <c r="N1675" s="29"/>
      <c r="P1675" s="29"/>
      <c r="Q1675" s="29"/>
    </row>
    <row r="1676" spans="9:17">
      <c r="I1676" s="29"/>
      <c r="J1676" s="29"/>
      <c r="K1676" s="150"/>
      <c r="M1676" s="1001"/>
      <c r="N1676" s="29"/>
      <c r="P1676" s="29"/>
      <c r="Q1676" s="29"/>
    </row>
    <row r="1677" spans="9:17">
      <c r="I1677" s="29"/>
      <c r="J1677" s="29"/>
      <c r="K1677" s="150"/>
      <c r="M1677" s="1001"/>
      <c r="N1677" s="29"/>
      <c r="P1677" s="29"/>
      <c r="Q1677" s="29"/>
    </row>
    <row r="1678" spans="9:17">
      <c r="I1678" s="29"/>
      <c r="J1678" s="29"/>
      <c r="K1678" s="150"/>
      <c r="M1678" s="1001"/>
      <c r="N1678" s="29"/>
      <c r="P1678" s="29"/>
      <c r="Q1678" s="29"/>
    </row>
    <row r="1679" spans="9:17">
      <c r="I1679" s="29"/>
      <c r="J1679" s="29"/>
      <c r="K1679" s="150"/>
      <c r="M1679" s="1001"/>
      <c r="N1679" s="29"/>
      <c r="P1679" s="29"/>
      <c r="Q1679" s="29"/>
    </row>
    <row r="1680" spans="9:17">
      <c r="I1680" s="29"/>
      <c r="J1680" s="29"/>
      <c r="K1680" s="150"/>
      <c r="M1680" s="1001"/>
      <c r="N1680" s="29"/>
      <c r="P1680" s="29"/>
      <c r="Q1680" s="29"/>
    </row>
    <row r="1681" spans="9:17">
      <c r="I1681" s="29"/>
      <c r="J1681" s="29"/>
      <c r="K1681" s="150"/>
      <c r="M1681" s="1001"/>
      <c r="N1681" s="29"/>
      <c r="P1681" s="29"/>
      <c r="Q1681" s="29"/>
    </row>
    <row r="1682" spans="9:17">
      <c r="I1682" s="29"/>
      <c r="J1682" s="29"/>
      <c r="K1682" s="150"/>
      <c r="M1682" s="1001"/>
      <c r="N1682" s="29"/>
      <c r="P1682" s="29"/>
      <c r="Q1682" s="29"/>
    </row>
    <row r="1683" spans="9:17">
      <c r="I1683" s="29"/>
      <c r="J1683" s="29"/>
      <c r="K1683" s="150"/>
      <c r="M1683" s="1001"/>
      <c r="N1683" s="29"/>
      <c r="P1683" s="29"/>
      <c r="Q1683" s="29"/>
    </row>
    <row r="1684" spans="9:17">
      <c r="I1684" s="29"/>
      <c r="J1684" s="29"/>
      <c r="K1684" s="150"/>
      <c r="M1684" s="1001"/>
      <c r="N1684" s="29"/>
      <c r="P1684" s="29"/>
      <c r="Q1684" s="29"/>
    </row>
    <row r="1685" spans="9:17">
      <c r="I1685" s="29"/>
      <c r="J1685" s="29"/>
      <c r="K1685" s="150"/>
      <c r="M1685" s="1001"/>
      <c r="N1685" s="29"/>
      <c r="P1685" s="29"/>
      <c r="Q1685" s="29"/>
    </row>
    <row r="1686" spans="9:17">
      <c r="I1686" s="29"/>
      <c r="J1686" s="29"/>
      <c r="K1686" s="150"/>
      <c r="M1686" s="1001"/>
      <c r="N1686" s="29"/>
      <c r="P1686" s="29"/>
      <c r="Q1686" s="29"/>
    </row>
    <row r="1687" spans="9:17">
      <c r="I1687" s="29"/>
      <c r="J1687" s="29"/>
      <c r="K1687" s="150"/>
      <c r="M1687" s="1001"/>
      <c r="N1687" s="29"/>
      <c r="P1687" s="29"/>
      <c r="Q1687" s="29"/>
    </row>
    <row r="1688" spans="9:17">
      <c r="I1688" s="29"/>
      <c r="J1688" s="29"/>
      <c r="K1688" s="150"/>
      <c r="M1688" s="1001"/>
      <c r="N1688" s="29"/>
      <c r="P1688" s="29"/>
      <c r="Q1688" s="29"/>
    </row>
    <row r="1689" spans="9:17">
      <c r="I1689" s="29"/>
      <c r="J1689" s="29"/>
      <c r="K1689" s="150"/>
      <c r="M1689" s="1001"/>
      <c r="N1689" s="29"/>
      <c r="P1689" s="29"/>
      <c r="Q1689" s="29"/>
    </row>
    <row r="1690" spans="9:17">
      <c r="I1690" s="29"/>
      <c r="J1690" s="29"/>
      <c r="K1690" s="150"/>
      <c r="M1690" s="1001"/>
      <c r="N1690" s="29"/>
      <c r="P1690" s="29"/>
      <c r="Q1690" s="29"/>
    </row>
    <row r="1691" spans="9:17">
      <c r="I1691" s="29"/>
      <c r="J1691" s="29"/>
      <c r="K1691" s="150"/>
      <c r="M1691" s="1001"/>
      <c r="N1691" s="29"/>
      <c r="P1691" s="29"/>
      <c r="Q1691" s="29"/>
    </row>
    <row r="1692" spans="9:17">
      <c r="I1692" s="29"/>
      <c r="J1692" s="29"/>
      <c r="K1692" s="150"/>
      <c r="M1692" s="1001"/>
      <c r="N1692" s="29"/>
      <c r="P1692" s="29"/>
      <c r="Q1692" s="29"/>
    </row>
    <row r="1693" spans="9:17">
      <c r="I1693" s="29"/>
      <c r="J1693" s="29"/>
      <c r="K1693" s="150"/>
      <c r="M1693" s="1001"/>
      <c r="N1693" s="29"/>
      <c r="P1693" s="29"/>
      <c r="Q1693" s="29"/>
    </row>
    <row r="1694" spans="9:17">
      <c r="I1694" s="29"/>
      <c r="J1694" s="29"/>
      <c r="K1694" s="150"/>
      <c r="M1694" s="1001"/>
      <c r="N1694" s="29"/>
      <c r="P1694" s="29"/>
      <c r="Q1694" s="29"/>
    </row>
    <row r="1695" spans="9:17">
      <c r="I1695" s="29"/>
      <c r="J1695" s="29"/>
      <c r="K1695" s="150"/>
      <c r="M1695" s="1001"/>
      <c r="N1695" s="29"/>
      <c r="P1695" s="29"/>
      <c r="Q1695" s="29"/>
    </row>
    <row r="1696" spans="9:17">
      <c r="I1696" s="29"/>
      <c r="J1696" s="29"/>
      <c r="K1696" s="150"/>
      <c r="M1696" s="1001"/>
      <c r="N1696" s="29"/>
      <c r="P1696" s="29"/>
      <c r="Q1696" s="29"/>
    </row>
    <row r="1697" spans="9:17">
      <c r="I1697" s="29"/>
      <c r="J1697" s="29"/>
      <c r="K1697" s="150"/>
      <c r="M1697" s="1001"/>
      <c r="N1697" s="29"/>
      <c r="P1697" s="29"/>
      <c r="Q1697" s="29"/>
    </row>
    <row r="1698" spans="9:17">
      <c r="I1698" s="29"/>
      <c r="J1698" s="29"/>
      <c r="K1698" s="150"/>
      <c r="M1698" s="1001"/>
      <c r="N1698" s="29"/>
      <c r="P1698" s="29"/>
      <c r="Q1698" s="29"/>
    </row>
    <row r="1699" spans="9:17">
      <c r="I1699" s="29"/>
      <c r="J1699" s="29"/>
      <c r="K1699" s="150"/>
      <c r="M1699" s="1001"/>
      <c r="N1699" s="29"/>
      <c r="P1699" s="29"/>
      <c r="Q1699" s="29"/>
    </row>
    <row r="1700" spans="9:17">
      <c r="I1700" s="29"/>
      <c r="J1700" s="29"/>
      <c r="K1700" s="150"/>
      <c r="M1700" s="1001"/>
      <c r="N1700" s="29"/>
      <c r="P1700" s="29"/>
      <c r="Q1700" s="29"/>
    </row>
    <row r="1701" spans="9:17">
      <c r="I1701" s="29"/>
      <c r="J1701" s="29"/>
      <c r="K1701" s="150"/>
      <c r="M1701" s="1001"/>
      <c r="N1701" s="29"/>
      <c r="P1701" s="29"/>
      <c r="Q1701" s="29"/>
    </row>
    <row r="1702" spans="9:17">
      <c r="I1702" s="29"/>
      <c r="J1702" s="29"/>
      <c r="K1702" s="150"/>
      <c r="M1702" s="1001"/>
      <c r="N1702" s="29"/>
      <c r="P1702" s="29"/>
      <c r="Q1702" s="29"/>
    </row>
    <row r="1703" spans="9:17">
      <c r="I1703" s="29"/>
      <c r="J1703" s="29"/>
      <c r="K1703" s="150"/>
      <c r="M1703" s="1001"/>
      <c r="N1703" s="29"/>
      <c r="P1703" s="29"/>
      <c r="Q1703" s="29"/>
    </row>
    <row r="1704" spans="9:17">
      <c r="I1704" s="29"/>
      <c r="J1704" s="29"/>
      <c r="K1704" s="150"/>
      <c r="M1704" s="1001"/>
      <c r="N1704" s="29"/>
      <c r="P1704" s="29"/>
      <c r="Q1704" s="29"/>
    </row>
    <row r="1705" spans="9:17">
      <c r="I1705" s="29"/>
      <c r="J1705" s="29"/>
      <c r="K1705" s="150"/>
      <c r="M1705" s="1001"/>
      <c r="N1705" s="29"/>
      <c r="P1705" s="29"/>
      <c r="Q1705" s="29"/>
    </row>
    <row r="1706" spans="9:17">
      <c r="I1706" s="29"/>
      <c r="J1706" s="29"/>
      <c r="K1706" s="150"/>
      <c r="M1706" s="1001"/>
      <c r="N1706" s="29"/>
      <c r="P1706" s="29"/>
      <c r="Q1706" s="29"/>
    </row>
    <row r="1707" spans="9:17">
      <c r="I1707" s="29"/>
      <c r="J1707" s="29"/>
      <c r="K1707" s="150"/>
      <c r="M1707" s="1001"/>
      <c r="N1707" s="29"/>
      <c r="P1707" s="29"/>
      <c r="Q1707" s="29"/>
    </row>
    <row r="1708" spans="9:17">
      <c r="I1708" s="29"/>
      <c r="J1708" s="29"/>
      <c r="K1708" s="150"/>
      <c r="M1708" s="1001"/>
      <c r="N1708" s="29"/>
      <c r="P1708" s="29"/>
      <c r="Q1708" s="29"/>
    </row>
    <row r="1709" spans="9:17">
      <c r="I1709" s="29"/>
      <c r="J1709" s="29"/>
      <c r="K1709" s="150"/>
      <c r="M1709" s="1001"/>
      <c r="N1709" s="29"/>
      <c r="P1709" s="29"/>
      <c r="Q1709" s="29"/>
    </row>
    <row r="1710" spans="9:17">
      <c r="I1710" s="29"/>
      <c r="J1710" s="29"/>
      <c r="K1710" s="150"/>
      <c r="M1710" s="1001"/>
      <c r="N1710" s="29"/>
      <c r="P1710" s="29"/>
      <c r="Q1710" s="29"/>
    </row>
    <row r="1711" spans="9:17">
      <c r="I1711" s="29"/>
      <c r="J1711" s="29"/>
      <c r="K1711" s="150"/>
      <c r="M1711" s="1001"/>
      <c r="N1711" s="29"/>
      <c r="P1711" s="29"/>
      <c r="Q1711" s="29"/>
    </row>
    <row r="1712" spans="9:17">
      <c r="I1712" s="29"/>
      <c r="J1712" s="29"/>
      <c r="K1712" s="150"/>
      <c r="M1712" s="1001"/>
      <c r="N1712" s="29"/>
      <c r="P1712" s="29"/>
      <c r="Q1712" s="29"/>
    </row>
    <row r="1713" spans="9:17">
      <c r="I1713" s="29"/>
      <c r="J1713" s="29"/>
      <c r="K1713" s="150"/>
      <c r="M1713" s="1001"/>
      <c r="N1713" s="29"/>
      <c r="P1713" s="29"/>
      <c r="Q1713" s="29"/>
    </row>
    <row r="1714" spans="9:17">
      <c r="I1714" s="29"/>
      <c r="J1714" s="29"/>
      <c r="K1714" s="150"/>
      <c r="M1714" s="1001"/>
      <c r="N1714" s="29"/>
      <c r="P1714" s="29"/>
      <c r="Q1714" s="29"/>
    </row>
    <row r="1715" spans="9:17">
      <c r="I1715" s="29"/>
      <c r="J1715" s="29"/>
      <c r="K1715" s="150"/>
      <c r="M1715" s="1001"/>
      <c r="N1715" s="29"/>
      <c r="P1715" s="29"/>
      <c r="Q1715" s="29"/>
    </row>
    <row r="1716" spans="9:17">
      <c r="I1716" s="29"/>
      <c r="J1716" s="29"/>
      <c r="K1716" s="150"/>
      <c r="M1716" s="1001"/>
      <c r="N1716" s="29"/>
      <c r="P1716" s="29"/>
      <c r="Q1716" s="29"/>
    </row>
    <row r="1717" spans="9:17">
      <c r="I1717" s="29"/>
      <c r="J1717" s="29"/>
      <c r="K1717" s="150"/>
      <c r="M1717" s="1001"/>
      <c r="N1717" s="29"/>
      <c r="P1717" s="29"/>
      <c r="Q1717" s="29"/>
    </row>
    <row r="1718" spans="9:17">
      <c r="I1718" s="29"/>
      <c r="J1718" s="29"/>
      <c r="K1718" s="150"/>
      <c r="M1718" s="1001"/>
      <c r="N1718" s="29"/>
      <c r="P1718" s="29"/>
      <c r="Q1718" s="29"/>
    </row>
    <row r="1719" spans="9:17">
      <c r="I1719" s="29"/>
      <c r="J1719" s="29"/>
      <c r="K1719" s="150"/>
      <c r="M1719" s="1001"/>
      <c r="N1719" s="29"/>
      <c r="P1719" s="29"/>
      <c r="Q1719" s="29"/>
    </row>
    <row r="1720" spans="9:17">
      <c r="I1720" s="29"/>
      <c r="J1720" s="29"/>
      <c r="K1720" s="150"/>
      <c r="M1720" s="1001"/>
      <c r="N1720" s="29"/>
      <c r="P1720" s="29"/>
      <c r="Q1720" s="29"/>
    </row>
    <row r="1721" spans="9:17">
      <c r="I1721" s="29"/>
      <c r="J1721" s="29"/>
      <c r="K1721" s="150"/>
      <c r="M1721" s="1001"/>
      <c r="N1721" s="29"/>
      <c r="P1721" s="29"/>
      <c r="Q1721" s="29"/>
    </row>
    <row r="1722" spans="9:17">
      <c r="I1722" s="29"/>
      <c r="J1722" s="29"/>
      <c r="K1722" s="150"/>
      <c r="M1722" s="1001"/>
      <c r="N1722" s="29"/>
      <c r="P1722" s="29"/>
      <c r="Q1722" s="29"/>
    </row>
    <row r="1723" spans="9:17">
      <c r="I1723" s="29"/>
      <c r="J1723" s="29"/>
      <c r="K1723" s="150"/>
      <c r="M1723" s="1001"/>
      <c r="N1723" s="29"/>
      <c r="P1723" s="29"/>
      <c r="Q1723" s="29"/>
    </row>
    <row r="1724" spans="9:17">
      <c r="I1724" s="29"/>
      <c r="J1724" s="29"/>
      <c r="K1724" s="150"/>
      <c r="M1724" s="1001"/>
      <c r="N1724" s="29"/>
      <c r="P1724" s="29"/>
      <c r="Q1724" s="29"/>
    </row>
    <row r="1725" spans="9:17">
      <c r="I1725" s="29"/>
      <c r="J1725" s="29"/>
      <c r="K1725" s="150"/>
      <c r="M1725" s="1001"/>
      <c r="N1725" s="29"/>
      <c r="P1725" s="29"/>
      <c r="Q1725" s="29"/>
    </row>
    <row r="1726" spans="9:17">
      <c r="I1726" s="29"/>
      <c r="J1726" s="29"/>
      <c r="K1726" s="150"/>
      <c r="M1726" s="1001"/>
      <c r="N1726" s="29"/>
      <c r="P1726" s="29"/>
      <c r="Q1726" s="29"/>
    </row>
    <row r="1727" spans="9:17">
      <c r="I1727" s="29"/>
      <c r="J1727" s="29"/>
      <c r="K1727" s="150"/>
      <c r="M1727" s="1001"/>
      <c r="N1727" s="29"/>
      <c r="P1727" s="29"/>
      <c r="Q1727" s="29"/>
    </row>
    <row r="1728" spans="9:17">
      <c r="I1728" s="29"/>
      <c r="J1728" s="29"/>
      <c r="K1728" s="150"/>
      <c r="M1728" s="1001"/>
      <c r="N1728" s="29"/>
      <c r="P1728" s="29"/>
      <c r="Q1728" s="29"/>
    </row>
    <row r="1729" spans="9:17">
      <c r="I1729" s="29"/>
      <c r="J1729" s="29"/>
      <c r="K1729" s="150"/>
      <c r="M1729" s="1001"/>
      <c r="N1729" s="29"/>
      <c r="P1729" s="29"/>
      <c r="Q1729" s="29"/>
    </row>
    <row r="1730" spans="9:17">
      <c r="I1730" s="29"/>
      <c r="J1730" s="29"/>
      <c r="K1730" s="150"/>
      <c r="M1730" s="1001"/>
      <c r="N1730" s="29"/>
      <c r="P1730" s="29"/>
      <c r="Q1730" s="29"/>
    </row>
    <row r="1731" spans="9:17">
      <c r="I1731" s="29"/>
      <c r="J1731" s="29"/>
      <c r="K1731" s="150"/>
      <c r="M1731" s="1001"/>
      <c r="N1731" s="29"/>
      <c r="P1731" s="29"/>
      <c r="Q1731" s="29"/>
    </row>
    <row r="1732" spans="9:17">
      <c r="I1732" s="29"/>
      <c r="J1732" s="29"/>
      <c r="K1732" s="150"/>
      <c r="M1732" s="1001"/>
      <c r="N1732" s="29"/>
      <c r="P1732" s="29"/>
      <c r="Q1732" s="29"/>
    </row>
    <row r="1733" spans="9:17">
      <c r="I1733" s="29"/>
      <c r="J1733" s="29"/>
      <c r="K1733" s="150"/>
      <c r="M1733" s="1001"/>
      <c r="N1733" s="29"/>
      <c r="P1733" s="29"/>
      <c r="Q1733" s="29"/>
    </row>
    <row r="1734" spans="9:17">
      <c r="I1734" s="29"/>
      <c r="J1734" s="29"/>
      <c r="K1734" s="150"/>
      <c r="M1734" s="1001"/>
      <c r="N1734" s="29"/>
      <c r="P1734" s="29"/>
      <c r="Q1734" s="29"/>
    </row>
    <row r="1735" spans="9:17">
      <c r="I1735" s="29"/>
      <c r="J1735" s="29"/>
      <c r="K1735" s="150"/>
      <c r="M1735" s="1001"/>
      <c r="N1735" s="29"/>
      <c r="P1735" s="29"/>
      <c r="Q1735" s="29"/>
    </row>
    <row r="1736" spans="9:17">
      <c r="I1736" s="29"/>
      <c r="J1736" s="29"/>
      <c r="K1736" s="150"/>
      <c r="M1736" s="1001"/>
      <c r="N1736" s="29"/>
      <c r="P1736" s="29"/>
      <c r="Q1736" s="29"/>
    </row>
    <row r="1737" spans="9:17">
      <c r="I1737" s="29"/>
      <c r="J1737" s="29"/>
      <c r="K1737" s="150"/>
      <c r="M1737" s="1001"/>
      <c r="N1737" s="29"/>
      <c r="P1737" s="29"/>
      <c r="Q1737" s="29"/>
    </row>
    <row r="1738" spans="9:17">
      <c r="I1738" s="29"/>
      <c r="J1738" s="29"/>
      <c r="K1738" s="150"/>
      <c r="M1738" s="1001"/>
      <c r="N1738" s="29"/>
      <c r="P1738" s="29"/>
      <c r="Q1738" s="29"/>
    </row>
    <row r="1739" spans="9:17">
      <c r="I1739" s="29"/>
      <c r="J1739" s="29"/>
      <c r="K1739" s="150"/>
      <c r="M1739" s="1001"/>
      <c r="N1739" s="29"/>
      <c r="P1739" s="29"/>
      <c r="Q1739" s="29"/>
    </row>
    <row r="1740" spans="9:17">
      <c r="I1740" s="29"/>
      <c r="J1740" s="29"/>
      <c r="K1740" s="150"/>
      <c r="M1740" s="1001"/>
      <c r="N1740" s="29"/>
      <c r="P1740" s="29"/>
      <c r="Q1740" s="29"/>
    </row>
    <row r="1741" spans="9:17">
      <c r="I1741" s="29"/>
      <c r="J1741" s="29"/>
      <c r="K1741" s="150"/>
      <c r="M1741" s="1001"/>
      <c r="N1741" s="29"/>
      <c r="P1741" s="29"/>
      <c r="Q1741" s="29"/>
    </row>
    <row r="1742" spans="9:17">
      <c r="I1742" s="29"/>
      <c r="J1742" s="29"/>
      <c r="K1742" s="150"/>
      <c r="M1742" s="1001"/>
      <c r="N1742" s="29"/>
      <c r="P1742" s="29"/>
      <c r="Q1742" s="29"/>
    </row>
    <row r="1743" spans="9:17">
      <c r="I1743" s="29"/>
      <c r="J1743" s="29"/>
      <c r="K1743" s="150"/>
      <c r="M1743" s="1001"/>
      <c r="N1743" s="29"/>
      <c r="P1743" s="29"/>
      <c r="Q1743" s="29"/>
    </row>
    <row r="1744" spans="9:17">
      <c r="I1744" s="29"/>
      <c r="J1744" s="29"/>
      <c r="K1744" s="150"/>
      <c r="M1744" s="1001"/>
      <c r="N1744" s="29"/>
      <c r="P1744" s="29"/>
      <c r="Q1744" s="29"/>
    </row>
    <row r="1745" spans="9:17">
      <c r="I1745" s="29"/>
      <c r="J1745" s="29"/>
      <c r="K1745" s="150"/>
      <c r="M1745" s="1001"/>
      <c r="N1745" s="29"/>
      <c r="P1745" s="29"/>
      <c r="Q1745" s="29"/>
    </row>
    <row r="1746" spans="9:17">
      <c r="I1746" s="29"/>
      <c r="J1746" s="29"/>
      <c r="K1746" s="150"/>
      <c r="M1746" s="1001"/>
      <c r="N1746" s="29"/>
      <c r="P1746" s="29"/>
      <c r="Q1746" s="29"/>
    </row>
    <row r="1747" spans="9:17">
      <c r="I1747" s="29"/>
      <c r="J1747" s="29"/>
      <c r="K1747" s="150"/>
      <c r="M1747" s="1001"/>
      <c r="N1747" s="29"/>
      <c r="P1747" s="29"/>
      <c r="Q1747" s="29"/>
    </row>
    <row r="1748" spans="9:17">
      <c r="I1748" s="29"/>
      <c r="J1748" s="29"/>
      <c r="K1748" s="150"/>
      <c r="M1748" s="1001"/>
      <c r="N1748" s="29"/>
      <c r="P1748" s="29"/>
      <c r="Q1748" s="29"/>
    </row>
    <row r="1749" spans="9:17">
      <c r="I1749" s="29"/>
      <c r="J1749" s="29"/>
      <c r="K1749" s="150"/>
      <c r="M1749" s="1001"/>
      <c r="N1749" s="29"/>
      <c r="P1749" s="29"/>
      <c r="Q1749" s="29"/>
    </row>
    <row r="1750" spans="9:17">
      <c r="I1750" s="29"/>
      <c r="J1750" s="29"/>
      <c r="K1750" s="150"/>
      <c r="M1750" s="1001"/>
      <c r="N1750" s="29"/>
      <c r="P1750" s="29"/>
      <c r="Q1750" s="29"/>
    </row>
    <row r="1751" spans="9:17">
      <c r="I1751" s="29"/>
      <c r="J1751" s="29"/>
      <c r="K1751" s="150"/>
      <c r="M1751" s="1001"/>
      <c r="N1751" s="29"/>
      <c r="P1751" s="29"/>
      <c r="Q1751" s="29"/>
    </row>
    <row r="1752" spans="9:17">
      <c r="I1752" s="29"/>
      <c r="J1752" s="29"/>
      <c r="K1752" s="150"/>
      <c r="M1752" s="1001"/>
      <c r="N1752" s="29"/>
      <c r="P1752" s="29"/>
      <c r="Q1752" s="29"/>
    </row>
    <row r="1753" spans="9:17">
      <c r="I1753" s="29"/>
      <c r="J1753" s="29"/>
      <c r="K1753" s="150"/>
      <c r="M1753" s="1001"/>
      <c r="N1753" s="29"/>
      <c r="P1753" s="29"/>
      <c r="Q1753" s="29"/>
    </row>
    <row r="1754" spans="9:17">
      <c r="I1754" s="29"/>
      <c r="J1754" s="29"/>
      <c r="K1754" s="150"/>
      <c r="M1754" s="1001"/>
      <c r="N1754" s="29"/>
      <c r="P1754" s="29"/>
      <c r="Q1754" s="29"/>
    </row>
    <row r="1755" spans="9:17">
      <c r="I1755" s="29"/>
      <c r="J1755" s="29"/>
      <c r="K1755" s="150"/>
      <c r="M1755" s="1001"/>
      <c r="N1755" s="29"/>
      <c r="P1755" s="29"/>
      <c r="Q1755" s="29"/>
    </row>
    <row r="1756" spans="9:17">
      <c r="I1756" s="29"/>
      <c r="J1756" s="29"/>
      <c r="K1756" s="150"/>
      <c r="M1756" s="1001"/>
      <c r="N1756" s="29"/>
      <c r="P1756" s="29"/>
      <c r="Q1756" s="29"/>
    </row>
    <row r="1757" spans="9:17">
      <c r="I1757" s="29"/>
      <c r="J1757" s="29"/>
      <c r="K1757" s="150"/>
      <c r="M1757" s="1001"/>
      <c r="N1757" s="29"/>
      <c r="P1757" s="29"/>
      <c r="Q1757" s="29"/>
    </row>
    <row r="1758" spans="9:17">
      <c r="I1758" s="29"/>
      <c r="J1758" s="29"/>
      <c r="K1758" s="150"/>
      <c r="M1758" s="1001"/>
      <c r="N1758" s="29"/>
      <c r="P1758" s="29"/>
      <c r="Q1758" s="29"/>
    </row>
    <row r="1759" spans="9:17">
      <c r="I1759" s="29"/>
      <c r="J1759" s="29"/>
      <c r="K1759" s="150"/>
      <c r="M1759" s="1001"/>
      <c r="N1759" s="29"/>
      <c r="P1759" s="29"/>
      <c r="Q1759" s="29"/>
    </row>
    <row r="1760" spans="9:17">
      <c r="I1760" s="29"/>
      <c r="J1760" s="29"/>
      <c r="K1760" s="150"/>
      <c r="M1760" s="1001"/>
      <c r="N1760" s="29"/>
      <c r="P1760" s="29"/>
      <c r="Q1760" s="29"/>
    </row>
    <row r="1761" spans="9:17">
      <c r="I1761" s="29"/>
      <c r="J1761" s="29"/>
      <c r="K1761" s="150"/>
      <c r="M1761" s="1001"/>
      <c r="N1761" s="29"/>
      <c r="P1761" s="29"/>
      <c r="Q1761" s="29"/>
    </row>
    <row r="1762" spans="9:17">
      <c r="I1762" s="29"/>
      <c r="J1762" s="29"/>
      <c r="K1762" s="150"/>
      <c r="M1762" s="1001"/>
      <c r="N1762" s="29"/>
      <c r="P1762" s="29"/>
      <c r="Q1762" s="29"/>
    </row>
    <row r="1763" spans="9:17">
      <c r="I1763" s="29"/>
      <c r="J1763" s="29"/>
      <c r="K1763" s="150"/>
      <c r="M1763" s="1001"/>
      <c r="N1763" s="29"/>
      <c r="P1763" s="29"/>
      <c r="Q1763" s="29"/>
    </row>
    <row r="1764" spans="9:17">
      <c r="I1764" s="29"/>
      <c r="J1764" s="29"/>
      <c r="K1764" s="150"/>
      <c r="M1764" s="1001"/>
      <c r="N1764" s="29"/>
      <c r="P1764" s="29"/>
      <c r="Q1764" s="29"/>
    </row>
    <row r="1765" spans="9:17">
      <c r="I1765" s="29"/>
      <c r="J1765" s="29"/>
      <c r="K1765" s="150"/>
      <c r="M1765" s="1001"/>
      <c r="N1765" s="29"/>
      <c r="P1765" s="29"/>
      <c r="Q1765" s="29"/>
    </row>
    <row r="1766" spans="9:17">
      <c r="I1766" s="29"/>
      <c r="J1766" s="29"/>
      <c r="K1766" s="150"/>
      <c r="M1766" s="1001"/>
      <c r="N1766" s="29"/>
      <c r="P1766" s="29"/>
      <c r="Q1766" s="29"/>
    </row>
    <row r="1767" spans="9:17">
      <c r="I1767" s="29"/>
      <c r="J1767" s="29"/>
      <c r="K1767" s="150"/>
      <c r="M1767" s="1001"/>
      <c r="N1767" s="29"/>
      <c r="P1767" s="29"/>
      <c r="Q1767" s="29"/>
    </row>
    <row r="1768" spans="9:17">
      <c r="I1768" s="29"/>
      <c r="J1768" s="29"/>
      <c r="K1768" s="150"/>
      <c r="M1768" s="1001"/>
      <c r="N1768" s="29"/>
      <c r="P1768" s="29"/>
      <c r="Q1768" s="29"/>
    </row>
    <row r="1769" spans="9:17">
      <c r="I1769" s="29"/>
      <c r="J1769" s="29"/>
      <c r="K1769" s="150"/>
      <c r="M1769" s="1001"/>
      <c r="N1769" s="29"/>
      <c r="P1769" s="29"/>
      <c r="Q1769" s="29"/>
    </row>
    <row r="1770" spans="9:17">
      <c r="I1770" s="29"/>
      <c r="J1770" s="29"/>
      <c r="K1770" s="150"/>
      <c r="M1770" s="1001"/>
      <c r="N1770" s="29"/>
      <c r="P1770" s="29"/>
      <c r="Q1770" s="29"/>
    </row>
    <row r="1771" spans="9:17">
      <c r="I1771" s="29"/>
      <c r="J1771" s="29"/>
      <c r="K1771" s="150"/>
      <c r="M1771" s="1001"/>
      <c r="N1771" s="29"/>
      <c r="P1771" s="29"/>
      <c r="Q1771" s="29"/>
    </row>
    <row r="1772" spans="9:17">
      <c r="I1772" s="29"/>
      <c r="J1772" s="29"/>
      <c r="K1772" s="150"/>
      <c r="M1772" s="1001"/>
      <c r="N1772" s="29"/>
      <c r="P1772" s="29"/>
      <c r="Q1772" s="29"/>
    </row>
    <row r="1773" spans="9:17">
      <c r="I1773" s="29"/>
      <c r="J1773" s="29"/>
      <c r="K1773" s="150"/>
      <c r="M1773" s="1001"/>
      <c r="N1773" s="29"/>
      <c r="P1773" s="29"/>
      <c r="Q1773" s="29"/>
    </row>
    <row r="1774" spans="9:17">
      <c r="I1774" s="29"/>
      <c r="J1774" s="29"/>
      <c r="K1774" s="150"/>
      <c r="M1774" s="1001"/>
      <c r="N1774" s="29"/>
      <c r="P1774" s="29"/>
      <c r="Q1774" s="29"/>
    </row>
    <row r="1775" spans="9:17">
      <c r="I1775" s="29"/>
      <c r="J1775" s="29"/>
      <c r="K1775" s="150"/>
      <c r="M1775" s="1001"/>
      <c r="N1775" s="29"/>
      <c r="P1775" s="29"/>
      <c r="Q1775" s="29"/>
    </row>
    <row r="1776" spans="9:17">
      <c r="I1776" s="29"/>
      <c r="J1776" s="29"/>
      <c r="K1776" s="150"/>
      <c r="M1776" s="1001"/>
      <c r="N1776" s="29"/>
      <c r="P1776" s="29"/>
      <c r="Q1776" s="29"/>
    </row>
    <row r="1777" spans="9:17">
      <c r="I1777" s="29"/>
      <c r="J1777" s="29"/>
      <c r="K1777" s="150"/>
      <c r="M1777" s="1001"/>
      <c r="N1777" s="29"/>
      <c r="P1777" s="29"/>
      <c r="Q1777" s="29"/>
    </row>
    <row r="1778" spans="9:17">
      <c r="I1778" s="29"/>
      <c r="J1778" s="29"/>
      <c r="K1778" s="150"/>
      <c r="M1778" s="1001"/>
      <c r="N1778" s="29"/>
      <c r="P1778" s="29"/>
      <c r="Q1778" s="29"/>
    </row>
    <row r="1779" spans="9:17">
      <c r="I1779" s="29"/>
      <c r="J1779" s="29"/>
      <c r="K1779" s="150"/>
      <c r="M1779" s="1001"/>
      <c r="N1779" s="29"/>
      <c r="P1779" s="29"/>
      <c r="Q1779" s="29"/>
    </row>
    <row r="1780" spans="9:17">
      <c r="I1780" s="29"/>
      <c r="J1780" s="29"/>
      <c r="K1780" s="150"/>
      <c r="M1780" s="1001"/>
      <c r="N1780" s="29"/>
      <c r="P1780" s="29"/>
      <c r="Q1780" s="29"/>
    </row>
    <row r="1781" spans="9:17">
      <c r="I1781" s="29"/>
      <c r="J1781" s="29"/>
      <c r="K1781" s="150"/>
      <c r="M1781" s="1001"/>
      <c r="N1781" s="29"/>
      <c r="P1781" s="29"/>
      <c r="Q1781" s="29"/>
    </row>
    <row r="1782" spans="9:17">
      <c r="I1782" s="29"/>
      <c r="J1782" s="29"/>
      <c r="K1782" s="150"/>
      <c r="M1782" s="1001"/>
      <c r="N1782" s="29"/>
      <c r="P1782" s="29"/>
      <c r="Q1782" s="29"/>
    </row>
    <row r="1783" spans="9:17">
      <c r="I1783" s="29"/>
      <c r="J1783" s="29"/>
      <c r="K1783" s="150"/>
      <c r="M1783" s="1001"/>
      <c r="N1783" s="29"/>
      <c r="P1783" s="29"/>
      <c r="Q1783" s="29"/>
    </row>
    <row r="1784" spans="9:17">
      <c r="I1784" s="29"/>
      <c r="J1784" s="29"/>
      <c r="K1784" s="150"/>
      <c r="M1784" s="1001"/>
      <c r="N1784" s="29"/>
      <c r="P1784" s="29"/>
      <c r="Q1784" s="29"/>
    </row>
    <row r="1785" spans="9:17">
      <c r="I1785" s="29"/>
      <c r="J1785" s="29"/>
      <c r="K1785" s="150"/>
      <c r="M1785" s="1001"/>
      <c r="N1785" s="29"/>
      <c r="P1785" s="29"/>
      <c r="Q1785" s="29"/>
    </row>
    <row r="1786" spans="9:17">
      <c r="I1786" s="29"/>
      <c r="J1786" s="29"/>
      <c r="K1786" s="150"/>
      <c r="M1786" s="1001"/>
      <c r="N1786" s="29"/>
      <c r="P1786" s="29"/>
      <c r="Q1786" s="29"/>
    </row>
    <row r="1787" spans="9:17">
      <c r="I1787" s="29"/>
      <c r="J1787" s="29"/>
      <c r="K1787" s="150"/>
      <c r="M1787" s="1001"/>
      <c r="N1787" s="29"/>
      <c r="P1787" s="29"/>
      <c r="Q1787" s="29"/>
    </row>
    <row r="1788" spans="9:17">
      <c r="I1788" s="29"/>
      <c r="J1788" s="29"/>
      <c r="K1788" s="150"/>
      <c r="M1788" s="1001"/>
      <c r="N1788" s="29"/>
      <c r="P1788" s="29"/>
      <c r="Q1788" s="29"/>
    </row>
    <row r="1789" spans="9:17">
      <c r="I1789" s="29"/>
      <c r="J1789" s="29"/>
      <c r="K1789" s="150"/>
      <c r="M1789" s="1001"/>
      <c r="N1789" s="29"/>
      <c r="P1789" s="29"/>
      <c r="Q1789" s="29"/>
    </row>
    <row r="1790" spans="9:17">
      <c r="I1790" s="29"/>
      <c r="J1790" s="29"/>
      <c r="K1790" s="150"/>
      <c r="M1790" s="1001"/>
      <c r="N1790" s="29"/>
      <c r="P1790" s="29"/>
      <c r="Q1790" s="29"/>
    </row>
    <row r="1791" spans="9:17">
      <c r="I1791" s="29"/>
      <c r="J1791" s="29"/>
      <c r="K1791" s="150"/>
      <c r="M1791" s="1001"/>
      <c r="N1791" s="29"/>
      <c r="P1791" s="29"/>
      <c r="Q1791" s="29"/>
    </row>
    <row r="1792" spans="9:17">
      <c r="I1792" s="29"/>
      <c r="J1792" s="29"/>
      <c r="K1792" s="150"/>
      <c r="M1792" s="1001"/>
      <c r="N1792" s="29"/>
      <c r="P1792" s="29"/>
      <c r="Q1792" s="29"/>
    </row>
    <row r="1793" spans="9:17">
      <c r="I1793" s="29"/>
      <c r="J1793" s="29"/>
      <c r="K1793" s="150"/>
      <c r="M1793" s="1001"/>
      <c r="N1793" s="29"/>
      <c r="P1793" s="29"/>
      <c r="Q1793" s="29"/>
    </row>
    <row r="1794" spans="9:17">
      <c r="I1794" s="29"/>
      <c r="J1794" s="29"/>
      <c r="K1794" s="150"/>
      <c r="M1794" s="1001"/>
      <c r="N1794" s="29"/>
      <c r="P1794" s="29"/>
      <c r="Q1794" s="29"/>
    </row>
    <row r="1795" spans="9:17">
      <c r="I1795" s="29"/>
      <c r="J1795" s="29"/>
      <c r="K1795" s="150"/>
      <c r="M1795" s="1001"/>
      <c r="N1795" s="29"/>
      <c r="P1795" s="29"/>
      <c r="Q1795" s="29"/>
    </row>
    <row r="1796" spans="9:17">
      <c r="I1796" s="29"/>
      <c r="J1796" s="29"/>
      <c r="K1796" s="150"/>
      <c r="M1796" s="1001"/>
      <c r="N1796" s="29"/>
      <c r="P1796" s="29"/>
      <c r="Q1796" s="29"/>
    </row>
    <row r="1797" spans="9:17">
      <c r="I1797" s="29"/>
      <c r="J1797" s="29"/>
      <c r="K1797" s="150"/>
      <c r="M1797" s="1001"/>
      <c r="N1797" s="29"/>
      <c r="P1797" s="29"/>
      <c r="Q1797" s="29"/>
    </row>
    <row r="1798" spans="9:17">
      <c r="I1798" s="29"/>
      <c r="J1798" s="29"/>
      <c r="K1798" s="150"/>
      <c r="M1798" s="1001"/>
      <c r="N1798" s="29"/>
      <c r="P1798" s="29"/>
      <c r="Q1798" s="29"/>
    </row>
    <row r="1799" spans="9:17">
      <c r="I1799" s="29"/>
      <c r="J1799" s="29"/>
      <c r="K1799" s="150"/>
      <c r="M1799" s="1001"/>
      <c r="N1799" s="29"/>
      <c r="P1799" s="29"/>
      <c r="Q1799" s="29"/>
    </row>
    <row r="1800" spans="9:17">
      <c r="I1800" s="29"/>
      <c r="J1800" s="29"/>
      <c r="K1800" s="150"/>
      <c r="M1800" s="1001"/>
      <c r="N1800" s="29"/>
      <c r="P1800" s="29"/>
      <c r="Q1800" s="29"/>
    </row>
    <row r="1801" spans="9:17">
      <c r="I1801" s="29"/>
      <c r="J1801" s="29"/>
      <c r="K1801" s="150"/>
      <c r="M1801" s="1001"/>
      <c r="N1801" s="29"/>
      <c r="P1801" s="29"/>
      <c r="Q1801" s="29"/>
    </row>
    <row r="1802" spans="9:17">
      <c r="I1802" s="29"/>
      <c r="J1802" s="29"/>
      <c r="K1802" s="150"/>
      <c r="M1802" s="1001"/>
      <c r="N1802" s="29"/>
      <c r="P1802" s="29"/>
      <c r="Q1802" s="29"/>
    </row>
    <row r="1803" spans="9:17">
      <c r="I1803" s="29"/>
      <c r="J1803" s="29"/>
      <c r="K1803" s="150"/>
      <c r="M1803" s="1001"/>
      <c r="N1803" s="29"/>
      <c r="P1803" s="29"/>
      <c r="Q1803" s="29"/>
    </row>
    <row r="1804" spans="9:17">
      <c r="I1804" s="29"/>
      <c r="J1804" s="29"/>
      <c r="K1804" s="150"/>
      <c r="M1804" s="1001"/>
      <c r="N1804" s="29"/>
      <c r="P1804" s="29"/>
      <c r="Q1804" s="29"/>
    </row>
    <row r="1805" spans="9:17">
      <c r="I1805" s="29"/>
      <c r="J1805" s="29"/>
      <c r="K1805" s="150"/>
      <c r="M1805" s="1001"/>
      <c r="N1805" s="29"/>
      <c r="P1805" s="29"/>
      <c r="Q1805" s="29"/>
    </row>
    <row r="1806" spans="9:17">
      <c r="I1806" s="29"/>
      <c r="J1806" s="29"/>
      <c r="K1806" s="150"/>
      <c r="M1806" s="1001"/>
      <c r="N1806" s="29"/>
      <c r="P1806" s="29"/>
      <c r="Q1806" s="29"/>
    </row>
    <row r="1807" spans="9:17">
      <c r="I1807" s="29"/>
      <c r="J1807" s="29"/>
      <c r="K1807" s="150"/>
      <c r="M1807" s="1001"/>
      <c r="N1807" s="29"/>
      <c r="P1807" s="29"/>
      <c r="Q1807" s="29"/>
    </row>
    <row r="1808" spans="9:17">
      <c r="I1808" s="29"/>
      <c r="J1808" s="29"/>
      <c r="K1808" s="150"/>
      <c r="M1808" s="1001"/>
      <c r="N1808" s="29"/>
      <c r="P1808" s="29"/>
      <c r="Q1808" s="29"/>
    </row>
    <row r="1809" spans="9:17">
      <c r="I1809" s="29"/>
      <c r="J1809" s="29"/>
      <c r="K1809" s="150"/>
      <c r="M1809" s="1001"/>
      <c r="N1809" s="29"/>
      <c r="P1809" s="29"/>
      <c r="Q1809" s="29"/>
    </row>
    <row r="1810" spans="9:17">
      <c r="I1810" s="29"/>
      <c r="J1810" s="29"/>
      <c r="K1810" s="150"/>
      <c r="M1810" s="1001"/>
      <c r="N1810" s="29"/>
      <c r="P1810" s="29"/>
      <c r="Q1810" s="29"/>
    </row>
    <row r="1811" spans="9:17">
      <c r="I1811" s="29"/>
      <c r="J1811" s="29"/>
      <c r="K1811" s="150"/>
      <c r="M1811" s="1001"/>
      <c r="N1811" s="29"/>
      <c r="P1811" s="29"/>
      <c r="Q1811" s="29"/>
    </row>
    <row r="1812" spans="9:17">
      <c r="I1812" s="29"/>
      <c r="J1812" s="29"/>
      <c r="K1812" s="150"/>
      <c r="M1812" s="1001"/>
      <c r="N1812" s="29"/>
      <c r="P1812" s="29"/>
      <c r="Q1812" s="29"/>
    </row>
    <row r="1813" spans="9:17">
      <c r="I1813" s="29"/>
      <c r="J1813" s="29"/>
      <c r="K1813" s="150"/>
      <c r="M1813" s="1001"/>
      <c r="N1813" s="29"/>
      <c r="P1813" s="29"/>
      <c r="Q1813" s="29"/>
    </row>
    <row r="1814" spans="9:17">
      <c r="I1814" s="29"/>
      <c r="J1814" s="29"/>
      <c r="K1814" s="150"/>
      <c r="M1814" s="1001"/>
      <c r="N1814" s="29"/>
      <c r="P1814" s="29"/>
      <c r="Q1814" s="29"/>
    </row>
    <row r="1815" spans="9:17">
      <c r="I1815" s="29"/>
      <c r="J1815" s="29"/>
      <c r="K1815" s="150"/>
      <c r="M1815" s="1001"/>
      <c r="N1815" s="29"/>
      <c r="P1815" s="29"/>
      <c r="Q1815" s="29"/>
    </row>
    <row r="1816" spans="9:17">
      <c r="I1816" s="29"/>
      <c r="J1816" s="29"/>
      <c r="K1816" s="150"/>
      <c r="M1816" s="1001"/>
      <c r="N1816" s="29"/>
      <c r="P1816" s="29"/>
      <c r="Q1816" s="29"/>
    </row>
    <row r="1817" spans="9:17">
      <c r="I1817" s="29"/>
      <c r="J1817" s="29"/>
      <c r="K1817" s="150"/>
      <c r="M1817" s="1001"/>
      <c r="N1817" s="29"/>
      <c r="P1817" s="29"/>
      <c r="Q1817" s="29"/>
    </row>
    <row r="1818" spans="9:17">
      <c r="I1818" s="29"/>
      <c r="J1818" s="29"/>
      <c r="K1818" s="150"/>
      <c r="M1818" s="1001"/>
      <c r="N1818" s="29"/>
      <c r="P1818" s="29"/>
      <c r="Q1818" s="29"/>
    </row>
    <row r="1819" spans="9:17">
      <c r="I1819" s="29"/>
      <c r="J1819" s="29"/>
      <c r="K1819" s="150"/>
      <c r="M1819" s="1001"/>
      <c r="N1819" s="29"/>
      <c r="P1819" s="29"/>
      <c r="Q1819" s="29"/>
    </row>
    <row r="1820" spans="9:17">
      <c r="I1820" s="29"/>
      <c r="J1820" s="29"/>
      <c r="K1820" s="150"/>
      <c r="M1820" s="1001"/>
      <c r="N1820" s="29"/>
      <c r="P1820" s="29"/>
      <c r="Q1820" s="29"/>
    </row>
    <row r="1821" spans="9:17">
      <c r="I1821" s="29"/>
      <c r="J1821" s="29"/>
      <c r="K1821" s="150"/>
      <c r="M1821" s="1001"/>
      <c r="N1821" s="29"/>
      <c r="P1821" s="29"/>
      <c r="Q1821" s="29"/>
    </row>
    <row r="1822" spans="9:17">
      <c r="I1822" s="29"/>
      <c r="J1822" s="29"/>
      <c r="K1822" s="150"/>
      <c r="M1822" s="1001"/>
      <c r="N1822" s="29"/>
      <c r="P1822" s="29"/>
      <c r="Q1822" s="29"/>
    </row>
    <row r="1823" spans="9:17">
      <c r="I1823" s="29"/>
      <c r="J1823" s="29"/>
      <c r="K1823" s="150"/>
      <c r="M1823" s="1001"/>
      <c r="N1823" s="29"/>
      <c r="P1823" s="29"/>
      <c r="Q1823" s="29"/>
    </row>
    <row r="1824" spans="9:17">
      <c r="I1824" s="29"/>
      <c r="J1824" s="29"/>
      <c r="K1824" s="150"/>
      <c r="M1824" s="1001"/>
      <c r="N1824" s="29"/>
      <c r="P1824" s="29"/>
      <c r="Q1824" s="29"/>
    </row>
    <row r="1825" spans="9:17">
      <c r="I1825" s="29"/>
      <c r="J1825" s="29"/>
      <c r="K1825" s="150"/>
      <c r="M1825" s="1001"/>
      <c r="N1825" s="29"/>
      <c r="P1825" s="29"/>
      <c r="Q1825" s="29"/>
    </row>
    <row r="1826" spans="9:17">
      <c r="I1826" s="29"/>
      <c r="J1826" s="29"/>
      <c r="K1826" s="150"/>
      <c r="M1826" s="1001"/>
      <c r="N1826" s="29"/>
      <c r="P1826" s="29"/>
      <c r="Q1826" s="29"/>
    </row>
    <row r="1827" spans="9:17">
      <c r="I1827" s="29"/>
      <c r="J1827" s="29"/>
      <c r="K1827" s="150"/>
      <c r="M1827" s="1001"/>
      <c r="N1827" s="29"/>
      <c r="P1827" s="29"/>
      <c r="Q1827" s="29"/>
    </row>
    <row r="1828" spans="9:17">
      <c r="I1828" s="29"/>
      <c r="J1828" s="29"/>
      <c r="K1828" s="150"/>
      <c r="M1828" s="1001"/>
      <c r="N1828" s="29"/>
      <c r="P1828" s="29"/>
      <c r="Q1828" s="29"/>
    </row>
    <row r="1829" spans="9:17">
      <c r="I1829" s="29"/>
      <c r="J1829" s="29"/>
      <c r="K1829" s="150"/>
      <c r="M1829" s="1001"/>
      <c r="N1829" s="29"/>
      <c r="P1829" s="29"/>
      <c r="Q1829" s="29"/>
    </row>
    <row r="1830" spans="9:17">
      <c r="I1830" s="29"/>
      <c r="J1830" s="29"/>
      <c r="K1830" s="150"/>
      <c r="M1830" s="1001"/>
      <c r="N1830" s="29"/>
      <c r="P1830" s="29"/>
      <c r="Q1830" s="29"/>
    </row>
    <row r="1831" spans="9:17">
      <c r="I1831" s="29"/>
      <c r="J1831" s="29"/>
      <c r="K1831" s="150"/>
      <c r="M1831" s="1001"/>
      <c r="N1831" s="29"/>
      <c r="P1831" s="29"/>
      <c r="Q1831" s="29"/>
    </row>
    <row r="1832" spans="9:17">
      <c r="I1832" s="29"/>
      <c r="J1832" s="29"/>
      <c r="K1832" s="150"/>
      <c r="M1832" s="1001"/>
      <c r="N1832" s="29"/>
      <c r="P1832" s="29"/>
      <c r="Q1832" s="29"/>
    </row>
    <row r="1833" spans="9:17">
      <c r="I1833" s="29"/>
      <c r="J1833" s="29"/>
      <c r="K1833" s="150"/>
      <c r="M1833" s="1001"/>
      <c r="N1833" s="29"/>
      <c r="P1833" s="29"/>
      <c r="Q1833" s="29"/>
    </row>
    <row r="1834" spans="9:17">
      <c r="I1834" s="29"/>
      <c r="J1834" s="29"/>
      <c r="K1834" s="150"/>
      <c r="M1834" s="1001"/>
      <c r="N1834" s="29"/>
      <c r="P1834" s="29"/>
      <c r="Q1834" s="29"/>
    </row>
    <row r="1835" spans="9:17">
      <c r="I1835" s="29"/>
      <c r="J1835" s="29"/>
      <c r="K1835" s="150"/>
      <c r="M1835" s="1001"/>
      <c r="N1835" s="29"/>
      <c r="P1835" s="29"/>
      <c r="Q1835" s="29"/>
    </row>
    <row r="1836" spans="9:17">
      <c r="I1836" s="29"/>
      <c r="J1836" s="29"/>
      <c r="K1836" s="150"/>
      <c r="M1836" s="1001"/>
      <c r="N1836" s="29"/>
      <c r="P1836" s="29"/>
      <c r="Q1836" s="29"/>
    </row>
    <row r="1837" spans="9:17">
      <c r="I1837" s="29"/>
      <c r="J1837" s="29"/>
      <c r="K1837" s="150"/>
      <c r="M1837" s="1001"/>
      <c r="N1837" s="29"/>
      <c r="P1837" s="29"/>
      <c r="Q1837" s="29"/>
    </row>
    <row r="1838" spans="9:17">
      <c r="I1838" s="29"/>
      <c r="J1838" s="29"/>
      <c r="K1838" s="150"/>
      <c r="M1838" s="1001"/>
      <c r="N1838" s="29"/>
      <c r="P1838" s="29"/>
      <c r="Q1838" s="29"/>
    </row>
    <row r="1839" spans="9:17">
      <c r="I1839" s="29"/>
      <c r="J1839" s="29"/>
      <c r="K1839" s="150"/>
      <c r="M1839" s="1001"/>
      <c r="N1839" s="29"/>
      <c r="P1839" s="29"/>
      <c r="Q1839" s="29"/>
    </row>
    <row r="1840" spans="9:17">
      <c r="I1840" s="29"/>
      <c r="J1840" s="29"/>
      <c r="K1840" s="150"/>
      <c r="M1840" s="1001"/>
      <c r="N1840" s="29"/>
      <c r="P1840" s="29"/>
      <c r="Q1840" s="29"/>
    </row>
    <row r="1841" spans="9:17">
      <c r="I1841" s="29"/>
      <c r="J1841" s="29"/>
      <c r="K1841" s="150"/>
      <c r="M1841" s="1001"/>
      <c r="N1841" s="29"/>
      <c r="P1841" s="29"/>
      <c r="Q1841" s="29"/>
    </row>
    <row r="1842" spans="9:17">
      <c r="I1842" s="29"/>
      <c r="J1842" s="29"/>
      <c r="K1842" s="150"/>
      <c r="M1842" s="1001"/>
      <c r="N1842" s="29"/>
      <c r="P1842" s="29"/>
      <c r="Q1842" s="29"/>
    </row>
    <row r="1843" spans="9:17">
      <c r="I1843" s="29"/>
      <c r="J1843" s="29"/>
      <c r="K1843" s="150"/>
      <c r="M1843" s="1001"/>
      <c r="N1843" s="29"/>
      <c r="P1843" s="29"/>
      <c r="Q1843" s="29"/>
    </row>
    <row r="1844" spans="9:17">
      <c r="I1844" s="29"/>
      <c r="J1844" s="29"/>
      <c r="K1844" s="150"/>
      <c r="M1844" s="1001"/>
      <c r="N1844" s="29"/>
      <c r="P1844" s="29"/>
      <c r="Q1844" s="29"/>
    </row>
    <row r="1845" spans="9:17">
      <c r="I1845" s="29"/>
      <c r="J1845" s="29"/>
      <c r="K1845" s="150"/>
      <c r="M1845" s="1001"/>
      <c r="N1845" s="29"/>
      <c r="P1845" s="29"/>
      <c r="Q1845" s="29"/>
    </row>
    <row r="1846" spans="9:17">
      <c r="I1846" s="29"/>
      <c r="J1846" s="29"/>
      <c r="K1846" s="150"/>
      <c r="M1846" s="1001"/>
      <c r="N1846" s="29"/>
      <c r="P1846" s="29"/>
      <c r="Q1846" s="29"/>
    </row>
    <row r="1847" spans="9:17">
      <c r="I1847" s="29"/>
      <c r="J1847" s="29"/>
      <c r="K1847" s="150"/>
      <c r="M1847" s="1001"/>
      <c r="N1847" s="29"/>
      <c r="P1847" s="29"/>
      <c r="Q1847" s="29"/>
    </row>
    <row r="1848" spans="9:17">
      <c r="I1848" s="29"/>
      <c r="J1848" s="29"/>
      <c r="K1848" s="150"/>
      <c r="M1848" s="1001"/>
      <c r="N1848" s="29"/>
      <c r="P1848" s="29"/>
      <c r="Q1848" s="29"/>
    </row>
    <row r="1849" spans="9:17">
      <c r="I1849" s="29"/>
      <c r="J1849" s="29"/>
      <c r="K1849" s="150"/>
      <c r="M1849" s="1001"/>
      <c r="N1849" s="29"/>
      <c r="P1849" s="29"/>
      <c r="Q1849" s="29"/>
    </row>
    <row r="1850" spans="9:17">
      <c r="I1850" s="29"/>
      <c r="J1850" s="29"/>
      <c r="K1850" s="150"/>
      <c r="M1850" s="1001"/>
      <c r="N1850" s="29"/>
      <c r="P1850" s="29"/>
      <c r="Q1850" s="29"/>
    </row>
    <row r="1851" spans="9:17">
      <c r="I1851" s="29"/>
      <c r="J1851" s="29"/>
      <c r="K1851" s="150"/>
      <c r="M1851" s="1001"/>
      <c r="N1851" s="29"/>
      <c r="P1851" s="29"/>
      <c r="Q1851" s="29"/>
    </row>
    <row r="1852" spans="9:17">
      <c r="I1852" s="29"/>
      <c r="J1852" s="29"/>
      <c r="K1852" s="150"/>
      <c r="M1852" s="1001"/>
      <c r="N1852" s="29"/>
      <c r="P1852" s="29"/>
      <c r="Q1852" s="29"/>
    </row>
    <row r="1853" spans="9:17">
      <c r="I1853" s="29"/>
      <c r="J1853" s="29"/>
      <c r="K1853" s="150"/>
      <c r="M1853" s="1001"/>
      <c r="N1853" s="29"/>
      <c r="P1853" s="29"/>
      <c r="Q1853" s="29"/>
    </row>
    <row r="1854" spans="9:17">
      <c r="I1854" s="29"/>
      <c r="J1854" s="29"/>
      <c r="K1854" s="150"/>
      <c r="M1854" s="1001"/>
      <c r="N1854" s="29"/>
      <c r="P1854" s="29"/>
      <c r="Q1854" s="29"/>
    </row>
    <row r="1855" spans="9:17">
      <c r="I1855" s="29"/>
      <c r="J1855" s="29"/>
      <c r="K1855" s="150"/>
      <c r="M1855" s="1001"/>
      <c r="N1855" s="29"/>
      <c r="P1855" s="29"/>
      <c r="Q1855" s="29"/>
    </row>
    <row r="1856" spans="9:17">
      <c r="I1856" s="29"/>
      <c r="J1856" s="29"/>
      <c r="K1856" s="150"/>
      <c r="M1856" s="1001"/>
      <c r="N1856" s="29"/>
      <c r="P1856" s="29"/>
      <c r="Q1856" s="29"/>
    </row>
    <row r="1857" spans="9:17">
      <c r="I1857" s="29"/>
      <c r="J1857" s="29"/>
      <c r="K1857" s="150"/>
      <c r="M1857" s="1001"/>
      <c r="N1857" s="29"/>
      <c r="P1857" s="29"/>
      <c r="Q1857" s="29"/>
    </row>
    <row r="1858" spans="9:17">
      <c r="I1858" s="29"/>
      <c r="J1858" s="29"/>
      <c r="K1858" s="150"/>
      <c r="M1858" s="1001"/>
      <c r="N1858" s="29"/>
      <c r="P1858" s="29"/>
      <c r="Q1858" s="29"/>
    </row>
    <row r="1859" spans="9:17">
      <c r="I1859" s="29"/>
      <c r="J1859" s="29"/>
      <c r="K1859" s="150"/>
      <c r="M1859" s="1001"/>
      <c r="N1859" s="29"/>
      <c r="P1859" s="29"/>
      <c r="Q1859" s="29"/>
    </row>
    <row r="1860" spans="9:17">
      <c r="I1860" s="29"/>
      <c r="J1860" s="29"/>
      <c r="K1860" s="150"/>
      <c r="M1860" s="1001"/>
      <c r="N1860" s="29"/>
      <c r="P1860" s="29"/>
      <c r="Q1860" s="29"/>
    </row>
    <row r="1861" spans="9:17">
      <c r="I1861" s="29"/>
      <c r="J1861" s="29"/>
      <c r="K1861" s="150"/>
      <c r="M1861" s="1001"/>
      <c r="N1861" s="29"/>
      <c r="P1861" s="29"/>
      <c r="Q1861" s="29"/>
    </row>
    <row r="1862" spans="9:17">
      <c r="I1862" s="29"/>
      <c r="J1862" s="29"/>
      <c r="K1862" s="150"/>
      <c r="M1862" s="1001"/>
      <c r="N1862" s="29"/>
      <c r="P1862" s="29"/>
      <c r="Q1862" s="29"/>
    </row>
    <row r="1863" spans="9:17">
      <c r="I1863" s="29"/>
      <c r="J1863" s="29"/>
      <c r="K1863" s="150"/>
      <c r="M1863" s="1001"/>
      <c r="N1863" s="29"/>
      <c r="P1863" s="29"/>
      <c r="Q1863" s="29"/>
    </row>
    <row r="1864" spans="9:17">
      <c r="I1864" s="29"/>
      <c r="J1864" s="29"/>
      <c r="K1864" s="150"/>
      <c r="M1864" s="1001"/>
      <c r="N1864" s="29"/>
      <c r="P1864" s="29"/>
      <c r="Q1864" s="29"/>
    </row>
    <row r="1865" spans="9:17">
      <c r="I1865" s="29"/>
      <c r="J1865" s="29"/>
      <c r="K1865" s="150"/>
      <c r="M1865" s="1001"/>
      <c r="N1865" s="29"/>
      <c r="P1865" s="29"/>
      <c r="Q1865" s="29"/>
    </row>
    <row r="1866" spans="9:17">
      <c r="I1866" s="29"/>
      <c r="J1866" s="29"/>
      <c r="K1866" s="150"/>
      <c r="M1866" s="1001"/>
      <c r="N1866" s="29"/>
      <c r="P1866" s="29"/>
      <c r="Q1866" s="29"/>
    </row>
    <row r="1867" spans="9:17">
      <c r="I1867" s="29"/>
      <c r="J1867" s="29"/>
      <c r="K1867" s="150"/>
      <c r="M1867" s="1001"/>
      <c r="N1867" s="29"/>
      <c r="P1867" s="29"/>
      <c r="Q1867" s="29"/>
    </row>
    <row r="1868" spans="9:17">
      <c r="I1868" s="29"/>
      <c r="J1868" s="29"/>
      <c r="K1868" s="150"/>
      <c r="M1868" s="1001"/>
      <c r="N1868" s="29"/>
      <c r="P1868" s="29"/>
      <c r="Q1868" s="29"/>
    </row>
    <row r="1869" spans="9:17">
      <c r="I1869" s="29"/>
      <c r="J1869" s="29"/>
      <c r="K1869" s="150"/>
      <c r="M1869" s="1001"/>
      <c r="N1869" s="29"/>
      <c r="P1869" s="29"/>
      <c r="Q1869" s="29"/>
    </row>
    <row r="1870" spans="9:17">
      <c r="I1870" s="29"/>
      <c r="J1870" s="29"/>
      <c r="K1870" s="150"/>
      <c r="M1870" s="1001"/>
      <c r="N1870" s="29"/>
      <c r="P1870" s="29"/>
      <c r="Q1870" s="29"/>
    </row>
    <row r="1871" spans="9:17">
      <c r="I1871" s="29"/>
      <c r="J1871" s="29"/>
      <c r="K1871" s="150"/>
      <c r="M1871" s="1001"/>
      <c r="N1871" s="29"/>
      <c r="P1871" s="29"/>
      <c r="Q1871" s="29"/>
    </row>
    <row r="1872" spans="9:17">
      <c r="I1872" s="29"/>
      <c r="J1872" s="29"/>
      <c r="K1872" s="150"/>
      <c r="M1872" s="1001"/>
      <c r="N1872" s="29"/>
      <c r="P1872" s="29"/>
      <c r="Q1872" s="29"/>
    </row>
    <row r="1873" spans="9:17">
      <c r="I1873" s="29"/>
      <c r="J1873" s="29"/>
      <c r="K1873" s="150"/>
      <c r="M1873" s="1001"/>
      <c r="N1873" s="29"/>
      <c r="P1873" s="29"/>
      <c r="Q1873" s="29"/>
    </row>
    <row r="1874" spans="9:17">
      <c r="I1874" s="29"/>
      <c r="J1874" s="29"/>
      <c r="K1874" s="150"/>
      <c r="M1874" s="1001"/>
      <c r="N1874" s="29"/>
      <c r="P1874" s="29"/>
      <c r="Q1874" s="29"/>
    </row>
    <row r="1875" spans="9:17">
      <c r="I1875" s="29"/>
      <c r="J1875" s="29"/>
      <c r="K1875" s="150"/>
      <c r="M1875" s="1001"/>
      <c r="N1875" s="29"/>
      <c r="P1875" s="29"/>
      <c r="Q1875" s="29"/>
    </row>
    <row r="1876" spans="9:17">
      <c r="I1876" s="29"/>
      <c r="J1876" s="29"/>
      <c r="K1876" s="150"/>
      <c r="M1876" s="1001"/>
      <c r="N1876" s="29"/>
      <c r="P1876" s="29"/>
      <c r="Q1876" s="29"/>
    </row>
    <row r="1877" spans="9:17">
      <c r="I1877" s="29"/>
      <c r="J1877" s="29"/>
      <c r="K1877" s="150"/>
      <c r="M1877" s="1001"/>
      <c r="N1877" s="29"/>
      <c r="P1877" s="29"/>
      <c r="Q1877" s="29"/>
    </row>
    <row r="1878" spans="9:17">
      <c r="I1878" s="29"/>
      <c r="J1878" s="29"/>
      <c r="K1878" s="150"/>
      <c r="M1878" s="1001"/>
      <c r="N1878" s="29"/>
      <c r="P1878" s="29"/>
      <c r="Q1878" s="29"/>
    </row>
    <row r="1879" spans="9:17">
      <c r="I1879" s="29"/>
      <c r="J1879" s="29"/>
      <c r="K1879" s="150"/>
      <c r="M1879" s="1001"/>
      <c r="N1879" s="29"/>
      <c r="P1879" s="29"/>
      <c r="Q1879" s="29"/>
    </row>
    <row r="1880" spans="9:17">
      <c r="I1880" s="29"/>
      <c r="J1880" s="29"/>
      <c r="K1880" s="150"/>
      <c r="M1880" s="1001"/>
      <c r="N1880" s="29"/>
      <c r="P1880" s="29"/>
      <c r="Q1880" s="29"/>
    </row>
    <row r="1881" spans="9:17">
      <c r="I1881" s="29"/>
      <c r="J1881" s="29"/>
      <c r="K1881" s="150"/>
      <c r="M1881" s="1001"/>
      <c r="N1881" s="29"/>
      <c r="P1881" s="29"/>
      <c r="Q1881" s="29"/>
    </row>
    <row r="1882" spans="9:17">
      <c r="I1882" s="29"/>
      <c r="J1882" s="29"/>
      <c r="K1882" s="150"/>
      <c r="M1882" s="1001"/>
      <c r="N1882" s="29"/>
      <c r="P1882" s="29"/>
      <c r="Q1882" s="29"/>
    </row>
    <row r="1883" spans="9:17">
      <c r="I1883" s="29"/>
      <c r="J1883" s="29"/>
      <c r="K1883" s="150"/>
      <c r="M1883" s="1001"/>
      <c r="N1883" s="29"/>
      <c r="P1883" s="29"/>
      <c r="Q1883" s="29"/>
    </row>
    <row r="1884" spans="9:17">
      <c r="I1884" s="29"/>
      <c r="J1884" s="29"/>
      <c r="K1884" s="150"/>
      <c r="M1884" s="1001"/>
      <c r="N1884" s="29"/>
      <c r="P1884" s="29"/>
      <c r="Q1884" s="29"/>
    </row>
    <row r="1885" spans="9:17">
      <c r="I1885" s="29"/>
      <c r="J1885" s="29"/>
      <c r="K1885" s="150"/>
      <c r="M1885" s="1001"/>
      <c r="N1885" s="29"/>
      <c r="P1885" s="29"/>
      <c r="Q1885" s="29"/>
    </row>
    <row r="1886" spans="9:17">
      <c r="I1886" s="29"/>
      <c r="J1886" s="29"/>
      <c r="K1886" s="150"/>
      <c r="M1886" s="1001"/>
      <c r="N1886" s="29"/>
      <c r="P1886" s="29"/>
      <c r="Q1886" s="29"/>
    </row>
    <row r="1887" spans="9:17">
      <c r="I1887" s="29"/>
      <c r="J1887" s="29"/>
      <c r="K1887" s="150"/>
      <c r="M1887" s="1001"/>
      <c r="N1887" s="29"/>
      <c r="P1887" s="29"/>
      <c r="Q1887" s="29"/>
    </row>
    <row r="1888" spans="9:17">
      <c r="I1888" s="29"/>
      <c r="J1888" s="29"/>
      <c r="K1888" s="150"/>
      <c r="M1888" s="1001"/>
      <c r="N1888" s="29"/>
      <c r="P1888" s="29"/>
      <c r="Q1888" s="29"/>
    </row>
    <row r="1889" spans="9:17">
      <c r="I1889" s="29"/>
      <c r="J1889" s="29"/>
      <c r="K1889" s="150"/>
      <c r="M1889" s="1001"/>
      <c r="N1889" s="29"/>
      <c r="P1889" s="29"/>
      <c r="Q1889" s="29"/>
    </row>
    <row r="1890" spans="9:17">
      <c r="I1890" s="29"/>
      <c r="J1890" s="29"/>
      <c r="K1890" s="150"/>
      <c r="M1890" s="1001"/>
      <c r="N1890" s="29"/>
      <c r="P1890" s="29"/>
      <c r="Q1890" s="29"/>
    </row>
    <row r="1891" spans="9:17">
      <c r="I1891" s="29"/>
      <c r="J1891" s="29"/>
      <c r="K1891" s="150"/>
      <c r="M1891" s="1001"/>
      <c r="N1891" s="29"/>
      <c r="P1891" s="29"/>
      <c r="Q1891" s="29"/>
    </row>
    <row r="1892" spans="9:17">
      <c r="I1892" s="29"/>
      <c r="J1892" s="29"/>
      <c r="K1892" s="150"/>
      <c r="M1892" s="1001"/>
      <c r="N1892" s="29"/>
      <c r="P1892" s="29"/>
      <c r="Q1892" s="29"/>
    </row>
    <row r="1893" spans="9:17">
      <c r="I1893" s="29"/>
      <c r="J1893" s="29"/>
      <c r="K1893" s="150"/>
      <c r="M1893" s="1001"/>
      <c r="N1893" s="29"/>
      <c r="P1893" s="29"/>
      <c r="Q1893" s="29"/>
    </row>
    <row r="1894" spans="9:17">
      <c r="I1894" s="29"/>
      <c r="J1894" s="29"/>
      <c r="K1894" s="150"/>
      <c r="M1894" s="1001"/>
      <c r="N1894" s="29"/>
      <c r="P1894" s="29"/>
      <c r="Q1894" s="29"/>
    </row>
    <row r="1895" spans="9:17">
      <c r="I1895" s="29"/>
      <c r="J1895" s="29"/>
      <c r="K1895" s="150"/>
      <c r="M1895" s="1001"/>
      <c r="N1895" s="29"/>
      <c r="P1895" s="29"/>
      <c r="Q1895" s="29"/>
    </row>
    <row r="1896" spans="9:17">
      <c r="I1896" s="29"/>
      <c r="J1896" s="29"/>
      <c r="K1896" s="150"/>
      <c r="M1896" s="1001"/>
      <c r="N1896" s="29"/>
      <c r="P1896" s="29"/>
      <c r="Q1896" s="29"/>
    </row>
    <row r="1897" spans="9:17">
      <c r="I1897" s="29"/>
      <c r="J1897" s="29"/>
      <c r="K1897" s="150"/>
      <c r="M1897" s="1001"/>
      <c r="N1897" s="29"/>
      <c r="P1897" s="29"/>
      <c r="Q1897" s="29"/>
    </row>
    <row r="1898" spans="9:17">
      <c r="I1898" s="29"/>
      <c r="J1898" s="29"/>
      <c r="K1898" s="150"/>
      <c r="M1898" s="1001"/>
      <c r="N1898" s="29"/>
      <c r="P1898" s="29"/>
      <c r="Q1898" s="29"/>
    </row>
    <row r="1899" spans="9:17">
      <c r="I1899" s="29"/>
      <c r="J1899" s="29"/>
      <c r="K1899" s="150"/>
      <c r="M1899" s="1001"/>
      <c r="N1899" s="29"/>
      <c r="P1899" s="29"/>
      <c r="Q1899" s="29"/>
    </row>
    <row r="1900" spans="9:17">
      <c r="I1900" s="29"/>
      <c r="J1900" s="29"/>
      <c r="K1900" s="150"/>
      <c r="M1900" s="1001"/>
      <c r="N1900" s="29"/>
      <c r="P1900" s="29"/>
      <c r="Q1900" s="29"/>
    </row>
    <row r="1901" spans="9:17">
      <c r="I1901" s="29"/>
      <c r="J1901" s="29"/>
      <c r="K1901" s="150"/>
      <c r="M1901" s="1001"/>
      <c r="N1901" s="29"/>
      <c r="P1901" s="29"/>
      <c r="Q1901" s="29"/>
    </row>
    <row r="1902" spans="9:17">
      <c r="I1902" s="29"/>
      <c r="J1902" s="29"/>
      <c r="K1902" s="150"/>
      <c r="M1902" s="1001"/>
      <c r="N1902" s="29"/>
      <c r="P1902" s="29"/>
      <c r="Q1902" s="29"/>
    </row>
    <row r="1903" spans="9:17">
      <c r="I1903" s="29"/>
      <c r="J1903" s="29"/>
      <c r="K1903" s="150"/>
      <c r="M1903" s="1001"/>
      <c r="N1903" s="29"/>
      <c r="P1903" s="29"/>
      <c r="Q1903" s="29"/>
    </row>
    <row r="1904" spans="9:17">
      <c r="I1904" s="29"/>
      <c r="J1904" s="29"/>
      <c r="K1904" s="150"/>
      <c r="M1904" s="1001"/>
      <c r="N1904" s="29"/>
      <c r="P1904" s="29"/>
      <c r="Q1904" s="29"/>
    </row>
    <row r="1905" spans="9:17">
      <c r="I1905" s="29"/>
      <c r="J1905" s="29"/>
      <c r="K1905" s="150"/>
      <c r="M1905" s="1001"/>
      <c r="N1905" s="29"/>
      <c r="P1905" s="29"/>
      <c r="Q1905" s="29"/>
    </row>
    <row r="1906" spans="9:17">
      <c r="I1906" s="29"/>
      <c r="J1906" s="29"/>
      <c r="K1906" s="150"/>
      <c r="M1906" s="1001"/>
      <c r="N1906" s="29"/>
      <c r="P1906" s="29"/>
      <c r="Q1906" s="29"/>
    </row>
    <row r="1907" spans="9:17">
      <c r="I1907" s="29"/>
      <c r="J1907" s="29"/>
      <c r="K1907" s="150"/>
      <c r="M1907" s="1001"/>
      <c r="N1907" s="29"/>
      <c r="P1907" s="29"/>
      <c r="Q1907" s="29"/>
    </row>
    <row r="1908" spans="9:17">
      <c r="I1908" s="29"/>
      <c r="J1908" s="29"/>
      <c r="K1908" s="150"/>
      <c r="M1908" s="1001"/>
      <c r="N1908" s="29"/>
      <c r="P1908" s="29"/>
      <c r="Q1908" s="29"/>
    </row>
    <row r="1909" spans="9:17">
      <c r="I1909" s="29"/>
      <c r="J1909" s="29"/>
      <c r="K1909" s="150"/>
      <c r="M1909" s="1001"/>
      <c r="N1909" s="29"/>
      <c r="P1909" s="29"/>
      <c r="Q1909" s="29"/>
    </row>
    <row r="1910" spans="9:17">
      <c r="I1910" s="29"/>
      <c r="J1910" s="29"/>
      <c r="K1910" s="150"/>
      <c r="M1910" s="1001"/>
      <c r="N1910" s="29"/>
      <c r="P1910" s="29"/>
      <c r="Q1910" s="29"/>
    </row>
    <row r="1911" spans="9:17">
      <c r="I1911" s="29"/>
      <c r="J1911" s="29"/>
      <c r="K1911" s="150"/>
      <c r="M1911" s="1001"/>
      <c r="N1911" s="29"/>
      <c r="P1911" s="29"/>
      <c r="Q1911" s="29"/>
    </row>
    <row r="1912" spans="9:17">
      <c r="I1912" s="29"/>
      <c r="J1912" s="29"/>
      <c r="K1912" s="150"/>
      <c r="M1912" s="1001"/>
      <c r="N1912" s="29"/>
      <c r="P1912" s="29"/>
      <c r="Q1912" s="29"/>
    </row>
    <row r="1913" spans="9:17">
      <c r="I1913" s="29"/>
      <c r="J1913" s="29"/>
      <c r="K1913" s="150"/>
      <c r="M1913" s="1001"/>
      <c r="N1913" s="29"/>
      <c r="P1913" s="29"/>
      <c r="Q1913" s="29"/>
    </row>
    <row r="1914" spans="9:17">
      <c r="I1914" s="29"/>
      <c r="J1914" s="29"/>
      <c r="K1914" s="150"/>
      <c r="M1914" s="1001"/>
      <c r="N1914" s="29"/>
      <c r="P1914" s="29"/>
      <c r="Q1914" s="29"/>
    </row>
    <row r="1915" spans="9:17">
      <c r="I1915" s="29"/>
      <c r="J1915" s="29"/>
      <c r="K1915" s="150"/>
      <c r="M1915" s="1001"/>
      <c r="N1915" s="29"/>
      <c r="P1915" s="29"/>
      <c r="Q1915" s="29"/>
    </row>
    <row r="1916" spans="9:17">
      <c r="I1916" s="29"/>
      <c r="J1916" s="29"/>
      <c r="K1916" s="150"/>
      <c r="M1916" s="1001"/>
      <c r="N1916" s="29"/>
      <c r="P1916" s="29"/>
      <c r="Q1916" s="29"/>
    </row>
    <row r="1917" spans="9:17">
      <c r="I1917" s="29"/>
      <c r="J1917" s="29"/>
      <c r="K1917" s="150"/>
      <c r="M1917" s="1001"/>
      <c r="N1917" s="29"/>
      <c r="P1917" s="29"/>
      <c r="Q1917" s="29"/>
    </row>
    <row r="1918" spans="9:17">
      <c r="I1918" s="29"/>
      <c r="J1918" s="29"/>
      <c r="K1918" s="150"/>
      <c r="M1918" s="1001"/>
      <c r="N1918" s="29"/>
      <c r="P1918" s="29"/>
      <c r="Q1918" s="29"/>
    </row>
    <row r="1919" spans="9:17">
      <c r="I1919" s="29"/>
      <c r="J1919" s="29"/>
      <c r="K1919" s="150"/>
      <c r="M1919" s="1001"/>
      <c r="N1919" s="29"/>
      <c r="P1919" s="29"/>
      <c r="Q1919" s="29"/>
    </row>
    <row r="1920" spans="9:17">
      <c r="I1920" s="29"/>
      <c r="J1920" s="29"/>
      <c r="K1920" s="150"/>
      <c r="M1920" s="1001"/>
      <c r="N1920" s="29"/>
      <c r="P1920" s="29"/>
      <c r="Q1920" s="29"/>
    </row>
    <row r="1921" spans="9:17">
      <c r="I1921" s="29"/>
      <c r="J1921" s="29"/>
      <c r="K1921" s="150"/>
      <c r="M1921" s="1001"/>
      <c r="N1921" s="29"/>
      <c r="P1921" s="29"/>
      <c r="Q1921" s="29"/>
    </row>
    <row r="1922" spans="9:17">
      <c r="I1922" s="29"/>
      <c r="J1922" s="29"/>
      <c r="K1922" s="150"/>
      <c r="M1922" s="1001"/>
      <c r="N1922" s="29"/>
      <c r="P1922" s="29"/>
      <c r="Q1922" s="29"/>
    </row>
    <row r="1923" spans="9:17">
      <c r="I1923" s="29"/>
      <c r="J1923" s="29"/>
      <c r="K1923" s="150"/>
      <c r="M1923" s="1001"/>
      <c r="N1923" s="29"/>
      <c r="P1923" s="29"/>
      <c r="Q1923" s="29"/>
    </row>
    <row r="1924" spans="9:17">
      <c r="I1924" s="29"/>
      <c r="J1924" s="29"/>
      <c r="K1924" s="150"/>
      <c r="M1924" s="1001"/>
      <c r="N1924" s="29"/>
      <c r="P1924" s="29"/>
      <c r="Q1924" s="29"/>
    </row>
    <row r="1925" spans="9:17">
      <c r="I1925" s="29"/>
      <c r="J1925" s="29"/>
      <c r="K1925" s="150"/>
      <c r="M1925" s="1001"/>
      <c r="N1925" s="29"/>
      <c r="P1925" s="29"/>
      <c r="Q1925" s="29"/>
    </row>
    <row r="1926" spans="9:17">
      <c r="I1926" s="29"/>
      <c r="J1926" s="29"/>
      <c r="K1926" s="150"/>
      <c r="M1926" s="1001"/>
      <c r="N1926" s="29"/>
      <c r="P1926" s="29"/>
      <c r="Q1926" s="29"/>
    </row>
    <row r="1927" spans="9:17">
      <c r="I1927" s="29"/>
      <c r="J1927" s="29"/>
      <c r="K1927" s="150"/>
      <c r="M1927" s="1001"/>
      <c r="N1927" s="29"/>
      <c r="P1927" s="29"/>
      <c r="Q1927" s="29"/>
    </row>
    <row r="1928" spans="9:17">
      <c r="I1928" s="29"/>
      <c r="J1928" s="29"/>
      <c r="K1928" s="150"/>
      <c r="M1928" s="1001"/>
      <c r="N1928" s="29"/>
      <c r="P1928" s="29"/>
      <c r="Q1928" s="29"/>
    </row>
    <row r="1929" spans="9:17">
      <c r="I1929" s="29"/>
      <c r="J1929" s="29"/>
      <c r="K1929" s="150"/>
      <c r="M1929" s="1001"/>
      <c r="N1929" s="29"/>
      <c r="P1929" s="29"/>
      <c r="Q1929" s="29"/>
    </row>
    <row r="1930" spans="9:17">
      <c r="I1930" s="29"/>
      <c r="J1930" s="29"/>
      <c r="K1930" s="150"/>
      <c r="M1930" s="1001"/>
      <c r="N1930" s="29"/>
      <c r="P1930" s="29"/>
      <c r="Q1930" s="29"/>
    </row>
    <row r="1931" spans="9:17">
      <c r="I1931" s="29"/>
      <c r="J1931" s="29"/>
      <c r="K1931" s="150"/>
      <c r="M1931" s="1001"/>
      <c r="N1931" s="29"/>
      <c r="P1931" s="29"/>
      <c r="Q1931" s="29"/>
    </row>
    <row r="1932" spans="9:17">
      <c r="I1932" s="29"/>
      <c r="J1932" s="29"/>
      <c r="K1932" s="150"/>
      <c r="M1932" s="1001"/>
      <c r="N1932" s="29"/>
      <c r="P1932" s="29"/>
      <c r="Q1932" s="29"/>
    </row>
    <row r="1933" spans="9:17">
      <c r="I1933" s="29"/>
      <c r="J1933" s="29"/>
      <c r="K1933" s="150"/>
      <c r="M1933" s="1001"/>
      <c r="N1933" s="29"/>
      <c r="P1933" s="29"/>
      <c r="Q1933" s="29"/>
    </row>
    <row r="1934" spans="9:17">
      <c r="I1934" s="29"/>
      <c r="J1934" s="29"/>
      <c r="K1934" s="150"/>
      <c r="M1934" s="1001"/>
      <c r="N1934" s="29"/>
      <c r="P1934" s="29"/>
      <c r="Q1934" s="29"/>
    </row>
    <row r="1935" spans="9:17">
      <c r="I1935" s="29"/>
      <c r="J1935" s="29"/>
      <c r="K1935" s="150"/>
      <c r="M1935" s="1001"/>
      <c r="N1935" s="29"/>
      <c r="P1935" s="29"/>
      <c r="Q1935" s="29"/>
    </row>
    <row r="1936" spans="9:17">
      <c r="I1936" s="29"/>
      <c r="J1936" s="29"/>
      <c r="K1936" s="150"/>
      <c r="M1936" s="1001"/>
      <c r="N1936" s="29"/>
      <c r="P1936" s="29"/>
      <c r="Q1936" s="29"/>
    </row>
    <row r="1937" spans="9:17">
      <c r="I1937" s="29"/>
      <c r="J1937" s="29"/>
      <c r="K1937" s="150"/>
      <c r="M1937" s="1001"/>
      <c r="N1937" s="29"/>
      <c r="P1937" s="29"/>
      <c r="Q1937" s="29"/>
    </row>
    <row r="1938" spans="9:17">
      <c r="I1938" s="29"/>
      <c r="J1938" s="29"/>
      <c r="K1938" s="150"/>
      <c r="M1938" s="1001"/>
      <c r="N1938" s="29"/>
      <c r="P1938" s="29"/>
      <c r="Q1938" s="29"/>
    </row>
    <row r="1939" spans="9:17">
      <c r="I1939" s="29"/>
      <c r="J1939" s="29"/>
      <c r="K1939" s="150"/>
      <c r="M1939" s="1001"/>
      <c r="N1939" s="29"/>
      <c r="P1939" s="29"/>
      <c r="Q1939" s="29"/>
    </row>
    <row r="1940" spans="9:17">
      <c r="I1940" s="29"/>
      <c r="J1940" s="29"/>
      <c r="K1940" s="150"/>
      <c r="M1940" s="1001"/>
      <c r="N1940" s="29"/>
      <c r="P1940" s="29"/>
      <c r="Q1940" s="29"/>
    </row>
    <row r="1941" spans="9:17">
      <c r="I1941" s="29"/>
      <c r="J1941" s="29"/>
      <c r="K1941" s="150"/>
      <c r="M1941" s="1001"/>
      <c r="N1941" s="29"/>
      <c r="P1941" s="29"/>
      <c r="Q1941" s="29"/>
    </row>
    <row r="1942" spans="9:17">
      <c r="I1942" s="29"/>
      <c r="J1942" s="29"/>
      <c r="K1942" s="150"/>
      <c r="M1942" s="1001"/>
      <c r="N1942" s="29"/>
      <c r="P1942" s="29"/>
      <c r="Q1942" s="29"/>
    </row>
    <row r="1943" spans="9:17">
      <c r="I1943" s="29"/>
      <c r="J1943" s="29"/>
      <c r="K1943" s="150"/>
      <c r="M1943" s="1001"/>
      <c r="N1943" s="29"/>
      <c r="P1943" s="29"/>
      <c r="Q1943" s="29"/>
    </row>
    <row r="1944" spans="9:17">
      <c r="I1944" s="29"/>
      <c r="J1944" s="29"/>
      <c r="K1944" s="150"/>
      <c r="M1944" s="1001"/>
      <c r="N1944" s="29"/>
      <c r="P1944" s="29"/>
      <c r="Q1944" s="29"/>
    </row>
    <row r="1945" spans="9:17">
      <c r="I1945" s="29"/>
      <c r="J1945" s="29"/>
      <c r="K1945" s="150"/>
      <c r="M1945" s="1001"/>
      <c r="N1945" s="29"/>
      <c r="P1945" s="29"/>
      <c r="Q1945" s="29"/>
    </row>
    <row r="1946" spans="9:17">
      <c r="I1946" s="29"/>
      <c r="J1946" s="29"/>
      <c r="K1946" s="150"/>
      <c r="M1946" s="1001"/>
      <c r="N1946" s="29"/>
      <c r="P1946" s="29"/>
      <c r="Q1946" s="29"/>
    </row>
    <row r="1947" spans="9:17">
      <c r="I1947" s="29"/>
      <c r="J1947" s="29"/>
      <c r="K1947" s="150"/>
      <c r="M1947" s="1001"/>
      <c r="N1947" s="29"/>
      <c r="P1947" s="29"/>
      <c r="Q1947" s="29"/>
    </row>
    <row r="1948" spans="9:17">
      <c r="I1948" s="29"/>
      <c r="J1948" s="29"/>
      <c r="K1948" s="150"/>
      <c r="M1948" s="1001"/>
      <c r="N1948" s="29"/>
      <c r="P1948" s="29"/>
      <c r="Q1948" s="29"/>
    </row>
    <row r="1949" spans="9:17">
      <c r="I1949" s="29"/>
      <c r="J1949" s="29"/>
      <c r="K1949" s="150"/>
      <c r="M1949" s="1001"/>
      <c r="N1949" s="29"/>
      <c r="P1949" s="29"/>
      <c r="Q1949" s="29"/>
    </row>
    <row r="1950" spans="9:17">
      <c r="I1950" s="29"/>
      <c r="J1950" s="29"/>
      <c r="K1950" s="150"/>
      <c r="M1950" s="1001"/>
      <c r="N1950" s="29"/>
      <c r="P1950" s="29"/>
      <c r="Q1950" s="29"/>
    </row>
    <row r="1951" spans="9:17">
      <c r="I1951" s="29"/>
      <c r="J1951" s="29"/>
      <c r="K1951" s="150"/>
      <c r="M1951" s="1001"/>
      <c r="N1951" s="29"/>
      <c r="P1951" s="29"/>
      <c r="Q1951" s="29"/>
    </row>
    <row r="1952" spans="9:17">
      <c r="I1952" s="29"/>
      <c r="J1952" s="29"/>
      <c r="K1952" s="150"/>
      <c r="M1952" s="1001"/>
      <c r="N1952" s="29"/>
      <c r="P1952" s="29"/>
      <c r="Q1952" s="29"/>
    </row>
    <row r="1953" spans="9:17">
      <c r="I1953" s="29"/>
      <c r="J1953" s="29"/>
      <c r="K1953" s="150"/>
      <c r="M1953" s="1001"/>
      <c r="N1953" s="29"/>
      <c r="P1953" s="29"/>
      <c r="Q1953" s="29"/>
    </row>
    <row r="1954" spans="9:17">
      <c r="I1954" s="29"/>
      <c r="J1954" s="29"/>
      <c r="K1954" s="150"/>
      <c r="M1954" s="1001"/>
      <c r="N1954" s="29"/>
      <c r="P1954" s="29"/>
      <c r="Q1954" s="29"/>
    </row>
    <row r="1955" spans="9:17">
      <c r="I1955" s="29"/>
      <c r="J1955" s="29"/>
      <c r="K1955" s="150"/>
      <c r="M1955" s="1001"/>
      <c r="N1955" s="29"/>
      <c r="P1955" s="29"/>
      <c r="Q1955" s="29"/>
    </row>
    <row r="1956" spans="9:17">
      <c r="I1956" s="29"/>
      <c r="J1956" s="29"/>
      <c r="K1956" s="150"/>
      <c r="M1956" s="1001"/>
      <c r="N1956" s="29"/>
      <c r="P1956" s="29"/>
      <c r="Q1956" s="29"/>
    </row>
    <row r="1957" spans="9:17">
      <c r="I1957" s="29"/>
      <c r="J1957" s="29"/>
      <c r="K1957" s="150"/>
      <c r="M1957" s="1001"/>
      <c r="N1957" s="29"/>
      <c r="P1957" s="29"/>
      <c r="Q1957" s="29"/>
    </row>
    <row r="1958" spans="9:17">
      <c r="I1958" s="29"/>
      <c r="J1958" s="29"/>
      <c r="K1958" s="150"/>
      <c r="M1958" s="1001"/>
      <c r="N1958" s="29"/>
      <c r="P1958" s="29"/>
      <c r="Q1958" s="29"/>
    </row>
    <row r="1959" spans="9:17">
      <c r="I1959" s="29"/>
      <c r="J1959" s="29"/>
      <c r="K1959" s="150"/>
      <c r="M1959" s="1001"/>
      <c r="N1959" s="29"/>
      <c r="P1959" s="29"/>
      <c r="Q1959" s="29"/>
    </row>
    <row r="1960" spans="9:17">
      <c r="I1960" s="29"/>
      <c r="J1960" s="29"/>
      <c r="K1960" s="150"/>
      <c r="M1960" s="1001"/>
      <c r="N1960" s="29"/>
      <c r="P1960" s="29"/>
      <c r="Q1960" s="29"/>
    </row>
    <row r="1961" spans="9:17">
      <c r="I1961" s="29"/>
      <c r="J1961" s="29"/>
      <c r="K1961" s="150"/>
      <c r="M1961" s="1001"/>
      <c r="N1961" s="29"/>
      <c r="P1961" s="29"/>
      <c r="Q1961" s="29"/>
    </row>
    <row r="1962" spans="9:17">
      <c r="I1962" s="29"/>
      <c r="J1962" s="29"/>
      <c r="K1962" s="150"/>
      <c r="M1962" s="1001"/>
      <c r="N1962" s="29"/>
      <c r="P1962" s="29"/>
      <c r="Q1962" s="29"/>
    </row>
    <row r="1963" spans="9:17">
      <c r="I1963" s="29"/>
      <c r="J1963" s="29"/>
      <c r="K1963" s="150"/>
      <c r="M1963" s="1001"/>
      <c r="N1963" s="29"/>
      <c r="P1963" s="29"/>
      <c r="Q1963" s="29"/>
    </row>
    <row r="1964" spans="9:17">
      <c r="I1964" s="29"/>
      <c r="J1964" s="29"/>
      <c r="K1964" s="150"/>
      <c r="M1964" s="1001"/>
      <c r="N1964" s="29"/>
      <c r="P1964" s="29"/>
      <c r="Q1964" s="29"/>
    </row>
    <row r="1965" spans="9:17">
      <c r="I1965" s="29"/>
      <c r="J1965" s="29"/>
      <c r="K1965" s="150"/>
      <c r="M1965" s="1001"/>
      <c r="N1965" s="29"/>
      <c r="P1965" s="29"/>
      <c r="Q1965" s="29"/>
    </row>
    <row r="1966" spans="9:17">
      <c r="I1966" s="29"/>
      <c r="J1966" s="29"/>
      <c r="K1966" s="150"/>
      <c r="M1966" s="1001"/>
      <c r="N1966" s="29"/>
      <c r="P1966" s="29"/>
      <c r="Q1966" s="29"/>
    </row>
    <row r="1967" spans="9:17">
      <c r="I1967" s="29"/>
      <c r="J1967" s="29"/>
      <c r="K1967" s="150"/>
      <c r="M1967" s="1001"/>
      <c r="N1967" s="29"/>
      <c r="P1967" s="29"/>
      <c r="Q1967" s="29"/>
    </row>
    <row r="1968" spans="9:17">
      <c r="I1968" s="29"/>
      <c r="J1968" s="29"/>
      <c r="K1968" s="150"/>
      <c r="M1968" s="1001"/>
      <c r="N1968" s="29"/>
      <c r="P1968" s="29"/>
      <c r="Q1968" s="29"/>
    </row>
    <row r="1969" spans="9:17">
      <c r="I1969" s="29"/>
      <c r="J1969" s="29"/>
      <c r="K1969" s="150"/>
      <c r="M1969" s="1001"/>
      <c r="N1969" s="29"/>
      <c r="P1969" s="29"/>
      <c r="Q1969" s="29"/>
    </row>
    <row r="1970" spans="9:17">
      <c r="I1970" s="29"/>
      <c r="J1970" s="29"/>
      <c r="K1970" s="150"/>
      <c r="M1970" s="1001"/>
      <c r="N1970" s="29"/>
      <c r="P1970" s="29"/>
      <c r="Q1970" s="29"/>
    </row>
    <row r="1971" spans="9:17">
      <c r="I1971" s="29"/>
      <c r="J1971" s="29"/>
      <c r="K1971" s="150"/>
      <c r="M1971" s="1001"/>
      <c r="N1971" s="29"/>
      <c r="P1971" s="29"/>
      <c r="Q1971" s="29"/>
    </row>
    <row r="1972" spans="9:17">
      <c r="I1972" s="29"/>
      <c r="J1972" s="29"/>
      <c r="K1972" s="150"/>
      <c r="M1972" s="1001"/>
      <c r="N1972" s="29"/>
      <c r="P1972" s="29"/>
      <c r="Q1972" s="29"/>
    </row>
    <row r="1973" spans="9:17">
      <c r="I1973" s="29"/>
      <c r="J1973" s="29"/>
      <c r="K1973" s="150"/>
      <c r="M1973" s="1001"/>
      <c r="N1973" s="29"/>
      <c r="P1973" s="29"/>
      <c r="Q1973" s="29"/>
    </row>
    <row r="1974" spans="9:17">
      <c r="I1974" s="29"/>
      <c r="J1974" s="29"/>
      <c r="K1974" s="150"/>
      <c r="M1974" s="1001"/>
      <c r="N1974" s="29"/>
      <c r="P1974" s="29"/>
      <c r="Q1974" s="29"/>
    </row>
    <row r="1975" spans="9:17">
      <c r="I1975" s="29"/>
      <c r="J1975" s="29"/>
      <c r="K1975" s="150"/>
      <c r="M1975" s="1001"/>
      <c r="N1975" s="29"/>
      <c r="P1975" s="29"/>
      <c r="Q1975" s="29"/>
    </row>
    <row r="1976" spans="9:17">
      <c r="I1976" s="29"/>
      <c r="J1976" s="29"/>
      <c r="K1976" s="150"/>
      <c r="M1976" s="1001"/>
      <c r="N1976" s="29"/>
      <c r="P1976" s="29"/>
      <c r="Q1976" s="29"/>
    </row>
    <row r="1977" spans="9:17">
      <c r="I1977" s="29"/>
      <c r="J1977" s="29"/>
      <c r="K1977" s="150"/>
      <c r="M1977" s="1001"/>
      <c r="N1977" s="29"/>
      <c r="P1977" s="29"/>
      <c r="Q1977" s="29"/>
    </row>
    <row r="1978" spans="9:17">
      <c r="I1978" s="29"/>
      <c r="J1978" s="29"/>
      <c r="K1978" s="150"/>
      <c r="M1978" s="1001"/>
      <c r="N1978" s="29"/>
      <c r="P1978" s="29"/>
      <c r="Q1978" s="29"/>
    </row>
    <row r="1979" spans="9:17">
      <c r="I1979" s="29"/>
      <c r="J1979" s="29"/>
      <c r="K1979" s="150"/>
      <c r="M1979" s="1001"/>
      <c r="N1979" s="29"/>
      <c r="P1979" s="29"/>
      <c r="Q1979" s="29"/>
    </row>
    <row r="1980" spans="9:17">
      <c r="I1980" s="29"/>
      <c r="J1980" s="29"/>
      <c r="K1980" s="150"/>
      <c r="M1980" s="1001"/>
      <c r="N1980" s="29"/>
      <c r="P1980" s="29"/>
      <c r="Q1980" s="29"/>
    </row>
    <row r="1981" spans="9:17">
      <c r="I1981" s="29"/>
      <c r="J1981" s="29"/>
      <c r="K1981" s="150"/>
      <c r="M1981" s="1001"/>
      <c r="N1981" s="29"/>
      <c r="P1981" s="29"/>
      <c r="Q1981" s="29"/>
    </row>
    <row r="1982" spans="9:17">
      <c r="I1982" s="29"/>
      <c r="J1982" s="29"/>
      <c r="K1982" s="150"/>
      <c r="M1982" s="1001"/>
      <c r="N1982" s="29"/>
      <c r="P1982" s="29"/>
      <c r="Q1982" s="29"/>
    </row>
    <row r="1983" spans="9:17">
      <c r="I1983" s="29"/>
      <c r="J1983" s="29"/>
      <c r="K1983" s="150"/>
      <c r="M1983" s="1001"/>
      <c r="N1983" s="29"/>
      <c r="P1983" s="29"/>
      <c r="Q1983" s="29"/>
    </row>
    <row r="1984" spans="9:17">
      <c r="I1984" s="29"/>
      <c r="J1984" s="29"/>
      <c r="K1984" s="150"/>
      <c r="M1984" s="1001"/>
      <c r="N1984" s="29"/>
      <c r="P1984" s="29"/>
      <c r="Q1984" s="29"/>
    </row>
    <row r="1985" spans="9:17">
      <c r="I1985" s="29"/>
      <c r="J1985" s="29"/>
      <c r="K1985" s="150"/>
      <c r="M1985" s="1001"/>
      <c r="N1985" s="29"/>
      <c r="P1985" s="29"/>
      <c r="Q1985" s="29"/>
    </row>
    <row r="1986" spans="9:17">
      <c r="I1986" s="29"/>
      <c r="J1986" s="29"/>
      <c r="K1986" s="150"/>
      <c r="M1986" s="1001"/>
      <c r="N1986" s="29"/>
      <c r="P1986" s="29"/>
      <c r="Q1986" s="29"/>
    </row>
    <row r="1987" spans="9:17">
      <c r="I1987" s="29"/>
      <c r="J1987" s="29"/>
      <c r="K1987" s="150"/>
      <c r="M1987" s="1001"/>
      <c r="N1987" s="29"/>
      <c r="P1987" s="29"/>
      <c r="Q1987" s="29"/>
    </row>
    <row r="1988" spans="9:17">
      <c r="I1988" s="29"/>
      <c r="J1988" s="29"/>
      <c r="K1988" s="150"/>
      <c r="M1988" s="1001"/>
      <c r="N1988" s="29"/>
      <c r="P1988" s="29"/>
      <c r="Q1988" s="29"/>
    </row>
    <row r="1989" spans="9:17">
      <c r="I1989" s="29"/>
      <c r="J1989" s="29"/>
      <c r="K1989" s="150"/>
      <c r="M1989" s="1001"/>
      <c r="N1989" s="29"/>
      <c r="P1989" s="29"/>
      <c r="Q1989" s="29"/>
    </row>
    <row r="1990" spans="9:17">
      <c r="I1990" s="29"/>
      <c r="J1990" s="29"/>
      <c r="K1990" s="150"/>
      <c r="M1990" s="1001"/>
      <c r="N1990" s="29"/>
      <c r="P1990" s="29"/>
      <c r="Q1990" s="29"/>
    </row>
    <row r="1991" spans="9:17">
      <c r="I1991" s="29"/>
      <c r="J1991" s="29"/>
      <c r="K1991" s="150"/>
      <c r="M1991" s="1001"/>
      <c r="N1991" s="29"/>
      <c r="P1991" s="29"/>
      <c r="Q1991" s="29"/>
    </row>
    <row r="1992" spans="9:17">
      <c r="I1992" s="29"/>
      <c r="J1992" s="29"/>
      <c r="K1992" s="150"/>
      <c r="M1992" s="1001"/>
      <c r="N1992" s="29"/>
      <c r="P1992" s="29"/>
      <c r="Q1992" s="29"/>
    </row>
    <row r="1993" spans="9:17">
      <c r="I1993" s="29"/>
      <c r="J1993" s="29"/>
      <c r="K1993" s="150"/>
      <c r="M1993" s="1001"/>
      <c r="N1993" s="29"/>
      <c r="P1993" s="29"/>
      <c r="Q1993" s="29"/>
    </row>
    <row r="1994" spans="9:17">
      <c r="I1994" s="29"/>
      <c r="J1994" s="29"/>
      <c r="K1994" s="150"/>
      <c r="M1994" s="1001"/>
      <c r="N1994" s="29"/>
      <c r="P1994" s="29"/>
      <c r="Q1994" s="29"/>
    </row>
    <row r="1995" spans="9:17">
      <c r="I1995" s="29"/>
      <c r="J1995" s="29"/>
      <c r="K1995" s="150"/>
      <c r="M1995" s="1001"/>
      <c r="N1995" s="29"/>
      <c r="P1995" s="29"/>
      <c r="Q1995" s="29"/>
    </row>
    <row r="1996" spans="9:17">
      <c r="I1996" s="29"/>
      <c r="J1996" s="29"/>
      <c r="K1996" s="150"/>
      <c r="M1996" s="1001"/>
      <c r="N1996" s="29"/>
      <c r="P1996" s="29"/>
      <c r="Q1996" s="29"/>
    </row>
    <row r="1997" spans="9:17">
      <c r="I1997" s="29"/>
      <c r="J1997" s="29"/>
      <c r="K1997" s="150"/>
      <c r="M1997" s="1001"/>
      <c r="N1997" s="29"/>
      <c r="P1997" s="29"/>
      <c r="Q1997" s="29"/>
    </row>
    <row r="1998" spans="9:17">
      <c r="I1998" s="29"/>
      <c r="J1998" s="29"/>
      <c r="K1998" s="150"/>
      <c r="M1998" s="1001"/>
      <c r="N1998" s="29"/>
      <c r="P1998" s="29"/>
      <c r="Q1998" s="29"/>
    </row>
    <row r="1999" spans="9:17">
      <c r="I1999" s="29"/>
      <c r="J1999" s="29"/>
      <c r="K1999" s="150"/>
      <c r="M1999" s="1001"/>
      <c r="N1999" s="29"/>
      <c r="P1999" s="29"/>
      <c r="Q1999" s="29"/>
    </row>
    <row r="2000" spans="9:17">
      <c r="I2000" s="29"/>
      <c r="J2000" s="29"/>
      <c r="K2000" s="150"/>
      <c r="M2000" s="1001"/>
      <c r="N2000" s="29"/>
      <c r="P2000" s="29"/>
      <c r="Q2000" s="29"/>
    </row>
    <row r="2001" spans="9:17">
      <c r="I2001" s="29"/>
      <c r="J2001" s="29"/>
      <c r="K2001" s="150"/>
      <c r="M2001" s="1001"/>
      <c r="N2001" s="29"/>
      <c r="P2001" s="29"/>
      <c r="Q2001" s="29"/>
    </row>
    <row r="2002" spans="9:17">
      <c r="I2002" s="29"/>
      <c r="J2002" s="29"/>
      <c r="K2002" s="150"/>
      <c r="M2002" s="1001"/>
      <c r="N2002" s="29"/>
      <c r="P2002" s="29"/>
      <c r="Q2002" s="29"/>
    </row>
    <row r="2003" spans="9:17">
      <c r="I2003" s="29"/>
      <c r="J2003" s="29"/>
      <c r="K2003" s="150"/>
      <c r="M2003" s="1001"/>
      <c r="N2003" s="29"/>
      <c r="P2003" s="29"/>
      <c r="Q2003" s="29"/>
    </row>
    <row r="2004" spans="9:17">
      <c r="I2004" s="29"/>
      <c r="J2004" s="29"/>
      <c r="K2004" s="150"/>
      <c r="M2004" s="1001"/>
      <c r="N2004" s="29"/>
      <c r="P2004" s="29"/>
      <c r="Q2004" s="29"/>
    </row>
    <row r="2005" spans="9:17">
      <c r="I2005" s="29"/>
      <c r="J2005" s="29"/>
      <c r="K2005" s="150"/>
      <c r="M2005" s="1001"/>
      <c r="N2005" s="29"/>
      <c r="P2005" s="29"/>
      <c r="Q2005" s="29"/>
    </row>
    <row r="2006" spans="9:17">
      <c r="I2006" s="29"/>
      <c r="J2006" s="29"/>
      <c r="K2006" s="150"/>
      <c r="M2006" s="1001"/>
      <c r="N2006" s="29"/>
      <c r="P2006" s="29"/>
      <c r="Q2006" s="29"/>
    </row>
    <row r="2007" spans="9:17">
      <c r="I2007" s="29"/>
      <c r="J2007" s="29"/>
      <c r="K2007" s="150"/>
      <c r="M2007" s="1001"/>
      <c r="N2007" s="29"/>
      <c r="P2007" s="29"/>
      <c r="Q2007" s="29"/>
    </row>
    <row r="2008" spans="9:17">
      <c r="I2008" s="29"/>
      <c r="J2008" s="29"/>
      <c r="K2008" s="150"/>
      <c r="M2008" s="1001"/>
      <c r="N2008" s="29"/>
      <c r="P2008" s="29"/>
      <c r="Q2008" s="29"/>
    </row>
    <row r="2009" spans="9:17">
      <c r="I2009" s="29"/>
      <c r="J2009" s="29"/>
      <c r="K2009" s="150"/>
      <c r="M2009" s="1001"/>
      <c r="N2009" s="29"/>
      <c r="P2009" s="29"/>
      <c r="Q2009" s="29"/>
    </row>
    <row r="2010" spans="9:17">
      <c r="I2010" s="29"/>
      <c r="J2010" s="29"/>
      <c r="K2010" s="150"/>
      <c r="M2010" s="1001"/>
      <c r="N2010" s="29"/>
      <c r="P2010" s="29"/>
      <c r="Q2010" s="29"/>
    </row>
    <row r="2011" spans="9:17">
      <c r="I2011" s="29"/>
      <c r="J2011" s="29"/>
      <c r="K2011" s="150"/>
      <c r="M2011" s="1001"/>
      <c r="N2011" s="29"/>
      <c r="P2011" s="29"/>
      <c r="Q2011" s="29"/>
    </row>
    <row r="2012" spans="9:17">
      <c r="I2012" s="29"/>
      <c r="J2012" s="29"/>
      <c r="K2012" s="150"/>
      <c r="M2012" s="1001"/>
      <c r="N2012" s="29"/>
      <c r="P2012" s="29"/>
      <c r="Q2012" s="29"/>
    </row>
    <row r="2013" spans="9:17">
      <c r="I2013" s="29"/>
      <c r="J2013" s="29"/>
      <c r="K2013" s="150"/>
      <c r="M2013" s="1001"/>
      <c r="N2013" s="29"/>
      <c r="P2013" s="29"/>
      <c r="Q2013" s="29"/>
    </row>
    <row r="2014" spans="9:17">
      <c r="I2014" s="29"/>
      <c r="J2014" s="29"/>
      <c r="K2014" s="150"/>
      <c r="M2014" s="1001"/>
      <c r="N2014" s="29"/>
      <c r="P2014" s="29"/>
      <c r="Q2014" s="29"/>
    </row>
    <row r="2015" spans="9:17">
      <c r="I2015" s="29"/>
      <c r="J2015" s="29"/>
      <c r="K2015" s="150"/>
      <c r="M2015" s="1001"/>
      <c r="N2015" s="29"/>
      <c r="P2015" s="29"/>
      <c r="Q2015" s="29"/>
    </row>
    <row r="2016" spans="9:17">
      <c r="I2016" s="29"/>
      <c r="J2016" s="29"/>
      <c r="K2016" s="150"/>
      <c r="M2016" s="1001"/>
      <c r="N2016" s="29"/>
      <c r="P2016" s="29"/>
      <c r="Q2016" s="29"/>
    </row>
    <row r="2017" spans="9:17">
      <c r="I2017" s="29"/>
      <c r="J2017" s="29"/>
      <c r="K2017" s="150"/>
      <c r="M2017" s="1001"/>
      <c r="N2017" s="29"/>
      <c r="P2017" s="29"/>
      <c r="Q2017" s="29"/>
    </row>
    <row r="2018" spans="9:17">
      <c r="I2018" s="29"/>
      <c r="J2018" s="29"/>
      <c r="K2018" s="150"/>
      <c r="M2018" s="1001"/>
      <c r="N2018" s="29"/>
      <c r="P2018" s="29"/>
      <c r="Q2018" s="29"/>
    </row>
    <row r="2019" spans="9:17">
      <c r="I2019" s="29"/>
      <c r="J2019" s="29"/>
      <c r="K2019" s="150"/>
      <c r="M2019" s="1001"/>
      <c r="N2019" s="29"/>
      <c r="P2019" s="29"/>
      <c r="Q2019" s="29"/>
    </row>
    <row r="2020" spans="9:17">
      <c r="I2020" s="29"/>
      <c r="J2020" s="29"/>
      <c r="K2020" s="150"/>
      <c r="M2020" s="1001"/>
      <c r="N2020" s="29"/>
      <c r="P2020" s="29"/>
      <c r="Q2020" s="29"/>
    </row>
    <row r="2021" spans="9:17">
      <c r="I2021" s="29"/>
      <c r="J2021" s="29"/>
      <c r="K2021" s="150"/>
      <c r="M2021" s="1001"/>
      <c r="N2021" s="29"/>
      <c r="P2021" s="29"/>
      <c r="Q2021" s="29"/>
    </row>
    <row r="2022" spans="9:17">
      <c r="I2022" s="29"/>
      <c r="J2022" s="29"/>
      <c r="K2022" s="150"/>
      <c r="M2022" s="1001"/>
      <c r="N2022" s="29"/>
      <c r="P2022" s="29"/>
      <c r="Q2022" s="29"/>
    </row>
    <row r="2023" spans="9:17">
      <c r="I2023" s="29"/>
      <c r="J2023" s="29"/>
      <c r="K2023" s="150"/>
      <c r="M2023" s="1001"/>
      <c r="N2023" s="29"/>
      <c r="P2023" s="29"/>
      <c r="Q2023" s="29"/>
    </row>
    <row r="2024" spans="9:17">
      <c r="I2024" s="29"/>
      <c r="J2024" s="29"/>
      <c r="K2024" s="150"/>
      <c r="M2024" s="1001"/>
      <c r="N2024" s="29"/>
      <c r="P2024" s="29"/>
      <c r="Q2024" s="29"/>
    </row>
    <row r="2025" spans="9:17">
      <c r="I2025" s="29"/>
      <c r="J2025" s="29"/>
      <c r="K2025" s="150"/>
      <c r="M2025" s="1001"/>
      <c r="N2025" s="29"/>
      <c r="P2025" s="29"/>
      <c r="Q2025" s="29"/>
    </row>
    <row r="2026" spans="9:17">
      <c r="I2026" s="29"/>
      <c r="J2026" s="29"/>
      <c r="K2026" s="150"/>
      <c r="M2026" s="1001"/>
      <c r="N2026" s="29"/>
      <c r="P2026" s="29"/>
      <c r="Q2026" s="29"/>
    </row>
    <row r="2027" spans="9:17">
      <c r="I2027" s="29"/>
      <c r="J2027" s="29"/>
      <c r="K2027" s="150"/>
      <c r="M2027" s="1001"/>
      <c r="N2027" s="29"/>
      <c r="P2027" s="29"/>
      <c r="Q2027" s="29"/>
    </row>
    <row r="2028" spans="9:17">
      <c r="I2028" s="29"/>
      <c r="J2028" s="29"/>
      <c r="K2028" s="150"/>
      <c r="M2028" s="1001"/>
      <c r="N2028" s="29"/>
      <c r="P2028" s="29"/>
      <c r="Q2028" s="29"/>
    </row>
    <row r="2029" spans="9:17">
      <c r="I2029" s="29"/>
      <c r="J2029" s="29"/>
      <c r="K2029" s="150"/>
      <c r="M2029" s="1001"/>
      <c r="N2029" s="29"/>
      <c r="P2029" s="29"/>
      <c r="Q2029" s="29"/>
    </row>
    <row r="2030" spans="9:17">
      <c r="I2030" s="29"/>
      <c r="J2030" s="29"/>
      <c r="K2030" s="150"/>
      <c r="M2030" s="1001"/>
      <c r="N2030" s="29"/>
      <c r="P2030" s="29"/>
      <c r="Q2030" s="29"/>
    </row>
    <row r="2031" spans="9:17">
      <c r="I2031" s="29"/>
      <c r="J2031" s="29"/>
      <c r="K2031" s="150"/>
      <c r="M2031" s="1001"/>
      <c r="N2031" s="29"/>
      <c r="P2031" s="29"/>
      <c r="Q2031" s="29"/>
    </row>
    <row r="2032" spans="9:17">
      <c r="I2032" s="29"/>
      <c r="J2032" s="29"/>
      <c r="K2032" s="150"/>
      <c r="M2032" s="1001"/>
      <c r="N2032" s="29"/>
      <c r="P2032" s="29"/>
      <c r="Q2032" s="29"/>
    </row>
    <row r="2033" spans="9:17">
      <c r="I2033" s="29"/>
      <c r="J2033" s="29"/>
      <c r="K2033" s="150"/>
      <c r="M2033" s="1001"/>
      <c r="N2033" s="29"/>
      <c r="P2033" s="29"/>
      <c r="Q2033" s="29"/>
    </row>
    <row r="2034" spans="9:17">
      <c r="I2034" s="29"/>
      <c r="J2034" s="29"/>
      <c r="K2034" s="150"/>
      <c r="M2034" s="1001"/>
      <c r="N2034" s="29"/>
      <c r="P2034" s="29"/>
      <c r="Q2034" s="29"/>
    </row>
    <row r="2035" spans="9:17">
      <c r="I2035" s="29"/>
      <c r="J2035" s="29"/>
      <c r="K2035" s="150"/>
      <c r="M2035" s="1001"/>
      <c r="N2035" s="29"/>
      <c r="P2035" s="29"/>
      <c r="Q2035" s="29"/>
    </row>
    <row r="2036" spans="9:17">
      <c r="I2036" s="29"/>
      <c r="J2036" s="29"/>
      <c r="K2036" s="150"/>
      <c r="M2036" s="1001"/>
      <c r="N2036" s="29"/>
      <c r="P2036" s="29"/>
      <c r="Q2036" s="29"/>
    </row>
    <row r="2037" spans="9:17">
      <c r="I2037" s="29"/>
      <c r="J2037" s="29"/>
      <c r="K2037" s="150"/>
      <c r="M2037" s="1001"/>
      <c r="N2037" s="29"/>
      <c r="P2037" s="29"/>
      <c r="Q2037" s="29"/>
    </row>
    <row r="2038" spans="9:17">
      <c r="I2038" s="29"/>
      <c r="J2038" s="29"/>
      <c r="K2038" s="150"/>
      <c r="M2038" s="1001"/>
      <c r="N2038" s="29"/>
      <c r="P2038" s="29"/>
      <c r="Q2038" s="29"/>
    </row>
    <row r="2039" spans="9:17">
      <c r="I2039" s="29"/>
      <c r="J2039" s="29"/>
      <c r="K2039" s="150"/>
      <c r="M2039" s="1001"/>
      <c r="N2039" s="29"/>
      <c r="P2039" s="29"/>
      <c r="Q2039" s="29"/>
    </row>
    <row r="2040" spans="9:17">
      <c r="I2040" s="29"/>
      <c r="J2040" s="29"/>
      <c r="K2040" s="150"/>
      <c r="M2040" s="1001"/>
      <c r="N2040" s="29"/>
      <c r="P2040" s="29"/>
      <c r="Q2040" s="29"/>
    </row>
    <row r="2041" spans="9:17">
      <c r="I2041" s="29"/>
      <c r="J2041" s="29"/>
      <c r="K2041" s="150"/>
      <c r="M2041" s="1001"/>
      <c r="N2041" s="29"/>
      <c r="P2041" s="29"/>
      <c r="Q2041" s="29"/>
    </row>
    <row r="2042" spans="9:17">
      <c r="I2042" s="29"/>
      <c r="J2042" s="29"/>
      <c r="K2042" s="150"/>
      <c r="M2042" s="1001"/>
      <c r="N2042" s="29"/>
      <c r="P2042" s="29"/>
      <c r="Q2042" s="29"/>
    </row>
    <row r="2043" spans="9:17">
      <c r="I2043" s="29"/>
      <c r="J2043" s="29"/>
      <c r="K2043" s="150"/>
      <c r="M2043" s="1001"/>
      <c r="N2043" s="29"/>
      <c r="P2043" s="29"/>
      <c r="Q2043" s="29"/>
    </row>
    <row r="2044" spans="9:17">
      <c r="I2044" s="29"/>
      <c r="J2044" s="29"/>
      <c r="K2044" s="150"/>
      <c r="M2044" s="1001"/>
      <c r="N2044" s="29"/>
      <c r="P2044" s="29"/>
      <c r="Q2044" s="29"/>
    </row>
    <row r="2045" spans="9:17">
      <c r="I2045" s="29"/>
      <c r="J2045" s="29"/>
      <c r="K2045" s="150"/>
      <c r="M2045" s="1001"/>
      <c r="N2045" s="29"/>
      <c r="P2045" s="29"/>
      <c r="Q2045" s="29"/>
    </row>
    <row r="2046" spans="9:17">
      <c r="I2046" s="29"/>
      <c r="J2046" s="29"/>
      <c r="K2046" s="150"/>
      <c r="M2046" s="1001"/>
      <c r="N2046" s="29"/>
      <c r="P2046" s="29"/>
      <c r="Q2046" s="29"/>
    </row>
    <row r="2047" spans="9:17">
      <c r="I2047" s="29"/>
      <c r="J2047" s="29"/>
      <c r="K2047" s="150"/>
      <c r="M2047" s="1001"/>
      <c r="N2047" s="29"/>
      <c r="P2047" s="29"/>
      <c r="Q2047" s="29"/>
    </row>
    <row r="2048" spans="9:17">
      <c r="I2048" s="29"/>
      <c r="J2048" s="29"/>
      <c r="K2048" s="150"/>
      <c r="M2048" s="1001"/>
      <c r="N2048" s="29"/>
      <c r="P2048" s="29"/>
      <c r="Q2048" s="29"/>
    </row>
    <row r="2049" spans="9:17">
      <c r="I2049" s="29"/>
      <c r="J2049" s="29"/>
      <c r="K2049" s="150"/>
      <c r="M2049" s="1001"/>
      <c r="N2049" s="29"/>
      <c r="P2049" s="29"/>
      <c r="Q2049" s="29"/>
    </row>
    <row r="2050" spans="9:17">
      <c r="I2050" s="29"/>
      <c r="J2050" s="29"/>
      <c r="K2050" s="150"/>
      <c r="M2050" s="1001"/>
      <c r="N2050" s="29"/>
      <c r="P2050" s="29"/>
      <c r="Q2050" s="29"/>
    </row>
    <row r="2051" spans="9:17">
      <c r="I2051" s="29"/>
      <c r="J2051" s="29"/>
      <c r="K2051" s="150"/>
      <c r="M2051" s="1001"/>
      <c r="N2051" s="29"/>
      <c r="P2051" s="29"/>
      <c r="Q2051" s="29"/>
    </row>
    <row r="2052" spans="9:17">
      <c r="I2052" s="29"/>
      <c r="J2052" s="29"/>
      <c r="K2052" s="150"/>
      <c r="M2052" s="1001"/>
      <c r="N2052" s="29"/>
      <c r="P2052" s="29"/>
      <c r="Q2052" s="29"/>
    </row>
    <row r="2053" spans="9:17">
      <c r="I2053" s="29"/>
      <c r="J2053" s="29"/>
      <c r="K2053" s="150"/>
      <c r="M2053" s="1001"/>
      <c r="N2053" s="29"/>
      <c r="P2053" s="29"/>
      <c r="Q2053" s="29"/>
    </row>
    <row r="2054" spans="9:17">
      <c r="I2054" s="29"/>
      <c r="J2054" s="29"/>
      <c r="K2054" s="150"/>
      <c r="M2054" s="1001"/>
      <c r="N2054" s="29"/>
      <c r="P2054" s="29"/>
      <c r="Q2054" s="29"/>
    </row>
    <row r="2055" spans="9:17">
      <c r="I2055" s="29"/>
      <c r="J2055" s="29"/>
      <c r="K2055" s="150"/>
      <c r="M2055" s="1001"/>
      <c r="N2055" s="29"/>
      <c r="P2055" s="29"/>
      <c r="Q2055" s="29"/>
    </row>
    <row r="2056" spans="9:17">
      <c r="I2056" s="29"/>
      <c r="J2056" s="29"/>
      <c r="K2056" s="150"/>
      <c r="M2056" s="1001"/>
      <c r="N2056" s="29"/>
      <c r="P2056" s="29"/>
      <c r="Q2056" s="29"/>
    </row>
    <row r="2057" spans="9:17">
      <c r="I2057" s="29"/>
      <c r="J2057" s="29"/>
      <c r="K2057" s="150"/>
      <c r="M2057" s="1001"/>
      <c r="N2057" s="29"/>
      <c r="P2057" s="29"/>
      <c r="Q2057" s="29"/>
    </row>
    <row r="2058" spans="9:17">
      <c r="I2058" s="29"/>
      <c r="J2058" s="29"/>
      <c r="K2058" s="150"/>
      <c r="M2058" s="1001"/>
      <c r="N2058" s="29"/>
      <c r="P2058" s="29"/>
      <c r="Q2058" s="29"/>
    </row>
    <row r="2059" spans="9:17">
      <c r="I2059" s="29"/>
      <c r="J2059" s="29"/>
      <c r="K2059" s="150"/>
      <c r="M2059" s="1001"/>
      <c r="N2059" s="29"/>
      <c r="P2059" s="29"/>
      <c r="Q2059" s="29"/>
    </row>
    <row r="2060" spans="9:17">
      <c r="I2060" s="29"/>
      <c r="J2060" s="29"/>
      <c r="K2060" s="150"/>
      <c r="M2060" s="1001"/>
      <c r="N2060" s="29"/>
      <c r="P2060" s="29"/>
      <c r="Q2060" s="29"/>
    </row>
    <row r="2061" spans="9:17">
      <c r="I2061" s="29"/>
      <c r="J2061" s="29"/>
      <c r="K2061" s="150"/>
      <c r="M2061" s="1001"/>
      <c r="N2061" s="29"/>
      <c r="P2061" s="29"/>
      <c r="Q2061" s="29"/>
    </row>
    <row r="2062" spans="9:17">
      <c r="I2062" s="29"/>
      <c r="J2062" s="29"/>
      <c r="K2062" s="150"/>
      <c r="M2062" s="1001"/>
      <c r="N2062" s="29"/>
      <c r="P2062" s="29"/>
      <c r="Q2062" s="29"/>
    </row>
    <row r="2063" spans="9:17">
      <c r="I2063" s="29"/>
      <c r="J2063" s="29"/>
      <c r="K2063" s="150"/>
      <c r="M2063" s="1001"/>
      <c r="N2063" s="29"/>
      <c r="P2063" s="29"/>
      <c r="Q2063" s="29"/>
    </row>
    <row r="2064" spans="9:17">
      <c r="I2064" s="29"/>
      <c r="J2064" s="29"/>
      <c r="K2064" s="150"/>
      <c r="M2064" s="1001"/>
      <c r="N2064" s="29"/>
      <c r="P2064" s="29"/>
      <c r="Q2064" s="29"/>
    </row>
    <row r="2065" spans="9:17">
      <c r="I2065" s="29"/>
      <c r="J2065" s="29"/>
      <c r="K2065" s="150"/>
      <c r="M2065" s="1001"/>
      <c r="N2065" s="29"/>
      <c r="P2065" s="29"/>
      <c r="Q2065" s="29"/>
    </row>
    <row r="2066" spans="9:17">
      <c r="I2066" s="29"/>
      <c r="J2066" s="29"/>
      <c r="K2066" s="150"/>
      <c r="M2066" s="1001"/>
      <c r="N2066" s="29"/>
      <c r="P2066" s="29"/>
      <c r="Q2066" s="29"/>
    </row>
    <row r="2067" spans="9:17">
      <c r="I2067" s="29"/>
      <c r="J2067" s="29"/>
      <c r="K2067" s="150"/>
      <c r="M2067" s="1001"/>
      <c r="N2067" s="29"/>
      <c r="P2067" s="29"/>
      <c r="Q2067" s="29"/>
    </row>
    <row r="2068" spans="9:17">
      <c r="I2068" s="29"/>
      <c r="J2068" s="29"/>
      <c r="K2068" s="150"/>
      <c r="M2068" s="1001"/>
      <c r="N2068" s="29"/>
      <c r="P2068" s="29"/>
      <c r="Q2068" s="29"/>
    </row>
    <row r="2069" spans="9:17">
      <c r="I2069" s="29"/>
      <c r="J2069" s="29"/>
      <c r="K2069" s="150"/>
      <c r="M2069" s="1001"/>
      <c r="N2069" s="29"/>
      <c r="P2069" s="29"/>
      <c r="Q2069" s="29"/>
    </row>
    <row r="2070" spans="9:17">
      <c r="I2070" s="29"/>
      <c r="J2070" s="29"/>
      <c r="K2070" s="150"/>
      <c r="M2070" s="1001"/>
      <c r="N2070" s="29"/>
      <c r="P2070" s="29"/>
      <c r="Q2070" s="29"/>
    </row>
    <row r="2071" spans="9:17">
      <c r="I2071" s="29"/>
      <c r="J2071" s="29"/>
      <c r="K2071" s="150"/>
      <c r="M2071" s="1001"/>
      <c r="N2071" s="29"/>
      <c r="P2071" s="29"/>
      <c r="Q2071" s="29"/>
    </row>
    <row r="2072" spans="9:17">
      <c r="I2072" s="29"/>
      <c r="J2072" s="29"/>
      <c r="K2072" s="150"/>
      <c r="M2072" s="1001"/>
      <c r="N2072" s="29"/>
      <c r="P2072" s="29"/>
      <c r="Q2072" s="29"/>
    </row>
    <row r="2073" spans="9:17">
      <c r="I2073" s="29"/>
      <c r="J2073" s="29"/>
      <c r="K2073" s="150"/>
      <c r="M2073" s="1001"/>
      <c r="N2073" s="29"/>
      <c r="P2073" s="29"/>
      <c r="Q2073" s="29"/>
    </row>
    <row r="2074" spans="9:17">
      <c r="I2074" s="29"/>
      <c r="J2074" s="29"/>
      <c r="K2074" s="150"/>
      <c r="M2074" s="1001"/>
      <c r="N2074" s="29"/>
      <c r="P2074" s="29"/>
      <c r="Q2074" s="29"/>
    </row>
    <row r="2075" spans="9:17">
      <c r="I2075" s="29"/>
      <c r="J2075" s="29"/>
      <c r="K2075" s="150"/>
      <c r="M2075" s="1001"/>
      <c r="N2075" s="29"/>
      <c r="P2075" s="29"/>
      <c r="Q2075" s="29"/>
    </row>
    <row r="2076" spans="9:17">
      <c r="I2076" s="29"/>
      <c r="J2076" s="29"/>
      <c r="K2076" s="150"/>
      <c r="M2076" s="1001"/>
      <c r="N2076" s="29"/>
      <c r="P2076" s="29"/>
      <c r="Q2076" s="29"/>
    </row>
    <row r="2077" spans="9:17">
      <c r="I2077" s="29"/>
      <c r="J2077" s="29"/>
      <c r="K2077" s="150"/>
      <c r="M2077" s="1001"/>
      <c r="N2077" s="29"/>
      <c r="P2077" s="29"/>
      <c r="Q2077" s="29"/>
    </row>
    <row r="2078" spans="9:17">
      <c r="I2078" s="29"/>
      <c r="J2078" s="29"/>
      <c r="K2078" s="150"/>
      <c r="M2078" s="1001"/>
      <c r="N2078" s="29"/>
      <c r="P2078" s="29"/>
      <c r="Q2078" s="29"/>
    </row>
    <row r="2079" spans="9:17">
      <c r="I2079" s="29"/>
      <c r="J2079" s="29"/>
      <c r="K2079" s="150"/>
      <c r="M2079" s="1001"/>
      <c r="N2079" s="29"/>
      <c r="P2079" s="29"/>
      <c r="Q2079" s="29"/>
    </row>
    <row r="2080" spans="9:17">
      <c r="I2080" s="29"/>
      <c r="J2080" s="29"/>
      <c r="K2080" s="150"/>
      <c r="M2080" s="1001"/>
      <c r="N2080" s="29"/>
      <c r="P2080" s="29"/>
      <c r="Q2080" s="29"/>
    </row>
    <row r="2081" spans="9:17">
      <c r="I2081" s="29"/>
      <c r="J2081" s="29"/>
      <c r="K2081" s="150"/>
      <c r="M2081" s="1001"/>
      <c r="N2081" s="29"/>
      <c r="P2081" s="29"/>
      <c r="Q2081" s="29"/>
    </row>
    <row r="2082" spans="9:17">
      <c r="I2082" s="29"/>
      <c r="J2082" s="29"/>
      <c r="K2082" s="150"/>
      <c r="M2082" s="1001"/>
      <c r="N2082" s="29"/>
      <c r="P2082" s="29"/>
      <c r="Q2082" s="29"/>
    </row>
    <row r="2083" spans="9:17">
      <c r="I2083" s="29"/>
      <c r="J2083" s="29"/>
      <c r="K2083" s="150"/>
      <c r="M2083" s="1001"/>
      <c r="N2083" s="29"/>
      <c r="P2083" s="29"/>
      <c r="Q2083" s="29"/>
    </row>
    <row r="2084" spans="9:17">
      <c r="I2084" s="29"/>
      <c r="J2084" s="29"/>
      <c r="K2084" s="150"/>
      <c r="M2084" s="1001"/>
      <c r="N2084" s="29"/>
      <c r="P2084" s="29"/>
      <c r="Q2084" s="29"/>
    </row>
    <row r="2085" spans="9:17">
      <c r="I2085" s="29"/>
      <c r="J2085" s="29"/>
      <c r="K2085" s="150"/>
      <c r="M2085" s="1001"/>
      <c r="N2085" s="29"/>
      <c r="P2085" s="29"/>
      <c r="Q2085" s="29"/>
    </row>
    <row r="2086" spans="9:17">
      <c r="I2086" s="29"/>
      <c r="J2086" s="29"/>
      <c r="K2086" s="150"/>
      <c r="M2086" s="1001"/>
      <c r="N2086" s="29"/>
      <c r="P2086" s="29"/>
      <c r="Q2086" s="29"/>
    </row>
    <row r="2087" spans="9:17">
      <c r="I2087" s="29"/>
      <c r="J2087" s="29"/>
      <c r="K2087" s="150"/>
      <c r="M2087" s="1001"/>
      <c r="N2087" s="29"/>
      <c r="P2087" s="29"/>
      <c r="Q2087" s="29"/>
    </row>
    <row r="2088" spans="9:17">
      <c r="I2088" s="29"/>
      <c r="J2088" s="29"/>
      <c r="K2088" s="150"/>
      <c r="M2088" s="1001"/>
      <c r="N2088" s="29"/>
      <c r="P2088" s="29"/>
      <c r="Q2088" s="29"/>
    </row>
    <row r="2089" spans="9:17">
      <c r="I2089" s="29"/>
      <c r="J2089" s="29"/>
      <c r="K2089" s="150"/>
      <c r="M2089" s="1001"/>
      <c r="N2089" s="29"/>
      <c r="P2089" s="29"/>
      <c r="Q2089" s="29"/>
    </row>
    <row r="2090" spans="9:17">
      <c r="I2090" s="29"/>
      <c r="J2090" s="29"/>
      <c r="K2090" s="150"/>
      <c r="M2090" s="1001"/>
      <c r="N2090" s="29"/>
      <c r="P2090" s="29"/>
      <c r="Q2090" s="29"/>
    </row>
    <row r="2091" spans="9:17">
      <c r="I2091" s="29"/>
      <c r="J2091" s="29"/>
      <c r="K2091" s="150"/>
      <c r="M2091" s="1001"/>
      <c r="N2091" s="29"/>
      <c r="P2091" s="29"/>
      <c r="Q2091" s="29"/>
    </row>
    <row r="2092" spans="9:17">
      <c r="I2092" s="29"/>
      <c r="J2092" s="29"/>
      <c r="K2092" s="150"/>
      <c r="M2092" s="1001"/>
      <c r="N2092" s="29"/>
      <c r="P2092" s="29"/>
      <c r="Q2092" s="29"/>
    </row>
    <row r="2093" spans="9:17">
      <c r="I2093" s="29"/>
      <c r="J2093" s="29"/>
      <c r="K2093" s="150"/>
      <c r="M2093" s="1001"/>
      <c r="N2093" s="29"/>
      <c r="P2093" s="29"/>
      <c r="Q2093" s="29"/>
    </row>
    <row r="2094" spans="9:17">
      <c r="I2094" s="29"/>
      <c r="J2094" s="29"/>
      <c r="K2094" s="150"/>
      <c r="M2094" s="1001"/>
      <c r="N2094" s="29"/>
      <c r="P2094" s="29"/>
      <c r="Q2094" s="29"/>
    </row>
    <row r="2095" spans="9:17">
      <c r="I2095" s="29"/>
      <c r="J2095" s="29"/>
      <c r="K2095" s="150"/>
      <c r="M2095" s="1001"/>
      <c r="N2095" s="29"/>
      <c r="P2095" s="29"/>
      <c r="Q2095" s="29"/>
    </row>
    <row r="2096" spans="9:17">
      <c r="I2096" s="29"/>
      <c r="J2096" s="29"/>
      <c r="K2096" s="150"/>
      <c r="M2096" s="1001"/>
      <c r="N2096" s="29"/>
      <c r="P2096" s="29"/>
      <c r="Q2096" s="29"/>
    </row>
    <row r="2097" spans="9:17">
      <c r="I2097" s="29"/>
      <c r="J2097" s="29"/>
      <c r="K2097" s="150"/>
      <c r="M2097" s="1001"/>
      <c r="N2097" s="29"/>
      <c r="P2097" s="29"/>
      <c r="Q2097" s="29"/>
    </row>
    <row r="2098" spans="9:17">
      <c r="I2098" s="29"/>
      <c r="J2098" s="29"/>
      <c r="K2098" s="150"/>
      <c r="M2098" s="1001"/>
      <c r="N2098" s="29"/>
      <c r="P2098" s="29"/>
      <c r="Q2098" s="29"/>
    </row>
    <row r="2099" spans="9:17">
      <c r="I2099" s="29"/>
      <c r="J2099" s="29"/>
      <c r="K2099" s="150"/>
      <c r="M2099" s="1001"/>
      <c r="N2099" s="29"/>
      <c r="P2099" s="29"/>
      <c r="Q2099" s="29"/>
    </row>
    <row r="2100" spans="9:17">
      <c r="I2100" s="29"/>
      <c r="J2100" s="29"/>
      <c r="K2100" s="150"/>
      <c r="M2100" s="1001"/>
      <c r="N2100" s="29"/>
      <c r="P2100" s="29"/>
      <c r="Q2100" s="29"/>
    </row>
    <row r="2101" spans="9:17">
      <c r="I2101" s="29"/>
      <c r="J2101" s="29"/>
      <c r="K2101" s="150"/>
      <c r="M2101" s="1001"/>
      <c r="N2101" s="29"/>
      <c r="P2101" s="29"/>
      <c r="Q2101" s="29"/>
    </row>
    <row r="2102" spans="9:17">
      <c r="I2102" s="29"/>
      <c r="J2102" s="29"/>
      <c r="K2102" s="150"/>
      <c r="M2102" s="1001"/>
      <c r="N2102" s="29"/>
      <c r="P2102" s="29"/>
      <c r="Q2102" s="29"/>
    </row>
    <row r="2103" spans="9:17">
      <c r="I2103" s="29"/>
      <c r="J2103" s="29"/>
      <c r="K2103" s="150"/>
      <c r="M2103" s="1001"/>
      <c r="N2103" s="29"/>
      <c r="P2103" s="29"/>
      <c r="Q2103" s="29"/>
    </row>
    <row r="2104" spans="9:17">
      <c r="I2104" s="29"/>
      <c r="J2104" s="29"/>
      <c r="K2104" s="150"/>
      <c r="M2104" s="1001"/>
      <c r="N2104" s="29"/>
      <c r="P2104" s="29"/>
      <c r="Q2104" s="29"/>
    </row>
    <row r="2105" spans="9:17">
      <c r="I2105" s="29"/>
      <c r="J2105" s="29"/>
      <c r="K2105" s="150"/>
      <c r="M2105" s="1001"/>
      <c r="N2105" s="29"/>
      <c r="P2105" s="29"/>
      <c r="Q2105" s="29"/>
    </row>
    <row r="2106" spans="9:17">
      <c r="I2106" s="29"/>
      <c r="J2106" s="29"/>
      <c r="K2106" s="150"/>
      <c r="M2106" s="1001"/>
      <c r="N2106" s="29"/>
      <c r="P2106" s="29"/>
      <c r="Q2106" s="29"/>
    </row>
    <row r="2107" spans="9:17">
      <c r="I2107" s="29"/>
      <c r="J2107" s="29"/>
      <c r="K2107" s="150"/>
      <c r="M2107" s="1001"/>
      <c r="N2107" s="29"/>
      <c r="P2107" s="29"/>
      <c r="Q2107" s="29"/>
    </row>
    <row r="2108" spans="9:17">
      <c r="I2108" s="29"/>
      <c r="J2108" s="29"/>
      <c r="K2108" s="150"/>
      <c r="M2108" s="1001"/>
      <c r="N2108" s="29"/>
      <c r="P2108" s="29"/>
      <c r="Q2108" s="29"/>
    </row>
    <row r="2109" spans="9:17">
      <c r="I2109" s="29"/>
      <c r="J2109" s="29"/>
      <c r="K2109" s="150"/>
      <c r="M2109" s="1001"/>
      <c r="N2109" s="29"/>
      <c r="P2109" s="29"/>
      <c r="Q2109" s="29"/>
    </row>
    <row r="2110" spans="9:17">
      <c r="I2110" s="29"/>
      <c r="J2110" s="29"/>
      <c r="K2110" s="150"/>
      <c r="M2110" s="1001"/>
      <c r="N2110" s="29"/>
      <c r="P2110" s="29"/>
      <c r="Q2110" s="29"/>
    </row>
    <row r="2111" spans="9:17">
      <c r="I2111" s="29"/>
      <c r="J2111" s="29"/>
      <c r="K2111" s="150"/>
      <c r="M2111" s="1001"/>
      <c r="N2111" s="29"/>
      <c r="P2111" s="29"/>
      <c r="Q2111" s="29"/>
    </row>
    <row r="2112" spans="9:17">
      <c r="I2112" s="29"/>
      <c r="J2112" s="29"/>
      <c r="K2112" s="150"/>
      <c r="M2112" s="1001"/>
      <c r="N2112" s="29"/>
      <c r="P2112" s="29"/>
      <c r="Q2112" s="29"/>
    </row>
    <row r="2113" spans="9:17">
      <c r="I2113" s="29"/>
      <c r="J2113" s="29"/>
      <c r="K2113" s="150"/>
      <c r="M2113" s="1001"/>
      <c r="N2113" s="29"/>
      <c r="P2113" s="29"/>
      <c r="Q2113" s="29"/>
    </row>
    <row r="2114" spans="9:17">
      <c r="I2114" s="29"/>
      <c r="J2114" s="29"/>
      <c r="K2114" s="150"/>
      <c r="M2114" s="1001"/>
      <c r="N2114" s="29"/>
      <c r="P2114" s="29"/>
      <c r="Q2114" s="29"/>
    </row>
    <row r="2115" spans="9:17">
      <c r="I2115" s="29"/>
      <c r="J2115" s="29"/>
      <c r="K2115" s="150"/>
      <c r="M2115" s="1001"/>
      <c r="N2115" s="29"/>
      <c r="P2115" s="29"/>
      <c r="Q2115" s="29"/>
    </row>
    <row r="2116" spans="9:17">
      <c r="I2116" s="29"/>
      <c r="J2116" s="29"/>
      <c r="K2116" s="150"/>
      <c r="M2116" s="1001"/>
      <c r="N2116" s="29"/>
      <c r="P2116" s="29"/>
      <c r="Q2116" s="29"/>
    </row>
    <row r="2117" spans="9:17">
      <c r="I2117" s="29"/>
      <c r="J2117" s="29"/>
      <c r="K2117" s="150"/>
      <c r="M2117" s="1001"/>
      <c r="N2117" s="29"/>
      <c r="P2117" s="29"/>
      <c r="Q2117" s="29"/>
    </row>
    <row r="2118" spans="9:17">
      <c r="I2118" s="29"/>
      <c r="J2118" s="29"/>
      <c r="K2118" s="150"/>
      <c r="M2118" s="1001"/>
      <c r="N2118" s="29"/>
      <c r="P2118" s="29"/>
      <c r="Q2118" s="29"/>
    </row>
    <row r="2119" spans="9:17">
      <c r="I2119" s="29"/>
      <c r="J2119" s="29"/>
      <c r="K2119" s="150"/>
      <c r="M2119" s="1001"/>
      <c r="N2119" s="29"/>
      <c r="P2119" s="29"/>
      <c r="Q2119" s="29"/>
    </row>
    <row r="2120" spans="9:17">
      <c r="I2120" s="29"/>
      <c r="J2120" s="29"/>
      <c r="K2120" s="150"/>
      <c r="M2120" s="1001"/>
      <c r="N2120" s="29"/>
      <c r="P2120" s="29"/>
      <c r="Q2120" s="29"/>
    </row>
    <row r="2121" spans="9:17">
      <c r="I2121" s="29"/>
      <c r="J2121" s="29"/>
      <c r="K2121" s="150"/>
      <c r="M2121" s="1001"/>
      <c r="N2121" s="29"/>
      <c r="P2121" s="29"/>
      <c r="Q2121" s="29"/>
    </row>
    <row r="2122" spans="9:17">
      <c r="I2122" s="29"/>
      <c r="J2122" s="29"/>
      <c r="K2122" s="150"/>
      <c r="M2122" s="1001"/>
      <c r="N2122" s="29"/>
      <c r="P2122" s="29"/>
      <c r="Q2122" s="29"/>
    </row>
    <row r="2123" spans="9:17">
      <c r="I2123" s="29"/>
      <c r="J2123" s="29"/>
      <c r="K2123" s="150"/>
      <c r="M2123" s="1001"/>
      <c r="N2123" s="29"/>
      <c r="P2123" s="29"/>
      <c r="Q2123" s="29"/>
    </row>
    <row r="2124" spans="9:17">
      <c r="I2124" s="29"/>
      <c r="J2124" s="29"/>
      <c r="K2124" s="150"/>
      <c r="M2124" s="1001"/>
      <c r="N2124" s="29"/>
      <c r="P2124" s="29"/>
      <c r="Q2124" s="29"/>
    </row>
    <row r="2125" spans="9:17">
      <c r="I2125" s="29"/>
      <c r="J2125" s="29"/>
      <c r="K2125" s="150"/>
      <c r="M2125" s="1001"/>
      <c r="N2125" s="29"/>
      <c r="P2125" s="29"/>
      <c r="Q2125" s="29"/>
    </row>
    <row r="2126" spans="9:17">
      <c r="I2126" s="29"/>
      <c r="J2126" s="29"/>
      <c r="K2126" s="150"/>
      <c r="M2126" s="1001"/>
      <c r="N2126" s="29"/>
      <c r="P2126" s="29"/>
      <c r="Q2126" s="29"/>
    </row>
    <row r="2127" spans="9:17">
      <c r="I2127" s="29"/>
      <c r="J2127" s="29"/>
      <c r="K2127" s="150"/>
      <c r="M2127" s="1001"/>
      <c r="N2127" s="29"/>
      <c r="P2127" s="29"/>
      <c r="Q2127" s="29"/>
    </row>
    <row r="2128" spans="9:17">
      <c r="I2128" s="29"/>
      <c r="J2128" s="29"/>
      <c r="K2128" s="150"/>
      <c r="M2128" s="1001"/>
      <c r="N2128" s="29"/>
      <c r="P2128" s="29"/>
      <c r="Q2128" s="29"/>
    </row>
    <row r="2129" spans="9:17">
      <c r="I2129" s="29"/>
      <c r="J2129" s="29"/>
      <c r="K2129" s="150"/>
      <c r="M2129" s="1001"/>
      <c r="N2129" s="29"/>
      <c r="P2129" s="29"/>
      <c r="Q2129" s="29"/>
    </row>
    <row r="2130" spans="9:17">
      <c r="I2130" s="29"/>
      <c r="J2130" s="29"/>
      <c r="K2130" s="150"/>
      <c r="M2130" s="1001"/>
      <c r="N2130" s="29"/>
      <c r="P2130" s="29"/>
      <c r="Q2130" s="29"/>
    </row>
    <row r="2131" spans="9:17">
      <c r="I2131" s="29"/>
      <c r="J2131" s="29"/>
      <c r="K2131" s="150"/>
      <c r="M2131" s="1001"/>
      <c r="N2131" s="29"/>
      <c r="P2131" s="29"/>
      <c r="Q2131" s="29"/>
    </row>
    <row r="2132" spans="9:17">
      <c r="I2132" s="29"/>
      <c r="J2132" s="29"/>
      <c r="K2132" s="150"/>
      <c r="M2132" s="1001"/>
      <c r="N2132" s="29"/>
      <c r="P2132" s="29"/>
      <c r="Q2132" s="29"/>
    </row>
    <row r="2133" spans="9:17">
      <c r="I2133" s="29"/>
      <c r="J2133" s="29"/>
      <c r="K2133" s="150"/>
      <c r="M2133" s="1001"/>
      <c r="N2133" s="29"/>
      <c r="P2133" s="29"/>
      <c r="Q2133" s="29"/>
    </row>
    <row r="2134" spans="9:17">
      <c r="I2134" s="29"/>
      <c r="J2134" s="29"/>
      <c r="K2134" s="150"/>
      <c r="M2134" s="1001"/>
      <c r="N2134" s="29"/>
      <c r="P2134" s="29"/>
      <c r="Q2134" s="29"/>
    </row>
    <row r="2135" spans="9:17">
      <c r="I2135" s="29"/>
      <c r="J2135" s="29"/>
      <c r="K2135" s="150"/>
      <c r="M2135" s="1001"/>
      <c r="N2135" s="29"/>
      <c r="P2135" s="29"/>
      <c r="Q2135" s="29"/>
    </row>
    <row r="2136" spans="9:17">
      <c r="I2136" s="29"/>
      <c r="J2136" s="29"/>
      <c r="K2136" s="150"/>
      <c r="M2136" s="1001"/>
      <c r="N2136" s="29"/>
      <c r="P2136" s="29"/>
      <c r="Q2136" s="29"/>
    </row>
    <row r="2137" spans="9:17">
      <c r="I2137" s="29"/>
      <c r="J2137" s="29"/>
      <c r="K2137" s="150"/>
      <c r="M2137" s="1001"/>
      <c r="N2137" s="29"/>
      <c r="P2137" s="29"/>
      <c r="Q2137" s="29"/>
    </row>
    <row r="2138" spans="9:17">
      <c r="I2138" s="29"/>
      <c r="J2138" s="29"/>
      <c r="K2138" s="150"/>
      <c r="M2138" s="1001"/>
      <c r="N2138" s="29"/>
      <c r="P2138" s="29"/>
      <c r="Q2138" s="29"/>
    </row>
    <row r="2139" spans="9:17">
      <c r="I2139" s="29"/>
      <c r="J2139" s="29"/>
      <c r="K2139" s="150"/>
      <c r="M2139" s="1001"/>
      <c r="N2139" s="29"/>
      <c r="P2139" s="29"/>
      <c r="Q2139" s="29"/>
    </row>
    <row r="2140" spans="9:17">
      <c r="I2140" s="29"/>
      <c r="J2140" s="29"/>
      <c r="K2140" s="150"/>
      <c r="M2140" s="1001"/>
      <c r="N2140" s="29"/>
      <c r="P2140" s="29"/>
      <c r="Q2140" s="29"/>
    </row>
    <row r="2141" spans="9:17">
      <c r="I2141" s="29"/>
      <c r="J2141" s="29"/>
      <c r="K2141" s="150"/>
      <c r="M2141" s="1001"/>
      <c r="N2141" s="29"/>
      <c r="P2141" s="29"/>
      <c r="Q2141" s="29"/>
    </row>
    <row r="2142" spans="9:17">
      <c r="I2142" s="29"/>
      <c r="J2142" s="29"/>
      <c r="K2142" s="150"/>
      <c r="M2142" s="1001"/>
      <c r="N2142" s="29"/>
      <c r="P2142" s="29"/>
      <c r="Q2142" s="29"/>
    </row>
    <row r="2143" spans="9:17">
      <c r="I2143" s="29"/>
      <c r="J2143" s="29"/>
      <c r="K2143" s="150"/>
      <c r="M2143" s="1001"/>
      <c r="N2143" s="29"/>
      <c r="P2143" s="29"/>
      <c r="Q2143" s="29"/>
    </row>
    <row r="2144" spans="9:17">
      <c r="I2144" s="29"/>
      <c r="J2144" s="29"/>
      <c r="K2144" s="150"/>
      <c r="M2144" s="1001"/>
      <c r="N2144" s="29"/>
      <c r="P2144" s="29"/>
      <c r="Q2144" s="29"/>
    </row>
    <row r="2145" spans="9:17">
      <c r="I2145" s="29"/>
      <c r="J2145" s="29"/>
      <c r="K2145" s="150"/>
      <c r="M2145" s="1001"/>
      <c r="N2145" s="29"/>
      <c r="P2145" s="29"/>
      <c r="Q2145" s="29"/>
    </row>
    <row r="2146" spans="9:17">
      <c r="I2146" s="29"/>
      <c r="J2146" s="29"/>
      <c r="K2146" s="150"/>
      <c r="M2146" s="1001"/>
      <c r="N2146" s="29"/>
      <c r="P2146" s="29"/>
      <c r="Q2146" s="29"/>
    </row>
    <row r="2147" spans="9:17">
      <c r="I2147" s="29"/>
      <c r="J2147" s="29"/>
      <c r="K2147" s="150"/>
      <c r="M2147" s="1001"/>
      <c r="N2147" s="29"/>
      <c r="P2147" s="29"/>
      <c r="Q2147" s="29"/>
    </row>
    <row r="2148" spans="9:17">
      <c r="I2148" s="29"/>
      <c r="J2148" s="29"/>
      <c r="K2148" s="150"/>
      <c r="M2148" s="1001"/>
      <c r="N2148" s="29"/>
      <c r="P2148" s="29"/>
      <c r="Q2148" s="29"/>
    </row>
    <row r="2149" spans="9:17">
      <c r="I2149" s="29"/>
      <c r="J2149" s="29"/>
      <c r="K2149" s="150"/>
      <c r="M2149" s="1001"/>
      <c r="N2149" s="29"/>
      <c r="P2149" s="29"/>
      <c r="Q2149" s="29"/>
    </row>
    <row r="2150" spans="9:17">
      <c r="I2150" s="29"/>
      <c r="J2150" s="29"/>
      <c r="K2150" s="150"/>
      <c r="M2150" s="1001"/>
      <c r="N2150" s="29"/>
      <c r="P2150" s="29"/>
      <c r="Q2150" s="29"/>
    </row>
    <row r="2151" spans="9:17">
      <c r="I2151" s="29"/>
      <c r="J2151" s="29"/>
      <c r="K2151" s="150"/>
      <c r="M2151" s="1001"/>
      <c r="N2151" s="29"/>
      <c r="P2151" s="29"/>
      <c r="Q2151" s="29"/>
    </row>
    <row r="2152" spans="9:17">
      <c r="I2152" s="29"/>
      <c r="J2152" s="29"/>
      <c r="K2152" s="150"/>
      <c r="M2152" s="1001"/>
      <c r="N2152" s="29"/>
      <c r="P2152" s="29"/>
      <c r="Q2152" s="29"/>
    </row>
    <row r="2153" spans="9:17">
      <c r="I2153" s="29"/>
      <c r="J2153" s="29"/>
      <c r="K2153" s="150"/>
      <c r="M2153" s="1001"/>
      <c r="N2153" s="29"/>
      <c r="P2153" s="29"/>
      <c r="Q2153" s="29"/>
    </row>
    <row r="2154" spans="9:17">
      <c r="I2154" s="29"/>
      <c r="J2154" s="29"/>
      <c r="K2154" s="150"/>
      <c r="M2154" s="1001"/>
      <c r="N2154" s="29"/>
      <c r="P2154" s="29"/>
      <c r="Q2154" s="29"/>
    </row>
    <row r="2155" spans="9:17">
      <c r="I2155" s="29"/>
      <c r="J2155" s="29"/>
      <c r="K2155" s="150"/>
      <c r="M2155" s="1001"/>
      <c r="N2155" s="29"/>
      <c r="P2155" s="29"/>
      <c r="Q2155" s="29"/>
    </row>
    <row r="2156" spans="9:17">
      <c r="I2156" s="29"/>
      <c r="J2156" s="29"/>
      <c r="K2156" s="150"/>
      <c r="M2156" s="1001"/>
      <c r="N2156" s="29"/>
      <c r="P2156" s="29"/>
      <c r="Q2156" s="29"/>
    </row>
    <row r="2157" spans="9:17">
      <c r="I2157" s="29"/>
      <c r="J2157" s="29"/>
      <c r="K2157" s="150"/>
      <c r="M2157" s="1001"/>
      <c r="N2157" s="29"/>
      <c r="P2157" s="29"/>
      <c r="Q2157" s="29"/>
    </row>
    <row r="2158" spans="9:17">
      <c r="I2158" s="29"/>
      <c r="J2158" s="29"/>
      <c r="K2158" s="150"/>
      <c r="M2158" s="1001"/>
      <c r="N2158" s="29"/>
      <c r="P2158" s="29"/>
      <c r="Q2158" s="29"/>
    </row>
    <row r="2159" spans="9:17">
      <c r="I2159" s="29"/>
      <c r="J2159" s="29"/>
      <c r="K2159" s="150"/>
      <c r="M2159" s="1001"/>
      <c r="N2159" s="29"/>
      <c r="P2159" s="29"/>
      <c r="Q2159" s="29"/>
    </row>
    <row r="2160" spans="9:17">
      <c r="I2160" s="29"/>
      <c r="J2160" s="29"/>
      <c r="K2160" s="150"/>
      <c r="M2160" s="1001"/>
      <c r="N2160" s="29"/>
      <c r="P2160" s="29"/>
      <c r="Q2160" s="29"/>
    </row>
    <row r="2161" spans="9:17">
      <c r="I2161" s="29"/>
      <c r="J2161" s="29"/>
      <c r="K2161" s="150"/>
      <c r="M2161" s="1001"/>
      <c r="N2161" s="29"/>
      <c r="P2161" s="29"/>
      <c r="Q2161" s="29"/>
    </row>
    <row r="2162" spans="9:17">
      <c r="I2162" s="29"/>
      <c r="J2162" s="29"/>
      <c r="K2162" s="150"/>
      <c r="M2162" s="1001"/>
      <c r="N2162" s="29"/>
      <c r="P2162" s="29"/>
      <c r="Q2162" s="29"/>
    </row>
    <row r="2163" spans="9:17">
      <c r="I2163" s="29"/>
      <c r="J2163" s="29"/>
      <c r="K2163" s="150"/>
      <c r="M2163" s="1001"/>
      <c r="N2163" s="29"/>
      <c r="P2163" s="29"/>
      <c r="Q2163" s="29"/>
    </row>
    <row r="2164" spans="9:17">
      <c r="I2164" s="29"/>
      <c r="J2164" s="29"/>
      <c r="K2164" s="150"/>
      <c r="M2164" s="1001"/>
      <c r="N2164" s="29"/>
      <c r="P2164" s="29"/>
      <c r="Q2164" s="29"/>
    </row>
    <row r="2165" spans="9:17">
      <c r="I2165" s="29"/>
      <c r="J2165" s="29"/>
      <c r="K2165" s="150"/>
      <c r="M2165" s="1001"/>
      <c r="N2165" s="29"/>
      <c r="P2165" s="29"/>
      <c r="Q2165" s="29"/>
    </row>
    <row r="2166" spans="9:17">
      <c r="I2166" s="29"/>
      <c r="J2166" s="29"/>
      <c r="K2166" s="150"/>
      <c r="M2166" s="1001"/>
      <c r="N2166" s="29"/>
      <c r="P2166" s="29"/>
      <c r="Q2166" s="29"/>
    </row>
  </sheetData>
  <mergeCells count="7">
    <mergeCell ref="B118:C118"/>
    <mergeCell ref="B1:S1"/>
    <mergeCell ref="B3:B4"/>
    <mergeCell ref="C3:K3"/>
    <mergeCell ref="B2:S2"/>
    <mergeCell ref="M3:R3"/>
    <mergeCell ref="S3:S4"/>
  </mergeCells>
  <phoneticPr fontId="18"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29"/>
  <sheetViews>
    <sheetView topLeftCell="A26" zoomScale="62" zoomScaleNormal="62" workbookViewId="0">
      <selection activeCell="I21" sqref="I21"/>
    </sheetView>
  </sheetViews>
  <sheetFormatPr baseColWidth="10" defaultRowHeight="14.25"/>
  <cols>
    <col min="1" max="1" width="22.28515625" style="457" customWidth="1"/>
    <col min="2" max="2" width="26.42578125" style="458" customWidth="1"/>
    <col min="3" max="3" width="29" style="458" hidden="1" customWidth="1"/>
    <col min="4" max="4" width="66.5703125" style="457" customWidth="1"/>
    <col min="5" max="5" width="18.42578125" style="457" customWidth="1"/>
    <col min="6" max="6" width="21" style="147" customWidth="1"/>
    <col min="7" max="7" width="17.5703125" style="606" customWidth="1"/>
    <col min="8" max="8" width="24.140625" style="148" customWidth="1"/>
    <col min="9" max="9" width="25.140625" style="149" customWidth="1"/>
    <col min="10" max="10" width="26.85546875" style="149" customWidth="1"/>
    <col min="11" max="11" width="18.42578125" style="456" hidden="1" customWidth="1"/>
    <col min="12" max="12" width="17" style="456" hidden="1" customWidth="1"/>
    <col min="13" max="14" width="14.42578125" style="134" hidden="1" customWidth="1"/>
    <col min="15" max="15" width="14.42578125" style="135" hidden="1" customWidth="1"/>
    <col min="16" max="16" width="14.42578125" style="130" hidden="1" customWidth="1"/>
    <col min="17" max="17" width="13" style="1" hidden="1" customWidth="1"/>
    <col min="18" max="18" width="27.7109375" style="1" hidden="1" customWidth="1"/>
    <col min="19" max="19" width="30" style="1" customWidth="1"/>
    <col min="20" max="20" width="24.5703125" style="457" customWidth="1"/>
    <col min="21" max="16384" width="11.42578125" style="457"/>
  </cols>
  <sheetData>
    <row r="1" spans="1:37" s="451" customFormat="1" ht="34.5" customHeight="1">
      <c r="A1" s="848" t="s">
        <v>543</v>
      </c>
      <c r="B1" s="844"/>
      <c r="C1" s="844"/>
      <c r="D1" s="844"/>
      <c r="E1" s="844"/>
      <c r="F1" s="844"/>
      <c r="G1" s="844"/>
      <c r="H1" s="844"/>
      <c r="I1" s="844"/>
      <c r="J1" s="449" t="s">
        <v>301</v>
      </c>
      <c r="K1" s="450"/>
      <c r="L1" s="450"/>
      <c r="M1" s="127"/>
      <c r="N1" s="127"/>
      <c r="O1" s="128"/>
      <c r="P1" s="129"/>
      <c r="Q1" s="492"/>
      <c r="R1" s="492"/>
      <c r="S1" s="492"/>
    </row>
    <row r="2" spans="1:37" s="451" customFormat="1" ht="28.5" customHeight="1">
      <c r="A2" s="836"/>
      <c r="B2" s="807"/>
      <c r="C2" s="807"/>
      <c r="D2" s="807"/>
      <c r="E2" s="807"/>
      <c r="F2" s="807"/>
      <c r="G2" s="807"/>
      <c r="H2" s="807"/>
      <c r="I2" s="807"/>
      <c r="J2" s="452" t="s">
        <v>302</v>
      </c>
      <c r="K2" s="450"/>
      <c r="L2" s="450"/>
      <c r="M2" s="127"/>
      <c r="N2" s="127"/>
      <c r="O2" s="128"/>
      <c r="P2" s="129"/>
      <c r="Q2" s="492"/>
      <c r="R2" s="492"/>
      <c r="S2" s="492"/>
    </row>
    <row r="3" spans="1:37" s="451" customFormat="1" ht="25.5" customHeight="1" thickBot="1">
      <c r="A3" s="836"/>
      <c r="B3" s="807"/>
      <c r="C3" s="807"/>
      <c r="D3" s="807"/>
      <c r="E3" s="807"/>
      <c r="F3" s="807"/>
      <c r="G3" s="807"/>
      <c r="H3" s="807"/>
      <c r="I3" s="807"/>
      <c r="J3" s="453" t="s">
        <v>303</v>
      </c>
      <c r="K3" s="450"/>
      <c r="L3" s="450"/>
      <c r="M3" s="127"/>
      <c r="N3" s="127"/>
      <c r="O3" s="128"/>
      <c r="P3" s="129"/>
      <c r="Q3" s="492"/>
      <c r="R3" s="492"/>
      <c r="S3" s="492"/>
    </row>
    <row r="4" spans="1:37" s="451" customFormat="1" ht="8.25" customHeight="1">
      <c r="A4" s="454"/>
      <c r="B4" s="854"/>
      <c r="C4" s="854"/>
      <c r="D4" s="854"/>
      <c r="E4" s="854"/>
      <c r="F4" s="854"/>
      <c r="G4" s="854"/>
      <c r="H4" s="854"/>
      <c r="I4" s="854"/>
      <c r="J4" s="855"/>
      <c r="K4" s="450"/>
      <c r="L4" s="450"/>
      <c r="M4" s="127"/>
      <c r="N4" s="127"/>
      <c r="O4" s="128"/>
      <c r="P4" s="129"/>
      <c r="Q4" s="492"/>
      <c r="R4" s="492"/>
      <c r="S4" s="492"/>
    </row>
    <row r="5" spans="1:37" s="451" customFormat="1" ht="39" customHeight="1">
      <c r="A5" s="836" t="s">
        <v>304</v>
      </c>
      <c r="B5" s="807"/>
      <c r="C5" s="550"/>
      <c r="D5" s="856">
        <v>2019</v>
      </c>
      <c r="E5" s="857"/>
      <c r="F5" s="22"/>
      <c r="G5" s="604" t="s">
        <v>305</v>
      </c>
      <c r="H5" s="854" t="s">
        <v>608</v>
      </c>
      <c r="I5" s="854"/>
      <c r="J5" s="855"/>
      <c r="K5" s="450"/>
      <c r="L5" s="450"/>
      <c r="M5" s="127"/>
      <c r="N5" s="127"/>
      <c r="O5" s="128"/>
      <c r="P5" s="129"/>
      <c r="Q5" s="492"/>
      <c r="R5" s="492"/>
      <c r="S5" s="492"/>
    </row>
    <row r="6" spans="1:37" ht="8.25" customHeight="1" thickBot="1">
      <c r="A6" s="455"/>
      <c r="B6" s="842"/>
      <c r="C6" s="842"/>
      <c r="D6" s="842"/>
      <c r="E6" s="842"/>
      <c r="F6" s="842"/>
      <c r="G6" s="842"/>
      <c r="H6" s="842"/>
      <c r="I6" s="842"/>
      <c r="J6" s="843"/>
      <c r="M6" s="127"/>
      <c r="N6" s="127"/>
      <c r="O6" s="128"/>
      <c r="T6" s="451"/>
      <c r="U6" s="451"/>
      <c r="V6" s="451"/>
      <c r="W6" s="451"/>
      <c r="X6" s="451"/>
      <c r="Y6" s="451"/>
      <c r="Z6" s="451"/>
      <c r="AA6" s="451"/>
      <c r="AB6" s="451"/>
      <c r="AC6" s="451"/>
      <c r="AD6" s="451"/>
      <c r="AE6" s="451"/>
      <c r="AF6" s="451"/>
      <c r="AG6" s="451"/>
      <c r="AH6" s="451"/>
      <c r="AI6" s="451"/>
      <c r="AJ6" s="451"/>
      <c r="AK6" s="451"/>
    </row>
    <row r="7" spans="1:37" s="458" customFormat="1" ht="15.75" customHeight="1">
      <c r="A7" s="848" t="s">
        <v>306</v>
      </c>
      <c r="B7" s="850" t="s">
        <v>307</v>
      </c>
      <c r="C7" s="558"/>
      <c r="D7" s="838" t="s">
        <v>542</v>
      </c>
      <c r="E7" s="844" t="s">
        <v>96</v>
      </c>
      <c r="F7" s="844" t="s">
        <v>309</v>
      </c>
      <c r="G7" s="844"/>
      <c r="H7" s="846" t="s">
        <v>310</v>
      </c>
      <c r="I7" s="846"/>
      <c r="J7" s="847"/>
      <c r="K7" s="2"/>
      <c r="L7" s="2"/>
      <c r="M7" s="127"/>
      <c r="N7" s="127"/>
      <c r="O7" s="128"/>
      <c r="P7" s="37"/>
      <c r="T7" s="451"/>
      <c r="U7" s="451"/>
      <c r="V7" s="451"/>
      <c r="W7" s="451"/>
      <c r="X7" s="451"/>
      <c r="Y7" s="451"/>
      <c r="Z7" s="451"/>
      <c r="AA7" s="451"/>
      <c r="AB7" s="451"/>
      <c r="AC7" s="451"/>
      <c r="AD7" s="451"/>
      <c r="AE7" s="451"/>
      <c r="AF7" s="451"/>
      <c r="AG7" s="451"/>
      <c r="AH7" s="451"/>
      <c r="AI7" s="451"/>
      <c r="AJ7" s="451"/>
      <c r="AK7" s="451"/>
    </row>
    <row r="8" spans="1:37" s="1" customFormat="1" ht="45.75" customHeight="1" thickBot="1">
      <c r="A8" s="849"/>
      <c r="B8" s="851"/>
      <c r="C8" s="559"/>
      <c r="D8" s="839"/>
      <c r="E8" s="845"/>
      <c r="F8" s="459" t="s">
        <v>311</v>
      </c>
      <c r="G8" s="605" t="s">
        <v>312</v>
      </c>
      <c r="H8" s="460" t="s">
        <v>313</v>
      </c>
      <c r="I8" s="460" t="s">
        <v>314</v>
      </c>
      <c r="J8" s="461" t="s">
        <v>315</v>
      </c>
      <c r="K8" s="462"/>
      <c r="L8" s="462"/>
      <c r="M8" s="132" t="s">
        <v>316</v>
      </c>
      <c r="N8" s="132" t="s">
        <v>316</v>
      </c>
      <c r="O8" s="133" t="s">
        <v>317</v>
      </c>
      <c r="P8" s="36" t="s">
        <v>318</v>
      </c>
      <c r="T8" s="451"/>
    </row>
    <row r="9" spans="1:37" s="1" customFormat="1" ht="76.5" customHeight="1">
      <c r="A9" s="840" t="s">
        <v>530</v>
      </c>
      <c r="B9" s="841" t="s">
        <v>539</v>
      </c>
      <c r="C9" s="463"/>
      <c r="D9" s="435" t="s">
        <v>365</v>
      </c>
      <c r="E9" s="566" t="s">
        <v>403</v>
      </c>
      <c r="F9" s="567">
        <v>14</v>
      </c>
      <c r="G9" s="608">
        <f>+'Anexo 1 Matriz SINA Inf Gestión'!E7</f>
        <v>14</v>
      </c>
      <c r="H9" s="436">
        <f>+'Anexo 1 Matriz SINA Inf Gestión'!M7</f>
        <v>0</v>
      </c>
      <c r="I9" s="508">
        <v>0</v>
      </c>
      <c r="J9" s="75">
        <f>+H9-I9</f>
        <v>0</v>
      </c>
      <c r="K9" s="464"/>
      <c r="L9" s="462"/>
      <c r="M9" s="134"/>
      <c r="N9" s="134"/>
      <c r="O9" s="135"/>
      <c r="P9" s="387"/>
    </row>
    <row r="10" spans="1:37" s="1" customFormat="1" ht="48" customHeight="1">
      <c r="A10" s="840"/>
      <c r="B10" s="799"/>
      <c r="C10" s="548"/>
      <c r="D10" s="437" t="s">
        <v>369</v>
      </c>
      <c r="E10" s="566" t="s">
        <v>128</v>
      </c>
      <c r="F10" s="567">
        <v>1</v>
      </c>
      <c r="G10" s="608">
        <f>+'Anexo 1 Matriz SINA Inf Gestión'!E8</f>
        <v>1</v>
      </c>
      <c r="H10" s="436">
        <f>+'Anexo 1 Matriz SINA Inf Gestión'!M8</f>
        <v>0</v>
      </c>
      <c r="I10" s="508">
        <v>0</v>
      </c>
      <c r="J10" s="75">
        <f t="shared" ref="J10:J13" si="0">+H10-I10</f>
        <v>0</v>
      </c>
      <c r="K10" s="464"/>
      <c r="L10" s="462"/>
      <c r="M10" s="134"/>
      <c r="N10" s="134"/>
      <c r="O10" s="135"/>
      <c r="P10" s="387"/>
    </row>
    <row r="11" spans="1:37" s="1" customFormat="1" ht="52.5" customHeight="1">
      <c r="A11" s="840"/>
      <c r="B11" s="799"/>
      <c r="C11" s="548"/>
      <c r="D11" s="438" t="s">
        <v>362</v>
      </c>
      <c r="E11" s="566" t="s">
        <v>403</v>
      </c>
      <c r="F11" s="567">
        <v>100</v>
      </c>
      <c r="G11" s="567">
        <f>+'Anexo 1 Matriz SINA Inf Gestión'!E9</f>
        <v>100</v>
      </c>
      <c r="H11" s="436">
        <f>+'Anexo 1 Matriz SINA Inf Gestión'!M9</f>
        <v>0</v>
      </c>
      <c r="I11" s="508">
        <v>0</v>
      </c>
      <c r="J11" s="75">
        <f t="shared" si="0"/>
        <v>0</v>
      </c>
      <c r="K11" s="464">
        <v>118606003</v>
      </c>
      <c r="L11" s="462"/>
      <c r="M11" s="134">
        <v>35046</v>
      </c>
      <c r="N11" s="134">
        <v>255412</v>
      </c>
      <c r="O11" s="135">
        <v>615140</v>
      </c>
      <c r="P11" s="387"/>
      <c r="Q11" s="1">
        <v>0</v>
      </c>
      <c r="R11" s="462"/>
    </row>
    <row r="12" spans="1:37" s="1" customFormat="1" ht="47.25" customHeight="1">
      <c r="A12" s="840"/>
      <c r="B12" s="799"/>
      <c r="C12" s="548"/>
      <c r="D12" s="439" t="s">
        <v>362</v>
      </c>
      <c r="E12" s="566" t="s">
        <v>133</v>
      </c>
      <c r="F12" s="567">
        <v>2</v>
      </c>
      <c r="G12" s="608">
        <f>+'Anexo 1 Matriz SINA Inf Gestión'!E10</f>
        <v>2</v>
      </c>
      <c r="H12" s="436">
        <f>+'Anexo 1 Matriz SINA Inf Gestión'!M10</f>
        <v>0</v>
      </c>
      <c r="I12" s="508">
        <v>0</v>
      </c>
      <c r="J12" s="75">
        <f t="shared" si="0"/>
        <v>0</v>
      </c>
      <c r="K12" s="464">
        <v>304866161</v>
      </c>
      <c r="L12" s="462"/>
      <c r="M12" s="134">
        <v>79222</v>
      </c>
      <c r="N12" s="134"/>
      <c r="O12" s="135">
        <v>165962</v>
      </c>
      <c r="P12" s="387"/>
      <c r="Q12" s="1">
        <v>0</v>
      </c>
    </row>
    <row r="13" spans="1:37" s="1" customFormat="1" ht="66.75" customHeight="1">
      <c r="A13" s="840"/>
      <c r="B13" s="799"/>
      <c r="C13" s="548"/>
      <c r="D13" s="440" t="s">
        <v>367</v>
      </c>
      <c r="E13" s="566" t="s">
        <v>1</v>
      </c>
      <c r="F13" s="567">
        <v>100</v>
      </c>
      <c r="G13" s="608">
        <f>+'Anexo 1 Matriz SINA Inf Gestión'!F11</f>
        <v>83</v>
      </c>
      <c r="H13" s="436">
        <f>+'Anexo 1 Matriz SINA Inf Gestión'!M11</f>
        <v>0</v>
      </c>
      <c r="I13" s="508">
        <v>0</v>
      </c>
      <c r="J13" s="75">
        <f t="shared" si="0"/>
        <v>0</v>
      </c>
      <c r="K13" s="464">
        <v>423472164</v>
      </c>
      <c r="L13" s="462"/>
      <c r="M13" s="134">
        <v>255412</v>
      </c>
      <c r="N13" s="134"/>
      <c r="O13" s="135">
        <v>489303</v>
      </c>
      <c r="P13" s="387"/>
    </row>
    <row r="14" spans="1:37" s="1" customFormat="1" ht="64.5" customHeight="1">
      <c r="A14" s="840"/>
      <c r="B14" s="799"/>
      <c r="C14" s="548"/>
      <c r="D14" s="437" t="s">
        <v>366</v>
      </c>
      <c r="E14" s="566" t="s">
        <v>133</v>
      </c>
      <c r="F14" s="608">
        <v>3</v>
      </c>
      <c r="G14" s="768">
        <f>+'Anexo 1 Matriz SINA Inf Gestión'!F12</f>
        <v>0.83333333333333337</v>
      </c>
      <c r="H14" s="436">
        <f>+'Anexo 1 Matriz SINA Inf Gestión'!M12</f>
        <v>231000000</v>
      </c>
      <c r="I14" s="508">
        <f>+'Anexo 1 Matriz SINA Inf Gestión'!N12</f>
        <v>230275301.10799998</v>
      </c>
      <c r="J14" s="75">
        <f>+H14-I14</f>
        <v>724698.89200001955</v>
      </c>
      <c r="K14" s="465" t="s">
        <v>319</v>
      </c>
      <c r="L14" s="462"/>
      <c r="M14" s="134">
        <v>85137</v>
      </c>
      <c r="N14" s="134"/>
      <c r="O14" s="135">
        <v>341394</v>
      </c>
      <c r="P14" s="387"/>
    </row>
    <row r="15" spans="1:37" s="1" customFormat="1" ht="48" customHeight="1">
      <c r="A15" s="840"/>
      <c r="B15" s="799"/>
      <c r="C15" s="547"/>
      <c r="D15" s="407" t="s">
        <v>364</v>
      </c>
      <c r="E15" s="566" t="s">
        <v>378</v>
      </c>
      <c r="F15" s="567">
        <v>1</v>
      </c>
      <c r="G15" s="608">
        <f>+'Anexo 1 Matriz SINA Inf Gestión'!E15</f>
        <v>1</v>
      </c>
      <c r="H15" s="436">
        <f>+'Anexo 1 Matriz SINA Inf Gestión'!M15</f>
        <v>250100000</v>
      </c>
      <c r="I15" s="436">
        <f>+'Anexo 1 Matriz SINA Inf Gestión'!N15</f>
        <v>250088000</v>
      </c>
      <c r="J15" s="75">
        <f t="shared" ref="J15:J17" si="1">+H15-I15</f>
        <v>12000</v>
      </c>
      <c r="K15" s="464"/>
      <c r="L15" s="462"/>
      <c r="M15" s="134"/>
      <c r="N15" s="134"/>
      <c r="O15" s="135"/>
      <c r="P15" s="387"/>
    </row>
    <row r="16" spans="1:37" s="1" customFormat="1" ht="48" customHeight="1">
      <c r="A16" s="840"/>
      <c r="B16" s="799"/>
      <c r="C16" s="547"/>
      <c r="D16" s="407" t="s">
        <v>371</v>
      </c>
      <c r="E16" s="566" t="s">
        <v>493</v>
      </c>
      <c r="F16" s="567">
        <v>37</v>
      </c>
      <c r="G16" s="608">
        <f>+'Anexo 1 Matriz SINA Inf Gestión'!E16</f>
        <v>37</v>
      </c>
      <c r="H16" s="436">
        <f>+'Anexo 1 Matriz SINA Inf Gestión'!M16</f>
        <v>1034551238</v>
      </c>
      <c r="I16" s="436">
        <f>+'Anexo 1 Matriz SINA Inf Gestión'!N16</f>
        <v>992907328.74399996</v>
      </c>
      <c r="J16" s="75">
        <f t="shared" si="1"/>
        <v>41643909.256000042</v>
      </c>
      <c r="K16" s="464"/>
      <c r="L16" s="462"/>
      <c r="M16" s="134"/>
      <c r="N16" s="134"/>
      <c r="O16" s="135"/>
      <c r="P16" s="387"/>
    </row>
    <row r="17" spans="1:19" s="1" customFormat="1" ht="48" customHeight="1">
      <c r="A17" s="840"/>
      <c r="B17" s="799"/>
      <c r="C17" s="547"/>
      <c r="D17" s="407" t="s">
        <v>372</v>
      </c>
      <c r="E17" s="566" t="s">
        <v>373</v>
      </c>
      <c r="F17" s="567">
        <v>5</v>
      </c>
      <c r="G17" s="608">
        <f>+'Anexo 1 Matriz SINA Inf Gestión'!E17</f>
        <v>4.5</v>
      </c>
      <c r="H17" s="436">
        <f>+'Anexo 1 Matriz SINA Inf Gestión'!M17</f>
        <v>211682244</v>
      </c>
      <c r="I17" s="436">
        <f>+'Anexo 1 Matriz SINA Inf Gestión'!N17</f>
        <v>155985829.74400002</v>
      </c>
      <c r="J17" s="75">
        <f t="shared" si="1"/>
        <v>55696414.255999982</v>
      </c>
      <c r="K17" s="464"/>
      <c r="L17" s="462"/>
      <c r="M17" s="134"/>
      <c r="N17" s="134"/>
      <c r="O17" s="135"/>
      <c r="P17" s="387"/>
      <c r="R17" s="594"/>
      <c r="S17" s="462"/>
    </row>
    <row r="18" spans="1:19" s="1" customFormat="1" ht="18" customHeight="1">
      <c r="A18" s="840"/>
      <c r="B18" s="799"/>
      <c r="C18" s="548"/>
      <c r="D18" s="831" t="s">
        <v>320</v>
      </c>
      <c r="E18" s="831"/>
      <c r="F18" s="831"/>
      <c r="G18" s="831"/>
      <c r="H18" s="469">
        <f>SUM(H9:H17)</f>
        <v>1727333482</v>
      </c>
      <c r="I18" s="443"/>
      <c r="J18" s="826">
        <f>+H18-I19</f>
        <v>98077022.404000044</v>
      </c>
      <c r="K18" s="136" t="e">
        <v>#REF!</v>
      </c>
      <c r="L18" s="462"/>
      <c r="M18" s="134">
        <v>210274</v>
      </c>
      <c r="N18" s="134"/>
      <c r="O18" s="135"/>
      <c r="P18" s="130"/>
    </row>
    <row r="19" spans="1:19" s="1" customFormat="1" ht="18" customHeight="1">
      <c r="A19" s="840"/>
      <c r="B19" s="799"/>
      <c r="C19" s="548"/>
      <c r="D19" s="831" t="s">
        <v>321</v>
      </c>
      <c r="E19" s="831"/>
      <c r="F19" s="831"/>
      <c r="G19" s="831"/>
      <c r="H19" s="831"/>
      <c r="I19" s="444">
        <f>SUM(I9:I18)</f>
        <v>1629256459.596</v>
      </c>
      <c r="J19" s="837"/>
      <c r="K19" s="136">
        <v>11</v>
      </c>
      <c r="L19" s="462"/>
      <c r="M19" s="134">
        <v>105137</v>
      </c>
      <c r="N19" s="134"/>
      <c r="O19" s="135"/>
      <c r="P19" s="130"/>
    </row>
    <row r="20" spans="1:19" s="1" customFormat="1" ht="18.75" customHeight="1">
      <c r="A20" s="840"/>
      <c r="B20" s="799"/>
      <c r="C20" s="548"/>
      <c r="D20" s="831" t="s">
        <v>322</v>
      </c>
      <c r="E20" s="831"/>
      <c r="F20" s="831"/>
      <c r="G20" s="831"/>
      <c r="H20" s="831"/>
      <c r="I20" s="529">
        <f>+'Anexo 1 Matriz SINA Inf Gestión'!O6/100</f>
        <v>0.94322056312459068</v>
      </c>
      <c r="J20" s="837"/>
      <c r="K20" s="462"/>
      <c r="L20" s="462"/>
      <c r="M20" s="137"/>
      <c r="N20" s="137">
        <v>1025640</v>
      </c>
      <c r="O20" s="135"/>
      <c r="P20" s="130"/>
    </row>
    <row r="21" spans="1:19" s="1" customFormat="1" ht="18.75" customHeight="1">
      <c r="A21" s="840"/>
      <c r="B21" s="548"/>
      <c r="C21" s="548"/>
      <c r="D21" s="800" t="s">
        <v>529</v>
      </c>
      <c r="E21" s="801"/>
      <c r="F21" s="801"/>
      <c r="G21" s="801"/>
      <c r="H21" s="802"/>
      <c r="I21" s="529">
        <f>+'Anexo 1 Matriz SINA Inf Gestión'!F6/100</f>
        <v>0.8598148148148147</v>
      </c>
      <c r="J21" s="555"/>
      <c r="K21" s="462"/>
      <c r="L21" s="462"/>
      <c r="M21" s="137"/>
      <c r="N21" s="137"/>
      <c r="O21" s="135"/>
      <c r="P21" s="130"/>
    </row>
    <row r="22" spans="1:19" s="1" customFormat="1" ht="24" customHeight="1">
      <c r="A22" s="840"/>
      <c r="B22" s="806" t="s">
        <v>307</v>
      </c>
      <c r="C22" s="551"/>
      <c r="D22" s="827" t="s">
        <v>542</v>
      </c>
      <c r="E22" s="807" t="s">
        <v>96</v>
      </c>
      <c r="F22" s="807" t="s">
        <v>309</v>
      </c>
      <c r="G22" s="807"/>
      <c r="H22" s="821" t="s">
        <v>310</v>
      </c>
      <c r="I22" s="821"/>
      <c r="J22" s="822"/>
      <c r="K22" s="462"/>
      <c r="L22" s="462"/>
      <c r="M22" s="137"/>
      <c r="N22" s="137"/>
      <c r="O22" s="135"/>
      <c r="P22" s="130"/>
    </row>
    <row r="23" spans="1:19" s="1" customFormat="1" ht="45" customHeight="1">
      <c r="A23" s="840"/>
      <c r="B23" s="806"/>
      <c r="C23" s="551"/>
      <c r="D23" s="828"/>
      <c r="E23" s="807"/>
      <c r="F23" s="466" t="s">
        <v>311</v>
      </c>
      <c r="G23" s="604" t="s">
        <v>312</v>
      </c>
      <c r="H23" s="467" t="s">
        <v>313</v>
      </c>
      <c r="I23" s="553" t="s">
        <v>314</v>
      </c>
      <c r="J23" s="554" t="s">
        <v>315</v>
      </c>
      <c r="K23" s="462"/>
      <c r="L23" s="462"/>
      <c r="M23" s="137"/>
      <c r="N23" s="137"/>
      <c r="O23" s="135"/>
      <c r="P23" s="130"/>
    </row>
    <row r="24" spans="1:19" s="1" customFormat="1" ht="76.5" customHeight="1">
      <c r="A24" s="840"/>
      <c r="B24" s="799" t="s">
        <v>468</v>
      </c>
      <c r="C24" s="548"/>
      <c r="D24" s="440" t="s">
        <v>485</v>
      </c>
      <c r="E24" s="397" t="s">
        <v>180</v>
      </c>
      <c r="F24" s="398">
        <v>100</v>
      </c>
      <c r="G24" s="398">
        <f>+'Anexo 1 Matriz SINA Inf Gestión'!E20</f>
        <v>100</v>
      </c>
      <c r="H24" s="446">
        <f>+'Anexo 1 Matriz SINA Inf Gestión'!M20</f>
        <v>0</v>
      </c>
      <c r="I24" s="446">
        <f>+'Anexo 1 Matriz SINA Inf Gestión'!N20</f>
        <v>0</v>
      </c>
      <c r="J24" s="75">
        <f>+H24-I24</f>
        <v>0</v>
      </c>
      <c r="K24" s="462"/>
      <c r="L24" s="462"/>
      <c r="M24" s="137"/>
      <c r="N24" s="137"/>
      <c r="O24" s="135"/>
      <c r="P24" s="130"/>
      <c r="Q24" s="1">
        <v>0</v>
      </c>
    </row>
    <row r="25" spans="1:19" s="1" customFormat="1" ht="75" customHeight="1">
      <c r="A25" s="840"/>
      <c r="B25" s="799"/>
      <c r="C25" s="548"/>
      <c r="D25" s="437" t="s">
        <v>486</v>
      </c>
      <c r="E25" s="402" t="s">
        <v>487</v>
      </c>
      <c r="F25" s="398">
        <v>5</v>
      </c>
      <c r="G25" s="398">
        <f>+'Anexo 1 Matriz SINA Inf Gestión'!E21</f>
        <v>5</v>
      </c>
      <c r="H25" s="446">
        <f>+'Anexo 1 Matriz SINA Inf Gestión'!M21</f>
        <v>4590174081</v>
      </c>
      <c r="I25" s="446">
        <f>+'Anexo 1 Matriz SINA Inf Gestión'!N21</f>
        <v>3743951667.184</v>
      </c>
      <c r="J25" s="75">
        <f t="shared" ref="J25:J33" si="2">+H25-I25</f>
        <v>846222413.81599998</v>
      </c>
      <c r="K25" s="462"/>
      <c r="L25" s="462"/>
      <c r="M25" s="137"/>
      <c r="N25" s="137"/>
      <c r="O25" s="135"/>
      <c r="P25" s="387"/>
      <c r="Q25" s="574">
        <v>0</v>
      </c>
    </row>
    <row r="26" spans="1:19" s="1" customFormat="1" ht="75" customHeight="1">
      <c r="A26" s="840"/>
      <c r="B26" s="799"/>
      <c r="C26" s="547"/>
      <c r="D26" s="405" t="s">
        <v>550</v>
      </c>
      <c r="E26" s="402" t="s">
        <v>1</v>
      </c>
      <c r="F26" s="398">
        <v>25</v>
      </c>
      <c r="G26" s="398">
        <f>+'Anexo 1 Matriz SINA Inf Gestión'!E22</f>
        <v>25</v>
      </c>
      <c r="H26" s="446">
        <f>+'Anexo 1 Matriz SINA Inf Gestión'!M22</f>
        <v>0</v>
      </c>
      <c r="I26" s="446">
        <f>+'Anexo 1 Matriz SINA Inf Gestión'!N22</f>
        <v>0</v>
      </c>
      <c r="J26" s="75">
        <f t="shared" si="2"/>
        <v>0</v>
      </c>
      <c r="K26" s="462"/>
      <c r="L26" s="462"/>
      <c r="M26" s="137"/>
      <c r="N26" s="137"/>
      <c r="O26" s="135"/>
      <c r="P26" s="387"/>
    </row>
    <row r="27" spans="1:19" s="1" customFormat="1" ht="38.25" customHeight="1">
      <c r="A27" s="840"/>
      <c r="B27" s="799"/>
      <c r="C27" s="547"/>
      <c r="D27" s="409" t="s">
        <v>350</v>
      </c>
      <c r="E27" s="410" t="s">
        <v>454</v>
      </c>
      <c r="F27" s="398">
        <v>100</v>
      </c>
      <c r="G27" s="398">
        <f>+'Anexo 1 Matriz SINA Inf Gestión'!E23</f>
        <v>100</v>
      </c>
      <c r="H27" s="446">
        <f>+'Anexo 1 Matriz SINA Inf Gestión'!M23</f>
        <v>203177336</v>
      </c>
      <c r="I27" s="446">
        <f>+'Anexo 1 Matriz SINA Inf Gestión'!N23</f>
        <v>203167329.704</v>
      </c>
      <c r="J27" s="75">
        <f t="shared" si="2"/>
        <v>10006.296000003815</v>
      </c>
      <c r="K27" s="462"/>
      <c r="L27" s="462"/>
      <c r="M27" s="137"/>
      <c r="N27" s="137"/>
      <c r="O27" s="135"/>
      <c r="P27" s="130"/>
    </row>
    <row r="28" spans="1:19" s="1" customFormat="1" ht="53.25" customHeight="1">
      <c r="A28" s="840"/>
      <c r="B28" s="799"/>
      <c r="C28" s="547"/>
      <c r="D28" s="411" t="s">
        <v>526</v>
      </c>
      <c r="E28" s="412" t="s">
        <v>454</v>
      </c>
      <c r="F28" s="398">
        <v>20</v>
      </c>
      <c r="G28" s="398">
        <f>+'Anexo 1 Matriz SINA Inf Gestión'!E24</f>
        <v>17</v>
      </c>
      <c r="H28" s="446">
        <f>+'Anexo 1 Matriz SINA Inf Gestión'!M24</f>
        <v>154663061</v>
      </c>
      <c r="I28" s="446">
        <f>+'Anexo 1 Matriz SINA Inf Gestión'!N24</f>
        <v>154662668.46399999</v>
      </c>
      <c r="J28" s="75">
        <f t="shared" si="2"/>
        <v>392.53600001335144</v>
      </c>
      <c r="K28" s="462"/>
      <c r="L28" s="462"/>
      <c r="M28" s="137"/>
      <c r="N28" s="137"/>
      <c r="O28" s="135"/>
      <c r="P28" s="130"/>
    </row>
    <row r="29" spans="1:19" s="1" customFormat="1" ht="53.25" customHeight="1">
      <c r="A29" s="840"/>
      <c r="B29" s="799"/>
      <c r="C29" s="547"/>
      <c r="D29" s="411" t="s">
        <v>360</v>
      </c>
      <c r="E29" s="568" t="s">
        <v>454</v>
      </c>
      <c r="F29" s="398">
        <v>141</v>
      </c>
      <c r="G29" s="398">
        <f>+'Anexo 1 Matriz SINA Inf Gestión'!E25</f>
        <v>90</v>
      </c>
      <c r="H29" s="446">
        <f>+'Anexo 1 Matriz SINA Inf Gestión'!M25</f>
        <v>140162361.51999998</v>
      </c>
      <c r="I29" s="446">
        <f>+'Anexo 1 Matriz SINA Inf Gestión'!N25</f>
        <v>140160404.68400002</v>
      </c>
      <c r="J29" s="75">
        <f t="shared" si="2"/>
        <v>1956.8359999656677</v>
      </c>
      <c r="K29" s="462"/>
      <c r="L29" s="462"/>
      <c r="M29" s="137"/>
      <c r="N29" s="137"/>
      <c r="O29" s="135"/>
      <c r="P29" s="130"/>
    </row>
    <row r="30" spans="1:19" s="1" customFormat="1" ht="53.25" customHeight="1">
      <c r="A30" s="840"/>
      <c r="B30" s="799"/>
      <c r="C30" s="547"/>
      <c r="D30" s="411" t="s">
        <v>509</v>
      </c>
      <c r="E30" s="568" t="s">
        <v>454</v>
      </c>
      <c r="F30" s="398">
        <v>500</v>
      </c>
      <c r="G30" s="398">
        <f>+'Anexo 1 Matriz SINA Inf Gestión'!E26</f>
        <v>300</v>
      </c>
      <c r="H30" s="446">
        <f>+'Anexo 1 Matriz SINA Inf Gestión'!M26</f>
        <v>993667911</v>
      </c>
      <c r="I30" s="446">
        <f>+'Anexo 1 Matriz SINA Inf Gestión'!N26</f>
        <v>940070398</v>
      </c>
      <c r="J30" s="75">
        <f t="shared" si="2"/>
        <v>53597513</v>
      </c>
      <c r="K30" s="462"/>
      <c r="L30" s="462"/>
      <c r="M30" s="137"/>
      <c r="N30" s="137"/>
      <c r="O30" s="135"/>
      <c r="P30" s="130"/>
    </row>
    <row r="31" spans="1:19" s="1" customFormat="1" ht="53.25" customHeight="1">
      <c r="A31" s="840"/>
      <c r="B31" s="799"/>
      <c r="C31" s="547"/>
      <c r="D31" s="411" t="s">
        <v>363</v>
      </c>
      <c r="E31" s="413" t="s">
        <v>454</v>
      </c>
      <c r="F31" s="398">
        <v>1963</v>
      </c>
      <c r="G31" s="398">
        <f>+'Anexo 1 Matriz SINA Inf Gestión'!E27</f>
        <v>1200</v>
      </c>
      <c r="H31" s="446">
        <f>+'Anexo 1 Matriz SINA Inf Gestión'!M27</f>
        <v>851740037</v>
      </c>
      <c r="I31" s="446">
        <f>+'Anexo 1 Matriz SINA Inf Gestión'!N27</f>
        <v>827734710.76800001</v>
      </c>
      <c r="J31" s="75">
        <f t="shared" si="2"/>
        <v>24005326.231999993</v>
      </c>
      <c r="K31" s="462"/>
      <c r="L31" s="462"/>
      <c r="M31" s="137"/>
      <c r="N31" s="137"/>
      <c r="O31" s="135"/>
      <c r="P31" s="130"/>
    </row>
    <row r="32" spans="1:19" s="1" customFormat="1" ht="53.25" customHeight="1">
      <c r="A32" s="840"/>
      <c r="B32" s="799"/>
      <c r="C32" s="548"/>
      <c r="D32" s="447" t="s">
        <v>361</v>
      </c>
      <c r="E32" s="413" t="s">
        <v>454</v>
      </c>
      <c r="F32" s="398">
        <v>200</v>
      </c>
      <c r="G32" s="398">
        <f>+'Anexo 1 Matriz SINA Inf Gestión'!E28</f>
        <v>400</v>
      </c>
      <c r="H32" s="446">
        <f>+'Anexo 1 Matriz SINA Inf Gestión'!M28</f>
        <v>516832747.60399997</v>
      </c>
      <c r="I32" s="446">
        <f>+'Anexo 1 Matriz SINA Inf Gestión'!N28</f>
        <v>516832746.81599998</v>
      </c>
      <c r="J32" s="75">
        <f t="shared" si="2"/>
        <v>0.78799998760223389</v>
      </c>
      <c r="K32" s="462"/>
      <c r="L32" s="462"/>
      <c r="M32" s="137"/>
      <c r="N32" s="137"/>
      <c r="O32" s="135"/>
      <c r="P32" s="130"/>
    </row>
    <row r="33" spans="1:17" s="1" customFormat="1" ht="53.25" customHeight="1">
      <c r="A33" s="840"/>
      <c r="B33" s="799"/>
      <c r="C33" s="547"/>
      <c r="D33" s="407" t="s">
        <v>480</v>
      </c>
      <c r="E33" s="397" t="s">
        <v>455</v>
      </c>
      <c r="F33" s="398">
        <v>30</v>
      </c>
      <c r="G33" s="398">
        <f>+'Anexo 1 Matriz SINA Inf Gestión'!E29</f>
        <v>30</v>
      </c>
      <c r="H33" s="446">
        <f>+'Anexo 1 Matriz SINA Inf Gestión'!M29</f>
        <v>0</v>
      </c>
      <c r="I33" s="446">
        <f>+'Anexo 1 Matriz SINA Inf Gestión'!N29</f>
        <v>0</v>
      </c>
      <c r="J33" s="75">
        <f t="shared" si="2"/>
        <v>0</v>
      </c>
      <c r="K33" s="462"/>
      <c r="L33" s="462"/>
      <c r="M33" s="137"/>
      <c r="N33" s="137"/>
      <c r="O33" s="135"/>
      <c r="P33" s="130"/>
    </row>
    <row r="34" spans="1:17" s="1" customFormat="1" ht="24" customHeight="1">
      <c r="A34" s="840"/>
      <c r="B34" s="799"/>
      <c r="C34" s="548"/>
      <c r="D34" s="831" t="s">
        <v>320</v>
      </c>
      <c r="E34" s="831"/>
      <c r="F34" s="831"/>
      <c r="G34" s="831"/>
      <c r="H34" s="469">
        <f>SUM(H24:H33)</f>
        <v>7450417535.1240005</v>
      </c>
      <c r="I34" s="448">
        <v>0</v>
      </c>
      <c r="J34" s="826">
        <f>+H34-I35</f>
        <v>923837609.50400066</v>
      </c>
      <c r="K34" s="462"/>
      <c r="L34" s="462"/>
      <c r="M34" s="137"/>
      <c r="N34" s="137"/>
      <c r="O34" s="135"/>
      <c r="P34" s="130"/>
    </row>
    <row r="35" spans="1:17" s="1" customFormat="1" ht="18" customHeight="1">
      <c r="A35" s="840"/>
      <c r="B35" s="799"/>
      <c r="C35" s="548"/>
      <c r="D35" s="831" t="s">
        <v>321</v>
      </c>
      <c r="E35" s="831"/>
      <c r="F35" s="831"/>
      <c r="G35" s="831"/>
      <c r="H35" s="831"/>
      <c r="I35" s="624">
        <f>SUM(I24:I34)</f>
        <v>6526579925.6199999</v>
      </c>
      <c r="J35" s="837"/>
      <c r="K35" s="462"/>
      <c r="L35" s="462"/>
      <c r="M35" s="137"/>
      <c r="N35" s="137"/>
      <c r="O35" s="135"/>
      <c r="P35" s="130"/>
    </row>
    <row r="36" spans="1:17" s="1" customFormat="1" ht="15">
      <c r="A36" s="840"/>
      <c r="B36" s="799"/>
      <c r="C36" s="548"/>
      <c r="D36" s="831" t="s">
        <v>322</v>
      </c>
      <c r="E36" s="831"/>
      <c r="F36" s="831"/>
      <c r="G36" s="831"/>
      <c r="H36" s="831"/>
      <c r="I36" s="491">
        <f>+'Anexo 1 Matriz SINA Inf Gestión'!O19/100</f>
        <v>0.8760019012157787</v>
      </c>
      <c r="J36" s="837"/>
      <c r="K36" s="462"/>
      <c r="L36" s="462"/>
      <c r="M36" s="137"/>
      <c r="N36" s="137"/>
      <c r="O36" s="135"/>
      <c r="P36" s="130"/>
    </row>
    <row r="37" spans="1:17" s="1" customFormat="1" ht="18" customHeight="1">
      <c r="A37" s="840"/>
      <c r="B37" s="799"/>
      <c r="C37" s="548"/>
      <c r="D37" s="800" t="s">
        <v>527</v>
      </c>
      <c r="E37" s="801"/>
      <c r="F37" s="801"/>
      <c r="G37" s="801"/>
      <c r="H37" s="802"/>
      <c r="I37" s="491">
        <f>+'Anexo 1 Matriz SINA Inf Gestión'!F19/100</f>
        <v>0.96996070929211697</v>
      </c>
      <c r="J37" s="837"/>
      <c r="K37" s="462"/>
      <c r="L37" s="462"/>
      <c r="M37" s="137"/>
      <c r="N37" s="137"/>
      <c r="O37" s="135"/>
      <c r="P37" s="130"/>
    </row>
    <row r="38" spans="1:17" s="1" customFormat="1" ht="47.25" customHeight="1">
      <c r="A38" s="840"/>
      <c r="B38" s="806" t="s">
        <v>307</v>
      </c>
      <c r="C38" s="551"/>
      <c r="D38" s="827" t="s">
        <v>542</v>
      </c>
      <c r="E38" s="807" t="s">
        <v>96</v>
      </c>
      <c r="F38" s="807" t="s">
        <v>309</v>
      </c>
      <c r="G38" s="807"/>
      <c r="H38" s="821" t="s">
        <v>310</v>
      </c>
      <c r="I38" s="821"/>
      <c r="J38" s="822"/>
      <c r="K38" s="462"/>
      <c r="L38" s="462"/>
      <c r="M38" s="137"/>
      <c r="N38" s="137"/>
      <c r="O38" s="135"/>
      <c r="P38" s="130"/>
    </row>
    <row r="39" spans="1:17" s="1" customFormat="1" ht="47.25" customHeight="1">
      <c r="A39" s="840"/>
      <c r="B39" s="806"/>
      <c r="C39" s="551"/>
      <c r="D39" s="828"/>
      <c r="E39" s="807"/>
      <c r="F39" s="466" t="s">
        <v>311</v>
      </c>
      <c r="G39" s="604" t="s">
        <v>312</v>
      </c>
      <c r="H39" s="467" t="s">
        <v>313</v>
      </c>
      <c r="I39" s="553" t="s">
        <v>314</v>
      </c>
      <c r="J39" s="554" t="s">
        <v>315</v>
      </c>
      <c r="K39" s="462"/>
      <c r="L39" s="462"/>
      <c r="M39" s="137"/>
      <c r="N39" s="137"/>
      <c r="O39" s="135"/>
      <c r="P39" s="130"/>
    </row>
    <row r="40" spans="1:17" s="1" customFormat="1" ht="68.25" customHeight="1">
      <c r="A40" s="840"/>
      <c r="B40" s="799" t="s">
        <v>469</v>
      </c>
      <c r="C40" s="547"/>
      <c r="D40" s="407" t="s">
        <v>376</v>
      </c>
      <c r="E40" s="406" t="s">
        <v>377</v>
      </c>
      <c r="F40" s="424">
        <v>1</v>
      </c>
      <c r="G40" s="715">
        <f>+'Anexo 1 Matriz SINA Inf Gestión'!E31</f>
        <v>0.75</v>
      </c>
      <c r="H40" s="468">
        <f>+'Anexo 1 Matriz SINA Inf Gestión'!M31</f>
        <v>1018593817</v>
      </c>
      <c r="I40" s="468">
        <f>+'Anexo 1 Matriz SINA Inf Gestión'!N31</f>
        <v>0</v>
      </c>
      <c r="J40" s="75">
        <f>+H40-I40</f>
        <v>1018593817</v>
      </c>
      <c r="K40" s="462"/>
      <c r="L40" s="462"/>
      <c r="M40" s="137"/>
      <c r="N40" s="137"/>
      <c r="O40" s="135"/>
      <c r="P40" s="130"/>
    </row>
    <row r="41" spans="1:17" s="1" customFormat="1" ht="33" customHeight="1">
      <c r="A41" s="840"/>
      <c r="B41" s="799"/>
      <c r="C41" s="547"/>
      <c r="D41" s="407" t="s">
        <v>481</v>
      </c>
      <c r="E41" s="406" t="s">
        <v>513</v>
      </c>
      <c r="F41" s="424">
        <v>1</v>
      </c>
      <c r="G41" s="685">
        <f>+'Anexo 1 Matriz SINA Inf Gestión'!E32</f>
        <v>0.5</v>
      </c>
      <c r="H41" s="468">
        <f>+'Anexo 1 Matriz SINA Inf Gestión'!M32</f>
        <v>115205104</v>
      </c>
      <c r="I41" s="468">
        <f>+'Anexo 1 Matriz SINA Inf Gestión'!N32</f>
        <v>115158800</v>
      </c>
      <c r="J41" s="75">
        <f>+H41-I41</f>
        <v>46304</v>
      </c>
      <c r="K41" s="462"/>
      <c r="L41" s="462"/>
      <c r="M41" s="137"/>
      <c r="N41" s="137"/>
      <c r="O41" s="135"/>
      <c r="P41" s="387"/>
    </row>
    <row r="42" spans="1:17" s="1" customFormat="1" ht="22.5" customHeight="1">
      <c r="A42" s="840"/>
      <c r="B42" s="799"/>
      <c r="C42" s="548"/>
      <c r="D42" s="831" t="s">
        <v>320</v>
      </c>
      <c r="E42" s="831"/>
      <c r="F42" s="831"/>
      <c r="G42" s="831"/>
      <c r="H42" s="469">
        <f>SUM(H40:H41)</f>
        <v>1133798921</v>
      </c>
      <c r="I42" s="399"/>
      <c r="J42" s="826">
        <f>+H42-I43</f>
        <v>1018640121</v>
      </c>
      <c r="K42" s="462"/>
      <c r="L42" s="462"/>
      <c r="M42" s="137"/>
      <c r="N42" s="137"/>
      <c r="O42" s="135"/>
      <c r="P42" s="130"/>
    </row>
    <row r="43" spans="1:17" s="1" customFormat="1" ht="16.5" customHeight="1">
      <c r="A43" s="840"/>
      <c r="B43" s="799"/>
      <c r="C43" s="548"/>
      <c r="D43" s="831" t="s">
        <v>321</v>
      </c>
      <c r="E43" s="831"/>
      <c r="F43" s="831"/>
      <c r="G43" s="831"/>
      <c r="H43" s="831"/>
      <c r="I43" s="469">
        <f>SUM(I40:I42)</f>
        <v>115158800</v>
      </c>
      <c r="J43" s="837"/>
      <c r="K43" s="462"/>
      <c r="L43" s="462"/>
      <c r="M43" s="137"/>
      <c r="N43" s="137"/>
      <c r="O43" s="135"/>
      <c r="P43" s="130"/>
    </row>
    <row r="44" spans="1:17" s="1" customFormat="1" ht="16.5" customHeight="1">
      <c r="A44" s="840"/>
      <c r="B44" s="799"/>
      <c r="C44" s="548"/>
      <c r="D44" s="831" t="s">
        <v>322</v>
      </c>
      <c r="E44" s="831"/>
      <c r="F44" s="831"/>
      <c r="G44" s="831"/>
      <c r="H44" s="831"/>
      <c r="I44" s="529">
        <f>+'Anexo 1 Matriz SINA Inf Gestión'!O30/100</f>
        <v>0.10156898006079511</v>
      </c>
      <c r="J44" s="837"/>
      <c r="K44" s="462"/>
      <c r="L44" s="462"/>
      <c r="M44" s="137"/>
      <c r="N44" s="137"/>
      <c r="O44" s="135"/>
      <c r="P44" s="130"/>
    </row>
    <row r="45" spans="1:17" s="1" customFormat="1" ht="16.5" customHeight="1">
      <c r="A45" s="840"/>
      <c r="B45" s="799"/>
      <c r="C45" s="548"/>
      <c r="D45" s="800" t="s">
        <v>527</v>
      </c>
      <c r="E45" s="801"/>
      <c r="F45" s="801"/>
      <c r="G45" s="801"/>
      <c r="H45" s="802"/>
      <c r="I45" s="716">
        <f>+'Anexo 1 Matriz SINA Inf Gestión'!F30/100</f>
        <v>0.625</v>
      </c>
      <c r="J45" s="837"/>
      <c r="K45" s="462"/>
      <c r="L45" s="462"/>
      <c r="M45" s="137"/>
      <c r="N45" s="137"/>
      <c r="O45" s="135"/>
      <c r="P45" s="130"/>
    </row>
    <row r="46" spans="1:17" s="1" customFormat="1" ht="17.25" customHeight="1">
      <c r="A46" s="836" t="s">
        <v>306</v>
      </c>
      <c r="B46" s="806" t="s">
        <v>307</v>
      </c>
      <c r="C46" s="551"/>
      <c r="D46" s="827" t="s">
        <v>542</v>
      </c>
      <c r="E46" s="807" t="s">
        <v>96</v>
      </c>
      <c r="F46" s="807" t="s">
        <v>309</v>
      </c>
      <c r="G46" s="807"/>
      <c r="H46" s="821" t="s">
        <v>310</v>
      </c>
      <c r="I46" s="821"/>
      <c r="J46" s="822"/>
      <c r="K46" s="462"/>
      <c r="L46" s="462"/>
      <c r="M46" s="134"/>
      <c r="N46" s="134"/>
      <c r="O46" s="135"/>
      <c r="P46" s="130"/>
    </row>
    <row r="47" spans="1:17" s="1" customFormat="1" ht="51.75" customHeight="1">
      <c r="A47" s="836"/>
      <c r="B47" s="806"/>
      <c r="C47" s="551"/>
      <c r="D47" s="828"/>
      <c r="E47" s="807"/>
      <c r="F47" s="466" t="s">
        <v>311</v>
      </c>
      <c r="G47" s="604" t="s">
        <v>312</v>
      </c>
      <c r="H47" s="467" t="s">
        <v>313</v>
      </c>
      <c r="I47" s="553" t="s">
        <v>314</v>
      </c>
      <c r="J47" s="554" t="s">
        <v>315</v>
      </c>
      <c r="K47" s="462"/>
      <c r="L47" s="462"/>
      <c r="M47" s="134"/>
      <c r="N47" s="134"/>
      <c r="O47" s="135"/>
      <c r="P47" s="130"/>
    </row>
    <row r="48" spans="1:17" s="1" customFormat="1" ht="57.75" customHeight="1">
      <c r="A48" s="858" t="s">
        <v>470</v>
      </c>
      <c r="B48" s="799" t="s">
        <v>476</v>
      </c>
      <c r="C48" s="547"/>
      <c r="D48" s="396" t="s">
        <v>483</v>
      </c>
      <c r="E48" s="398" t="s">
        <v>1</v>
      </c>
      <c r="F48" s="424">
        <v>30</v>
      </c>
      <c r="G48" s="398">
        <f>+'Anexo 1 Matriz SINA Inf Gestión'!E35</f>
        <v>19</v>
      </c>
      <c r="H48" s="468">
        <f>+'Anexo 1 Matriz SINA Inf Gestión'!M35</f>
        <v>0</v>
      </c>
      <c r="I48" s="468">
        <f>+'Anexo 1 Matriz SINA Inf Gestión'!N35</f>
        <v>0</v>
      </c>
      <c r="J48" s="75">
        <v>0</v>
      </c>
      <c r="K48" s="462"/>
      <c r="L48" s="462"/>
      <c r="M48" s="138">
        <v>75206</v>
      </c>
      <c r="N48" s="134">
        <v>340671</v>
      </c>
      <c r="O48" s="135"/>
      <c r="P48" s="130"/>
      <c r="Q48" s="1">
        <v>0</v>
      </c>
    </row>
    <row r="49" spans="1:20" s="1" customFormat="1" ht="59.25" customHeight="1">
      <c r="A49" s="840"/>
      <c r="B49" s="799"/>
      <c r="C49" s="547"/>
      <c r="D49" s="401" t="s">
        <v>382</v>
      </c>
      <c r="E49" s="398" t="s">
        <v>454</v>
      </c>
      <c r="F49" s="424">
        <v>70451</v>
      </c>
      <c r="G49" s="398">
        <f>+'Anexo 1 Matriz SINA Inf Gestión'!E36</f>
        <v>44748</v>
      </c>
      <c r="H49" s="468">
        <f>+'Anexo 1 Matriz SINA Inf Gestión'!M36</f>
        <v>0</v>
      </c>
      <c r="I49" s="468">
        <f>+'Anexo 1 Matriz SINA Inf Gestión'!N36</f>
        <v>0</v>
      </c>
      <c r="J49" s="75">
        <v>0</v>
      </c>
      <c r="K49" s="462"/>
      <c r="L49" s="462"/>
      <c r="M49" s="138"/>
      <c r="N49" s="134"/>
      <c r="O49" s="135"/>
      <c r="P49" s="130"/>
      <c r="Q49" s="574">
        <v>0</v>
      </c>
    </row>
    <row r="50" spans="1:20" s="1" customFormat="1" ht="47.25" customHeight="1">
      <c r="A50" s="840"/>
      <c r="B50" s="799"/>
      <c r="C50" s="547"/>
      <c r="D50" s="401" t="s">
        <v>383</v>
      </c>
      <c r="E50" s="398" t="s">
        <v>488</v>
      </c>
      <c r="F50" s="424">
        <v>50</v>
      </c>
      <c r="G50" s="398">
        <f>+'Anexo 1 Matriz SINA Inf Gestión'!E37</f>
        <v>50</v>
      </c>
      <c r="H50" s="468">
        <f>+'Anexo 1 Matriz SINA Inf Gestión'!M37</f>
        <v>0</v>
      </c>
      <c r="I50" s="468">
        <f>+'Anexo 1 Matriz SINA Inf Gestión'!N37</f>
        <v>0</v>
      </c>
      <c r="J50" s="75"/>
      <c r="K50" s="462"/>
      <c r="L50" s="462"/>
      <c r="M50" s="138"/>
      <c r="N50" s="134"/>
      <c r="O50" s="135"/>
      <c r="P50" s="130"/>
    </row>
    <row r="51" spans="1:20" s="1" customFormat="1" ht="45" customHeight="1">
      <c r="A51" s="840"/>
      <c r="B51" s="799"/>
      <c r="C51" s="547"/>
      <c r="D51" s="401" t="s">
        <v>384</v>
      </c>
      <c r="E51" s="398" t="s">
        <v>510</v>
      </c>
      <c r="F51" s="424">
        <v>30</v>
      </c>
      <c r="G51" s="398">
        <f>+'Anexo 1 Matriz SINA Inf Gestión'!E38</f>
        <v>29</v>
      </c>
      <c r="H51" s="468">
        <f>+'Anexo 1 Matriz SINA Inf Gestión'!M38</f>
        <v>115182886</v>
      </c>
      <c r="I51" s="468">
        <f>+'Anexo 1 Matriz SINA Inf Gestión'!N38</f>
        <v>55289711</v>
      </c>
      <c r="J51" s="75">
        <f>+H51-I51</f>
        <v>59893175</v>
      </c>
      <c r="K51" s="462"/>
      <c r="L51" s="462"/>
      <c r="M51" s="138"/>
      <c r="N51" s="134"/>
      <c r="O51" s="135"/>
      <c r="P51" s="130"/>
    </row>
    <row r="52" spans="1:20" s="1" customFormat="1" ht="42.75" customHeight="1">
      <c r="A52" s="840"/>
      <c r="B52" s="799"/>
      <c r="C52" s="547"/>
      <c r="D52" s="401" t="s">
        <v>385</v>
      </c>
      <c r="E52" s="398" t="s">
        <v>190</v>
      </c>
      <c r="F52" s="424">
        <v>3</v>
      </c>
      <c r="G52" s="679">
        <f>+'Anexo 1 Matriz SINA Inf Gestión'!E39</f>
        <v>2.4</v>
      </c>
      <c r="H52" s="468">
        <f>+'Anexo 1 Matriz SINA Inf Gestión'!M39</f>
        <v>40080000</v>
      </c>
      <c r="I52" s="468">
        <f>+'Anexo 1 Matriz SINA Inf Gestión'!N39</f>
        <v>40080000</v>
      </c>
      <c r="J52" s="75">
        <f t="shared" ref="J52:J55" si="3">+H52-I52</f>
        <v>0</v>
      </c>
      <c r="K52" s="462"/>
      <c r="L52" s="462"/>
      <c r="M52" s="138"/>
      <c r="N52" s="134"/>
      <c r="O52" s="135"/>
      <c r="P52" s="130"/>
    </row>
    <row r="53" spans="1:20" s="1" customFormat="1" ht="39" customHeight="1">
      <c r="A53" s="840"/>
      <c r="B53" s="799"/>
      <c r="C53" s="547"/>
      <c r="D53" s="401" t="s">
        <v>522</v>
      </c>
      <c r="E53" s="398" t="s">
        <v>523</v>
      </c>
      <c r="F53" s="424">
        <v>2</v>
      </c>
      <c r="G53" s="679">
        <f>+'Anexo 1 Matriz SINA Inf Gestión'!E40</f>
        <v>1.8</v>
      </c>
      <c r="H53" s="468">
        <f>+'Anexo 1 Matriz SINA Inf Gestión'!M40</f>
        <v>1476355832</v>
      </c>
      <c r="I53" s="468">
        <f>+'Anexo 1 Matriz SINA Inf Gestión'!N40</f>
        <v>1450446075.632</v>
      </c>
      <c r="J53" s="75">
        <f t="shared" si="3"/>
        <v>25909756.368000031</v>
      </c>
      <c r="K53" s="462"/>
      <c r="L53" s="462"/>
      <c r="M53" s="138"/>
      <c r="N53" s="134"/>
      <c r="O53" s="135"/>
      <c r="P53" s="130"/>
    </row>
    <row r="54" spans="1:20" s="1" customFormat="1" ht="40.5" customHeight="1">
      <c r="A54" s="840"/>
      <c r="B54" s="799"/>
      <c r="C54" s="547"/>
      <c r="D54" s="405" t="s">
        <v>381</v>
      </c>
      <c r="E54" s="398" t="s">
        <v>1</v>
      </c>
      <c r="F54" s="424">
        <v>100</v>
      </c>
      <c r="G54" s="398">
        <f>+'Anexo 1 Matriz SINA Inf Gestión'!E43</f>
        <v>80</v>
      </c>
      <c r="H54" s="468">
        <f>+'Anexo 1 Matriz SINA Inf Gestión'!M41</f>
        <v>0</v>
      </c>
      <c r="I54" s="468">
        <f>+'Anexo 1 Matriz SINA Inf Gestión'!N41</f>
        <v>0</v>
      </c>
      <c r="J54" s="75">
        <f t="shared" si="3"/>
        <v>0</v>
      </c>
      <c r="K54" s="462"/>
      <c r="L54" s="462"/>
      <c r="M54" s="138"/>
      <c r="N54" s="134"/>
      <c r="O54" s="135"/>
      <c r="P54" s="130"/>
    </row>
    <row r="55" spans="1:20" s="1" customFormat="1" ht="37.5" customHeight="1">
      <c r="A55" s="840"/>
      <c r="B55" s="799"/>
      <c r="C55" s="547"/>
      <c r="D55" s="401" t="s">
        <v>387</v>
      </c>
      <c r="E55" s="398" t="s">
        <v>388</v>
      </c>
      <c r="F55" s="424">
        <v>1</v>
      </c>
      <c r="G55" s="679">
        <f>+'Anexo 1 Matriz SINA Inf Gestión'!E44</f>
        <v>0.8</v>
      </c>
      <c r="H55" s="468">
        <f>+'Anexo 1 Matriz SINA Inf Gestión'!M44</f>
        <v>40254210</v>
      </c>
      <c r="I55" s="468">
        <f>+'Anexo 1 Matriz SINA Inf Gestión'!N42</f>
        <v>0</v>
      </c>
      <c r="J55" s="75">
        <f t="shared" si="3"/>
        <v>40254210</v>
      </c>
      <c r="K55" s="462"/>
      <c r="L55" s="462"/>
      <c r="M55" s="138"/>
      <c r="N55" s="134"/>
      <c r="O55" s="135"/>
      <c r="P55" s="130"/>
    </row>
    <row r="56" spans="1:20" s="1" customFormat="1" ht="24" customHeight="1">
      <c r="A56" s="840"/>
      <c r="B56" s="799"/>
      <c r="C56" s="548"/>
      <c r="D56" s="834" t="s">
        <v>320</v>
      </c>
      <c r="E56" s="834"/>
      <c r="F56" s="834"/>
      <c r="G56" s="834"/>
      <c r="H56" s="469">
        <f>SUM(H48:H55)</f>
        <v>1671872928</v>
      </c>
      <c r="I56" s="399"/>
      <c r="J56" s="826">
        <f>+H56-I56</f>
        <v>1671872928</v>
      </c>
      <c r="K56" s="136"/>
      <c r="L56" s="462"/>
      <c r="M56" s="134"/>
      <c r="N56" s="134"/>
      <c r="O56" s="135"/>
      <c r="P56" s="130"/>
    </row>
    <row r="57" spans="1:20" s="1" customFormat="1" ht="16.5" customHeight="1">
      <c r="A57" s="840"/>
      <c r="B57" s="799"/>
      <c r="C57" s="548"/>
      <c r="D57" s="834" t="s">
        <v>321</v>
      </c>
      <c r="E57" s="834"/>
      <c r="F57" s="834"/>
      <c r="G57" s="834"/>
      <c r="H57" s="834"/>
      <c r="I57" s="469">
        <f>SUM(I48:I56)</f>
        <v>1545815786.632</v>
      </c>
      <c r="J57" s="826"/>
      <c r="K57" s="136"/>
      <c r="L57" s="462"/>
      <c r="M57" s="134"/>
      <c r="N57" s="134"/>
      <c r="O57" s="135"/>
      <c r="P57" s="130"/>
    </row>
    <row r="58" spans="1:20" s="1" customFormat="1" ht="16.5" customHeight="1">
      <c r="A58" s="840"/>
      <c r="B58" s="799"/>
      <c r="C58" s="344"/>
      <c r="D58" s="835" t="s">
        <v>322</v>
      </c>
      <c r="E58" s="831"/>
      <c r="F58" s="831"/>
      <c r="G58" s="831"/>
      <c r="H58" s="831"/>
      <c r="I58" s="445">
        <f>+'Anexo 1 Matriz SINA Inf Gestión'!O34/100</f>
        <v>0.92460124256046328</v>
      </c>
      <c r="J58" s="826"/>
      <c r="K58" s="136"/>
      <c r="L58" s="462"/>
      <c r="M58" s="134"/>
      <c r="N58" s="134"/>
      <c r="O58" s="135"/>
      <c r="P58" s="130"/>
    </row>
    <row r="59" spans="1:20" s="1" customFormat="1" ht="16.5" customHeight="1">
      <c r="A59" s="840"/>
      <c r="B59" s="799"/>
      <c r="C59" s="344"/>
      <c r="D59" s="818" t="s">
        <v>527</v>
      </c>
      <c r="E59" s="819"/>
      <c r="F59" s="819"/>
      <c r="G59" s="819"/>
      <c r="H59" s="820"/>
      <c r="I59" s="529">
        <f>+'Anexo 1 Matriz SINA Inf Gestión'!F34/100</f>
        <v>0.8168956082951272</v>
      </c>
      <c r="J59" s="826"/>
      <c r="K59" s="136"/>
      <c r="L59" s="462"/>
      <c r="M59" s="134"/>
      <c r="N59" s="134"/>
      <c r="O59" s="135"/>
      <c r="P59" s="130"/>
    </row>
    <row r="60" spans="1:20" s="1" customFormat="1" ht="33.75" customHeight="1">
      <c r="A60" s="840"/>
      <c r="B60" s="806" t="s">
        <v>307</v>
      </c>
      <c r="C60" s="551"/>
      <c r="D60" s="827" t="s">
        <v>542</v>
      </c>
      <c r="E60" s="807" t="s">
        <v>96</v>
      </c>
      <c r="F60" s="807" t="s">
        <v>309</v>
      </c>
      <c r="G60" s="807"/>
      <c r="H60" s="821" t="s">
        <v>247</v>
      </c>
      <c r="I60" s="821"/>
      <c r="J60" s="822"/>
      <c r="K60" s="462"/>
      <c r="L60" s="462"/>
      <c r="M60" s="134"/>
      <c r="N60" s="134"/>
      <c r="O60" s="135"/>
      <c r="P60" s="130"/>
    </row>
    <row r="61" spans="1:20" s="1" customFormat="1" ht="27" customHeight="1">
      <c r="A61" s="840"/>
      <c r="B61" s="806"/>
      <c r="C61" s="551"/>
      <c r="D61" s="828"/>
      <c r="E61" s="807"/>
      <c r="F61" s="466" t="s">
        <v>311</v>
      </c>
      <c r="G61" s="604" t="s">
        <v>312</v>
      </c>
      <c r="H61" s="467" t="s">
        <v>313</v>
      </c>
      <c r="I61" s="553" t="s">
        <v>314</v>
      </c>
      <c r="J61" s="554" t="s">
        <v>315</v>
      </c>
      <c r="K61" s="462"/>
      <c r="L61" s="462"/>
      <c r="M61" s="134"/>
      <c r="N61" s="134"/>
      <c r="O61" s="135"/>
      <c r="P61" s="130"/>
    </row>
    <row r="62" spans="1:20" s="1" customFormat="1" ht="34.5" customHeight="1">
      <c r="A62" s="840"/>
      <c r="B62" s="793" t="s">
        <v>540</v>
      </c>
      <c r="C62" s="546"/>
      <c r="D62" s="440" t="s">
        <v>389</v>
      </c>
      <c r="E62" s="398" t="s">
        <v>1</v>
      </c>
      <c r="F62" s="472">
        <v>100</v>
      </c>
      <c r="G62" s="618">
        <f>+'Anexo 1 Matriz SINA Inf Gestión'!E47</f>
        <v>70</v>
      </c>
      <c r="H62" s="473">
        <f>+'Anexo 1 Matriz SINA Inf Gestión'!M47</f>
        <v>0</v>
      </c>
      <c r="I62" s="473">
        <f>+'Anexo 1 Matriz SINA Inf Gestión'!N47</f>
        <v>0</v>
      </c>
      <c r="J62" s="75">
        <f t="shared" ref="J62:J65" si="4">+H62-I62</f>
        <v>0</v>
      </c>
      <c r="K62" s="462"/>
      <c r="L62" s="462"/>
      <c r="M62" s="134"/>
      <c r="N62" s="134"/>
      <c r="O62" s="135"/>
      <c r="P62" s="130"/>
    </row>
    <row r="63" spans="1:20" s="1" customFormat="1" ht="32.25" customHeight="1">
      <c r="A63" s="840"/>
      <c r="B63" s="793"/>
      <c r="C63" s="546"/>
      <c r="D63" s="437" t="s">
        <v>524</v>
      </c>
      <c r="E63" s="398" t="s">
        <v>454</v>
      </c>
      <c r="F63" s="472">
        <v>99948</v>
      </c>
      <c r="G63" s="618">
        <f>+'Anexo 1 Matriz SINA Inf Gestión'!E48</f>
        <v>68214.3</v>
      </c>
      <c r="H63" s="473">
        <f>+'Anexo 1 Matriz SINA Inf Gestión'!M48</f>
        <v>147884180</v>
      </c>
      <c r="I63" s="473">
        <f>+'Anexo 1 Matriz SINA Inf Gestión'!N48</f>
        <v>119476000</v>
      </c>
      <c r="J63" s="75">
        <f>+H63-I63</f>
        <v>28408180</v>
      </c>
      <c r="K63" s="462"/>
      <c r="L63" s="462"/>
      <c r="M63" s="134"/>
      <c r="N63" s="134"/>
      <c r="O63" s="135"/>
      <c r="P63" s="130"/>
      <c r="T63" s="563"/>
    </row>
    <row r="64" spans="1:20" s="1" customFormat="1" ht="32.25" customHeight="1">
      <c r="A64" s="840"/>
      <c r="B64" s="793"/>
      <c r="C64" s="546"/>
      <c r="D64" s="437" t="s">
        <v>525</v>
      </c>
      <c r="E64" s="398" t="s">
        <v>454</v>
      </c>
      <c r="F64" s="472">
        <v>216462</v>
      </c>
      <c r="G64" s="618">
        <f>+'Anexo 1 Matriz SINA Inf Gestión'!E49</f>
        <v>147735.315</v>
      </c>
      <c r="H64" s="473">
        <f>+'Anexo 1 Matriz SINA Inf Gestión'!M49</f>
        <v>2397459954</v>
      </c>
      <c r="I64" s="473">
        <f>+'Anexo 1 Matriz SINA Inf Gestión'!N49</f>
        <v>2130895009.0079999</v>
      </c>
      <c r="J64" s="75">
        <f>+H64-I64</f>
        <v>266564944.9920001</v>
      </c>
      <c r="K64" s="462"/>
      <c r="L64" s="462"/>
      <c r="M64" s="134"/>
      <c r="N64" s="134"/>
      <c r="O64" s="135"/>
      <c r="P64" s="130"/>
      <c r="R64" s="462"/>
    </row>
    <row r="65" spans="1:20" s="1" customFormat="1" ht="32.25" customHeight="1">
      <c r="A65" s="840"/>
      <c r="B65" s="793"/>
      <c r="C65" s="546"/>
      <c r="D65" s="440" t="s">
        <v>390</v>
      </c>
      <c r="E65" s="398" t="s">
        <v>1</v>
      </c>
      <c r="F65" s="472">
        <v>25</v>
      </c>
      <c r="G65" s="618">
        <f>+'Anexo 1 Matriz SINA Inf Gestión'!E50</f>
        <v>17</v>
      </c>
      <c r="H65" s="473">
        <f>+'Anexo 1 Matriz SINA Inf Gestión'!M50</f>
        <v>0</v>
      </c>
      <c r="I65" s="473">
        <f>+'Anexo 1 Matriz SINA Inf Gestión'!N50</f>
        <v>0</v>
      </c>
      <c r="J65" s="75">
        <f t="shared" si="4"/>
        <v>0</v>
      </c>
      <c r="K65" s="462"/>
      <c r="L65" s="462"/>
      <c r="M65" s="134"/>
      <c r="N65" s="134"/>
      <c r="O65" s="135"/>
      <c r="P65" s="130"/>
      <c r="Q65" s="574">
        <v>64</v>
      </c>
      <c r="R65" s="1">
        <v>15.636704119850187</v>
      </c>
      <c r="T65" s="563"/>
    </row>
    <row r="66" spans="1:20" s="1" customFormat="1" ht="36" customHeight="1">
      <c r="A66" s="840"/>
      <c r="B66" s="793"/>
      <c r="C66" s="546"/>
      <c r="D66" s="437" t="s">
        <v>392</v>
      </c>
      <c r="E66" s="398" t="s">
        <v>188</v>
      </c>
      <c r="F66" s="472">
        <v>267</v>
      </c>
      <c r="G66" s="618">
        <f>+'Anexo 1 Matriz SINA Inf Gestión'!E51</f>
        <v>180</v>
      </c>
      <c r="H66" s="473">
        <f>+'Anexo 1 Matriz SINA Inf Gestión'!M51</f>
        <v>155717807</v>
      </c>
      <c r="I66" s="473">
        <f>+'Anexo 1 Matriz SINA Inf Gestión'!N51</f>
        <v>60033755</v>
      </c>
      <c r="J66" s="75">
        <f>+H66-I66</f>
        <v>95684052</v>
      </c>
      <c r="K66" s="462"/>
      <c r="L66" s="462"/>
      <c r="M66" s="134"/>
      <c r="N66" s="134"/>
      <c r="O66" s="135"/>
      <c r="P66" s="387"/>
      <c r="Q66" s="574">
        <v>62.546816479400746</v>
      </c>
      <c r="R66" s="1">
        <v>18.25</v>
      </c>
    </row>
    <row r="67" spans="1:20" s="1" customFormat="1" ht="36" customHeight="1">
      <c r="A67" s="840"/>
      <c r="B67" s="793"/>
      <c r="C67" s="546"/>
      <c r="D67" s="440" t="s">
        <v>391</v>
      </c>
      <c r="E67" s="398" t="s">
        <v>180</v>
      </c>
      <c r="F67" s="472">
        <v>100</v>
      </c>
      <c r="G67" s="618">
        <f>+'Anexo 1 Matriz SINA Inf Gestión'!E52</f>
        <v>80</v>
      </c>
      <c r="H67" s="473">
        <f>+'Anexo 1 Matriz SINA Inf Gestión'!M52</f>
        <v>0</v>
      </c>
      <c r="I67" s="473">
        <f>+'Anexo 1 Matriz SINA Inf Gestión'!N52</f>
        <v>0</v>
      </c>
      <c r="J67" s="75">
        <f>+H67-I67</f>
        <v>0</v>
      </c>
      <c r="K67" s="462"/>
      <c r="L67" s="462"/>
      <c r="M67" s="134"/>
      <c r="N67" s="134"/>
      <c r="O67" s="135"/>
      <c r="P67" s="130"/>
      <c r="Q67" s="1">
        <v>75</v>
      </c>
    </row>
    <row r="68" spans="1:20" s="1" customFormat="1" ht="36" customHeight="1">
      <c r="A68" s="840"/>
      <c r="B68" s="793"/>
      <c r="C68" s="546"/>
      <c r="D68" s="437" t="s">
        <v>456</v>
      </c>
      <c r="E68" s="398" t="s">
        <v>388</v>
      </c>
      <c r="F68" s="472">
        <v>4</v>
      </c>
      <c r="G68" s="618">
        <f>+'Anexo 1 Matriz SINA Inf Gestión'!E53</f>
        <v>3.2</v>
      </c>
      <c r="H68" s="473">
        <f>+'Anexo 1 Matriz SINA Inf Gestión'!M53</f>
        <v>137233680</v>
      </c>
      <c r="I68" s="473">
        <f>+'Anexo 1 Matriz SINA Inf Gestión'!N53</f>
        <v>114938856</v>
      </c>
      <c r="J68" s="75">
        <f>+H68-I68</f>
        <v>22294824</v>
      </c>
      <c r="K68" s="462"/>
      <c r="L68" s="462"/>
      <c r="M68" s="134"/>
      <c r="N68" s="134"/>
      <c r="O68" s="135"/>
      <c r="P68" s="130"/>
      <c r="Q68" s="1">
        <v>75</v>
      </c>
    </row>
    <row r="69" spans="1:20" s="1" customFormat="1" ht="36" customHeight="1">
      <c r="A69" s="840"/>
      <c r="B69" s="793"/>
      <c r="C69" s="548"/>
      <c r="D69" s="474" t="s">
        <v>515</v>
      </c>
      <c r="E69" s="398" t="s">
        <v>516</v>
      </c>
      <c r="F69" s="472" t="s">
        <v>519</v>
      </c>
      <c r="G69" s="616" t="s">
        <v>519</v>
      </c>
      <c r="H69" s="473">
        <f>+'Anexo 1 Matriz SINA Inf Gestión'!M54</f>
        <v>85914383</v>
      </c>
      <c r="I69" s="473">
        <f>+'Anexo 1 Matriz SINA Inf Gestión'!N54</f>
        <v>60023172</v>
      </c>
      <c r="J69" s="75">
        <f>+H69-I69</f>
        <v>25891211</v>
      </c>
      <c r="K69" s="462"/>
      <c r="L69" s="462"/>
      <c r="M69" s="134"/>
      <c r="N69" s="134"/>
      <c r="O69" s="135"/>
      <c r="P69" s="130"/>
    </row>
    <row r="70" spans="1:20" s="1" customFormat="1" ht="20.25" customHeight="1">
      <c r="A70" s="840"/>
      <c r="B70" s="793"/>
      <c r="C70" s="548"/>
      <c r="D70" s="834" t="s">
        <v>320</v>
      </c>
      <c r="E70" s="834"/>
      <c r="F70" s="834"/>
      <c r="G70" s="834"/>
      <c r="H70" s="469">
        <f>SUM(H62:H69)</f>
        <v>2924210004</v>
      </c>
      <c r="I70" s="475"/>
      <c r="J70" s="826">
        <f>+H70-I71</f>
        <v>438843211.9920001</v>
      </c>
      <c r="K70" s="462"/>
      <c r="L70" s="462"/>
      <c r="M70" s="134"/>
      <c r="N70" s="134"/>
      <c r="O70" s="135"/>
      <c r="P70" s="130"/>
    </row>
    <row r="71" spans="1:20" s="1" customFormat="1" ht="20.25" customHeight="1">
      <c r="A71" s="840"/>
      <c r="B71" s="799"/>
      <c r="C71" s="548"/>
      <c r="D71" s="834" t="s">
        <v>321</v>
      </c>
      <c r="E71" s="834"/>
      <c r="F71" s="834"/>
      <c r="G71" s="834"/>
      <c r="H71" s="834"/>
      <c r="I71" s="476">
        <f>SUM(I62:I70)</f>
        <v>2485366792.0079999</v>
      </c>
      <c r="J71" s="826"/>
      <c r="K71" s="462"/>
      <c r="L71" s="462"/>
      <c r="M71" s="134"/>
      <c r="N71" s="134"/>
      <c r="O71" s="135"/>
      <c r="P71" s="130"/>
    </row>
    <row r="72" spans="1:20" s="1" customFormat="1" ht="20.25" customHeight="1">
      <c r="A72" s="840"/>
      <c r="B72" s="808"/>
      <c r="C72" s="344"/>
      <c r="D72" s="835" t="s">
        <v>322</v>
      </c>
      <c r="E72" s="835"/>
      <c r="F72" s="835"/>
      <c r="G72" s="835"/>
      <c r="H72" s="835"/>
      <c r="I72" s="445">
        <f>+'Anexo 1 Matriz SINA Inf Gestión'!O46/100</f>
        <v>0.84992760048296445</v>
      </c>
      <c r="J72" s="826"/>
      <c r="K72" s="462"/>
      <c r="L72" s="462"/>
      <c r="M72" s="134"/>
      <c r="N72" s="134"/>
      <c r="O72" s="135"/>
      <c r="P72" s="130"/>
    </row>
    <row r="73" spans="1:20" s="1" customFormat="1" ht="20.25" customHeight="1">
      <c r="A73" s="840"/>
      <c r="B73" s="808"/>
      <c r="C73" s="344"/>
      <c r="D73" s="818" t="s">
        <v>527</v>
      </c>
      <c r="E73" s="819"/>
      <c r="F73" s="819"/>
      <c r="G73" s="819"/>
      <c r="H73" s="820"/>
      <c r="I73" s="696">
        <f>+'Anexo 1 Matriz SINA Inf Gestión'!F46/100</f>
        <v>0.71702217175403116</v>
      </c>
      <c r="J73" s="826"/>
      <c r="K73" s="462"/>
      <c r="L73" s="462"/>
      <c r="M73" s="134"/>
      <c r="N73" s="134"/>
      <c r="O73" s="135"/>
      <c r="P73" s="130"/>
    </row>
    <row r="74" spans="1:20" s="1" customFormat="1" ht="16.5" customHeight="1">
      <c r="A74" s="836" t="s">
        <v>306</v>
      </c>
      <c r="B74" s="806" t="s">
        <v>307</v>
      </c>
      <c r="C74" s="551"/>
      <c r="D74" s="827" t="s">
        <v>542</v>
      </c>
      <c r="E74" s="807" t="s">
        <v>96</v>
      </c>
      <c r="F74" s="807" t="s">
        <v>309</v>
      </c>
      <c r="G74" s="807"/>
      <c r="H74" s="821" t="s">
        <v>310</v>
      </c>
      <c r="I74" s="821"/>
      <c r="J74" s="822"/>
      <c r="K74" s="462"/>
      <c r="L74" s="462"/>
      <c r="M74" s="134"/>
      <c r="N74" s="134"/>
      <c r="O74" s="135"/>
      <c r="P74" s="130"/>
    </row>
    <row r="75" spans="1:20" s="1" customFormat="1" ht="44.25" customHeight="1">
      <c r="A75" s="836"/>
      <c r="B75" s="806"/>
      <c r="C75" s="561"/>
      <c r="D75" s="828"/>
      <c r="E75" s="807"/>
      <c r="F75" s="466" t="s">
        <v>311</v>
      </c>
      <c r="G75" s="604" t="s">
        <v>312</v>
      </c>
      <c r="H75" s="467" t="s">
        <v>313</v>
      </c>
      <c r="I75" s="553" t="s">
        <v>314</v>
      </c>
      <c r="J75" s="554" t="s">
        <v>315</v>
      </c>
      <c r="K75" s="462"/>
      <c r="L75" s="462"/>
      <c r="M75" s="134"/>
      <c r="N75" s="134"/>
      <c r="O75" s="135"/>
      <c r="P75" s="130"/>
    </row>
    <row r="76" spans="1:20" s="1" customFormat="1" ht="68.25" customHeight="1">
      <c r="A76" s="853" t="s">
        <v>471</v>
      </c>
      <c r="B76" s="793" t="s">
        <v>477</v>
      </c>
      <c r="C76" s="546"/>
      <c r="D76" s="441" t="s">
        <v>395</v>
      </c>
      <c r="E76" s="406" t="s">
        <v>1</v>
      </c>
      <c r="F76" s="398">
        <v>25</v>
      </c>
      <c r="G76" s="398">
        <f>+'Anexo 1 Matriz SINA Inf Gestión'!E57</f>
        <v>24</v>
      </c>
      <c r="H76" s="446">
        <f>+'Anexo 1 Matriz SINA Inf Gestión'!M57</f>
        <v>349607558.80000001</v>
      </c>
      <c r="I76" s="446">
        <f>+'Anexo 1 Matriz SINA Inf Gestión'!N57</f>
        <v>346589043</v>
      </c>
      <c r="J76" s="75">
        <f>+H76-I76</f>
        <v>3018515.8000000119</v>
      </c>
      <c r="K76" s="462"/>
      <c r="L76" s="462"/>
      <c r="M76" s="134">
        <v>175228</v>
      </c>
      <c r="N76" s="134">
        <v>45086</v>
      </c>
      <c r="O76" s="135">
        <v>334406</v>
      </c>
      <c r="P76" s="130"/>
    </row>
    <row r="77" spans="1:20" s="1" customFormat="1" ht="57" customHeight="1">
      <c r="A77" s="853"/>
      <c r="B77" s="793"/>
      <c r="C77" s="546"/>
      <c r="D77" s="440" t="s">
        <v>396</v>
      </c>
      <c r="E77" s="406" t="s">
        <v>1</v>
      </c>
      <c r="F77" s="398">
        <v>27</v>
      </c>
      <c r="G77" s="398">
        <f>+'Anexo 1 Matriz SINA Inf Gestión'!E58</f>
        <v>27</v>
      </c>
      <c r="H77" s="446">
        <f>+'Anexo 1 Matriz SINA Inf Gestión'!M58</f>
        <v>0</v>
      </c>
      <c r="I77" s="446">
        <f>+'Anexo 1 Matriz SINA Inf Gestión'!N58</f>
        <v>0</v>
      </c>
      <c r="J77" s="75">
        <f>+H77-I77</f>
        <v>0</v>
      </c>
      <c r="K77" s="462"/>
      <c r="L77" s="462"/>
      <c r="M77" s="134"/>
      <c r="N77" s="134"/>
      <c r="O77" s="135"/>
      <c r="P77" s="130"/>
      <c r="Q77" s="1">
        <v>0</v>
      </c>
      <c r="R77" s="1">
        <v>17.82</v>
      </c>
    </row>
    <row r="78" spans="1:20" s="1" customFormat="1" ht="73.5" customHeight="1">
      <c r="A78" s="853"/>
      <c r="B78" s="793"/>
      <c r="C78" s="546"/>
      <c r="D78" s="477" t="s">
        <v>397</v>
      </c>
      <c r="E78" s="406" t="s">
        <v>490</v>
      </c>
      <c r="F78" s="398">
        <v>3</v>
      </c>
      <c r="G78" s="398">
        <f>+'Anexo 1 Matriz SINA Inf Gestión'!E59</f>
        <v>3</v>
      </c>
      <c r="H78" s="446">
        <f>+'Anexo 1 Matriz SINA Inf Gestión'!M59</f>
        <v>287247164</v>
      </c>
      <c r="I78" s="446">
        <f>+'Anexo 1 Matriz SINA Inf Gestión'!N59</f>
        <v>191524917.44800001</v>
      </c>
      <c r="J78" s="75">
        <f>+H78-I78</f>
        <v>95722246.551999986</v>
      </c>
      <c r="K78" s="462"/>
      <c r="L78" s="462"/>
      <c r="M78" s="134"/>
      <c r="N78" s="134"/>
      <c r="O78" s="135"/>
      <c r="P78" s="130"/>
      <c r="Q78" s="1">
        <v>25</v>
      </c>
      <c r="R78" s="1">
        <v>6.75</v>
      </c>
    </row>
    <row r="79" spans="1:20" s="1" customFormat="1" ht="33.75" customHeight="1">
      <c r="A79" s="853"/>
      <c r="B79" s="793"/>
      <c r="C79" s="546"/>
      <c r="D79" s="478" t="s">
        <v>520</v>
      </c>
      <c r="E79" s="406" t="s">
        <v>398</v>
      </c>
      <c r="F79" s="398">
        <v>1</v>
      </c>
      <c r="G79" s="398">
        <f>+'Anexo 1 Matriz SINA Inf Gestión'!E60</f>
        <v>1</v>
      </c>
      <c r="H79" s="446">
        <f>+'Anexo 1 Matriz SINA Inf Gestión'!M60</f>
        <v>43241900.487999998</v>
      </c>
      <c r="I79" s="446">
        <f>+'Anexo 1 Matriz SINA Inf Gestión'!N60</f>
        <v>43241900</v>
      </c>
      <c r="J79" s="75">
        <f>+H79-I79</f>
        <v>0.48799999803304672</v>
      </c>
      <c r="K79" s="462"/>
      <c r="L79" s="462"/>
      <c r="M79" s="134"/>
      <c r="N79" s="134"/>
      <c r="O79" s="135"/>
      <c r="P79" s="130"/>
    </row>
    <row r="80" spans="1:20" s="1" customFormat="1" ht="33.75" customHeight="1">
      <c r="A80" s="853"/>
      <c r="B80" s="793"/>
      <c r="C80" s="546"/>
      <c r="D80" s="478" t="s">
        <v>399</v>
      </c>
      <c r="E80" s="406" t="s">
        <v>400</v>
      </c>
      <c r="F80" s="398">
        <v>2</v>
      </c>
      <c r="G80" s="398">
        <f>+'Anexo 1 Matriz SINA Inf Gestión'!E61</f>
        <v>2</v>
      </c>
      <c r="H80" s="446">
        <f>+'Anexo 1 Matriz SINA Inf Gestión'!M61</f>
        <v>0</v>
      </c>
      <c r="I80" s="446">
        <f>+'Anexo 1 Matriz SINA Inf Gestión'!N61</f>
        <v>0</v>
      </c>
      <c r="J80" s="75">
        <f t="shared" ref="J80" si="5">+H80-I80</f>
        <v>0</v>
      </c>
      <c r="K80" s="462"/>
      <c r="L80" s="462"/>
      <c r="M80" s="134"/>
      <c r="N80" s="134"/>
      <c r="O80" s="135"/>
      <c r="P80" s="130"/>
    </row>
    <row r="81" spans="1:18" s="1" customFormat="1" ht="69.75" customHeight="1">
      <c r="A81" s="853"/>
      <c r="B81" s="793"/>
      <c r="C81" s="546"/>
      <c r="D81" s="474" t="s">
        <v>401</v>
      </c>
      <c r="E81" s="406" t="s">
        <v>400</v>
      </c>
      <c r="F81" s="398">
        <v>2</v>
      </c>
      <c r="G81" s="398">
        <f>+'Anexo 1 Matriz SINA Inf Gestión'!E62</f>
        <v>2</v>
      </c>
      <c r="H81" s="446">
        <f>+'Anexo 1 Matriz SINA Inf Gestión'!M62</f>
        <v>2104913572</v>
      </c>
      <c r="I81" s="446">
        <f>+'Anexo 1 Matriz SINA Inf Gestión'!N62</f>
        <v>924588085.04399991</v>
      </c>
      <c r="J81" s="75">
        <f>+H81-I81</f>
        <v>1180325486.9560001</v>
      </c>
      <c r="K81" s="462"/>
      <c r="L81" s="462"/>
      <c r="M81" s="134"/>
      <c r="N81" s="134"/>
      <c r="O81" s="135"/>
      <c r="P81" s="130"/>
    </row>
    <row r="82" spans="1:18" s="1" customFormat="1" ht="33.75" customHeight="1">
      <c r="A82" s="853"/>
      <c r="B82" s="793"/>
      <c r="C82" s="548"/>
      <c r="D82" s="474" t="s">
        <v>515</v>
      </c>
      <c r="E82" s="406" t="s">
        <v>516</v>
      </c>
      <c r="F82" s="472" t="s">
        <v>519</v>
      </c>
      <c r="G82" s="616" t="s">
        <v>519</v>
      </c>
      <c r="H82" s="446">
        <f>+'Anexo 1 Matriz SINA Inf Gestión'!M63</f>
        <v>57991564</v>
      </c>
      <c r="I82" s="446">
        <f>+'Anexo 1 Matriz SINA Inf Gestión'!N63</f>
        <v>44781054</v>
      </c>
      <c r="J82" s="75">
        <f>+H82-I82</f>
        <v>13210510</v>
      </c>
      <c r="K82" s="462"/>
      <c r="L82" s="462"/>
      <c r="M82" s="134"/>
      <c r="N82" s="134"/>
      <c r="O82" s="135"/>
      <c r="P82" s="130"/>
    </row>
    <row r="83" spans="1:18" s="1" customFormat="1" ht="15">
      <c r="A83" s="853"/>
      <c r="B83" s="832"/>
      <c r="C83" s="479"/>
      <c r="D83" s="833" t="s">
        <v>320</v>
      </c>
      <c r="E83" s="834"/>
      <c r="F83" s="834"/>
      <c r="G83" s="834"/>
      <c r="H83" s="469">
        <f>SUM(H76:H82)</f>
        <v>2843001759.2880001</v>
      </c>
      <c r="I83" s="399"/>
      <c r="J83" s="826">
        <f>+H83-I84</f>
        <v>1292276759.7960002</v>
      </c>
      <c r="K83" s="139"/>
      <c r="L83" s="462"/>
      <c r="M83" s="134">
        <v>630821</v>
      </c>
      <c r="N83" s="134"/>
      <c r="O83" s="135"/>
      <c r="P83" s="130"/>
    </row>
    <row r="84" spans="1:18" s="1" customFormat="1" ht="15">
      <c r="A84" s="853"/>
      <c r="B84" s="832"/>
      <c r="C84" s="556"/>
      <c r="D84" s="834" t="s">
        <v>321</v>
      </c>
      <c r="E84" s="834"/>
      <c r="F84" s="834"/>
      <c r="G84" s="834"/>
      <c r="H84" s="834"/>
      <c r="I84" s="469">
        <f>SUM(I76:I83)</f>
        <v>1550724999.4919999</v>
      </c>
      <c r="J84" s="826"/>
      <c r="K84" s="136"/>
      <c r="L84" s="462"/>
      <c r="M84" s="134">
        <v>4107244</v>
      </c>
      <c r="N84" s="134"/>
      <c r="O84" s="135"/>
      <c r="P84" s="130"/>
    </row>
    <row r="85" spans="1:18" s="1" customFormat="1" ht="15">
      <c r="A85" s="853"/>
      <c r="B85" s="852"/>
      <c r="C85" s="557"/>
      <c r="D85" s="835" t="s">
        <v>322</v>
      </c>
      <c r="E85" s="835"/>
      <c r="F85" s="835"/>
      <c r="G85" s="835"/>
      <c r="H85" s="835"/>
      <c r="I85" s="686">
        <f>+'Anexo 1 Matriz SINA Inf Gestión'!O56/100</f>
        <v>0.54545340833006117</v>
      </c>
      <c r="J85" s="826"/>
      <c r="K85" s="136"/>
      <c r="L85" s="462"/>
      <c r="M85" s="134"/>
      <c r="N85" s="134"/>
      <c r="O85" s="135"/>
      <c r="P85" s="130"/>
    </row>
    <row r="86" spans="1:18" s="1" customFormat="1" ht="15">
      <c r="A86" s="853"/>
      <c r="B86" s="852"/>
      <c r="C86" s="557"/>
      <c r="D86" s="818" t="s">
        <v>527</v>
      </c>
      <c r="E86" s="819"/>
      <c r="F86" s="819"/>
      <c r="G86" s="819"/>
      <c r="H86" s="820"/>
      <c r="I86" s="529">
        <f>+'Anexo 1 Matriz SINA Inf Gestión'!F56/100</f>
        <v>0.99333333333333329</v>
      </c>
      <c r="J86" s="826"/>
      <c r="K86" s="136"/>
      <c r="L86" s="462"/>
      <c r="M86" s="134"/>
      <c r="N86" s="134"/>
      <c r="O86" s="135"/>
      <c r="P86" s="130"/>
    </row>
    <row r="87" spans="1:18" s="1" customFormat="1" ht="23.25" customHeight="1">
      <c r="A87" s="853"/>
      <c r="B87" s="806" t="s">
        <v>307</v>
      </c>
      <c r="C87" s="551"/>
      <c r="D87" s="827" t="s">
        <v>542</v>
      </c>
      <c r="E87" s="807" t="s">
        <v>96</v>
      </c>
      <c r="F87" s="807" t="s">
        <v>309</v>
      </c>
      <c r="G87" s="807"/>
      <c r="H87" s="821" t="s">
        <v>310</v>
      </c>
      <c r="I87" s="821"/>
      <c r="J87" s="822"/>
      <c r="K87" s="462"/>
      <c r="L87" s="462"/>
      <c r="M87" s="140"/>
      <c r="N87" s="137"/>
      <c r="O87" s="141"/>
      <c r="P87" s="130"/>
    </row>
    <row r="88" spans="1:18" s="1" customFormat="1" ht="33.75" customHeight="1">
      <c r="A88" s="853"/>
      <c r="B88" s="806"/>
      <c r="C88" s="561"/>
      <c r="D88" s="828"/>
      <c r="E88" s="807"/>
      <c r="F88" s="466" t="s">
        <v>311</v>
      </c>
      <c r="G88" s="604" t="s">
        <v>312</v>
      </c>
      <c r="H88" s="467" t="s">
        <v>313</v>
      </c>
      <c r="I88" s="553" t="s">
        <v>314</v>
      </c>
      <c r="J88" s="554" t="s">
        <v>315</v>
      </c>
      <c r="K88" s="462"/>
      <c r="L88" s="462"/>
      <c r="M88" s="140"/>
      <c r="N88" s="137"/>
      <c r="O88" s="141"/>
      <c r="P88" s="130"/>
    </row>
    <row r="89" spans="1:18" s="1" customFormat="1" ht="50.25" customHeight="1">
      <c r="A89" s="853"/>
      <c r="B89" s="799" t="s">
        <v>541</v>
      </c>
      <c r="C89" s="548"/>
      <c r="D89" s="441" t="s">
        <v>402</v>
      </c>
      <c r="E89" s="406" t="s">
        <v>1</v>
      </c>
      <c r="F89" s="398">
        <v>20</v>
      </c>
      <c r="G89" s="398">
        <f>+'Anexo 1 Matriz SINA Inf Gestión'!E65</f>
        <v>20</v>
      </c>
      <c r="H89" s="446">
        <f>+'Anexo 1 Matriz SINA Inf Gestión'!M65</f>
        <v>0</v>
      </c>
      <c r="I89" s="446">
        <f>+'Anexo 1 Matriz SINA Inf Gestión'!N65</f>
        <v>0</v>
      </c>
      <c r="J89" s="75">
        <f>+H89-I89</f>
        <v>0</v>
      </c>
      <c r="K89" s="462"/>
      <c r="L89" s="462"/>
      <c r="M89" s="140"/>
      <c r="N89" s="137"/>
      <c r="O89" s="141"/>
      <c r="P89" s="130"/>
      <c r="Q89" s="1">
        <v>0</v>
      </c>
    </row>
    <row r="90" spans="1:18" s="1" customFormat="1" ht="44.25" customHeight="1">
      <c r="A90" s="853"/>
      <c r="B90" s="799"/>
      <c r="C90" s="548"/>
      <c r="D90" s="480" t="s">
        <v>404</v>
      </c>
      <c r="E90" s="406" t="s">
        <v>131</v>
      </c>
      <c r="F90" s="398">
        <v>2</v>
      </c>
      <c r="G90" s="398">
        <f>+'Anexo 1 Matriz SINA Inf Gestión'!E66</f>
        <v>2</v>
      </c>
      <c r="H90" s="446">
        <f>+'Anexo 1 Matriz SINA Inf Gestión'!M66</f>
        <v>150000000</v>
      </c>
      <c r="I90" s="446">
        <f>+'Anexo 1 Matriz SINA Inf Gestión'!N66</f>
        <v>99999304</v>
      </c>
      <c r="J90" s="75">
        <f t="shared" ref="J90:J91" si="6">+H90-I90</f>
        <v>50000696</v>
      </c>
      <c r="K90" s="462"/>
      <c r="L90" s="462"/>
      <c r="M90" s="140"/>
      <c r="N90" s="137"/>
      <c r="O90" s="141"/>
      <c r="P90" s="387"/>
      <c r="Q90" s="1">
        <v>50</v>
      </c>
      <c r="R90" s="1">
        <v>10</v>
      </c>
    </row>
    <row r="91" spans="1:18" s="1" customFormat="1" ht="61.5" customHeight="1">
      <c r="A91" s="853"/>
      <c r="B91" s="799"/>
      <c r="C91" s="548"/>
      <c r="D91" s="481" t="s">
        <v>406</v>
      </c>
      <c r="E91" s="406" t="s">
        <v>131</v>
      </c>
      <c r="F91" s="398">
        <v>1</v>
      </c>
      <c r="G91" s="398">
        <f>+'Anexo 1 Matriz SINA Inf Gestión'!E68</f>
        <v>1</v>
      </c>
      <c r="H91" s="446">
        <f>+'Anexo 1 Matriz SINA Inf Gestión'!M68</f>
        <v>400000000</v>
      </c>
      <c r="I91" s="446">
        <f>+'Anexo 1 Matriz SINA Inf Gestión'!N68</f>
        <v>294936756</v>
      </c>
      <c r="J91" s="75">
        <f t="shared" si="6"/>
        <v>105063244</v>
      </c>
      <c r="K91" s="462"/>
      <c r="L91" s="462"/>
      <c r="M91" s="140"/>
      <c r="N91" s="137"/>
      <c r="O91" s="141"/>
      <c r="P91" s="130"/>
    </row>
    <row r="92" spans="1:18" s="1" customFormat="1" ht="15">
      <c r="A92" s="853"/>
      <c r="B92" s="832"/>
      <c r="C92" s="556"/>
      <c r="D92" s="833" t="s">
        <v>320</v>
      </c>
      <c r="E92" s="834"/>
      <c r="F92" s="834"/>
      <c r="G92" s="834"/>
      <c r="H92" s="469">
        <f>SUM(H89:H91)</f>
        <v>550000000</v>
      </c>
      <c r="I92" s="603"/>
      <c r="J92" s="826">
        <f>+H92-I93</f>
        <v>155063940</v>
      </c>
      <c r="K92" s="462"/>
      <c r="L92" s="462"/>
      <c r="M92" s="140"/>
      <c r="N92" s="137"/>
      <c r="O92" s="141"/>
      <c r="P92" s="130"/>
    </row>
    <row r="93" spans="1:18" s="1" customFormat="1" ht="15">
      <c r="A93" s="853"/>
      <c r="B93" s="832"/>
      <c r="C93" s="556"/>
      <c r="D93" s="834" t="s">
        <v>321</v>
      </c>
      <c r="E93" s="834"/>
      <c r="F93" s="834"/>
      <c r="G93" s="834"/>
      <c r="H93" s="834"/>
      <c r="I93" s="469">
        <f>SUM(I89:I92)</f>
        <v>394936060</v>
      </c>
      <c r="J93" s="826"/>
      <c r="K93" s="462"/>
      <c r="L93" s="462"/>
      <c r="M93" s="140"/>
      <c r="N93" s="137"/>
      <c r="O93" s="141"/>
      <c r="P93" s="130"/>
    </row>
    <row r="94" spans="1:18" s="1" customFormat="1" ht="15">
      <c r="A94" s="853"/>
      <c r="B94" s="832"/>
      <c r="C94" s="556"/>
      <c r="D94" s="835" t="s">
        <v>322</v>
      </c>
      <c r="E94" s="835"/>
      <c r="F94" s="835"/>
      <c r="G94" s="835"/>
      <c r="H94" s="835"/>
      <c r="I94" s="571">
        <f>+'Anexo 1 Matriz SINA Inf Gestión'!O64/100</f>
        <v>0.71806556363636365</v>
      </c>
      <c r="J94" s="826"/>
      <c r="K94" s="462"/>
      <c r="L94" s="462"/>
      <c r="M94" s="140"/>
      <c r="N94" s="137"/>
      <c r="O94" s="141"/>
      <c r="P94" s="130"/>
    </row>
    <row r="95" spans="1:18" s="1" customFormat="1" ht="15">
      <c r="A95" s="853"/>
      <c r="B95" s="832"/>
      <c r="C95" s="556"/>
      <c r="D95" s="818" t="s">
        <v>527</v>
      </c>
      <c r="E95" s="819"/>
      <c r="F95" s="819"/>
      <c r="G95" s="819"/>
      <c r="H95" s="820"/>
      <c r="I95" s="529">
        <f>+'Anexo 1 Matriz SINA Inf Gestión'!F64/100</f>
        <v>1</v>
      </c>
      <c r="J95" s="826"/>
      <c r="K95" s="462"/>
      <c r="L95" s="462"/>
      <c r="M95" s="140"/>
      <c r="N95" s="137"/>
      <c r="O95" s="141"/>
      <c r="P95" s="130"/>
    </row>
    <row r="96" spans="1:18" s="1" customFormat="1" ht="19.5" customHeight="1">
      <c r="A96" s="836" t="s">
        <v>306</v>
      </c>
      <c r="B96" s="806" t="s">
        <v>307</v>
      </c>
      <c r="C96" s="551"/>
      <c r="D96" s="827" t="s">
        <v>542</v>
      </c>
      <c r="E96" s="807" t="s">
        <v>96</v>
      </c>
      <c r="F96" s="807" t="s">
        <v>309</v>
      </c>
      <c r="G96" s="807"/>
      <c r="H96" s="821" t="s">
        <v>310</v>
      </c>
      <c r="I96" s="821"/>
      <c r="J96" s="822"/>
      <c r="K96" s="462"/>
      <c r="L96" s="462"/>
      <c r="M96" s="134"/>
      <c r="N96" s="134"/>
      <c r="O96" s="135"/>
      <c r="P96" s="130"/>
    </row>
    <row r="97" spans="1:16" s="1" customFormat="1" ht="28.5" customHeight="1">
      <c r="A97" s="836"/>
      <c r="B97" s="806"/>
      <c r="C97" s="561"/>
      <c r="D97" s="828"/>
      <c r="E97" s="807"/>
      <c r="F97" s="466" t="s">
        <v>311</v>
      </c>
      <c r="G97" s="604" t="s">
        <v>312</v>
      </c>
      <c r="H97" s="482" t="s">
        <v>313</v>
      </c>
      <c r="I97" s="466" t="s">
        <v>314</v>
      </c>
      <c r="J97" s="483" t="s">
        <v>315</v>
      </c>
      <c r="K97" s="462"/>
      <c r="L97" s="462"/>
      <c r="M97" s="134"/>
      <c r="N97" s="134"/>
      <c r="O97" s="135"/>
      <c r="P97" s="130"/>
    </row>
    <row r="98" spans="1:16" s="1" customFormat="1" ht="68.25" customHeight="1">
      <c r="A98" s="858" t="s">
        <v>472</v>
      </c>
      <c r="B98" s="808" t="s">
        <v>473</v>
      </c>
      <c r="C98" s="546"/>
      <c r="D98" s="441" t="s">
        <v>409</v>
      </c>
      <c r="E98" s="406" t="s">
        <v>180</v>
      </c>
      <c r="F98" s="398">
        <v>100</v>
      </c>
      <c r="G98" s="398">
        <f>+'Anexo 1 Matriz SINA Inf Gestión'!E71</f>
        <v>75</v>
      </c>
      <c r="H98" s="446">
        <f>+'Anexo 1 Matriz SINA Inf Gestión'!M71</f>
        <v>0</v>
      </c>
      <c r="I98" s="446">
        <f>+'Anexo 1 Matriz SINA Inf Gestión'!N71</f>
        <v>0</v>
      </c>
      <c r="J98" s="75">
        <f t="shared" ref="J98:J113" si="7">+H98-I98</f>
        <v>0</v>
      </c>
      <c r="K98" s="462"/>
      <c r="L98" s="462"/>
      <c r="M98" s="142">
        <v>951912</v>
      </c>
      <c r="N98" s="134">
        <v>69813</v>
      </c>
      <c r="O98" s="135">
        <v>412670</v>
      </c>
      <c r="P98" s="387"/>
    </row>
    <row r="99" spans="1:16" s="1" customFormat="1" ht="60.75" customHeight="1">
      <c r="A99" s="840"/>
      <c r="B99" s="809"/>
      <c r="C99" s="546"/>
      <c r="D99" s="440" t="s">
        <v>410</v>
      </c>
      <c r="E99" s="406" t="s">
        <v>180</v>
      </c>
      <c r="F99" s="398">
        <v>100</v>
      </c>
      <c r="G99" s="398">
        <f>+'Anexo 1 Matriz SINA Inf Gestión'!E72</f>
        <v>75</v>
      </c>
      <c r="H99" s="446">
        <f>+'Anexo 1 Matriz SINA Inf Gestión'!M72</f>
        <v>0</v>
      </c>
      <c r="I99" s="446">
        <f>+'Anexo 1 Matriz SINA Inf Gestión'!N72</f>
        <v>0</v>
      </c>
      <c r="J99" s="75">
        <f t="shared" si="7"/>
        <v>0</v>
      </c>
      <c r="K99" s="462"/>
      <c r="L99" s="462"/>
      <c r="M99" s="142"/>
      <c r="N99" s="134"/>
      <c r="O99" s="135"/>
      <c r="P99" s="130"/>
    </row>
    <row r="100" spans="1:16" s="1" customFormat="1" ht="48" customHeight="1">
      <c r="A100" s="840"/>
      <c r="B100" s="809"/>
      <c r="C100" s="546"/>
      <c r="D100" s="440" t="s">
        <v>411</v>
      </c>
      <c r="E100" s="406" t="s">
        <v>180</v>
      </c>
      <c r="F100" s="398">
        <v>100</v>
      </c>
      <c r="G100" s="398">
        <f>+'Anexo 1 Matriz SINA Inf Gestión'!E73</f>
        <v>75</v>
      </c>
      <c r="H100" s="446">
        <f>+'Anexo 1 Matriz SINA Inf Gestión'!M73</f>
        <v>0</v>
      </c>
      <c r="I100" s="446">
        <f>+'Anexo 1 Matriz SINA Inf Gestión'!N73</f>
        <v>0</v>
      </c>
      <c r="J100" s="75">
        <f t="shared" si="7"/>
        <v>0</v>
      </c>
      <c r="K100" s="462"/>
      <c r="L100" s="462"/>
      <c r="M100" s="142"/>
      <c r="N100" s="134"/>
      <c r="O100" s="135"/>
      <c r="P100" s="130"/>
    </row>
    <row r="101" spans="1:16" s="1" customFormat="1" ht="48.75" customHeight="1">
      <c r="A101" s="840"/>
      <c r="B101" s="809"/>
      <c r="C101" s="546"/>
      <c r="D101" s="441" t="s">
        <v>412</v>
      </c>
      <c r="E101" s="406" t="s">
        <v>1</v>
      </c>
      <c r="F101" s="398">
        <v>100</v>
      </c>
      <c r="G101" s="398">
        <f>+'Anexo 1 Matriz SINA Inf Gestión'!E74</f>
        <v>98</v>
      </c>
      <c r="H101" s="446">
        <f>+'Anexo 1 Matriz SINA Inf Gestión'!M74</f>
        <v>485190748.05570596</v>
      </c>
      <c r="I101" s="446">
        <f>+'Anexo 1 Matriz SINA Inf Gestión'!N74</f>
        <v>427151516.5</v>
      </c>
      <c r="J101" s="75">
        <f>+H101-I101</f>
        <v>58039231.555705965</v>
      </c>
      <c r="K101" s="462"/>
      <c r="L101" s="462"/>
      <c r="M101" s="142"/>
      <c r="N101" s="134"/>
      <c r="O101" s="135"/>
      <c r="P101" s="130"/>
    </row>
    <row r="102" spans="1:16" s="1" customFormat="1" ht="47.25" customHeight="1">
      <c r="A102" s="840"/>
      <c r="B102" s="809"/>
      <c r="C102" s="546"/>
      <c r="D102" s="441" t="s">
        <v>413</v>
      </c>
      <c r="E102" s="406" t="s">
        <v>491</v>
      </c>
      <c r="F102" s="398">
        <v>60</v>
      </c>
      <c r="G102" s="398">
        <f>+'Anexo 1 Matriz SINA Inf Gestión'!E75</f>
        <v>60</v>
      </c>
      <c r="H102" s="446">
        <f>+'Anexo 1 Matriz SINA Inf Gestión'!M75</f>
        <v>0</v>
      </c>
      <c r="I102" s="446">
        <f>+'Anexo 1 Matriz SINA Inf Gestión'!N75</f>
        <v>0</v>
      </c>
      <c r="J102" s="75">
        <f t="shared" si="7"/>
        <v>0</v>
      </c>
      <c r="K102" s="462"/>
      <c r="L102" s="462"/>
      <c r="M102" s="142"/>
      <c r="N102" s="134"/>
      <c r="O102" s="135"/>
      <c r="P102" s="130"/>
    </row>
    <row r="103" spans="1:16" s="1" customFormat="1" ht="56.25" customHeight="1">
      <c r="A103" s="840"/>
      <c r="B103" s="809"/>
      <c r="C103" s="546"/>
      <c r="D103" s="441" t="s">
        <v>414</v>
      </c>
      <c r="E103" s="406" t="s">
        <v>180</v>
      </c>
      <c r="F103" s="398">
        <v>35</v>
      </c>
      <c r="G103" s="398">
        <f>+'Anexo 1 Matriz SINA Inf Gestión'!E76</f>
        <v>35</v>
      </c>
      <c r="H103" s="446">
        <f>+'Anexo 1 Matriz SINA Inf Gestión'!M76</f>
        <v>147879388.7912021</v>
      </c>
      <c r="I103" s="446">
        <f>+'Anexo 1 Matriz SINA Inf Gestión'!N76</f>
        <v>82595140.30399999</v>
      </c>
      <c r="J103" s="75">
        <f>+H103-I103</f>
        <v>65284248.487202108</v>
      </c>
      <c r="K103" s="462"/>
      <c r="L103" s="462"/>
      <c r="M103" s="142"/>
      <c r="N103" s="134"/>
      <c r="O103" s="135"/>
      <c r="P103" s="387"/>
    </row>
    <row r="104" spans="1:16" s="1" customFormat="1" ht="78" customHeight="1">
      <c r="A104" s="840"/>
      <c r="B104" s="809"/>
      <c r="C104" s="546"/>
      <c r="D104" s="437" t="s">
        <v>415</v>
      </c>
      <c r="E104" s="406" t="s">
        <v>180</v>
      </c>
      <c r="F104" s="398">
        <v>100</v>
      </c>
      <c r="G104" s="398">
        <f>+'Anexo 1 Matriz SINA Inf Gestión'!E77</f>
        <v>100</v>
      </c>
      <c r="H104" s="446">
        <f>+'Anexo 1 Matriz SINA Inf Gestión'!M77</f>
        <v>49447000.119999997</v>
      </c>
      <c r="I104" s="446">
        <f>+'Anexo 1 Matriz SINA Inf Gestión'!N77</f>
        <v>36545600</v>
      </c>
      <c r="J104" s="75">
        <f t="shared" si="7"/>
        <v>12901400.119999997</v>
      </c>
      <c r="K104" s="462"/>
      <c r="L104" s="462"/>
      <c r="M104" s="142"/>
      <c r="N104" s="134"/>
      <c r="O104" s="135"/>
      <c r="P104" s="130"/>
    </row>
    <row r="105" spans="1:16" s="1" customFormat="1" ht="53.25" customHeight="1">
      <c r="A105" s="840"/>
      <c r="B105" s="809"/>
      <c r="C105" s="546"/>
      <c r="D105" s="484" t="s">
        <v>416</v>
      </c>
      <c r="E105" s="406" t="s">
        <v>182</v>
      </c>
      <c r="F105" s="518">
        <v>1</v>
      </c>
      <c r="G105" s="679">
        <f>+'Anexo 1 Matriz SINA Inf Gestión'!E78</f>
        <v>1</v>
      </c>
      <c r="H105" s="446">
        <f>+'Anexo 1 Matriz SINA Inf Gestión'!M78</f>
        <v>610307386</v>
      </c>
      <c r="I105" s="446">
        <f>+'Anexo 1 Matriz SINA Inf Gestión'!N78</f>
        <v>569895312.24399996</v>
      </c>
      <c r="J105" s="75">
        <f t="shared" si="7"/>
        <v>40412073.756000042</v>
      </c>
      <c r="K105" s="462"/>
      <c r="L105" s="462"/>
      <c r="M105" s="142">
        <v>561108</v>
      </c>
      <c r="N105" s="134">
        <v>210274</v>
      </c>
      <c r="O105" s="135"/>
      <c r="P105" s="130"/>
    </row>
    <row r="106" spans="1:16" s="1" customFormat="1" ht="55.5" customHeight="1">
      <c r="A106" s="840"/>
      <c r="B106" s="809"/>
      <c r="C106" s="546"/>
      <c r="D106" s="484" t="s">
        <v>417</v>
      </c>
      <c r="E106" s="406" t="s">
        <v>418</v>
      </c>
      <c r="F106" s="518">
        <v>1</v>
      </c>
      <c r="G106" s="679">
        <f>+'Anexo 1 Matriz SINA Inf Gestión'!E79</f>
        <v>1</v>
      </c>
      <c r="H106" s="446">
        <f>+'Anexo 1 Matriz SINA Inf Gestión'!M79</f>
        <v>10432858.439999999</v>
      </c>
      <c r="I106" s="446">
        <f>+'Anexo 1 Matriz SINA Inf Gestión'!N79</f>
        <v>10432858</v>
      </c>
      <c r="J106" s="75">
        <f t="shared" si="7"/>
        <v>0.43999999947845936</v>
      </c>
      <c r="K106" s="462"/>
      <c r="L106" s="462"/>
      <c r="M106" s="142">
        <v>425686</v>
      </c>
      <c r="N106" s="134">
        <v>63158</v>
      </c>
      <c r="O106" s="135"/>
      <c r="P106" s="130"/>
    </row>
    <row r="107" spans="1:16" s="1" customFormat="1" ht="38.25" customHeight="1">
      <c r="A107" s="840"/>
      <c r="B107" s="809"/>
      <c r="C107" s="546"/>
      <c r="D107" s="474" t="s">
        <v>419</v>
      </c>
      <c r="E107" s="406" t="s">
        <v>182</v>
      </c>
      <c r="F107" s="518">
        <v>1</v>
      </c>
      <c r="G107" s="679">
        <f>+'Anexo 1 Matriz SINA Inf Gestión'!E80</f>
        <v>1</v>
      </c>
      <c r="H107" s="446">
        <f>+'Anexo 1 Matriz SINA Inf Gestión'!M80</f>
        <v>16522687.439999999</v>
      </c>
      <c r="I107" s="446">
        <f>+'Anexo 1 Matriz SINA Inf Gestión'!N80</f>
        <v>16522687.300000001</v>
      </c>
      <c r="J107" s="75">
        <f t="shared" si="7"/>
        <v>0.1399999987334013</v>
      </c>
      <c r="K107" s="462"/>
      <c r="L107" s="462"/>
      <c r="M107" s="142"/>
      <c r="N107" s="134"/>
      <c r="O107" s="135"/>
      <c r="P107" s="130"/>
    </row>
    <row r="108" spans="1:16" s="1" customFormat="1" ht="40.5" customHeight="1">
      <c r="A108" s="840"/>
      <c r="B108" s="809"/>
      <c r="C108" s="546"/>
      <c r="D108" s="484" t="s">
        <v>420</v>
      </c>
      <c r="E108" s="406" t="s">
        <v>192</v>
      </c>
      <c r="F108" s="518">
        <v>1</v>
      </c>
      <c r="G108" s="679">
        <f>+'Anexo 1 Matriz SINA Inf Gestión'!E81</f>
        <v>1</v>
      </c>
      <c r="H108" s="446">
        <f>+'Anexo 1 Matriz SINA Inf Gestión'!M81</f>
        <v>176979642</v>
      </c>
      <c r="I108" s="446">
        <f>+'Anexo 1 Matriz SINA Inf Gestión'!N81</f>
        <v>151273643</v>
      </c>
      <c r="J108" s="75">
        <f t="shared" si="7"/>
        <v>25705999</v>
      </c>
      <c r="K108" s="462"/>
      <c r="L108" s="462"/>
      <c r="M108" s="142"/>
      <c r="N108" s="134"/>
      <c r="O108" s="135"/>
      <c r="P108" s="130"/>
    </row>
    <row r="109" spans="1:16" s="1" customFormat="1" ht="40.5" customHeight="1">
      <c r="A109" s="840"/>
      <c r="B109" s="809"/>
      <c r="C109" s="546"/>
      <c r="D109" s="474" t="s">
        <v>421</v>
      </c>
      <c r="E109" s="406" t="s">
        <v>1</v>
      </c>
      <c r="F109" s="398">
        <v>100</v>
      </c>
      <c r="G109" s="398">
        <f>+'Anexo 1 Matriz SINA Inf Gestión'!E82</f>
        <v>100</v>
      </c>
      <c r="H109" s="446">
        <f>+'Anexo 1 Matriz SINA Inf Gestión'!M82</f>
        <v>7429600</v>
      </c>
      <c r="I109" s="446">
        <f>+'Anexo 1 Matriz SINA Inf Gestión'!N82</f>
        <v>7429600</v>
      </c>
      <c r="J109" s="75">
        <f t="shared" si="7"/>
        <v>0</v>
      </c>
      <c r="K109" s="462"/>
      <c r="L109" s="462"/>
      <c r="M109" s="142"/>
      <c r="N109" s="134"/>
      <c r="O109" s="135"/>
      <c r="P109" s="130"/>
    </row>
    <row r="110" spans="1:16" s="1" customFormat="1" ht="30">
      <c r="A110" s="840"/>
      <c r="B110" s="809"/>
      <c r="C110" s="546"/>
      <c r="D110" s="474" t="s">
        <v>422</v>
      </c>
      <c r="E110" s="406" t="s">
        <v>181</v>
      </c>
      <c r="F110" s="398">
        <v>37</v>
      </c>
      <c r="G110" s="398">
        <f>+'Anexo 1 Matriz SINA Inf Gestión'!E83</f>
        <v>37</v>
      </c>
      <c r="H110" s="446">
        <f>+'Anexo 1 Matriz SINA Inf Gestión'!M83</f>
        <v>7429600</v>
      </c>
      <c r="I110" s="446">
        <f>+'Anexo 1 Matriz SINA Inf Gestión'!N83</f>
        <v>7429600</v>
      </c>
      <c r="J110" s="75">
        <f t="shared" si="7"/>
        <v>0</v>
      </c>
      <c r="K110" s="462"/>
      <c r="L110" s="462"/>
      <c r="M110" s="142"/>
      <c r="N110" s="134"/>
      <c r="O110" s="135"/>
      <c r="P110" s="130"/>
    </row>
    <row r="111" spans="1:16" s="1" customFormat="1" ht="30">
      <c r="A111" s="840"/>
      <c r="B111" s="809"/>
      <c r="C111" s="546"/>
      <c r="D111" s="474" t="s">
        <v>0</v>
      </c>
      <c r="E111" s="406" t="s">
        <v>423</v>
      </c>
      <c r="F111" s="398">
        <v>1</v>
      </c>
      <c r="G111" s="679">
        <f>+'Anexo 1 Matriz SINA Inf Gestión'!E84</f>
        <v>1</v>
      </c>
      <c r="H111" s="446">
        <f>+'Anexo 1 Matriz SINA Inf Gestión'!M84</f>
        <v>154895170.16000003</v>
      </c>
      <c r="I111" s="446">
        <f>+'Anexo 1 Matriz SINA Inf Gestión'!N84</f>
        <v>154895112</v>
      </c>
      <c r="J111" s="75">
        <f t="shared" si="7"/>
        <v>58.160000026226044</v>
      </c>
      <c r="K111" s="462"/>
      <c r="L111" s="462"/>
      <c r="M111" s="142"/>
      <c r="N111" s="134"/>
      <c r="O111" s="135"/>
      <c r="P111" s="130"/>
    </row>
    <row r="112" spans="1:16" s="1" customFormat="1" ht="19.5" customHeight="1">
      <c r="A112" s="840"/>
      <c r="B112" s="809"/>
      <c r="C112" s="546"/>
      <c r="D112" s="485" t="s">
        <v>424</v>
      </c>
      <c r="E112" s="406" t="s">
        <v>1</v>
      </c>
      <c r="F112" s="398">
        <v>90</v>
      </c>
      <c r="G112" s="398">
        <f>+'Anexo 1 Matriz SINA Inf Gestión'!E85</f>
        <v>90</v>
      </c>
      <c r="H112" s="446">
        <f>+'Anexo 1 Matriz SINA Inf Gestión'!M85</f>
        <v>37148000</v>
      </c>
      <c r="I112" s="446">
        <f>+'Anexo 1 Matriz SINA Inf Gestión'!N85</f>
        <v>37148000</v>
      </c>
      <c r="J112" s="75">
        <f t="shared" si="7"/>
        <v>0</v>
      </c>
      <c r="K112" s="462"/>
      <c r="L112" s="462"/>
      <c r="M112" s="142"/>
      <c r="N112" s="134"/>
      <c r="O112" s="135"/>
      <c r="P112" s="387"/>
    </row>
    <row r="113" spans="1:16" s="1" customFormat="1" ht="30">
      <c r="A113" s="840"/>
      <c r="B113" s="809"/>
      <c r="C113" s="546"/>
      <c r="D113" s="474" t="s">
        <v>515</v>
      </c>
      <c r="E113" s="406" t="s">
        <v>516</v>
      </c>
      <c r="F113" s="398" t="s">
        <v>519</v>
      </c>
      <c r="G113" s="518" t="s">
        <v>519</v>
      </c>
      <c r="H113" s="446">
        <f>+'Anexo 1 Matriz SINA Inf Gestión'!M86</f>
        <v>65077269</v>
      </c>
      <c r="I113" s="446">
        <f>+'Anexo 1 Matriz SINA Inf Gestión'!N86</f>
        <v>48009268.548</v>
      </c>
      <c r="J113" s="75">
        <f t="shared" si="7"/>
        <v>17068000.452</v>
      </c>
      <c r="K113" s="462"/>
      <c r="L113" s="462"/>
      <c r="M113" s="142"/>
      <c r="N113" s="134"/>
      <c r="O113" s="135"/>
      <c r="P113" s="130"/>
    </row>
    <row r="114" spans="1:16" s="1" customFormat="1" ht="15">
      <c r="A114" s="840"/>
      <c r="B114" s="809"/>
      <c r="C114" s="548"/>
      <c r="D114" s="800" t="s">
        <v>320</v>
      </c>
      <c r="E114" s="801"/>
      <c r="F114" s="801"/>
      <c r="G114" s="802"/>
      <c r="H114" s="469">
        <f>SUM(H98:H113)</f>
        <v>1768739350.0069082</v>
      </c>
      <c r="J114" s="826">
        <f>+H114-I115</f>
        <v>219411012.11090827</v>
      </c>
      <c r="K114" s="136">
        <v>29</v>
      </c>
      <c r="L114" s="462"/>
      <c r="M114" s="142"/>
      <c r="N114" s="134"/>
      <c r="O114" s="135"/>
      <c r="P114" s="130"/>
    </row>
    <row r="115" spans="1:16" s="1" customFormat="1" ht="18" customHeight="1">
      <c r="A115" s="840"/>
      <c r="B115" s="809"/>
      <c r="C115" s="548"/>
      <c r="D115" s="800" t="s">
        <v>321</v>
      </c>
      <c r="E115" s="801"/>
      <c r="F115" s="801"/>
      <c r="G115" s="801"/>
      <c r="H115" s="802"/>
      <c r="I115" s="469">
        <f>SUM(I98:I114)</f>
        <v>1549328337.8959999</v>
      </c>
      <c r="J115" s="826"/>
      <c r="K115" s="462"/>
      <c r="L115" s="462"/>
      <c r="M115" s="137">
        <v>1938706</v>
      </c>
      <c r="N115" s="137">
        <v>343245</v>
      </c>
      <c r="O115" s="141">
        <v>412670</v>
      </c>
      <c r="P115" s="130"/>
    </row>
    <row r="116" spans="1:16" s="1" customFormat="1" ht="18" customHeight="1">
      <c r="A116" s="840"/>
      <c r="B116" s="809"/>
      <c r="C116" s="344"/>
      <c r="D116" s="800" t="s">
        <v>322</v>
      </c>
      <c r="E116" s="801"/>
      <c r="F116" s="801"/>
      <c r="G116" s="801"/>
      <c r="H116" s="802"/>
      <c r="I116" s="445">
        <f>+'Anexo 1 Matriz SINA Inf Gestión'!O70/100</f>
        <v>0.87595062431892445</v>
      </c>
      <c r="J116" s="826"/>
      <c r="K116" s="462"/>
      <c r="L116" s="462"/>
      <c r="M116" s="137"/>
      <c r="N116" s="137"/>
      <c r="O116" s="141"/>
      <c r="P116" s="130"/>
    </row>
    <row r="117" spans="1:16" s="1" customFormat="1" ht="18" customHeight="1">
      <c r="A117" s="840"/>
      <c r="B117" s="809"/>
      <c r="C117" s="344"/>
      <c r="D117" s="800" t="s">
        <v>527</v>
      </c>
      <c r="E117" s="801"/>
      <c r="F117" s="801"/>
      <c r="G117" s="801"/>
      <c r="H117" s="802"/>
      <c r="I117" s="529">
        <f>+'Anexo 1 Matriz SINA Inf Gestión'!F70/100</f>
        <v>0.94866666666666655</v>
      </c>
      <c r="J117" s="826"/>
      <c r="K117" s="462"/>
      <c r="L117" s="462"/>
      <c r="M117" s="137"/>
      <c r="N117" s="137"/>
      <c r="O117" s="141"/>
      <c r="P117" s="130"/>
    </row>
    <row r="118" spans="1:16" s="1" customFormat="1" ht="19.5" customHeight="1">
      <c r="A118" s="859" t="s">
        <v>306</v>
      </c>
      <c r="B118" s="829" t="s">
        <v>307</v>
      </c>
      <c r="C118" s="561"/>
      <c r="D118" s="827" t="s">
        <v>542</v>
      </c>
      <c r="E118" s="807" t="s">
        <v>96</v>
      </c>
      <c r="F118" s="807" t="s">
        <v>309</v>
      </c>
      <c r="G118" s="807"/>
      <c r="H118" s="821" t="s">
        <v>310</v>
      </c>
      <c r="I118" s="821"/>
      <c r="J118" s="822"/>
      <c r="K118" s="462"/>
      <c r="L118" s="462"/>
      <c r="M118" s="134"/>
      <c r="N118" s="134"/>
      <c r="O118" s="135"/>
      <c r="P118" s="130"/>
    </row>
    <row r="119" spans="1:16" s="1" customFormat="1" ht="50.25" customHeight="1">
      <c r="A119" s="860"/>
      <c r="B119" s="830"/>
      <c r="C119" s="562"/>
      <c r="D119" s="828"/>
      <c r="E119" s="807"/>
      <c r="F119" s="466" t="s">
        <v>311</v>
      </c>
      <c r="G119" s="604" t="s">
        <v>312</v>
      </c>
      <c r="H119" s="467" t="s">
        <v>313</v>
      </c>
      <c r="I119" s="553" t="s">
        <v>314</v>
      </c>
      <c r="J119" s="554" t="s">
        <v>315</v>
      </c>
      <c r="K119" s="462"/>
      <c r="L119" s="462"/>
      <c r="M119" s="134"/>
      <c r="N119" s="134"/>
      <c r="O119" s="135"/>
      <c r="P119" s="130"/>
    </row>
    <row r="120" spans="1:16" s="1" customFormat="1" ht="85.5" customHeight="1">
      <c r="A120" s="858" t="s">
        <v>478</v>
      </c>
      <c r="B120" s="808" t="s">
        <v>479</v>
      </c>
      <c r="C120" s="548"/>
      <c r="D120" s="432" t="s">
        <v>426</v>
      </c>
      <c r="E120" s="406" t="s">
        <v>180</v>
      </c>
      <c r="F120" s="398">
        <v>100</v>
      </c>
      <c r="G120" s="398">
        <f>+'Anexo 1 Matriz SINA Inf Gestión'!E89</f>
        <v>100</v>
      </c>
      <c r="H120" s="446">
        <f>+'Anexo 1 Matriz SINA Inf Gestión'!M89</f>
        <v>113500000</v>
      </c>
      <c r="I120" s="446">
        <f>+'Anexo 1 Matriz SINA Inf Gestión'!N89</f>
        <v>101472092</v>
      </c>
      <c r="J120" s="75">
        <f>+H120-I120</f>
        <v>12027908</v>
      </c>
      <c r="K120" s="462"/>
      <c r="L120" s="462"/>
      <c r="M120" s="134"/>
      <c r="N120" s="134"/>
      <c r="O120" s="135"/>
      <c r="P120" s="387"/>
    </row>
    <row r="121" spans="1:16" s="1" customFormat="1" ht="81" customHeight="1">
      <c r="A121" s="840"/>
      <c r="B121" s="809"/>
      <c r="C121" s="548"/>
      <c r="D121" s="403" t="s">
        <v>427</v>
      </c>
      <c r="E121" s="406" t="s">
        <v>180</v>
      </c>
      <c r="F121" s="398">
        <v>100</v>
      </c>
      <c r="G121" s="398">
        <f>+'Anexo 1 Matriz SINA Inf Gestión'!E90</f>
        <v>100</v>
      </c>
      <c r="H121" s="446">
        <f>+'Anexo 1 Matriz SINA Inf Gestión'!M90</f>
        <v>37750000</v>
      </c>
      <c r="I121" s="446">
        <f>+'Anexo 1 Matriz SINA Inf Gestión'!N90</f>
        <v>23092000</v>
      </c>
      <c r="J121" s="75">
        <f t="shared" ref="J121:J123" si="8">+H121-I121</f>
        <v>14658000</v>
      </c>
      <c r="K121" s="462"/>
      <c r="L121" s="462"/>
      <c r="M121" s="134"/>
      <c r="N121" s="134"/>
      <c r="O121" s="135"/>
      <c r="P121" s="130"/>
    </row>
    <row r="122" spans="1:16" s="1" customFormat="1" ht="106.5" customHeight="1">
      <c r="A122" s="840"/>
      <c r="B122" s="809"/>
      <c r="C122" s="651"/>
      <c r="D122" s="442" t="s">
        <v>429</v>
      </c>
      <c r="E122" s="406" t="s">
        <v>430</v>
      </c>
      <c r="F122" s="398">
        <v>5</v>
      </c>
      <c r="G122" s="398">
        <f>+'Anexo 1 Matriz SINA Inf Gestión'!E92</f>
        <v>5</v>
      </c>
      <c r="H122" s="446">
        <f>+'Anexo 1 Matriz SINA Inf Gestión'!M92</f>
        <v>375000000</v>
      </c>
      <c r="I122" s="446">
        <f>+'Anexo 1 Matriz SINA Inf Gestión'!N92</f>
        <v>319016871</v>
      </c>
      <c r="J122" s="75">
        <f t="shared" si="8"/>
        <v>55983129</v>
      </c>
      <c r="K122" s="462"/>
      <c r="L122" s="462"/>
      <c r="M122" s="671"/>
      <c r="N122" s="671"/>
      <c r="O122" s="671"/>
      <c r="P122" s="672"/>
    </row>
    <row r="123" spans="1:16" s="1" customFormat="1" ht="39.75" customHeight="1">
      <c r="A123" s="840"/>
      <c r="B123" s="809"/>
      <c r="C123" s="651"/>
      <c r="D123" s="428" t="s">
        <v>515</v>
      </c>
      <c r="E123" s="406" t="s">
        <v>516</v>
      </c>
      <c r="F123" s="398" t="s">
        <v>519</v>
      </c>
      <c r="G123" s="518" t="s">
        <v>519</v>
      </c>
      <c r="H123" s="446">
        <f>+'Anexo 1 Matriz SINA Inf Gestión'!M94</f>
        <v>30000000.399999999</v>
      </c>
      <c r="I123" s="446">
        <f>+'Anexo 1 Matriz SINA Inf Gestión'!N94</f>
        <v>27013903</v>
      </c>
      <c r="J123" s="75">
        <f t="shared" si="8"/>
        <v>2986097.3999999985</v>
      </c>
      <c r="K123" s="462"/>
      <c r="L123" s="462"/>
      <c r="M123" s="671"/>
      <c r="N123" s="671"/>
      <c r="O123" s="671"/>
      <c r="P123" s="671"/>
    </row>
    <row r="124" spans="1:16" s="1" customFormat="1" ht="18" customHeight="1">
      <c r="A124" s="840"/>
      <c r="B124" s="809"/>
      <c r="C124" s="556"/>
      <c r="D124" s="800" t="s">
        <v>320</v>
      </c>
      <c r="E124" s="801"/>
      <c r="F124" s="801"/>
      <c r="G124" s="802"/>
      <c r="H124" s="469">
        <f>SUM(H120:H123)</f>
        <v>556250000.39999998</v>
      </c>
      <c r="J124" s="826">
        <f>+H124-I125</f>
        <v>85655134.399999976</v>
      </c>
      <c r="K124" s="462"/>
      <c r="L124" s="462"/>
      <c r="M124" s="134"/>
      <c r="N124" s="134"/>
      <c r="O124" s="135"/>
      <c r="P124" s="130"/>
    </row>
    <row r="125" spans="1:16" s="1" customFormat="1" ht="18" customHeight="1">
      <c r="A125" s="840"/>
      <c r="B125" s="809"/>
      <c r="C125" s="556"/>
      <c r="D125" s="800" t="s">
        <v>321</v>
      </c>
      <c r="E125" s="801"/>
      <c r="F125" s="801"/>
      <c r="G125" s="801"/>
      <c r="H125" s="802"/>
      <c r="I125" s="486">
        <f>SUM(I120:I124)</f>
        <v>470594866</v>
      </c>
      <c r="J125" s="826"/>
      <c r="K125" s="462"/>
      <c r="L125" s="462"/>
      <c r="M125" s="134"/>
      <c r="N125" s="134"/>
      <c r="O125" s="135"/>
      <c r="P125" s="130"/>
    </row>
    <row r="126" spans="1:16" s="1" customFormat="1" ht="18" customHeight="1">
      <c r="A126" s="840"/>
      <c r="B126" s="809"/>
      <c r="C126" s="556"/>
      <c r="D126" s="800" t="s">
        <v>322</v>
      </c>
      <c r="E126" s="801"/>
      <c r="F126" s="801"/>
      <c r="G126" s="801"/>
      <c r="H126" s="802"/>
      <c r="I126" s="571">
        <f>+'Anexo 1 Matriz SINA Inf Gestión'!O88/100</f>
        <v>0.84601324163882197</v>
      </c>
      <c r="J126" s="826"/>
      <c r="K126" s="462"/>
      <c r="L126" s="462"/>
      <c r="M126" s="134"/>
      <c r="N126" s="134"/>
      <c r="O126" s="135"/>
      <c r="P126" s="130"/>
    </row>
    <row r="127" spans="1:16" s="1" customFormat="1" ht="18" customHeight="1">
      <c r="A127" s="840"/>
      <c r="B127" s="809"/>
      <c r="C127" s="556"/>
      <c r="D127" s="800" t="s">
        <v>527</v>
      </c>
      <c r="E127" s="801"/>
      <c r="F127" s="801"/>
      <c r="G127" s="801"/>
      <c r="H127" s="802"/>
      <c r="I127" s="529">
        <f>+'Anexo 1 Matriz SINA Inf Gestión'!F88/100</f>
        <v>1</v>
      </c>
      <c r="J127" s="826"/>
      <c r="K127" s="462"/>
      <c r="L127" s="462"/>
      <c r="M127" s="134"/>
      <c r="N127" s="134"/>
      <c r="O127" s="135"/>
      <c r="P127" s="130"/>
    </row>
    <row r="128" spans="1:16" s="1" customFormat="1" ht="16.5" customHeight="1">
      <c r="A128" s="840"/>
      <c r="B128" s="806" t="s">
        <v>307</v>
      </c>
      <c r="C128" s="551"/>
      <c r="D128" s="827" t="s">
        <v>308</v>
      </c>
      <c r="E128" s="807" t="s">
        <v>96</v>
      </c>
      <c r="F128" s="807" t="s">
        <v>309</v>
      </c>
      <c r="G128" s="807"/>
      <c r="H128" s="821" t="s">
        <v>310</v>
      </c>
      <c r="I128" s="821"/>
      <c r="J128" s="822"/>
      <c r="K128" s="462"/>
      <c r="L128" s="462"/>
      <c r="M128" s="134"/>
      <c r="N128" s="134"/>
      <c r="O128" s="135"/>
      <c r="P128" s="130"/>
    </row>
    <row r="129" spans="1:16" s="1" customFormat="1" ht="30">
      <c r="A129" s="840"/>
      <c r="B129" s="806"/>
      <c r="C129" s="551"/>
      <c r="D129" s="828"/>
      <c r="E129" s="807"/>
      <c r="F129" s="466" t="s">
        <v>311</v>
      </c>
      <c r="G129" s="604" t="s">
        <v>312</v>
      </c>
      <c r="H129" s="467" t="s">
        <v>313</v>
      </c>
      <c r="I129" s="553" t="s">
        <v>314</v>
      </c>
      <c r="J129" s="554" t="s">
        <v>315</v>
      </c>
      <c r="K129" s="462"/>
      <c r="L129" s="462"/>
      <c r="M129" s="134"/>
      <c r="N129" s="134"/>
      <c r="O129" s="135"/>
      <c r="P129" s="130"/>
    </row>
    <row r="130" spans="1:16" s="1" customFormat="1" ht="40.5" customHeight="1">
      <c r="A130" s="840"/>
      <c r="B130" s="808" t="s">
        <v>544</v>
      </c>
      <c r="C130" s="344"/>
      <c r="D130" s="474" t="s">
        <v>432</v>
      </c>
      <c r="E130" s="406" t="s">
        <v>433</v>
      </c>
      <c r="F130" s="398">
        <v>1</v>
      </c>
      <c r="G130" s="398">
        <f>+'Anexo 1 Matriz SINA Inf Gestión'!E96</f>
        <v>1</v>
      </c>
      <c r="H130" s="446">
        <f>+'Anexo 1 Matriz SINA Inf Gestión'!M96</f>
        <v>0</v>
      </c>
      <c r="I130" s="446">
        <f>+'Anexo 1 Matriz SINA Inf Gestión'!N96</f>
        <v>0</v>
      </c>
      <c r="J130" s="75">
        <f t="shared" ref="J130:J133" si="9">+H130-I130</f>
        <v>0</v>
      </c>
      <c r="K130" s="462"/>
      <c r="L130" s="462"/>
      <c r="M130" s="134"/>
      <c r="N130" s="134"/>
      <c r="O130" s="135"/>
      <c r="P130" s="130"/>
    </row>
    <row r="131" spans="1:16" s="1" customFormat="1" ht="38.25" customHeight="1">
      <c r="A131" s="840"/>
      <c r="B131" s="809"/>
      <c r="C131" s="548"/>
      <c r="D131" s="474" t="s">
        <v>434</v>
      </c>
      <c r="E131" s="406" t="s">
        <v>131</v>
      </c>
      <c r="F131" s="398">
        <v>1</v>
      </c>
      <c r="G131" s="398">
        <f>+'Anexo 1 Matriz SINA Inf Gestión'!E97</f>
        <v>1</v>
      </c>
      <c r="H131" s="446">
        <f>+'Anexo 1 Matriz SINA Inf Gestión'!M97</f>
        <v>915507226.73080003</v>
      </c>
      <c r="I131" s="446">
        <f>+'Anexo 1 Matriz SINA Inf Gestión'!N97</f>
        <v>0</v>
      </c>
      <c r="J131" s="75">
        <f t="shared" si="9"/>
        <v>915507226.73080003</v>
      </c>
      <c r="K131" s="462"/>
      <c r="L131" s="462"/>
      <c r="M131" s="134"/>
      <c r="N131" s="134"/>
      <c r="O131" s="135"/>
      <c r="P131" s="130"/>
    </row>
    <row r="132" spans="1:16" s="1" customFormat="1" ht="57.75" customHeight="1">
      <c r="A132" s="840"/>
      <c r="B132" s="809"/>
      <c r="C132" s="548"/>
      <c r="D132" s="474" t="s">
        <v>435</v>
      </c>
      <c r="E132" s="406" t="s">
        <v>1</v>
      </c>
      <c r="F132" s="398">
        <v>100</v>
      </c>
      <c r="G132" s="398">
        <f>+'Anexo 1 Matriz SINA Inf Gestión'!E98</f>
        <v>100</v>
      </c>
      <c r="H132" s="446">
        <f>+'Anexo 1 Matriz SINA Inf Gestión'!M98</f>
        <v>3856950431.2451997</v>
      </c>
      <c r="I132" s="446">
        <f>+'Anexo 1 Matriz SINA Inf Gestión'!N98</f>
        <v>3856950431.4000001</v>
      </c>
      <c r="J132" s="75">
        <f t="shared" si="9"/>
        <v>-0.1548004150390625</v>
      </c>
      <c r="K132" s="462"/>
      <c r="L132" s="462"/>
      <c r="M132" s="134"/>
      <c r="N132" s="134"/>
      <c r="O132" s="135"/>
      <c r="P132" s="130"/>
    </row>
    <row r="133" spans="1:16" s="1" customFormat="1" ht="77.25" customHeight="1">
      <c r="A133" s="840"/>
      <c r="B133" s="809"/>
      <c r="C133" s="556"/>
      <c r="D133" s="474" t="s">
        <v>436</v>
      </c>
      <c r="E133" s="406" t="s">
        <v>437</v>
      </c>
      <c r="F133" s="398">
        <v>38</v>
      </c>
      <c r="G133" s="398">
        <f>+'Anexo 1 Matriz SINA Inf Gestión'!E99</f>
        <v>38</v>
      </c>
      <c r="H133" s="446">
        <f>+'Anexo 1 Matriz SINA Inf Gestión'!M99</f>
        <v>295000000.39999998</v>
      </c>
      <c r="I133" s="446">
        <f>+'Anexo 1 Matriz SINA Inf Gestión'!N99</f>
        <v>230465034</v>
      </c>
      <c r="J133" s="75">
        <f t="shared" si="9"/>
        <v>64534966.399999976</v>
      </c>
      <c r="K133" s="462"/>
      <c r="L133" s="462"/>
      <c r="M133" s="134"/>
      <c r="N133" s="134"/>
      <c r="O133" s="135"/>
      <c r="P133" s="130"/>
    </row>
    <row r="134" spans="1:16" s="1" customFormat="1" ht="15">
      <c r="A134" s="840"/>
      <c r="B134" s="809"/>
      <c r="C134" s="556"/>
      <c r="D134" s="818" t="s">
        <v>320</v>
      </c>
      <c r="E134" s="819"/>
      <c r="F134" s="819"/>
      <c r="G134" s="820"/>
      <c r="H134" s="486">
        <f>SUM(H130:H133)</f>
        <v>5067457658.3759995</v>
      </c>
      <c r="I134" s="490"/>
      <c r="J134" s="826">
        <f>+H134-I135</f>
        <v>980042192.97599936</v>
      </c>
      <c r="K134" s="462"/>
      <c r="L134" s="462"/>
      <c r="M134" s="134"/>
      <c r="N134" s="134"/>
      <c r="O134" s="135"/>
      <c r="P134" s="130"/>
    </row>
    <row r="135" spans="1:16" s="1" customFormat="1" ht="18" customHeight="1">
      <c r="A135" s="840"/>
      <c r="B135" s="809"/>
      <c r="C135" s="556"/>
      <c r="D135" s="818" t="s">
        <v>321</v>
      </c>
      <c r="E135" s="819"/>
      <c r="F135" s="819"/>
      <c r="G135" s="819"/>
      <c r="H135" s="820"/>
      <c r="I135" s="469">
        <f>SUM(I130:I134)</f>
        <v>4087415465.4000001</v>
      </c>
      <c r="J135" s="826"/>
      <c r="K135" s="462"/>
      <c r="L135" s="462"/>
      <c r="M135" s="134"/>
      <c r="N135" s="134"/>
      <c r="O135" s="135"/>
      <c r="P135" s="130"/>
    </row>
    <row r="136" spans="1:16" s="1" customFormat="1" ht="18" customHeight="1">
      <c r="A136" s="840"/>
      <c r="B136" s="809"/>
      <c r="C136" s="556"/>
      <c r="D136" s="800" t="s">
        <v>322</v>
      </c>
      <c r="E136" s="801"/>
      <c r="F136" s="801"/>
      <c r="G136" s="801"/>
      <c r="H136" s="802"/>
      <c r="I136" s="571">
        <f>+'Anexo 1 Matriz SINA Inf Gestión'!O95/100</f>
        <v>0.80660081266666561</v>
      </c>
      <c r="J136" s="826"/>
      <c r="K136" s="462"/>
      <c r="L136" s="462"/>
      <c r="M136" s="134"/>
      <c r="N136" s="134"/>
      <c r="O136" s="135"/>
      <c r="P136" s="130"/>
    </row>
    <row r="137" spans="1:16" s="1" customFormat="1" ht="18" customHeight="1">
      <c r="A137" s="840"/>
      <c r="B137" s="809"/>
      <c r="C137" s="556"/>
      <c r="D137" s="818" t="s">
        <v>527</v>
      </c>
      <c r="E137" s="819"/>
      <c r="F137" s="819"/>
      <c r="G137" s="819"/>
      <c r="H137" s="820"/>
      <c r="I137" s="529">
        <f>+'Anexo 1 Matriz SINA Inf Gestión'!F95/100</f>
        <v>1</v>
      </c>
      <c r="J137" s="826"/>
      <c r="K137" s="462"/>
      <c r="L137" s="462"/>
      <c r="M137" s="134"/>
      <c r="N137" s="134"/>
      <c r="O137" s="135"/>
      <c r="P137" s="130"/>
    </row>
    <row r="138" spans="1:16" s="1" customFormat="1" ht="26.25" customHeight="1">
      <c r="A138" s="836" t="s">
        <v>306</v>
      </c>
      <c r="B138" s="806" t="s">
        <v>307</v>
      </c>
      <c r="C138" s="551"/>
      <c r="D138" s="487"/>
      <c r="E138" s="807" t="s">
        <v>96</v>
      </c>
      <c r="F138" s="807" t="s">
        <v>309</v>
      </c>
      <c r="G138" s="807"/>
      <c r="H138" s="821" t="s">
        <v>310</v>
      </c>
      <c r="I138" s="821"/>
      <c r="J138" s="822"/>
      <c r="K138" s="462"/>
      <c r="L138" s="462"/>
      <c r="M138" s="134"/>
      <c r="N138" s="134"/>
      <c r="O138" s="135"/>
      <c r="P138" s="130"/>
    </row>
    <row r="139" spans="1:16" s="1" customFormat="1" ht="47.25" customHeight="1">
      <c r="A139" s="836"/>
      <c r="B139" s="806"/>
      <c r="C139" s="551"/>
      <c r="D139" s="549" t="s">
        <v>542</v>
      </c>
      <c r="E139" s="807"/>
      <c r="F139" s="466" t="s">
        <v>311</v>
      </c>
      <c r="G139" s="604" t="s">
        <v>312</v>
      </c>
      <c r="H139" s="467" t="s">
        <v>313</v>
      </c>
      <c r="I139" s="553" t="s">
        <v>314</v>
      </c>
      <c r="J139" s="554" t="s">
        <v>315</v>
      </c>
      <c r="K139" s="462"/>
      <c r="L139" s="462"/>
      <c r="M139" s="134"/>
      <c r="N139" s="134"/>
      <c r="O139" s="135"/>
      <c r="P139" s="130"/>
    </row>
    <row r="140" spans="1:16" s="1" customFormat="1" ht="38.25" customHeight="1">
      <c r="A140" s="858" t="s">
        <v>474</v>
      </c>
      <c r="B140" s="808" t="s">
        <v>475</v>
      </c>
      <c r="C140" s="548"/>
      <c r="D140" s="474" t="s">
        <v>439</v>
      </c>
      <c r="E140" s="406" t="s">
        <v>512</v>
      </c>
      <c r="F140" s="398">
        <v>1</v>
      </c>
      <c r="G140" s="679">
        <f>+'Anexo 1 Matriz SINA Inf Gestión'!E102</f>
        <v>0.95</v>
      </c>
      <c r="H140" s="446">
        <f>+'Anexo 1 Matriz SINA Inf Gestión'!M102</f>
        <v>168830125.40000001</v>
      </c>
      <c r="I140" s="446">
        <f>+'Anexo 1 Matriz SINA Inf Gestión'!N102</f>
        <v>165617325</v>
      </c>
      <c r="J140" s="75">
        <f t="shared" ref="J140:J145" si="10">+H140-I140</f>
        <v>3212800.400000006</v>
      </c>
      <c r="K140" s="462"/>
      <c r="L140" s="462"/>
      <c r="M140" s="134">
        <v>70091</v>
      </c>
      <c r="N140" s="134"/>
      <c r="O140" s="135">
        <v>413662</v>
      </c>
      <c r="P140" s="130"/>
    </row>
    <row r="141" spans="1:16" s="1" customFormat="1" ht="38.25" customHeight="1">
      <c r="A141" s="840"/>
      <c r="B141" s="809"/>
      <c r="C141" s="548"/>
      <c r="D141" s="474" t="s">
        <v>440</v>
      </c>
      <c r="E141" s="406" t="s">
        <v>1</v>
      </c>
      <c r="F141" s="398">
        <v>100</v>
      </c>
      <c r="G141" s="398">
        <f>+'Anexo 1 Matriz SINA Inf Gestión'!E103</f>
        <v>95</v>
      </c>
      <c r="H141" s="446">
        <f>+'Anexo 1 Matriz SINA Inf Gestión'!M103</f>
        <v>515805688</v>
      </c>
      <c r="I141" s="446">
        <f>+'Anexo 1 Matriz SINA Inf Gestión'!N103</f>
        <v>510142753</v>
      </c>
      <c r="J141" s="75">
        <f t="shared" si="10"/>
        <v>5662935</v>
      </c>
      <c r="K141" s="462"/>
      <c r="L141" s="462"/>
      <c r="M141" s="134"/>
      <c r="N141" s="134"/>
      <c r="O141" s="135"/>
      <c r="P141" s="130"/>
    </row>
    <row r="142" spans="1:16" s="1" customFormat="1" ht="40.5" customHeight="1">
      <c r="A142" s="840"/>
      <c r="B142" s="809"/>
      <c r="C142" s="548"/>
      <c r="D142" s="474" t="s">
        <v>545</v>
      </c>
      <c r="E142" s="406" t="s">
        <v>179</v>
      </c>
      <c r="F142" s="398">
        <v>1</v>
      </c>
      <c r="G142" s="679">
        <f>+'Anexo 1 Matriz SINA Inf Gestión'!E104</f>
        <v>0.8</v>
      </c>
      <c r="H142" s="446">
        <f>+'Anexo 1 Matriz SINA Inf Gestión'!M104</f>
        <v>72269356.400000006</v>
      </c>
      <c r="I142" s="446">
        <f>+'Anexo 1 Matriz SINA Inf Gestión'!N104</f>
        <v>46384800</v>
      </c>
      <c r="J142" s="75">
        <f t="shared" si="10"/>
        <v>25884556.400000006</v>
      </c>
      <c r="K142" s="462"/>
      <c r="L142" s="462"/>
      <c r="M142" s="134"/>
      <c r="N142" s="134"/>
      <c r="O142" s="135"/>
      <c r="P142" s="130"/>
    </row>
    <row r="143" spans="1:16" s="1" customFormat="1" ht="61.5" customHeight="1">
      <c r="A143" s="840"/>
      <c r="B143" s="809"/>
      <c r="C143" s="548"/>
      <c r="D143" s="474" t="s">
        <v>443</v>
      </c>
      <c r="E143" s="406" t="s">
        <v>444</v>
      </c>
      <c r="F143" s="398">
        <v>1</v>
      </c>
      <c r="G143" s="679">
        <f>+'Anexo 1 Matriz SINA Inf Gestión'!E106</f>
        <v>0.9</v>
      </c>
      <c r="H143" s="446">
        <f>+'Anexo 1 Matriz SINA Inf Gestión'!M106</f>
        <v>85217780</v>
      </c>
      <c r="I143" s="446">
        <f>+'Anexo 1 Matriz SINA Inf Gestión'!N106</f>
        <v>77187780</v>
      </c>
      <c r="J143" s="75">
        <f t="shared" si="10"/>
        <v>8030000</v>
      </c>
      <c r="K143" s="462"/>
      <c r="L143" s="462"/>
      <c r="M143" s="134"/>
      <c r="N143" s="134"/>
      <c r="O143" s="135"/>
      <c r="P143" s="130"/>
    </row>
    <row r="144" spans="1:16" s="1" customFormat="1" ht="25.5" customHeight="1">
      <c r="A144" s="840"/>
      <c r="B144" s="809"/>
      <c r="C144" s="548"/>
      <c r="D144" s="474" t="s">
        <v>446</v>
      </c>
      <c r="E144" s="406" t="s">
        <v>192</v>
      </c>
      <c r="F144" s="398">
        <v>1</v>
      </c>
      <c r="G144" s="679">
        <f>+'Anexo 1 Matriz SINA Inf Gestión'!E108</f>
        <v>1</v>
      </c>
      <c r="H144" s="569">
        <v>0</v>
      </c>
      <c r="I144" s="569">
        <v>0</v>
      </c>
      <c r="J144" s="75">
        <f t="shared" si="10"/>
        <v>0</v>
      </c>
      <c r="K144" s="462"/>
      <c r="L144" s="462"/>
      <c r="M144" s="134"/>
      <c r="N144" s="134"/>
      <c r="O144" s="135"/>
      <c r="P144" s="130"/>
    </row>
    <row r="145" spans="1:18" s="1" customFormat="1" ht="35.25" customHeight="1">
      <c r="A145" s="840"/>
      <c r="B145" s="809"/>
      <c r="C145" s="548"/>
      <c r="D145" s="470" t="s">
        <v>515</v>
      </c>
      <c r="E145" s="406" t="s">
        <v>516</v>
      </c>
      <c r="F145" s="398" t="s">
        <v>519</v>
      </c>
      <c r="G145" s="518" t="s">
        <v>519</v>
      </c>
      <c r="H145" s="446">
        <f>+'Anexo 1 Matriz SINA Inf Gestión'!M110</f>
        <v>4601854</v>
      </c>
      <c r="I145" s="446">
        <f>+'Anexo 1 Matriz SINA Inf Gestión'!N110</f>
        <v>4601854</v>
      </c>
      <c r="J145" s="75">
        <f t="shared" si="10"/>
        <v>0</v>
      </c>
      <c r="K145" s="462"/>
      <c r="L145" s="462"/>
      <c r="M145" s="134"/>
      <c r="N145" s="134"/>
      <c r="O145" s="135"/>
      <c r="P145" s="130"/>
    </row>
    <row r="146" spans="1:18" s="1" customFormat="1" ht="15">
      <c r="A146" s="840"/>
      <c r="B146" s="809"/>
      <c r="C146" s="556"/>
      <c r="D146" s="800" t="s">
        <v>320</v>
      </c>
      <c r="E146" s="801"/>
      <c r="F146" s="801"/>
      <c r="G146" s="802"/>
      <c r="H146" s="469">
        <f>SUM(H140:H145)</f>
        <v>846724803.79999995</v>
      </c>
      <c r="I146" s="446"/>
      <c r="J146" s="826">
        <f>+H146-I147</f>
        <v>42790291.799999952</v>
      </c>
      <c r="K146" s="488">
        <v>21</v>
      </c>
      <c r="L146" s="462"/>
      <c r="M146" s="134"/>
      <c r="N146" s="134"/>
      <c r="O146" s="135"/>
      <c r="P146" s="130"/>
    </row>
    <row r="147" spans="1:18" s="144" customFormat="1" ht="19.5" customHeight="1">
      <c r="A147" s="840"/>
      <c r="B147" s="809"/>
      <c r="C147" s="556"/>
      <c r="D147" s="800" t="s">
        <v>321</v>
      </c>
      <c r="E147" s="801"/>
      <c r="F147" s="801"/>
      <c r="G147" s="801"/>
      <c r="H147" s="802"/>
      <c r="I147" s="469">
        <f>SUM(I140:I146)</f>
        <v>803934512</v>
      </c>
      <c r="J147" s="826"/>
      <c r="K147" s="136">
        <v>8.7142857142857135</v>
      </c>
      <c r="L147" s="136"/>
      <c r="M147" s="137">
        <v>70091</v>
      </c>
      <c r="N147" s="137"/>
      <c r="O147" s="137">
        <v>413662</v>
      </c>
      <c r="P147" s="36"/>
    </row>
    <row r="148" spans="1:18" s="144" customFormat="1" ht="19.5" customHeight="1">
      <c r="A148" s="840"/>
      <c r="B148" s="809"/>
      <c r="C148" s="556"/>
      <c r="D148" s="800" t="s">
        <v>322</v>
      </c>
      <c r="E148" s="801"/>
      <c r="F148" s="801"/>
      <c r="G148" s="801"/>
      <c r="H148" s="802"/>
      <c r="I148" s="445">
        <f>+'Anexo 1 Matriz SINA Inf Gestión'!O101/100</f>
        <v>0.94946375539258776</v>
      </c>
      <c r="J148" s="826"/>
      <c r="K148" s="136"/>
      <c r="L148" s="136"/>
      <c r="M148" s="137"/>
      <c r="N148" s="137"/>
      <c r="O148" s="137"/>
      <c r="P148" s="36"/>
    </row>
    <row r="149" spans="1:18" s="144" customFormat="1" ht="19.5" customHeight="1">
      <c r="A149" s="840"/>
      <c r="B149" s="809"/>
      <c r="C149" s="556"/>
      <c r="D149" s="800" t="s">
        <v>567</v>
      </c>
      <c r="E149" s="801"/>
      <c r="F149" s="801"/>
      <c r="G149" s="801"/>
      <c r="H149" s="802"/>
      <c r="I149" s="686">
        <f>+'Anexo 1 Matriz SINA Inf Gestión'!F101/100</f>
        <v>0.92</v>
      </c>
      <c r="J149" s="826"/>
      <c r="K149" s="136"/>
      <c r="L149" s="136"/>
      <c r="M149" s="137"/>
      <c r="N149" s="137"/>
      <c r="O149" s="137"/>
      <c r="P149" s="36"/>
    </row>
    <row r="150" spans="1:18" s="144" customFormat="1" ht="37.5" customHeight="1">
      <c r="A150" s="840"/>
      <c r="B150" s="806" t="s">
        <v>307</v>
      </c>
      <c r="C150" s="551"/>
      <c r="D150" s="551"/>
      <c r="E150" s="807" t="s">
        <v>96</v>
      </c>
      <c r="F150" s="807" t="s">
        <v>309</v>
      </c>
      <c r="G150" s="807"/>
      <c r="H150" s="821" t="s">
        <v>310</v>
      </c>
      <c r="I150" s="821"/>
      <c r="J150" s="822"/>
      <c r="K150" s="136"/>
      <c r="L150" s="136"/>
      <c r="M150" s="137"/>
      <c r="N150" s="137"/>
      <c r="O150" s="137"/>
      <c r="P150" s="36"/>
    </row>
    <row r="151" spans="1:18" s="144" customFormat="1" ht="46.9" customHeight="1">
      <c r="A151" s="840"/>
      <c r="B151" s="806"/>
      <c r="C151" s="551"/>
      <c r="D151" s="549" t="s">
        <v>542</v>
      </c>
      <c r="E151" s="807"/>
      <c r="F151" s="466" t="s">
        <v>311</v>
      </c>
      <c r="G151" s="604" t="s">
        <v>312</v>
      </c>
      <c r="H151" s="467" t="s">
        <v>313</v>
      </c>
      <c r="I151" s="553" t="s">
        <v>314</v>
      </c>
      <c r="J151" s="554" t="s">
        <v>315</v>
      </c>
      <c r="K151" s="136"/>
      <c r="L151" s="136"/>
      <c r="M151" s="137"/>
      <c r="N151" s="137"/>
      <c r="O151" s="137"/>
      <c r="P151" s="36"/>
    </row>
    <row r="152" spans="1:18" s="144" customFormat="1" ht="36.75" customHeight="1">
      <c r="A152" s="840"/>
      <c r="B152" s="808" t="s">
        <v>531</v>
      </c>
      <c r="C152" s="344"/>
      <c r="D152" s="440" t="s">
        <v>448</v>
      </c>
      <c r="E152" s="406" t="s">
        <v>1</v>
      </c>
      <c r="F152" s="398">
        <v>100</v>
      </c>
      <c r="G152" s="722">
        <f>+'Anexo 1 Matriz SINA Inf Gestión'!E112</f>
        <v>90</v>
      </c>
      <c r="H152" s="471">
        <f>+'Anexo 1 Matriz SINA Inf Gestión'!M112</f>
        <v>0</v>
      </c>
      <c r="I152" s="471"/>
      <c r="J152" s="75">
        <f>+H152-I152</f>
        <v>0</v>
      </c>
      <c r="K152" s="136"/>
      <c r="L152" s="136"/>
      <c r="M152" s="137"/>
      <c r="N152" s="137"/>
      <c r="O152" s="137"/>
      <c r="P152" s="36"/>
      <c r="Q152" s="144">
        <v>0.25</v>
      </c>
      <c r="R152" s="144">
        <v>66</v>
      </c>
    </row>
    <row r="153" spans="1:18" s="144" customFormat="1" ht="15">
      <c r="A153" s="840"/>
      <c r="B153" s="809"/>
      <c r="C153" s="552"/>
      <c r="D153" s="477" t="s">
        <v>449</v>
      </c>
      <c r="E153" s="406" t="s">
        <v>495</v>
      </c>
      <c r="F153" s="398">
        <v>1</v>
      </c>
      <c r="G153" s="682">
        <f>+'Anexo 1 Matriz SINA Inf Gestión'!E113</f>
        <v>0.9</v>
      </c>
      <c r="H153" s="471">
        <f>+'Anexo 1 Matriz SINA Inf Gestión'!M113</f>
        <v>1117227105</v>
      </c>
      <c r="I153" s="471">
        <f>+'Anexo 1 Matriz SINA Inf Gestión'!N113</f>
        <v>740347878.5</v>
      </c>
      <c r="J153" s="75">
        <f t="shared" ref="J153:J156" si="11">+H153-I153</f>
        <v>376879226.5</v>
      </c>
      <c r="K153" s="136"/>
      <c r="L153" s="136"/>
      <c r="M153" s="137"/>
      <c r="N153" s="137"/>
      <c r="O153" s="137"/>
      <c r="P153" s="36"/>
      <c r="Q153" s="144">
        <v>25</v>
      </c>
      <c r="R153" s="144">
        <v>37.5</v>
      </c>
    </row>
    <row r="154" spans="1:18" s="144" customFormat="1" ht="28.5">
      <c r="A154" s="840"/>
      <c r="B154" s="809"/>
      <c r="C154" s="552"/>
      <c r="D154" s="437" t="s">
        <v>452</v>
      </c>
      <c r="E154" s="406" t="s">
        <v>496</v>
      </c>
      <c r="F154" s="398">
        <v>1</v>
      </c>
      <c r="G154" s="682">
        <f>+'Anexo 1 Matriz SINA Inf Gestión'!E115</f>
        <v>0.9</v>
      </c>
      <c r="H154" s="471">
        <f>+'Anexo 1 Matriz SINA Inf Gestión'!M115</f>
        <v>210067174.09199998</v>
      </c>
      <c r="I154" s="471">
        <f>+'Anexo 1 Matriz SINA Inf Gestión'!N115</f>
        <v>168476520.40000001</v>
      </c>
      <c r="J154" s="75">
        <f t="shared" si="11"/>
        <v>41590653.691999972</v>
      </c>
      <c r="K154" s="136"/>
      <c r="L154" s="136"/>
      <c r="M154" s="145"/>
      <c r="N154" s="137"/>
      <c r="O154" s="137"/>
      <c r="P154" s="36"/>
    </row>
    <row r="155" spans="1:18" s="144" customFormat="1" ht="43.5" thickBot="1">
      <c r="A155" s="840"/>
      <c r="B155" s="809"/>
      <c r="C155" s="552"/>
      <c r="D155" s="489" t="s">
        <v>453</v>
      </c>
      <c r="E155" s="406" t="s">
        <v>192</v>
      </c>
      <c r="F155" s="398">
        <v>1</v>
      </c>
      <c r="G155" s="682">
        <f>+'Anexo 1 Matriz SINA Inf Gestión'!E115</f>
        <v>0.9</v>
      </c>
      <c r="H155" s="471">
        <f>+'Anexo 1 Matriz SINA Inf Gestión'!M116</f>
        <v>307547804</v>
      </c>
      <c r="I155" s="471">
        <f>+'Anexo 1 Matriz SINA Inf Gestión'!N116</f>
        <v>303707434</v>
      </c>
      <c r="J155" s="75">
        <f t="shared" si="11"/>
        <v>3840370</v>
      </c>
      <c r="K155" s="136"/>
      <c r="L155" s="136"/>
      <c r="M155" s="145"/>
      <c r="N155" s="137"/>
      <c r="O155" s="137"/>
      <c r="P155" s="36"/>
    </row>
    <row r="156" spans="1:18" s="144" customFormat="1" ht="66" customHeight="1">
      <c r="A156" s="840"/>
      <c r="B156" s="809"/>
      <c r="C156" s="552"/>
      <c r="D156" s="470" t="s">
        <v>515</v>
      </c>
      <c r="E156" s="406" t="s">
        <v>516</v>
      </c>
      <c r="F156" s="398" t="s">
        <v>519</v>
      </c>
      <c r="G156" s="518" t="s">
        <v>519</v>
      </c>
      <c r="H156" s="471">
        <f>+'Anexo 1 Matriz SINA Inf Gestión'!M117</f>
        <v>40157917</v>
      </c>
      <c r="I156" s="471">
        <f>+'Anexo 1 Matriz SINA Inf Gestión'!N117</f>
        <v>40157917</v>
      </c>
      <c r="J156" s="75">
        <f t="shared" si="11"/>
        <v>0</v>
      </c>
      <c r="K156" s="136"/>
      <c r="L156" s="136"/>
      <c r="M156" s="145"/>
      <c r="N156" s="137"/>
      <c r="O156" s="137"/>
      <c r="P156" s="36"/>
    </row>
    <row r="157" spans="1:18" s="144" customFormat="1" ht="15">
      <c r="A157" s="840"/>
      <c r="B157" s="809"/>
      <c r="C157" s="552"/>
      <c r="D157" s="800" t="s">
        <v>320</v>
      </c>
      <c r="E157" s="801"/>
      <c r="F157" s="801"/>
      <c r="G157" s="802"/>
      <c r="H157" s="469">
        <f>SUM(H152:H156)</f>
        <v>1675000000.092</v>
      </c>
      <c r="J157" s="531"/>
      <c r="K157" s="146"/>
      <c r="L157" s="136"/>
      <c r="M157" s="136"/>
      <c r="N157" s="137"/>
      <c r="O157" s="137"/>
      <c r="P157" s="386"/>
    </row>
    <row r="158" spans="1:18" s="144" customFormat="1" ht="18" customHeight="1">
      <c r="A158" s="840"/>
      <c r="B158" s="809"/>
      <c r="C158" s="560"/>
      <c r="D158" s="800" t="s">
        <v>321</v>
      </c>
      <c r="E158" s="801"/>
      <c r="F158" s="801"/>
      <c r="G158" s="801"/>
      <c r="H158" s="802"/>
      <c r="I158" s="469">
        <f>SUM(I152:I157)</f>
        <v>1252689749.9000001</v>
      </c>
      <c r="J158" s="531">
        <f>+H157-I158</f>
        <v>422310250.19199991</v>
      </c>
      <c r="K158" s="146"/>
      <c r="L158" s="136"/>
      <c r="M158" s="136"/>
      <c r="N158" s="137"/>
      <c r="O158" s="137"/>
      <c r="P158" s="386"/>
      <c r="R158" s="136"/>
    </row>
    <row r="159" spans="1:18" s="144" customFormat="1" ht="18" customHeight="1" thickBot="1">
      <c r="A159" s="840"/>
      <c r="B159" s="809"/>
      <c r="C159" s="552"/>
      <c r="D159" s="861" t="s">
        <v>546</v>
      </c>
      <c r="E159" s="862"/>
      <c r="F159" s="862"/>
      <c r="G159" s="862"/>
      <c r="H159" s="863"/>
      <c r="I159" s="445">
        <f>+'Anexo 1 Matriz SINA Inf Gestión'!O111/100</f>
        <v>0.74787447751116143</v>
      </c>
      <c r="J159" s="532"/>
      <c r="K159" s="143"/>
      <c r="L159" s="136"/>
      <c r="M159" s="136"/>
      <c r="N159" s="137"/>
      <c r="O159" s="137"/>
      <c r="P159" s="386"/>
      <c r="R159" s="136"/>
    </row>
    <row r="160" spans="1:18" s="144" customFormat="1" ht="18" customHeight="1" thickBot="1">
      <c r="A160" s="840"/>
      <c r="B160" s="809"/>
      <c r="C160" s="552"/>
      <c r="D160" s="800" t="s">
        <v>527</v>
      </c>
      <c r="E160" s="801"/>
      <c r="F160" s="801"/>
      <c r="G160" s="801"/>
      <c r="H160" s="802"/>
      <c r="I160" s="529">
        <f>+'Anexo 1 Matriz SINA Inf Gestión'!F111/100</f>
        <v>0.9</v>
      </c>
      <c r="J160" s="532"/>
      <c r="K160" s="143"/>
      <c r="L160" s="136"/>
      <c r="M160" s="136"/>
      <c r="N160" s="137"/>
      <c r="O160" s="137"/>
      <c r="P160" s="386"/>
      <c r="R160" s="136"/>
    </row>
    <row r="161" spans="1:16" ht="18" customHeight="1" thickBot="1">
      <c r="A161" s="813" t="s">
        <v>571</v>
      </c>
      <c r="B161" s="814"/>
      <c r="C161" s="814"/>
      <c r="D161" s="814"/>
      <c r="E161" s="814"/>
      <c r="F161" s="814"/>
      <c r="G161" s="814"/>
      <c r="H161" s="815"/>
      <c r="I161" s="687">
        <f>+'Anexo 1 Matriz SINA Inf Gestión'!M118</f>
        <v>28214806442.086906</v>
      </c>
      <c r="J161" s="823">
        <f>+I161-I162</f>
        <v>5803004687.5429077</v>
      </c>
    </row>
    <row r="162" spans="1:16" ht="18" customHeight="1" thickBot="1">
      <c r="A162" s="816" t="s">
        <v>572</v>
      </c>
      <c r="B162" s="817"/>
      <c r="C162" s="817"/>
      <c r="D162" s="817"/>
      <c r="E162" s="817"/>
      <c r="F162" s="817"/>
      <c r="G162" s="817"/>
      <c r="H162" s="817"/>
      <c r="I162" s="700">
        <f>+'Anexo 1 Matriz SINA Inf Gestión'!N118</f>
        <v>22411801754.543999</v>
      </c>
      <c r="J162" s="824"/>
    </row>
    <row r="163" spans="1:16" ht="18" customHeight="1" thickBot="1">
      <c r="A163" s="810" t="s">
        <v>573</v>
      </c>
      <c r="B163" s="811"/>
      <c r="C163" s="811"/>
      <c r="D163" s="811"/>
      <c r="E163" s="811"/>
      <c r="F163" s="811"/>
      <c r="G163" s="811"/>
      <c r="H163" s="812"/>
      <c r="I163" s="701">
        <f>+'Anexo 1 Matriz SINA Inf Gestión'!O118/100</f>
        <v>0.79432768041652069</v>
      </c>
      <c r="J163" s="824"/>
    </row>
    <row r="164" spans="1:16" ht="18" customHeight="1" thickBot="1">
      <c r="A164" s="803" t="s">
        <v>528</v>
      </c>
      <c r="B164" s="804"/>
      <c r="C164" s="804"/>
      <c r="D164" s="804"/>
      <c r="E164" s="804"/>
      <c r="F164" s="804"/>
      <c r="G164" s="804"/>
      <c r="H164" s="805"/>
      <c r="I164" s="702">
        <f>+'Anexo 1 Matriz SINA Inf Gestión'!F118/100</f>
        <v>0.90675845523225929</v>
      </c>
      <c r="J164" s="825"/>
    </row>
    <row r="165" spans="1:16" s="1" customFormat="1">
      <c r="A165" s="674"/>
      <c r="B165" s="675"/>
      <c r="C165" s="675"/>
      <c r="D165" s="674"/>
      <c r="E165" s="674"/>
      <c r="F165" s="675"/>
      <c r="G165" s="676"/>
      <c r="H165" s="677"/>
      <c r="I165" s="677"/>
      <c r="J165" s="677"/>
      <c r="K165" s="462"/>
      <c r="L165" s="462"/>
      <c r="M165" s="671"/>
      <c r="N165" s="671"/>
      <c r="O165" s="671"/>
      <c r="P165" s="671"/>
    </row>
    <row r="166" spans="1:16" s="1" customFormat="1">
      <c r="A166" s="674"/>
      <c r="B166" s="675"/>
      <c r="C166" s="675"/>
      <c r="D166" s="674"/>
      <c r="E166" s="674"/>
      <c r="F166" s="675"/>
      <c r="G166" s="676"/>
      <c r="H166" s="677"/>
      <c r="I166" s="677"/>
      <c r="J166" s="677"/>
      <c r="K166" s="462"/>
      <c r="L166" s="462"/>
      <c r="M166" s="671"/>
      <c r="N166" s="671"/>
      <c r="O166" s="671"/>
      <c r="P166" s="671"/>
    </row>
    <row r="167" spans="1:16" s="1" customFormat="1">
      <c r="A167" s="674"/>
      <c r="B167" s="675"/>
      <c r="C167" s="675"/>
      <c r="D167" s="674"/>
      <c r="E167" s="674"/>
      <c r="F167" s="675"/>
      <c r="G167" s="676"/>
      <c r="H167" s="677"/>
      <c r="I167" s="677"/>
      <c r="J167" s="677"/>
      <c r="K167" s="462"/>
      <c r="L167" s="462"/>
      <c r="M167" s="671"/>
      <c r="N167" s="671"/>
      <c r="O167" s="671"/>
      <c r="P167" s="671"/>
    </row>
    <row r="168" spans="1:16" s="1" customFormat="1">
      <c r="A168" s="674"/>
      <c r="B168" s="675"/>
      <c r="C168" s="675"/>
      <c r="D168" s="674"/>
      <c r="E168" s="674"/>
      <c r="F168" s="675"/>
      <c r="G168" s="676"/>
      <c r="H168" s="677"/>
      <c r="I168" s="677"/>
      <c r="J168" s="677"/>
      <c r="K168" s="462">
        <v>22411801755</v>
      </c>
      <c r="L168" s="462"/>
      <c r="M168" s="671"/>
      <c r="N168" s="671"/>
      <c r="O168" s="671"/>
      <c r="P168" s="671"/>
    </row>
    <row r="169" spans="1:16" s="1" customFormat="1">
      <c r="A169" s="674"/>
      <c r="B169" s="675"/>
      <c r="C169" s="675"/>
      <c r="D169" s="674"/>
      <c r="E169" s="674"/>
      <c r="F169" s="675"/>
      <c r="G169" s="676"/>
      <c r="H169" s="677"/>
      <c r="I169" s="677"/>
      <c r="J169" s="677"/>
      <c r="K169" s="462"/>
      <c r="L169" s="462"/>
      <c r="M169" s="671"/>
      <c r="N169" s="671"/>
      <c r="O169" s="671"/>
      <c r="P169" s="671"/>
    </row>
    <row r="170" spans="1:16" s="1" customFormat="1">
      <c r="A170" s="674"/>
      <c r="B170" s="675"/>
      <c r="C170" s="675"/>
      <c r="D170" s="674"/>
      <c r="E170" s="674"/>
      <c r="F170" s="675"/>
      <c r="G170" s="676"/>
      <c r="H170" s="677"/>
      <c r="I170" s="713"/>
      <c r="J170" s="677"/>
      <c r="K170" s="462"/>
      <c r="L170" s="462"/>
      <c r="M170" s="671"/>
      <c r="N170" s="671"/>
      <c r="O170" s="671"/>
      <c r="P170" s="671"/>
    </row>
    <row r="171" spans="1:16" s="1" customFormat="1">
      <c r="A171" s="674"/>
      <c r="B171" s="675"/>
      <c r="C171" s="675"/>
      <c r="D171" s="674"/>
      <c r="E171" s="674"/>
      <c r="F171" s="675"/>
      <c r="G171" s="676"/>
      <c r="H171" s="677"/>
      <c r="I171" s="713"/>
      <c r="J171" s="677"/>
      <c r="K171" s="462"/>
      <c r="L171" s="462"/>
      <c r="M171" s="671"/>
      <c r="N171" s="671"/>
      <c r="O171" s="671"/>
      <c r="P171" s="671"/>
    </row>
    <row r="172" spans="1:16" s="1" customFormat="1">
      <c r="A172" s="674"/>
      <c r="B172" s="675"/>
      <c r="C172" s="675"/>
      <c r="D172" s="674"/>
      <c r="E172" s="674"/>
      <c r="F172" s="675"/>
      <c r="G172" s="676"/>
      <c r="H172" s="677"/>
      <c r="I172" s="677"/>
      <c r="J172" s="677"/>
      <c r="K172" s="462"/>
      <c r="L172" s="462"/>
      <c r="M172" s="671"/>
      <c r="N172" s="671"/>
      <c r="O172" s="671"/>
      <c r="P172" s="671"/>
    </row>
    <row r="173" spans="1:16" s="1" customFormat="1">
      <c r="A173" s="674"/>
      <c r="B173" s="675"/>
      <c r="C173" s="675"/>
      <c r="D173" s="674"/>
      <c r="E173" s="674"/>
      <c r="F173" s="675"/>
      <c r="G173" s="676"/>
      <c r="H173" s="677"/>
      <c r="I173" s="677"/>
      <c r="J173" s="677"/>
      <c r="K173" s="462"/>
      <c r="L173" s="462"/>
      <c r="M173" s="671"/>
      <c r="N173" s="671"/>
      <c r="O173" s="671"/>
      <c r="P173" s="671"/>
    </row>
    <row r="174" spans="1:16" s="1" customFormat="1">
      <c r="A174" s="674"/>
      <c r="B174" s="675"/>
      <c r="C174" s="675"/>
      <c r="D174" s="674"/>
      <c r="E174" s="674"/>
      <c r="F174" s="675"/>
      <c r="G174" s="676"/>
      <c r="H174" s="677"/>
      <c r="I174" s="677"/>
      <c r="J174" s="677"/>
      <c r="K174" s="462"/>
      <c r="L174" s="462"/>
      <c r="M174" s="671"/>
      <c r="N174" s="671"/>
      <c r="O174" s="671"/>
      <c r="P174" s="671"/>
    </row>
    <row r="175" spans="1:16" s="1" customFormat="1">
      <c r="A175" s="674"/>
      <c r="B175" s="675"/>
      <c r="C175" s="675"/>
      <c r="D175" s="674"/>
      <c r="E175" s="674"/>
      <c r="F175" s="675"/>
      <c r="G175" s="676"/>
      <c r="H175" s="677"/>
      <c r="I175" s="677"/>
      <c r="J175" s="677"/>
      <c r="K175" s="462"/>
      <c r="L175" s="462"/>
      <c r="M175" s="671"/>
      <c r="N175" s="671"/>
      <c r="O175" s="671"/>
      <c r="P175" s="671"/>
    </row>
    <row r="176" spans="1:16" s="1" customFormat="1">
      <c r="A176" s="674"/>
      <c r="B176" s="675"/>
      <c r="C176" s="675"/>
      <c r="D176" s="674"/>
      <c r="E176" s="674"/>
      <c r="F176" s="675"/>
      <c r="G176" s="676"/>
      <c r="H176" s="677"/>
      <c r="I176" s="677"/>
      <c r="J176" s="677"/>
      <c r="K176" s="462"/>
      <c r="L176" s="462"/>
      <c r="M176" s="671"/>
      <c r="N176" s="671"/>
      <c r="O176" s="671"/>
      <c r="P176" s="671"/>
    </row>
    <row r="177" spans="1:16" s="1" customFormat="1">
      <c r="A177" s="674"/>
      <c r="B177" s="675"/>
      <c r="C177" s="675"/>
      <c r="D177" s="674"/>
      <c r="E177" s="674"/>
      <c r="F177" s="675"/>
      <c r="G177" s="676"/>
      <c r="H177" s="677"/>
      <c r="I177" s="677"/>
      <c r="J177" s="677"/>
      <c r="K177" s="462"/>
      <c r="L177" s="462"/>
      <c r="M177" s="671"/>
      <c r="N177" s="671"/>
      <c r="O177" s="671"/>
      <c r="P177" s="671"/>
    </row>
    <row r="178" spans="1:16" s="1" customFormat="1">
      <c r="A178" s="674"/>
      <c r="B178" s="675"/>
      <c r="C178" s="675"/>
      <c r="D178" s="674"/>
      <c r="E178" s="674"/>
      <c r="F178" s="675"/>
      <c r="G178" s="676"/>
      <c r="H178" s="677"/>
      <c r="I178" s="677"/>
      <c r="J178" s="677"/>
      <c r="K178" s="462"/>
      <c r="L178" s="462"/>
      <c r="M178" s="671"/>
      <c r="N178" s="671"/>
      <c r="O178" s="671"/>
      <c r="P178" s="671"/>
    </row>
    <row r="179" spans="1:16" s="1" customFormat="1">
      <c r="A179" s="674"/>
      <c r="B179" s="675"/>
      <c r="C179" s="675"/>
      <c r="D179" s="674"/>
      <c r="E179" s="674"/>
      <c r="F179" s="675"/>
      <c r="G179" s="676"/>
      <c r="H179" s="677"/>
      <c r="I179" s="677"/>
      <c r="J179" s="677"/>
      <c r="K179" s="462"/>
      <c r="L179" s="462"/>
      <c r="M179" s="671"/>
      <c r="N179" s="671"/>
      <c r="O179" s="671"/>
      <c r="P179" s="671"/>
    </row>
    <row r="180" spans="1:16" s="1" customFormat="1">
      <c r="A180" s="674"/>
      <c r="B180" s="675"/>
      <c r="C180" s="675"/>
      <c r="D180" s="674"/>
      <c r="E180" s="674"/>
      <c r="F180" s="675"/>
      <c r="G180" s="676"/>
      <c r="H180" s="677"/>
      <c r="I180" s="677"/>
      <c r="J180" s="677"/>
      <c r="K180" s="462"/>
      <c r="L180" s="462"/>
      <c r="M180" s="671"/>
      <c r="N180" s="671"/>
      <c r="O180" s="671"/>
      <c r="P180" s="671"/>
    </row>
    <row r="181" spans="1:16" s="1" customFormat="1">
      <c r="A181" s="674"/>
      <c r="B181" s="675"/>
      <c r="C181" s="675"/>
      <c r="D181" s="674"/>
      <c r="E181" s="674"/>
      <c r="F181" s="675"/>
      <c r="G181" s="676"/>
      <c r="H181" s="677"/>
      <c r="I181" s="677"/>
      <c r="J181" s="677"/>
      <c r="K181" s="462"/>
      <c r="L181" s="462"/>
      <c r="M181" s="671"/>
      <c r="N181" s="671"/>
      <c r="O181" s="671"/>
      <c r="P181" s="671"/>
    </row>
    <row r="182" spans="1:16" s="1" customFormat="1">
      <c r="A182" s="674"/>
      <c r="B182" s="675"/>
      <c r="C182" s="675"/>
      <c r="D182" s="674"/>
      <c r="E182" s="674"/>
      <c r="F182" s="675"/>
      <c r="G182" s="676"/>
      <c r="H182" s="677"/>
      <c r="I182" s="677"/>
      <c r="J182" s="677"/>
      <c r="K182" s="462"/>
      <c r="L182" s="462"/>
      <c r="M182" s="671"/>
      <c r="N182" s="671"/>
      <c r="O182" s="671"/>
      <c r="P182" s="671"/>
    </row>
    <row r="183" spans="1:16" s="1" customFormat="1">
      <c r="A183" s="674"/>
      <c r="B183" s="675"/>
      <c r="C183" s="675"/>
      <c r="D183" s="674"/>
      <c r="E183" s="674"/>
      <c r="F183" s="675"/>
      <c r="G183" s="676"/>
      <c r="H183" s="677"/>
      <c r="I183" s="677"/>
      <c r="J183" s="677"/>
      <c r="K183" s="462"/>
      <c r="L183" s="462"/>
      <c r="M183" s="671"/>
      <c r="N183" s="671"/>
      <c r="O183" s="671"/>
      <c r="P183" s="671"/>
    </row>
    <row r="184" spans="1:16" s="1" customFormat="1">
      <c r="A184" s="674"/>
      <c r="B184" s="675"/>
      <c r="C184" s="675"/>
      <c r="D184" s="674"/>
      <c r="E184" s="674"/>
      <c r="F184" s="675"/>
      <c r="G184" s="676"/>
      <c r="H184" s="677"/>
      <c r="I184" s="677"/>
      <c r="J184" s="677"/>
      <c r="K184" s="462"/>
      <c r="L184" s="462"/>
      <c r="M184" s="671"/>
      <c r="N184" s="671"/>
      <c r="O184" s="671"/>
      <c r="P184" s="671"/>
    </row>
    <row r="185" spans="1:16" s="1" customFormat="1">
      <c r="A185" s="674"/>
      <c r="B185" s="675"/>
      <c r="C185" s="675"/>
      <c r="D185" s="674"/>
      <c r="E185" s="674"/>
      <c r="F185" s="675"/>
      <c r="G185" s="676"/>
      <c r="H185" s="677"/>
      <c r="I185" s="677"/>
      <c r="J185" s="677"/>
      <c r="K185" s="462"/>
      <c r="L185" s="462"/>
      <c r="M185" s="671"/>
      <c r="N185" s="671"/>
      <c r="O185" s="671"/>
      <c r="P185" s="671"/>
    </row>
    <row r="186" spans="1:16" s="1" customFormat="1">
      <c r="A186" s="674"/>
      <c r="B186" s="675"/>
      <c r="C186" s="675"/>
      <c r="D186" s="674"/>
      <c r="E186" s="674"/>
      <c r="F186" s="675"/>
      <c r="G186" s="676"/>
      <c r="H186" s="677"/>
      <c r="I186" s="677"/>
      <c r="J186" s="677"/>
      <c r="K186" s="462"/>
      <c r="L186" s="462"/>
      <c r="M186" s="671"/>
      <c r="N186" s="671"/>
      <c r="O186" s="671"/>
      <c r="P186" s="671"/>
    </row>
    <row r="187" spans="1:16" s="1" customFormat="1">
      <c r="A187" s="674"/>
      <c r="B187" s="675"/>
      <c r="C187" s="675"/>
      <c r="D187" s="674"/>
      <c r="E187" s="674"/>
      <c r="F187" s="675"/>
      <c r="G187" s="676"/>
      <c r="H187" s="677"/>
      <c r="I187" s="677"/>
      <c r="J187" s="677"/>
      <c r="K187" s="462"/>
      <c r="L187" s="462"/>
      <c r="M187" s="671"/>
      <c r="N187" s="671"/>
      <c r="O187" s="671"/>
      <c r="P187" s="671"/>
    </row>
    <row r="188" spans="1:16" s="1" customFormat="1">
      <c r="A188" s="674"/>
      <c r="B188" s="675"/>
      <c r="C188" s="675"/>
      <c r="D188" s="674"/>
      <c r="E188" s="674"/>
      <c r="F188" s="675"/>
      <c r="G188" s="676"/>
      <c r="H188" s="677"/>
      <c r="I188" s="677"/>
      <c r="J188" s="677"/>
      <c r="K188" s="462"/>
      <c r="L188" s="462"/>
      <c r="M188" s="671"/>
      <c r="N188" s="671"/>
      <c r="O188" s="671"/>
      <c r="P188" s="671"/>
    </row>
    <row r="189" spans="1:16" s="1" customFormat="1">
      <c r="A189" s="674"/>
      <c r="B189" s="675"/>
      <c r="C189" s="675"/>
      <c r="D189" s="674"/>
      <c r="E189" s="674"/>
      <c r="F189" s="675"/>
      <c r="G189" s="676"/>
      <c r="H189" s="677"/>
      <c r="I189" s="677"/>
      <c r="J189" s="677"/>
      <c r="K189" s="462"/>
      <c r="L189" s="462"/>
      <c r="M189" s="671"/>
      <c r="N189" s="671"/>
      <c r="O189" s="671"/>
      <c r="P189" s="671"/>
    </row>
    <row r="190" spans="1:16" s="1" customFormat="1">
      <c r="A190" s="674"/>
      <c r="B190" s="675"/>
      <c r="C190" s="675"/>
      <c r="D190" s="674"/>
      <c r="E190" s="674"/>
      <c r="F190" s="675"/>
      <c r="G190" s="676"/>
      <c r="H190" s="677"/>
      <c r="I190" s="677"/>
      <c r="J190" s="677"/>
      <c r="K190" s="462"/>
      <c r="L190" s="462"/>
      <c r="M190" s="671"/>
      <c r="N190" s="671"/>
      <c r="O190" s="671"/>
      <c r="P190" s="671"/>
    </row>
    <row r="191" spans="1:16" s="1" customFormat="1">
      <c r="A191" s="674"/>
      <c r="B191" s="675"/>
      <c r="C191" s="675"/>
      <c r="D191" s="674"/>
      <c r="E191" s="674"/>
      <c r="F191" s="675"/>
      <c r="G191" s="676"/>
      <c r="H191" s="677"/>
      <c r="I191" s="677"/>
      <c r="J191" s="677"/>
      <c r="K191" s="462"/>
      <c r="L191" s="462"/>
      <c r="M191" s="671"/>
      <c r="N191" s="671"/>
      <c r="O191" s="671"/>
      <c r="P191" s="671"/>
    </row>
    <row r="192" spans="1:16" s="1" customFormat="1">
      <c r="A192" s="674"/>
      <c r="B192" s="675"/>
      <c r="C192" s="675"/>
      <c r="D192" s="674"/>
      <c r="E192" s="674"/>
      <c r="F192" s="675"/>
      <c r="G192" s="676"/>
      <c r="H192" s="677"/>
      <c r="I192" s="677"/>
      <c r="J192" s="677"/>
      <c r="K192" s="462"/>
      <c r="L192" s="462"/>
      <c r="M192" s="671"/>
      <c r="N192" s="671"/>
      <c r="O192" s="671"/>
      <c r="P192" s="671"/>
    </row>
    <row r="193" spans="1:16" s="1" customFormat="1">
      <c r="A193" s="674"/>
      <c r="B193" s="675"/>
      <c r="C193" s="675"/>
      <c r="D193" s="674"/>
      <c r="E193" s="674"/>
      <c r="F193" s="675"/>
      <c r="G193" s="676"/>
      <c r="H193" s="677"/>
      <c r="I193" s="677"/>
      <c r="J193" s="677"/>
      <c r="K193" s="462"/>
      <c r="L193" s="462"/>
      <c r="M193" s="671"/>
      <c r="N193" s="671"/>
      <c r="O193" s="671"/>
      <c r="P193" s="671"/>
    </row>
    <row r="194" spans="1:16" s="1" customFormat="1">
      <c r="A194" s="674"/>
      <c r="B194" s="675"/>
      <c r="C194" s="675"/>
      <c r="D194" s="674"/>
      <c r="E194" s="674"/>
      <c r="F194" s="675"/>
      <c r="G194" s="676"/>
      <c r="H194" s="677"/>
      <c r="I194" s="677"/>
      <c r="J194" s="677"/>
      <c r="K194" s="462"/>
      <c r="L194" s="462"/>
      <c r="M194" s="671"/>
      <c r="N194" s="671"/>
      <c r="O194" s="671"/>
      <c r="P194" s="671"/>
    </row>
    <row r="195" spans="1:16" s="1" customFormat="1">
      <c r="B195" s="458"/>
      <c r="C195" s="458"/>
      <c r="F195" s="458"/>
      <c r="G195" s="673"/>
      <c r="H195" s="148"/>
      <c r="I195" s="148"/>
      <c r="J195" s="148"/>
      <c r="K195" s="462"/>
      <c r="L195" s="462"/>
      <c r="M195" s="671"/>
      <c r="N195" s="671"/>
      <c r="O195" s="671"/>
      <c r="P195" s="671"/>
    </row>
    <row r="196" spans="1:16" s="1" customFormat="1">
      <c r="B196" s="458"/>
      <c r="C196" s="458"/>
      <c r="F196" s="458"/>
      <c r="G196" s="673"/>
      <c r="H196" s="148"/>
      <c r="I196" s="148"/>
      <c r="J196" s="148"/>
      <c r="K196" s="462"/>
      <c r="L196" s="462"/>
      <c r="M196" s="671"/>
      <c r="N196" s="671"/>
      <c r="O196" s="671"/>
      <c r="P196" s="671"/>
    </row>
    <row r="197" spans="1:16" s="1" customFormat="1">
      <c r="B197" s="458"/>
      <c r="C197" s="458"/>
      <c r="F197" s="458"/>
      <c r="G197" s="673"/>
      <c r="H197" s="148"/>
      <c r="I197" s="148"/>
      <c r="J197" s="148"/>
      <c r="K197" s="462"/>
      <c r="L197" s="462"/>
      <c r="M197" s="671"/>
      <c r="N197" s="671"/>
      <c r="O197" s="671"/>
      <c r="P197" s="671"/>
    </row>
    <row r="198" spans="1:16" s="1" customFormat="1">
      <c r="B198" s="458"/>
      <c r="C198" s="458"/>
      <c r="F198" s="458"/>
      <c r="G198" s="673"/>
      <c r="H198" s="148"/>
      <c r="I198" s="148"/>
      <c r="J198" s="148"/>
      <c r="K198" s="462"/>
      <c r="L198" s="462"/>
      <c r="M198" s="671"/>
      <c r="N198" s="671"/>
      <c r="O198" s="671"/>
      <c r="P198" s="671"/>
    </row>
    <row r="199" spans="1:16" s="1" customFormat="1">
      <c r="B199" s="458"/>
      <c r="C199" s="458"/>
      <c r="F199" s="458"/>
      <c r="G199" s="673"/>
      <c r="H199" s="148"/>
      <c r="I199" s="148"/>
      <c r="J199" s="148"/>
      <c r="K199" s="462"/>
      <c r="L199" s="462"/>
      <c r="M199" s="671"/>
      <c r="N199" s="671"/>
      <c r="O199" s="671"/>
      <c r="P199" s="671"/>
    </row>
    <row r="200" spans="1:16" s="1" customFormat="1">
      <c r="B200" s="458"/>
      <c r="C200" s="458"/>
      <c r="F200" s="458"/>
      <c r="G200" s="673"/>
      <c r="H200" s="148"/>
      <c r="I200" s="148"/>
      <c r="J200" s="148"/>
      <c r="K200" s="462"/>
      <c r="L200" s="462"/>
      <c r="M200" s="671"/>
      <c r="N200" s="671"/>
      <c r="O200" s="671"/>
      <c r="P200" s="671"/>
    </row>
    <row r="201" spans="1:16" s="1" customFormat="1">
      <c r="B201" s="458"/>
      <c r="C201" s="458"/>
      <c r="F201" s="458"/>
      <c r="G201" s="673"/>
      <c r="H201" s="148"/>
      <c r="I201" s="148"/>
      <c r="J201" s="148"/>
      <c r="K201" s="462"/>
      <c r="L201" s="462"/>
      <c r="M201" s="671"/>
      <c r="N201" s="671"/>
      <c r="O201" s="671"/>
      <c r="P201" s="671"/>
    </row>
    <row r="202" spans="1:16" s="1" customFormat="1">
      <c r="B202" s="458"/>
      <c r="C202" s="458"/>
      <c r="F202" s="458"/>
      <c r="G202" s="673"/>
      <c r="H202" s="148"/>
      <c r="I202" s="148"/>
      <c r="J202" s="148"/>
      <c r="K202" s="462"/>
      <c r="L202" s="462"/>
      <c r="M202" s="671"/>
      <c r="N202" s="671"/>
      <c r="O202" s="671"/>
      <c r="P202" s="671"/>
    </row>
    <row r="203" spans="1:16" s="1" customFormat="1">
      <c r="B203" s="458"/>
      <c r="C203" s="458"/>
      <c r="F203" s="458"/>
      <c r="G203" s="673"/>
      <c r="H203" s="148"/>
      <c r="I203" s="148"/>
      <c r="J203" s="148"/>
      <c r="K203" s="462"/>
      <c r="L203" s="462"/>
      <c r="M203" s="671"/>
      <c r="N203" s="671"/>
      <c r="O203" s="671"/>
      <c r="P203" s="671"/>
    </row>
    <row r="204" spans="1:16" s="1" customFormat="1">
      <c r="B204" s="458"/>
      <c r="C204" s="458"/>
      <c r="F204" s="458"/>
      <c r="G204" s="673"/>
      <c r="H204" s="148"/>
      <c r="I204" s="148"/>
      <c r="J204" s="148"/>
      <c r="K204" s="462"/>
      <c r="L204" s="462"/>
      <c r="M204" s="671"/>
      <c r="N204" s="671"/>
      <c r="O204" s="671"/>
      <c r="P204" s="671"/>
    </row>
    <row r="205" spans="1:16" s="1" customFormat="1">
      <c r="B205" s="458"/>
      <c r="C205" s="458"/>
      <c r="F205" s="458"/>
      <c r="G205" s="673"/>
      <c r="H205" s="148"/>
      <c r="I205" s="148"/>
      <c r="J205" s="148"/>
      <c r="K205" s="462"/>
      <c r="L205" s="462"/>
      <c r="M205" s="671"/>
      <c r="N205" s="671"/>
      <c r="O205" s="671"/>
      <c r="P205" s="671"/>
    </row>
    <row r="206" spans="1:16" s="1" customFormat="1">
      <c r="B206" s="458"/>
      <c r="C206" s="458"/>
      <c r="F206" s="458"/>
      <c r="G206" s="673"/>
      <c r="H206" s="148"/>
      <c r="I206" s="148"/>
      <c r="J206" s="148"/>
      <c r="K206" s="462"/>
      <c r="L206" s="462"/>
      <c r="M206" s="671"/>
      <c r="N206" s="671"/>
      <c r="O206" s="671"/>
      <c r="P206" s="671"/>
    </row>
    <row r="207" spans="1:16" s="1" customFormat="1">
      <c r="B207" s="458"/>
      <c r="C207" s="458"/>
      <c r="F207" s="458"/>
      <c r="G207" s="673"/>
      <c r="H207" s="148"/>
      <c r="I207" s="148"/>
      <c r="J207" s="148"/>
      <c r="K207" s="462"/>
      <c r="L207" s="462"/>
      <c r="M207" s="671"/>
      <c r="N207" s="671"/>
      <c r="O207" s="671"/>
      <c r="P207" s="671"/>
    </row>
    <row r="208" spans="1:16" s="1" customFormat="1">
      <c r="B208" s="458"/>
      <c r="C208" s="458"/>
      <c r="F208" s="458"/>
      <c r="G208" s="673"/>
      <c r="H208" s="148"/>
      <c r="I208" s="148"/>
      <c r="J208" s="148"/>
      <c r="K208" s="462"/>
      <c r="L208" s="462"/>
      <c r="M208" s="671"/>
      <c r="N208" s="671"/>
      <c r="O208" s="671"/>
      <c r="P208" s="671"/>
    </row>
    <row r="209" spans="2:16" s="1" customFormat="1">
      <c r="B209" s="458"/>
      <c r="C209" s="458"/>
      <c r="F209" s="458"/>
      <c r="G209" s="673"/>
      <c r="H209" s="148"/>
      <c r="I209" s="148"/>
      <c r="J209" s="148"/>
      <c r="K209" s="462"/>
      <c r="L209" s="462"/>
      <c r="M209" s="671"/>
      <c r="N209" s="671"/>
      <c r="O209" s="671"/>
      <c r="P209" s="671"/>
    </row>
    <row r="210" spans="2:16" s="1" customFormat="1">
      <c r="B210" s="458"/>
      <c r="C210" s="458"/>
      <c r="F210" s="458"/>
      <c r="G210" s="673"/>
      <c r="H210" s="148"/>
      <c r="I210" s="148"/>
      <c r="J210" s="148"/>
      <c r="K210" s="462"/>
      <c r="L210" s="462"/>
      <c r="M210" s="671"/>
      <c r="N210" s="671"/>
      <c r="O210" s="671"/>
      <c r="P210" s="671"/>
    </row>
    <row r="211" spans="2:16" s="1" customFormat="1">
      <c r="B211" s="458"/>
      <c r="C211" s="458"/>
      <c r="F211" s="458"/>
      <c r="G211" s="673"/>
      <c r="H211" s="148"/>
      <c r="I211" s="148"/>
      <c r="J211" s="148"/>
      <c r="K211" s="462"/>
      <c r="L211" s="462"/>
      <c r="M211" s="671"/>
      <c r="N211" s="671"/>
      <c r="O211" s="671"/>
      <c r="P211" s="671"/>
    </row>
    <row r="212" spans="2:16" s="1" customFormat="1">
      <c r="B212" s="458"/>
      <c r="C212" s="458"/>
      <c r="F212" s="458"/>
      <c r="G212" s="673"/>
      <c r="H212" s="148"/>
      <c r="I212" s="148"/>
      <c r="J212" s="148"/>
      <c r="K212" s="462"/>
      <c r="L212" s="462"/>
      <c r="M212" s="671"/>
      <c r="N212" s="671"/>
      <c r="O212" s="671"/>
      <c r="P212" s="671"/>
    </row>
    <row r="213" spans="2:16" s="1" customFormat="1">
      <c r="B213" s="458"/>
      <c r="C213" s="458"/>
      <c r="F213" s="458"/>
      <c r="G213" s="673"/>
      <c r="H213" s="148"/>
      <c r="I213" s="148"/>
      <c r="J213" s="148"/>
      <c r="K213" s="462"/>
      <c r="L213" s="462"/>
      <c r="M213" s="671"/>
      <c r="N213" s="671"/>
      <c r="O213" s="671"/>
      <c r="P213" s="671"/>
    </row>
    <row r="214" spans="2:16" s="1" customFormat="1">
      <c r="B214" s="458"/>
      <c r="C214" s="458"/>
      <c r="F214" s="458"/>
      <c r="G214" s="673"/>
      <c r="H214" s="148"/>
      <c r="I214" s="148"/>
      <c r="J214" s="148"/>
      <c r="K214" s="462"/>
      <c r="L214" s="462"/>
      <c r="M214" s="671"/>
      <c r="N214" s="671"/>
      <c r="O214" s="671"/>
      <c r="P214" s="671"/>
    </row>
    <row r="215" spans="2:16" s="1" customFormat="1">
      <c r="B215" s="458"/>
      <c r="C215" s="458"/>
      <c r="F215" s="458"/>
      <c r="G215" s="673"/>
      <c r="H215" s="148"/>
      <c r="I215" s="148"/>
      <c r="J215" s="148"/>
      <c r="K215" s="462"/>
      <c r="L215" s="462"/>
      <c r="M215" s="671"/>
      <c r="N215" s="671"/>
      <c r="O215" s="671"/>
      <c r="P215" s="671"/>
    </row>
    <row r="216" spans="2:16" s="1" customFormat="1">
      <c r="B216" s="458"/>
      <c r="C216" s="458"/>
      <c r="F216" s="458"/>
      <c r="G216" s="673"/>
      <c r="H216" s="148"/>
      <c r="I216" s="148"/>
      <c r="J216" s="148"/>
      <c r="K216" s="462"/>
      <c r="L216" s="462"/>
      <c r="M216" s="671"/>
      <c r="N216" s="671"/>
      <c r="O216" s="671"/>
      <c r="P216" s="671"/>
    </row>
    <row r="217" spans="2:16" s="1" customFormat="1">
      <c r="B217" s="458"/>
      <c r="C217" s="458"/>
      <c r="F217" s="458"/>
      <c r="G217" s="673"/>
      <c r="H217" s="148"/>
      <c r="I217" s="148"/>
      <c r="J217" s="148"/>
      <c r="K217" s="462"/>
      <c r="L217" s="462"/>
      <c r="M217" s="671"/>
      <c r="N217" s="671"/>
      <c r="O217" s="671"/>
      <c r="P217" s="671"/>
    </row>
    <row r="218" spans="2:16" s="1" customFormat="1">
      <c r="B218" s="458"/>
      <c r="C218" s="458"/>
      <c r="F218" s="458"/>
      <c r="G218" s="673"/>
      <c r="H218" s="148"/>
      <c r="I218" s="148"/>
      <c r="J218" s="148"/>
      <c r="K218" s="462"/>
      <c r="L218" s="462"/>
      <c r="M218" s="671"/>
      <c r="N218" s="671"/>
      <c r="O218" s="671"/>
      <c r="P218" s="671"/>
    </row>
    <row r="219" spans="2:16" s="1" customFormat="1">
      <c r="B219" s="458"/>
      <c r="C219" s="458"/>
      <c r="F219" s="458"/>
      <c r="G219" s="673"/>
      <c r="H219" s="148"/>
      <c r="I219" s="148"/>
      <c r="J219" s="148"/>
      <c r="K219" s="462"/>
      <c r="L219" s="462"/>
      <c r="M219" s="671"/>
      <c r="N219" s="671"/>
      <c r="O219" s="671"/>
      <c r="P219" s="671"/>
    </row>
    <row r="220" spans="2:16" s="1" customFormat="1">
      <c r="B220" s="458"/>
      <c r="C220" s="458"/>
      <c r="F220" s="458"/>
      <c r="G220" s="673"/>
      <c r="H220" s="148"/>
      <c r="I220" s="148"/>
      <c r="J220" s="148"/>
      <c r="K220" s="462"/>
      <c r="L220" s="462"/>
      <c r="M220" s="671"/>
      <c r="N220" s="671"/>
      <c r="O220" s="671"/>
      <c r="P220" s="671"/>
    </row>
    <row r="221" spans="2:16" s="1" customFormat="1">
      <c r="B221" s="458"/>
      <c r="C221" s="458"/>
      <c r="F221" s="458"/>
      <c r="G221" s="673"/>
      <c r="H221" s="148"/>
      <c r="I221" s="148"/>
      <c r="J221" s="148"/>
      <c r="K221" s="462"/>
      <c r="L221" s="462"/>
      <c r="M221" s="671"/>
      <c r="N221" s="671"/>
      <c r="O221" s="671"/>
      <c r="P221" s="671"/>
    </row>
    <row r="222" spans="2:16" s="1" customFormat="1">
      <c r="B222" s="458"/>
      <c r="C222" s="458"/>
      <c r="F222" s="458"/>
      <c r="G222" s="673"/>
      <c r="H222" s="148"/>
      <c r="I222" s="148"/>
      <c r="J222" s="148"/>
      <c r="K222" s="462"/>
      <c r="L222" s="462"/>
      <c r="M222" s="671"/>
      <c r="N222" s="671"/>
      <c r="O222" s="671"/>
      <c r="P222" s="671"/>
    </row>
    <row r="223" spans="2:16" s="1" customFormat="1">
      <c r="B223" s="458"/>
      <c r="C223" s="458"/>
      <c r="F223" s="458"/>
      <c r="G223" s="673"/>
      <c r="H223" s="148"/>
      <c r="I223" s="148"/>
      <c r="J223" s="148"/>
      <c r="K223" s="462"/>
      <c r="L223" s="462"/>
      <c r="M223" s="671"/>
      <c r="N223" s="671"/>
      <c r="O223" s="671"/>
      <c r="P223" s="671"/>
    </row>
    <row r="224" spans="2:16" s="1" customFormat="1">
      <c r="B224" s="458"/>
      <c r="C224" s="458"/>
      <c r="F224" s="458"/>
      <c r="G224" s="673"/>
      <c r="H224" s="148"/>
      <c r="I224" s="148"/>
      <c r="J224" s="148"/>
      <c r="K224" s="462"/>
      <c r="L224" s="462"/>
      <c r="M224" s="671"/>
      <c r="N224" s="671"/>
      <c r="O224" s="671"/>
      <c r="P224" s="671"/>
    </row>
    <row r="225" spans="2:16" s="1" customFormat="1">
      <c r="B225" s="458"/>
      <c r="C225" s="458"/>
      <c r="F225" s="458"/>
      <c r="G225" s="673"/>
      <c r="H225" s="148"/>
      <c r="I225" s="148"/>
      <c r="J225" s="148"/>
      <c r="K225" s="462"/>
      <c r="L225" s="462"/>
      <c r="M225" s="671"/>
      <c r="N225" s="671"/>
      <c r="O225" s="671"/>
      <c r="P225" s="671"/>
    </row>
    <row r="226" spans="2:16" s="1" customFormat="1">
      <c r="B226" s="458"/>
      <c r="C226" s="458"/>
      <c r="F226" s="458"/>
      <c r="G226" s="673"/>
      <c r="H226" s="148"/>
      <c r="I226" s="148"/>
      <c r="J226" s="148"/>
      <c r="K226" s="462"/>
      <c r="L226" s="462"/>
      <c r="M226" s="671"/>
      <c r="N226" s="671"/>
      <c r="O226" s="671"/>
      <c r="P226" s="671"/>
    </row>
    <row r="227" spans="2:16" s="1" customFormat="1">
      <c r="B227" s="458"/>
      <c r="C227" s="458"/>
      <c r="F227" s="458"/>
      <c r="G227" s="673"/>
      <c r="H227" s="148"/>
      <c r="I227" s="148"/>
      <c r="J227" s="148"/>
      <c r="K227" s="462"/>
      <c r="L227" s="462"/>
      <c r="M227" s="671"/>
      <c r="N227" s="671"/>
      <c r="O227" s="671"/>
      <c r="P227" s="671"/>
    </row>
    <row r="228" spans="2:16" s="1" customFormat="1">
      <c r="B228" s="458"/>
      <c r="C228" s="458"/>
      <c r="F228" s="458"/>
      <c r="G228" s="673"/>
      <c r="H228" s="148"/>
      <c r="I228" s="148"/>
      <c r="J228" s="148"/>
      <c r="K228" s="462"/>
      <c r="L228" s="462"/>
      <c r="M228" s="671"/>
      <c r="N228" s="671"/>
      <c r="O228" s="671"/>
      <c r="P228" s="671"/>
    </row>
    <row r="229" spans="2:16" s="1" customFormat="1">
      <c r="B229" s="458"/>
      <c r="C229" s="458"/>
      <c r="F229" s="458"/>
      <c r="G229" s="673"/>
      <c r="H229" s="148"/>
      <c r="I229" s="148"/>
      <c r="J229" s="148"/>
      <c r="K229" s="462"/>
      <c r="L229" s="462"/>
      <c r="M229" s="671"/>
      <c r="N229" s="671"/>
      <c r="O229" s="671"/>
      <c r="P229" s="671"/>
    </row>
  </sheetData>
  <mergeCells count="152">
    <mergeCell ref="A48:A73"/>
    <mergeCell ref="J56:J59"/>
    <mergeCell ref="D146:G146"/>
    <mergeCell ref="A120:A137"/>
    <mergeCell ref="D134:G134"/>
    <mergeCell ref="D135:H135"/>
    <mergeCell ref="B152:B160"/>
    <mergeCell ref="E150:E151"/>
    <mergeCell ref="A138:A139"/>
    <mergeCell ref="B140:B149"/>
    <mergeCell ref="D127:H127"/>
    <mergeCell ref="B120:B127"/>
    <mergeCell ref="D147:H147"/>
    <mergeCell ref="A118:A119"/>
    <mergeCell ref="D136:H136"/>
    <mergeCell ref="D157:G157"/>
    <mergeCell ref="D158:H158"/>
    <mergeCell ref="D159:H159"/>
    <mergeCell ref="A96:A97"/>
    <mergeCell ref="B96:B97"/>
    <mergeCell ref="D96:D97"/>
    <mergeCell ref="A98:A117"/>
    <mergeCell ref="A140:A160"/>
    <mergeCell ref="D117:H117"/>
    <mergeCell ref="A1:I3"/>
    <mergeCell ref="B4:J4"/>
    <mergeCell ref="A5:B5"/>
    <mergeCell ref="D5:E5"/>
    <mergeCell ref="H5:J5"/>
    <mergeCell ref="B74:B75"/>
    <mergeCell ref="D74:D75"/>
    <mergeCell ref="E74:E75"/>
    <mergeCell ref="F74:G74"/>
    <mergeCell ref="F22:G22"/>
    <mergeCell ref="D43:H43"/>
    <mergeCell ref="D44:H44"/>
    <mergeCell ref="D73:H73"/>
    <mergeCell ref="D56:G56"/>
    <mergeCell ref="H22:J22"/>
    <mergeCell ref="B24:B37"/>
    <mergeCell ref="D34:G34"/>
    <mergeCell ref="J34:J37"/>
    <mergeCell ref="D35:H35"/>
    <mergeCell ref="D37:H37"/>
    <mergeCell ref="D45:H45"/>
    <mergeCell ref="B48:B59"/>
    <mergeCell ref="D57:H57"/>
    <mergeCell ref="D58:H58"/>
    <mergeCell ref="B6:J6"/>
    <mergeCell ref="E7:E8"/>
    <mergeCell ref="F7:G7"/>
    <mergeCell ref="H7:J7"/>
    <mergeCell ref="A7:A8"/>
    <mergeCell ref="B7:B8"/>
    <mergeCell ref="D85:H85"/>
    <mergeCell ref="B87:B88"/>
    <mergeCell ref="E87:E88"/>
    <mergeCell ref="B76:B86"/>
    <mergeCell ref="D83:G83"/>
    <mergeCell ref="A76:A95"/>
    <mergeCell ref="D87:D88"/>
    <mergeCell ref="B60:B61"/>
    <mergeCell ref="D60:D61"/>
    <mergeCell ref="E60:E61"/>
    <mergeCell ref="F60:G60"/>
    <mergeCell ref="D59:H59"/>
    <mergeCell ref="A74:A75"/>
    <mergeCell ref="H74:J74"/>
    <mergeCell ref="H60:J60"/>
    <mergeCell ref="B62:B73"/>
    <mergeCell ref="D70:G70"/>
    <mergeCell ref="J70:J73"/>
    <mergeCell ref="D18:G18"/>
    <mergeCell ref="J18:J20"/>
    <mergeCell ref="D19:H19"/>
    <mergeCell ref="D20:H20"/>
    <mergeCell ref="D7:D8"/>
    <mergeCell ref="A9:A45"/>
    <mergeCell ref="B9:B20"/>
    <mergeCell ref="H38:J38"/>
    <mergeCell ref="D42:G42"/>
    <mergeCell ref="J42:J45"/>
    <mergeCell ref="D21:H21"/>
    <mergeCell ref="D22:D23"/>
    <mergeCell ref="E22:E23"/>
    <mergeCell ref="A46:A47"/>
    <mergeCell ref="B46:B47"/>
    <mergeCell ref="D46:D47"/>
    <mergeCell ref="E46:E47"/>
    <mergeCell ref="F46:G46"/>
    <mergeCell ref="B38:B39"/>
    <mergeCell ref="D38:D39"/>
    <mergeCell ref="E38:E39"/>
    <mergeCell ref="F38:G38"/>
    <mergeCell ref="B40:B45"/>
    <mergeCell ref="B118:B119"/>
    <mergeCell ref="H118:J118"/>
    <mergeCell ref="D118:D119"/>
    <mergeCell ref="J114:J117"/>
    <mergeCell ref="B98:B117"/>
    <mergeCell ref="F118:G118"/>
    <mergeCell ref="E118:E119"/>
    <mergeCell ref="B22:B23"/>
    <mergeCell ref="D36:H36"/>
    <mergeCell ref="B89:B95"/>
    <mergeCell ref="D92:G92"/>
    <mergeCell ref="J92:J95"/>
    <mergeCell ref="D93:H93"/>
    <mergeCell ref="D94:H94"/>
    <mergeCell ref="H46:J46"/>
    <mergeCell ref="J83:J86"/>
    <mergeCell ref="D84:H84"/>
    <mergeCell ref="D115:H115"/>
    <mergeCell ref="D71:H71"/>
    <mergeCell ref="D72:H72"/>
    <mergeCell ref="D116:H116"/>
    <mergeCell ref="F87:G87"/>
    <mergeCell ref="H87:J87"/>
    <mergeCell ref="D86:H86"/>
    <mergeCell ref="D95:H95"/>
    <mergeCell ref="J134:J137"/>
    <mergeCell ref="E96:E97"/>
    <mergeCell ref="F96:G96"/>
    <mergeCell ref="H96:J96"/>
    <mergeCell ref="J146:J149"/>
    <mergeCell ref="H128:J128"/>
    <mergeCell ref="H138:J138"/>
    <mergeCell ref="E128:E129"/>
    <mergeCell ref="F128:G128"/>
    <mergeCell ref="D148:H148"/>
    <mergeCell ref="D128:D129"/>
    <mergeCell ref="E138:E139"/>
    <mergeCell ref="F138:G138"/>
    <mergeCell ref="J124:J127"/>
    <mergeCell ref="D114:G114"/>
    <mergeCell ref="D124:G124"/>
    <mergeCell ref="D125:H125"/>
    <mergeCell ref="D126:H126"/>
    <mergeCell ref="D160:H160"/>
    <mergeCell ref="A164:H164"/>
    <mergeCell ref="B128:B129"/>
    <mergeCell ref="B150:B151"/>
    <mergeCell ref="F150:G150"/>
    <mergeCell ref="B130:B137"/>
    <mergeCell ref="A163:H163"/>
    <mergeCell ref="A161:H161"/>
    <mergeCell ref="A162:H162"/>
    <mergeCell ref="B138:B139"/>
    <mergeCell ref="D137:H137"/>
    <mergeCell ref="D149:H149"/>
    <mergeCell ref="H150:J150"/>
    <mergeCell ref="J161:J164"/>
  </mergeCells>
  <pageMargins left="0.19685039370078741" right="0.19685039370078741" top="0.74803149606299213" bottom="0.74803149606299213" header="0.31496062992125984" footer="0.31496062992125984"/>
  <pageSetup scale="47" fitToWidth="0" orientation="landscape" r:id="rId1"/>
  <headerFooter alignWithMargins="0"/>
  <rowBreaks count="6" manualBreakCount="6">
    <brk id="21" max="16383" man="1"/>
    <brk id="45" max="16" man="1"/>
    <brk id="73" max="16383" man="1"/>
    <brk id="95" max="16383" man="1"/>
    <brk id="117" max="16383" man="1"/>
    <brk id="13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K242"/>
  <sheetViews>
    <sheetView tabSelected="1" topLeftCell="A160" zoomScale="71" zoomScaleNormal="71" workbookViewId="0">
      <selection activeCell="H182" sqref="H182"/>
    </sheetView>
  </sheetViews>
  <sheetFormatPr baseColWidth="10" defaultRowHeight="14.25"/>
  <cols>
    <col min="1" max="1" width="22.28515625" style="457" customWidth="1"/>
    <col min="2" max="2" width="26.42578125" style="458" customWidth="1"/>
    <col min="3" max="3" width="29" style="458" hidden="1" customWidth="1"/>
    <col min="4" max="4" width="66.5703125" style="457" customWidth="1"/>
    <col min="5" max="5" width="18.42578125" style="457" customWidth="1"/>
    <col min="6" max="6" width="21" style="147" customWidth="1"/>
    <col min="7" max="7" width="17.5703125" style="747" customWidth="1"/>
    <col min="8" max="8" width="24.140625" style="148" customWidth="1"/>
    <col min="9" max="9" width="25.140625" style="149" customWidth="1"/>
    <col min="10" max="10" width="26.85546875" style="149" customWidth="1"/>
    <col min="11" max="11" width="18.42578125" style="456" hidden="1" customWidth="1"/>
    <col min="12" max="12" width="17" style="456" hidden="1" customWidth="1"/>
    <col min="13" max="14" width="14.42578125" style="134" hidden="1" customWidth="1"/>
    <col min="15" max="15" width="14.42578125" style="135" hidden="1" customWidth="1"/>
    <col min="16" max="16" width="14.42578125" style="130" hidden="1" customWidth="1"/>
    <col min="17" max="17" width="13" style="1" hidden="1" customWidth="1"/>
    <col min="18" max="18" width="27.7109375" style="1" hidden="1" customWidth="1"/>
    <col min="19" max="19" width="30" style="1" customWidth="1"/>
    <col min="20" max="20" width="29.7109375" style="755" customWidth="1"/>
    <col min="21" max="16384" width="11.42578125" style="457"/>
  </cols>
  <sheetData>
    <row r="1" spans="1:37" s="451" customFormat="1" ht="34.5" customHeight="1">
      <c r="A1" s="848" t="s">
        <v>543</v>
      </c>
      <c r="B1" s="844"/>
      <c r="C1" s="844"/>
      <c r="D1" s="844"/>
      <c r="E1" s="844"/>
      <c r="F1" s="844"/>
      <c r="G1" s="844"/>
      <c r="H1" s="844"/>
      <c r="I1" s="844"/>
      <c r="J1" s="449" t="s">
        <v>301</v>
      </c>
      <c r="K1" s="450"/>
      <c r="L1" s="450"/>
      <c r="M1" s="127"/>
      <c r="N1" s="127"/>
      <c r="O1" s="128"/>
      <c r="P1" s="129"/>
      <c r="Q1" s="492"/>
      <c r="R1" s="492"/>
      <c r="S1" s="492"/>
      <c r="T1" s="752"/>
    </row>
    <row r="2" spans="1:37" s="451" customFormat="1" ht="28.5" customHeight="1">
      <c r="A2" s="836"/>
      <c r="B2" s="807"/>
      <c r="C2" s="807"/>
      <c r="D2" s="807"/>
      <c r="E2" s="807"/>
      <c r="F2" s="807"/>
      <c r="G2" s="807"/>
      <c r="H2" s="807"/>
      <c r="I2" s="807"/>
      <c r="J2" s="452" t="s">
        <v>302</v>
      </c>
      <c r="K2" s="450"/>
      <c r="L2" s="450"/>
      <c r="M2" s="127"/>
      <c r="N2" s="127"/>
      <c r="O2" s="128"/>
      <c r="P2" s="129"/>
      <c r="Q2" s="492"/>
      <c r="R2" s="492"/>
      <c r="S2" s="492"/>
      <c r="T2" s="752"/>
    </row>
    <row r="3" spans="1:37" s="451" customFormat="1" ht="25.5" customHeight="1" thickBot="1">
      <c r="A3" s="836"/>
      <c r="B3" s="807"/>
      <c r="C3" s="807"/>
      <c r="D3" s="807"/>
      <c r="E3" s="807"/>
      <c r="F3" s="807"/>
      <c r="G3" s="807"/>
      <c r="H3" s="807"/>
      <c r="I3" s="807"/>
      <c r="J3" s="453" t="s">
        <v>303</v>
      </c>
      <c r="K3" s="450"/>
      <c r="L3" s="450"/>
      <c r="M3" s="127"/>
      <c r="N3" s="127"/>
      <c r="O3" s="128"/>
      <c r="P3" s="129"/>
      <c r="Q3" s="492"/>
      <c r="R3" s="492"/>
      <c r="S3" s="492"/>
      <c r="T3" s="752"/>
    </row>
    <row r="4" spans="1:37" s="451" customFormat="1" ht="8.25" customHeight="1">
      <c r="A4" s="454"/>
      <c r="B4" s="854"/>
      <c r="C4" s="854"/>
      <c r="D4" s="854"/>
      <c r="E4" s="854"/>
      <c r="F4" s="854"/>
      <c r="G4" s="854"/>
      <c r="H4" s="854"/>
      <c r="I4" s="854"/>
      <c r="J4" s="855"/>
      <c r="K4" s="450"/>
      <c r="L4" s="450"/>
      <c r="M4" s="127"/>
      <c r="N4" s="127"/>
      <c r="O4" s="128"/>
      <c r="P4" s="129"/>
      <c r="Q4" s="492"/>
      <c r="R4" s="492"/>
      <c r="S4" s="492"/>
      <c r="T4" s="752"/>
    </row>
    <row r="5" spans="1:37" s="451" customFormat="1" ht="39" customHeight="1">
      <c r="A5" s="836" t="s">
        <v>304</v>
      </c>
      <c r="B5" s="807"/>
      <c r="C5" s="728"/>
      <c r="D5" s="856" t="s">
        <v>575</v>
      </c>
      <c r="E5" s="857"/>
      <c r="F5" s="731"/>
      <c r="G5" s="466" t="s">
        <v>305</v>
      </c>
      <c r="H5" s="854" t="s">
        <v>609</v>
      </c>
      <c r="I5" s="854"/>
      <c r="J5" s="855"/>
      <c r="K5" s="450"/>
      <c r="L5" s="450"/>
      <c r="M5" s="127"/>
      <c r="N5" s="127"/>
      <c r="O5" s="128"/>
      <c r="P5" s="129"/>
      <c r="Q5" s="492"/>
      <c r="R5" s="492"/>
      <c r="S5" s="492"/>
      <c r="T5" s="752"/>
    </row>
    <row r="6" spans="1:37" ht="8.25" customHeight="1" thickBot="1">
      <c r="A6" s="455"/>
      <c r="B6" s="842"/>
      <c r="C6" s="842"/>
      <c r="D6" s="842"/>
      <c r="E6" s="842"/>
      <c r="F6" s="842"/>
      <c r="G6" s="842"/>
      <c r="H6" s="842"/>
      <c r="I6" s="842"/>
      <c r="J6" s="843"/>
      <c r="M6" s="127"/>
      <c r="N6" s="127"/>
      <c r="O6" s="128"/>
      <c r="T6" s="752"/>
      <c r="U6" s="451"/>
      <c r="V6" s="451"/>
      <c r="W6" s="451"/>
      <c r="X6" s="451"/>
      <c r="Y6" s="451"/>
      <c r="Z6" s="451"/>
      <c r="AA6" s="451"/>
      <c r="AB6" s="451"/>
      <c r="AC6" s="451"/>
      <c r="AD6" s="451"/>
      <c r="AE6" s="451"/>
      <c r="AF6" s="451"/>
      <c r="AG6" s="451"/>
      <c r="AH6" s="451"/>
      <c r="AI6" s="451"/>
      <c r="AJ6" s="451"/>
      <c r="AK6" s="451"/>
    </row>
    <row r="7" spans="1:37" s="458" customFormat="1" ht="15.75" customHeight="1">
      <c r="A7" s="848" t="s">
        <v>306</v>
      </c>
      <c r="B7" s="850" t="s">
        <v>307</v>
      </c>
      <c r="C7" s="735"/>
      <c r="D7" s="838" t="s">
        <v>542</v>
      </c>
      <c r="E7" s="844" t="s">
        <v>96</v>
      </c>
      <c r="F7" s="844" t="s">
        <v>309</v>
      </c>
      <c r="G7" s="844"/>
      <c r="H7" s="846" t="s">
        <v>310</v>
      </c>
      <c r="I7" s="846"/>
      <c r="J7" s="847"/>
      <c r="K7" s="2"/>
      <c r="L7" s="2"/>
      <c r="M7" s="127"/>
      <c r="N7" s="127"/>
      <c r="O7" s="128"/>
      <c r="P7" s="37"/>
      <c r="T7" s="752"/>
      <c r="U7" s="451"/>
      <c r="V7" s="451"/>
      <c r="W7" s="451"/>
      <c r="X7" s="451"/>
      <c r="Y7" s="451"/>
      <c r="Z7" s="451"/>
      <c r="AA7" s="451"/>
      <c r="AB7" s="451"/>
      <c r="AC7" s="451"/>
      <c r="AD7" s="451"/>
      <c r="AE7" s="451"/>
      <c r="AF7" s="451"/>
      <c r="AG7" s="451"/>
      <c r="AH7" s="451"/>
      <c r="AI7" s="451"/>
      <c r="AJ7" s="451"/>
      <c r="AK7" s="451"/>
    </row>
    <row r="8" spans="1:37" s="1" customFormat="1" ht="45.75" customHeight="1" thickBot="1">
      <c r="A8" s="849"/>
      <c r="B8" s="851"/>
      <c r="C8" s="736"/>
      <c r="D8" s="839"/>
      <c r="E8" s="845"/>
      <c r="F8" s="459" t="s">
        <v>311</v>
      </c>
      <c r="G8" s="745" t="s">
        <v>312</v>
      </c>
      <c r="H8" s="460" t="s">
        <v>313</v>
      </c>
      <c r="I8" s="460" t="s">
        <v>314</v>
      </c>
      <c r="J8" s="461" t="s">
        <v>315</v>
      </c>
      <c r="K8" s="462"/>
      <c r="L8" s="462"/>
      <c r="M8" s="132" t="s">
        <v>316</v>
      </c>
      <c r="N8" s="132" t="s">
        <v>316</v>
      </c>
      <c r="O8" s="133" t="s">
        <v>317</v>
      </c>
      <c r="P8" s="36" t="s">
        <v>318</v>
      </c>
      <c r="T8" s="752"/>
    </row>
    <row r="9" spans="1:37" s="1" customFormat="1" ht="76.5" customHeight="1">
      <c r="A9" s="840" t="s">
        <v>530</v>
      </c>
      <c r="B9" s="841" t="s">
        <v>539</v>
      </c>
      <c r="C9" s="463"/>
      <c r="D9" s="435" t="s">
        <v>365</v>
      </c>
      <c r="E9" s="566" t="s">
        <v>403</v>
      </c>
      <c r="F9" s="567">
        <f>+'MATRIZ GENERAL CONSOLIDADA'!D7</f>
        <v>25</v>
      </c>
      <c r="G9" s="567">
        <f>+'MATRIZ GENERAL CONSOLIDADA'!F7</f>
        <v>25</v>
      </c>
      <c r="H9" s="436">
        <f>+'MATRIZ GENERAL CONSOLIDADA'!E7</f>
        <v>0</v>
      </c>
      <c r="I9" s="508">
        <f>+'MATRIZ GENERAL CONSOLIDADA'!G7</f>
        <v>0</v>
      </c>
      <c r="J9" s="75">
        <f>+H9-I9</f>
        <v>0</v>
      </c>
      <c r="K9" s="464"/>
      <c r="L9" s="462"/>
      <c r="M9" s="134"/>
      <c r="N9" s="134"/>
      <c r="O9" s="135"/>
      <c r="P9" s="387"/>
      <c r="T9" s="753"/>
    </row>
    <row r="10" spans="1:37" s="1" customFormat="1" ht="48" customHeight="1">
      <c r="A10" s="840"/>
      <c r="B10" s="799"/>
      <c r="C10" s="725"/>
      <c r="D10" s="437" t="s">
        <v>369</v>
      </c>
      <c r="E10" s="566" t="s">
        <v>128</v>
      </c>
      <c r="F10" s="567">
        <f>+'MATRIZ GENERAL CONSOLIDADA'!D8</f>
        <v>2.25</v>
      </c>
      <c r="G10" s="567">
        <f>+'MATRIZ GENERAL CONSOLIDADA'!F8</f>
        <v>2.25</v>
      </c>
      <c r="H10" s="436">
        <f>+'Anexo 1 Matriz SINA Inf Gestión'!P8</f>
        <v>834632289</v>
      </c>
      <c r="I10" s="508">
        <f>+'MATRIZ GENERAL CONSOLIDADA'!G8</f>
        <v>834632289</v>
      </c>
      <c r="J10" s="75">
        <f>+H10-I10</f>
        <v>0</v>
      </c>
      <c r="K10" s="464"/>
      <c r="L10" s="462"/>
      <c r="M10" s="134"/>
      <c r="N10" s="134"/>
      <c r="O10" s="135"/>
      <c r="P10" s="387"/>
      <c r="T10" s="753"/>
    </row>
    <row r="11" spans="1:37" s="1" customFormat="1" ht="52.5" customHeight="1">
      <c r="A11" s="840"/>
      <c r="B11" s="799"/>
      <c r="C11" s="725"/>
      <c r="D11" s="438" t="s">
        <v>362</v>
      </c>
      <c r="E11" s="566" t="s">
        <v>403</v>
      </c>
      <c r="F11" s="567">
        <f>+'MATRIZ GENERAL CONSOLIDADA'!D9</f>
        <v>65</v>
      </c>
      <c r="G11" s="567">
        <f>+'MATRIZ GENERAL CONSOLIDADA'!F9</f>
        <v>65</v>
      </c>
      <c r="H11" s="436">
        <f>+'Anexo 1 Matriz SINA Inf Gestión'!P9</f>
        <v>0</v>
      </c>
      <c r="I11" s="508">
        <f>+'MATRIZ GENERAL CONSOLIDADA'!G9</f>
        <v>0</v>
      </c>
      <c r="J11" s="75">
        <f t="shared" ref="J11:J13" si="0">+H11-I11</f>
        <v>0</v>
      </c>
      <c r="K11" s="464">
        <v>118606003</v>
      </c>
      <c r="L11" s="462"/>
      <c r="M11" s="134">
        <v>35046</v>
      </c>
      <c r="N11" s="134">
        <v>255412</v>
      </c>
      <c r="O11" s="135">
        <v>615140</v>
      </c>
      <c r="P11" s="387"/>
      <c r="Q11" s="1">
        <v>0</v>
      </c>
      <c r="R11" s="462"/>
      <c r="T11" s="753"/>
    </row>
    <row r="12" spans="1:37" s="1" customFormat="1" ht="47.25" customHeight="1">
      <c r="A12" s="840"/>
      <c r="B12" s="799"/>
      <c r="C12" s="725"/>
      <c r="D12" s="439" t="s">
        <v>362</v>
      </c>
      <c r="E12" s="566" t="s">
        <v>133</v>
      </c>
      <c r="F12" s="567">
        <f>+'MATRIZ GENERAL CONSOLIDADA'!D10</f>
        <v>10</v>
      </c>
      <c r="G12" s="567">
        <f>+'MATRIZ GENERAL CONSOLIDADA'!F10</f>
        <v>10</v>
      </c>
      <c r="H12" s="436">
        <f>+'Anexo 1 Matriz SINA Inf Gestión'!P10</f>
        <v>1547556715</v>
      </c>
      <c r="I12" s="508">
        <f>+'MATRIZ GENERAL CONSOLIDADA'!G10</f>
        <v>1547556715</v>
      </c>
      <c r="J12" s="75">
        <f t="shared" si="0"/>
        <v>0</v>
      </c>
      <c r="K12" s="464">
        <v>304866161</v>
      </c>
      <c r="L12" s="462"/>
      <c r="M12" s="134">
        <v>79222</v>
      </c>
      <c r="N12" s="134"/>
      <c r="O12" s="135">
        <v>165962</v>
      </c>
      <c r="P12" s="387"/>
      <c r="Q12" s="1">
        <v>0</v>
      </c>
      <c r="T12" s="753"/>
    </row>
    <row r="13" spans="1:37" s="1" customFormat="1" ht="66.75" customHeight="1">
      <c r="A13" s="840"/>
      <c r="B13" s="799"/>
      <c r="C13" s="725"/>
      <c r="D13" s="440" t="s">
        <v>367</v>
      </c>
      <c r="E13" s="566" t="s">
        <v>1</v>
      </c>
      <c r="F13" s="567">
        <f>+'MATRIZ GENERAL CONSOLIDADA'!D11</f>
        <v>100</v>
      </c>
      <c r="G13" s="567">
        <f>+'MATRIZ GENERAL CONSOLIDADA'!F11</f>
        <v>82.5</v>
      </c>
      <c r="H13" s="436">
        <f>+'Anexo 1 Matriz SINA Inf Gestión'!P11</f>
        <v>-0.6</v>
      </c>
      <c r="I13" s="508">
        <f>+'MATRIZ GENERAL CONSOLIDADA'!G11</f>
        <v>0</v>
      </c>
      <c r="J13" s="75">
        <f t="shared" si="0"/>
        <v>-0.6</v>
      </c>
      <c r="K13" s="464">
        <v>423472164</v>
      </c>
      <c r="L13" s="462"/>
      <c r="M13" s="134">
        <v>255412</v>
      </c>
      <c r="N13" s="134"/>
      <c r="O13" s="135">
        <v>489303</v>
      </c>
      <c r="P13" s="387"/>
      <c r="T13" s="753"/>
    </row>
    <row r="14" spans="1:37" s="1" customFormat="1" ht="64.5" customHeight="1">
      <c r="A14" s="840"/>
      <c r="B14" s="799"/>
      <c r="C14" s="725"/>
      <c r="D14" s="437" t="s">
        <v>366</v>
      </c>
      <c r="E14" s="566" t="s">
        <v>133</v>
      </c>
      <c r="F14" s="567">
        <f>+'MATRIZ GENERAL CONSOLIDADA'!D12</f>
        <v>3</v>
      </c>
      <c r="G14" s="608">
        <f>+'MATRIZ GENERAL CONSOLIDADA'!F12</f>
        <v>2.5750000000000002</v>
      </c>
      <c r="H14" s="436">
        <f>+'Anexo 1 Matriz SINA Inf Gestión'!P12</f>
        <v>4101907165</v>
      </c>
      <c r="I14" s="508">
        <f>+'MATRIZ GENERAL CONSOLIDADA'!G12</f>
        <v>4101182466.1079998</v>
      </c>
      <c r="J14" s="75">
        <f>+H14-I14</f>
        <v>724698.89200019836</v>
      </c>
      <c r="K14" s="465" t="s">
        <v>319</v>
      </c>
      <c r="L14" s="462"/>
      <c r="M14" s="134">
        <v>85137</v>
      </c>
      <c r="N14" s="134"/>
      <c r="O14" s="135">
        <v>341394</v>
      </c>
      <c r="P14" s="387"/>
      <c r="T14" s="753"/>
    </row>
    <row r="15" spans="1:37" s="1" customFormat="1" ht="64.5" customHeight="1">
      <c r="A15" s="840"/>
      <c r="B15" s="799"/>
      <c r="C15" s="724"/>
      <c r="D15" s="742" t="s">
        <v>368</v>
      </c>
      <c r="E15" s="743" t="s">
        <v>1</v>
      </c>
      <c r="F15" s="567">
        <f>+'MATRIZ GENERAL CONSOLIDADA'!D13</f>
        <v>100</v>
      </c>
      <c r="G15" s="567">
        <f>+'MATRIZ GENERAL CONSOLIDADA'!F13</f>
        <v>100</v>
      </c>
      <c r="H15" s="436">
        <f>+'Anexo 1 Matriz SINA Inf Gestión'!P13</f>
        <v>0</v>
      </c>
      <c r="I15" s="508">
        <f>+'MATRIZ GENERAL CONSOLIDADA'!G13</f>
        <v>0</v>
      </c>
      <c r="J15" s="75"/>
      <c r="K15" s="465"/>
      <c r="L15" s="462"/>
      <c r="M15" s="134"/>
      <c r="N15" s="134"/>
      <c r="O15" s="135"/>
      <c r="P15" s="387"/>
      <c r="T15" s="753"/>
    </row>
    <row r="16" spans="1:37" s="1" customFormat="1" ht="64.5" customHeight="1">
      <c r="A16" s="840"/>
      <c r="B16" s="799"/>
      <c r="C16" s="724"/>
      <c r="D16" s="748" t="s">
        <v>370</v>
      </c>
      <c r="E16" s="749" t="s">
        <v>379</v>
      </c>
      <c r="F16" s="567">
        <f>+'MATRIZ GENERAL CONSOLIDADA'!D14</f>
        <v>6</v>
      </c>
      <c r="G16" s="567">
        <f>+'MATRIZ GENERAL CONSOLIDADA'!F14</f>
        <v>6</v>
      </c>
      <c r="H16" s="436">
        <f>+'Anexo 1 Matriz SINA Inf Gestión'!P14</f>
        <v>166990717</v>
      </c>
      <c r="I16" s="508">
        <f>+'MATRIZ GENERAL CONSOLIDADA'!G14</f>
        <v>166990717</v>
      </c>
      <c r="J16" s="75"/>
      <c r="K16" s="465"/>
      <c r="L16" s="462"/>
      <c r="M16" s="134"/>
      <c r="N16" s="134"/>
      <c r="O16" s="135"/>
      <c r="P16" s="387"/>
      <c r="T16" s="753"/>
    </row>
    <row r="17" spans="1:20" s="1" customFormat="1" ht="48" customHeight="1">
      <c r="A17" s="840"/>
      <c r="B17" s="799"/>
      <c r="C17" s="724"/>
      <c r="D17" s="407" t="s">
        <v>364</v>
      </c>
      <c r="E17" s="566" t="s">
        <v>378</v>
      </c>
      <c r="F17" s="567">
        <f>+'MATRIZ GENERAL CONSOLIDADA'!D15</f>
        <v>1</v>
      </c>
      <c r="G17" s="567">
        <f>+'MATRIZ GENERAL CONSOLIDADA'!F15</f>
        <v>1</v>
      </c>
      <c r="H17" s="436">
        <f>+'Anexo 1 Matriz SINA Inf Gestión'!P15</f>
        <v>782754904</v>
      </c>
      <c r="I17" s="508">
        <f>+'MATRIZ GENERAL CONSOLIDADA'!G15</f>
        <v>782742904</v>
      </c>
      <c r="J17" s="75">
        <f t="shared" ref="J17:J19" si="1">+H17-I17</f>
        <v>12000</v>
      </c>
      <c r="K17" s="464"/>
      <c r="L17" s="462"/>
      <c r="M17" s="134"/>
      <c r="N17" s="134"/>
      <c r="O17" s="135"/>
      <c r="P17" s="387"/>
      <c r="T17" s="753"/>
    </row>
    <row r="18" spans="1:20" s="1" customFormat="1" ht="48" customHeight="1">
      <c r="A18" s="840"/>
      <c r="B18" s="799"/>
      <c r="C18" s="724"/>
      <c r="D18" s="407" t="s">
        <v>371</v>
      </c>
      <c r="E18" s="566" t="s">
        <v>493</v>
      </c>
      <c r="F18" s="567">
        <f>+'MATRIZ GENERAL CONSOLIDADA'!D16</f>
        <v>37</v>
      </c>
      <c r="G18" s="567">
        <f>+'MATRIZ GENERAL CONSOLIDADA'!F16</f>
        <v>37</v>
      </c>
      <c r="H18" s="436">
        <f>+'Anexo 1 Matriz SINA Inf Gestión'!P16</f>
        <v>3442998455</v>
      </c>
      <c r="I18" s="508">
        <f>+'MATRIZ GENERAL CONSOLIDADA'!G16</f>
        <v>3401354544.744</v>
      </c>
      <c r="J18" s="75">
        <f t="shared" si="1"/>
        <v>41643910.256000042</v>
      </c>
      <c r="K18" s="464"/>
      <c r="L18" s="462"/>
      <c r="M18" s="134"/>
      <c r="N18" s="134"/>
      <c r="O18" s="135"/>
      <c r="P18" s="387"/>
      <c r="T18" s="753"/>
    </row>
    <row r="19" spans="1:20" s="1" customFormat="1" ht="47.25" customHeight="1">
      <c r="A19" s="840"/>
      <c r="B19" s="799"/>
      <c r="C19" s="724"/>
      <c r="D19" s="407" t="s">
        <v>372</v>
      </c>
      <c r="E19" s="566" t="s">
        <v>373</v>
      </c>
      <c r="F19" s="567">
        <f>+'MATRIZ GENERAL CONSOLIDADA'!D17</f>
        <v>18</v>
      </c>
      <c r="G19" s="608">
        <f>+'MATRIZ GENERAL CONSOLIDADA'!F17</f>
        <v>17.5</v>
      </c>
      <c r="H19" s="436">
        <f>+'Anexo 1 Matriz SINA Inf Gestión'!P17</f>
        <v>566249799</v>
      </c>
      <c r="I19" s="508">
        <f>+'MATRIZ GENERAL CONSOLIDADA'!G17</f>
        <v>510553484.74400002</v>
      </c>
      <c r="J19" s="75">
        <f t="shared" si="1"/>
        <v>55696314.255999982</v>
      </c>
      <c r="K19" s="464"/>
      <c r="L19" s="462"/>
      <c r="M19" s="134"/>
      <c r="N19" s="134"/>
      <c r="O19" s="135"/>
      <c r="P19" s="387"/>
      <c r="R19" s="594"/>
      <c r="S19" s="462"/>
      <c r="T19" s="753"/>
    </row>
    <row r="20" spans="1:20" s="1" customFormat="1" ht="47.25" customHeight="1">
      <c r="A20" s="840"/>
      <c r="B20" s="799"/>
      <c r="C20" s="724"/>
      <c r="D20" s="744" t="s">
        <v>374</v>
      </c>
      <c r="E20" s="243" t="s">
        <v>193</v>
      </c>
      <c r="F20" s="567">
        <f>+'MATRIZ GENERAL CONSOLIDADA'!D18</f>
        <v>2</v>
      </c>
      <c r="G20" s="567">
        <f>+'MATRIZ GENERAL CONSOLIDADA'!F18</f>
        <v>2</v>
      </c>
      <c r="H20" s="436">
        <f>+'Anexo 1 Matriz SINA Inf Gestión'!P18</f>
        <v>943436310</v>
      </c>
      <c r="I20" s="508">
        <f>+'MATRIZ GENERAL CONSOLIDADA'!G18</f>
        <v>943436310</v>
      </c>
      <c r="J20" s="75"/>
      <c r="K20" s="464"/>
      <c r="L20" s="462"/>
      <c r="M20" s="134"/>
      <c r="N20" s="134"/>
      <c r="O20" s="135"/>
      <c r="P20" s="387"/>
      <c r="R20" s="594"/>
      <c r="S20" s="462"/>
      <c r="T20" s="753"/>
    </row>
    <row r="21" spans="1:20" s="1" customFormat="1" ht="18" customHeight="1">
      <c r="A21" s="840"/>
      <c r="B21" s="799"/>
      <c r="C21" s="725"/>
      <c r="D21" s="831" t="s">
        <v>320</v>
      </c>
      <c r="E21" s="831"/>
      <c r="F21" s="831"/>
      <c r="G21" s="831"/>
      <c r="H21" s="469">
        <f>SUM(H9:H20)</f>
        <v>12386526353.4</v>
      </c>
      <c r="I21" s="443"/>
      <c r="J21" s="826">
        <f>+H21-I22</f>
        <v>98076922.804000854</v>
      </c>
      <c r="K21" s="136" t="e">
        <v>#REF!</v>
      </c>
      <c r="L21" s="462"/>
      <c r="M21" s="134">
        <v>210274</v>
      </c>
      <c r="N21" s="134"/>
      <c r="O21" s="135"/>
      <c r="P21" s="130"/>
      <c r="T21" s="753"/>
    </row>
    <row r="22" spans="1:20" s="1" customFormat="1" ht="18" customHeight="1">
      <c r="A22" s="840"/>
      <c r="B22" s="799"/>
      <c r="C22" s="725"/>
      <c r="D22" s="831" t="s">
        <v>321</v>
      </c>
      <c r="E22" s="831"/>
      <c r="F22" s="831"/>
      <c r="G22" s="831"/>
      <c r="H22" s="831"/>
      <c r="I22" s="444">
        <f>SUM(I9:I21)</f>
        <v>12288449430.595999</v>
      </c>
      <c r="J22" s="837"/>
      <c r="K22" s="136">
        <v>11</v>
      </c>
      <c r="L22" s="462"/>
      <c r="M22" s="134">
        <v>105137</v>
      </c>
      <c r="N22" s="134"/>
      <c r="O22" s="135"/>
      <c r="P22" s="130"/>
      <c r="T22" s="753"/>
    </row>
    <row r="23" spans="1:20" s="1" customFormat="1" ht="18.75" customHeight="1">
      <c r="A23" s="840"/>
      <c r="B23" s="799"/>
      <c r="C23" s="725"/>
      <c r="D23" s="831" t="s">
        <v>322</v>
      </c>
      <c r="E23" s="831"/>
      <c r="F23" s="831"/>
      <c r="G23" s="831"/>
      <c r="H23" s="831"/>
      <c r="I23" s="529">
        <f>+'Anexo 1 Matriz SINA Inf Gestión'!R6/100</f>
        <v>0.99208196713059271</v>
      </c>
      <c r="J23" s="837"/>
      <c r="K23" s="462"/>
      <c r="L23" s="462"/>
      <c r="M23" s="137"/>
      <c r="N23" s="137">
        <v>1025640</v>
      </c>
      <c r="O23" s="135"/>
      <c r="P23" s="130"/>
      <c r="T23" s="753"/>
    </row>
    <row r="24" spans="1:20" s="1" customFormat="1" ht="18.75" customHeight="1">
      <c r="A24" s="840"/>
      <c r="B24" s="725"/>
      <c r="C24" s="725"/>
      <c r="D24" s="800" t="s">
        <v>529</v>
      </c>
      <c r="E24" s="801"/>
      <c r="F24" s="801"/>
      <c r="G24" s="801"/>
      <c r="H24" s="802"/>
      <c r="I24" s="529">
        <f>+'Anexo 1 Matriz SINA Inf Gestión'!K6/100</f>
        <v>0.95010155721056189</v>
      </c>
      <c r="J24" s="734"/>
      <c r="K24" s="462"/>
      <c r="L24" s="462"/>
      <c r="M24" s="137"/>
      <c r="N24" s="137"/>
      <c r="O24" s="135"/>
      <c r="P24" s="130"/>
      <c r="T24" s="753"/>
    </row>
    <row r="25" spans="1:20" s="1" customFormat="1" ht="24" customHeight="1">
      <c r="A25" s="840"/>
      <c r="B25" s="806" t="s">
        <v>307</v>
      </c>
      <c r="C25" s="729"/>
      <c r="D25" s="827" t="s">
        <v>542</v>
      </c>
      <c r="E25" s="807" t="s">
        <v>96</v>
      </c>
      <c r="F25" s="807" t="s">
        <v>309</v>
      </c>
      <c r="G25" s="807"/>
      <c r="H25" s="821" t="s">
        <v>310</v>
      </c>
      <c r="I25" s="821"/>
      <c r="J25" s="822"/>
      <c r="K25" s="462"/>
      <c r="L25" s="462"/>
      <c r="M25" s="137"/>
      <c r="N25" s="137"/>
      <c r="O25" s="135"/>
      <c r="P25" s="130"/>
      <c r="T25" s="753"/>
    </row>
    <row r="26" spans="1:20" s="1" customFormat="1" ht="45" customHeight="1">
      <c r="A26" s="840"/>
      <c r="B26" s="806"/>
      <c r="C26" s="729"/>
      <c r="D26" s="828"/>
      <c r="E26" s="807"/>
      <c r="F26" s="466" t="s">
        <v>311</v>
      </c>
      <c r="G26" s="466" t="s">
        <v>312</v>
      </c>
      <c r="H26" s="467" t="s">
        <v>313</v>
      </c>
      <c r="I26" s="732" t="s">
        <v>314</v>
      </c>
      <c r="J26" s="733" t="s">
        <v>315</v>
      </c>
      <c r="K26" s="462"/>
      <c r="L26" s="462"/>
      <c r="M26" s="137"/>
      <c r="N26" s="137"/>
      <c r="O26" s="135"/>
      <c r="P26" s="130"/>
      <c r="T26" s="753"/>
    </row>
    <row r="27" spans="1:20" s="1" customFormat="1" ht="76.5" customHeight="1">
      <c r="A27" s="840"/>
      <c r="B27" s="799" t="s">
        <v>468</v>
      </c>
      <c r="C27" s="725"/>
      <c r="D27" s="440" t="s">
        <v>485</v>
      </c>
      <c r="E27" s="397" t="s">
        <v>180</v>
      </c>
      <c r="F27" s="398">
        <f>+'MATRIZ GENERAL CONSOLIDADA'!D20</f>
        <v>100</v>
      </c>
      <c r="G27" s="398">
        <f>+'MATRIZ GENERAL CONSOLIDADA'!F20</f>
        <v>100</v>
      </c>
      <c r="H27" s="446">
        <f>+'MATRIZ GENERAL CONSOLIDADA'!E20</f>
        <v>0</v>
      </c>
      <c r="I27" s="446">
        <f>+'MATRIZ GENERAL CONSOLIDADA'!G20</f>
        <v>0</v>
      </c>
      <c r="J27" s="75">
        <f>+H27-I27</f>
        <v>0</v>
      </c>
      <c r="K27" s="462"/>
      <c r="L27" s="462"/>
      <c r="M27" s="137"/>
      <c r="N27" s="137"/>
      <c r="O27" s="135"/>
      <c r="P27" s="130"/>
      <c r="Q27" s="1">
        <v>0</v>
      </c>
      <c r="T27" s="753"/>
    </row>
    <row r="28" spans="1:20" s="1" customFormat="1" ht="75" customHeight="1">
      <c r="A28" s="840"/>
      <c r="B28" s="799"/>
      <c r="C28" s="725"/>
      <c r="D28" s="437" t="s">
        <v>486</v>
      </c>
      <c r="E28" s="402" t="s">
        <v>487</v>
      </c>
      <c r="F28" s="398">
        <f>+'MATRIZ GENERAL CONSOLIDADA'!D21</f>
        <v>5</v>
      </c>
      <c r="G28" s="398">
        <f>+'MATRIZ GENERAL CONSOLIDADA'!F21</f>
        <v>4.5</v>
      </c>
      <c r="H28" s="446">
        <f>+'Anexo 1 Matriz SINA Inf Gestión'!P21</f>
        <v>15050681185.360001</v>
      </c>
      <c r="I28" s="446">
        <f>+'MATRIZ GENERAL CONSOLIDADA'!G21</f>
        <v>14159006457.544001</v>
      </c>
      <c r="J28" s="75">
        <f t="shared" ref="J28:J36" si="2">+H28-I28</f>
        <v>891674727.81599998</v>
      </c>
      <c r="K28" s="462"/>
      <c r="L28" s="462"/>
      <c r="M28" s="137"/>
      <c r="N28" s="137"/>
      <c r="O28" s="135"/>
      <c r="P28" s="387"/>
      <c r="Q28" s="574">
        <v>0</v>
      </c>
      <c r="T28" s="753"/>
    </row>
    <row r="29" spans="1:20" s="1" customFormat="1" ht="75" customHeight="1">
      <c r="A29" s="840"/>
      <c r="B29" s="799"/>
      <c r="C29" s="724"/>
      <c r="D29" s="405" t="s">
        <v>550</v>
      </c>
      <c r="E29" s="402" t="s">
        <v>1</v>
      </c>
      <c r="F29" s="398">
        <f>+'MATRIZ GENERAL CONSOLIDADA'!D22</f>
        <v>100</v>
      </c>
      <c r="G29" s="398">
        <f>+'MATRIZ GENERAL CONSOLIDADA'!F22</f>
        <v>100</v>
      </c>
      <c r="H29" s="446">
        <f>+'Anexo 1 Matriz SINA Inf Gestión'!P22</f>
        <v>0</v>
      </c>
      <c r="I29" s="446">
        <f>+'MATRIZ GENERAL CONSOLIDADA'!G22</f>
        <v>0</v>
      </c>
      <c r="J29" s="75">
        <f t="shared" si="2"/>
        <v>0</v>
      </c>
      <c r="K29" s="462"/>
      <c r="L29" s="462"/>
      <c r="M29" s="137"/>
      <c r="N29" s="137"/>
      <c r="O29" s="135"/>
      <c r="P29" s="387"/>
      <c r="T29" s="753"/>
    </row>
    <row r="30" spans="1:20" s="1" customFormat="1" ht="38.25" customHeight="1">
      <c r="A30" s="840"/>
      <c r="B30" s="799"/>
      <c r="C30" s="724"/>
      <c r="D30" s="409" t="s">
        <v>350</v>
      </c>
      <c r="E30" s="410" t="s">
        <v>454</v>
      </c>
      <c r="F30" s="398">
        <f>+'MATRIZ GENERAL CONSOLIDADA'!D23</f>
        <v>400</v>
      </c>
      <c r="G30" s="398">
        <f>+'MATRIZ GENERAL CONSOLIDADA'!F23</f>
        <v>400</v>
      </c>
      <c r="H30" s="446">
        <f>+'Anexo 1 Matriz SINA Inf Gestión'!P23</f>
        <v>759170561</v>
      </c>
      <c r="I30" s="446">
        <f>+'MATRIZ GENERAL CONSOLIDADA'!G23</f>
        <v>734846432.704</v>
      </c>
      <c r="J30" s="75">
        <f t="shared" si="2"/>
        <v>24324128.296000004</v>
      </c>
      <c r="K30" s="462"/>
      <c r="L30" s="462"/>
      <c r="M30" s="137"/>
      <c r="N30" s="137"/>
      <c r="O30" s="135"/>
      <c r="P30" s="130"/>
      <c r="T30" s="753"/>
    </row>
    <row r="31" spans="1:20" s="1" customFormat="1" ht="53.25" customHeight="1">
      <c r="A31" s="840"/>
      <c r="B31" s="799"/>
      <c r="C31" s="724"/>
      <c r="D31" s="411" t="s">
        <v>526</v>
      </c>
      <c r="E31" s="412" t="s">
        <v>454</v>
      </c>
      <c r="F31" s="398">
        <f>+'MATRIZ GENERAL CONSOLIDADA'!D24</f>
        <v>100</v>
      </c>
      <c r="G31" s="398">
        <f>+'MATRIZ GENERAL CONSOLIDADA'!F24</f>
        <v>114</v>
      </c>
      <c r="H31" s="446">
        <f>+'Anexo 1 Matriz SINA Inf Gestión'!P24</f>
        <v>1242051614</v>
      </c>
      <c r="I31" s="446">
        <f>+'MATRIZ GENERAL CONSOLIDADA'!G24</f>
        <v>1210930748.464</v>
      </c>
      <c r="J31" s="75">
        <f t="shared" si="2"/>
        <v>31120865.536000013</v>
      </c>
      <c r="K31" s="462"/>
      <c r="L31" s="462"/>
      <c r="M31" s="137"/>
      <c r="N31" s="137"/>
      <c r="O31" s="135"/>
      <c r="P31" s="130"/>
      <c r="T31" s="753"/>
    </row>
    <row r="32" spans="1:20" s="1" customFormat="1" ht="53.25" customHeight="1">
      <c r="A32" s="840"/>
      <c r="B32" s="799"/>
      <c r="C32" s="724"/>
      <c r="D32" s="411" t="s">
        <v>360</v>
      </c>
      <c r="E32" s="568" t="s">
        <v>454</v>
      </c>
      <c r="F32" s="398">
        <f>+'MATRIZ GENERAL CONSOLIDADA'!D25</f>
        <v>489</v>
      </c>
      <c r="G32" s="398">
        <f>+'MATRIZ GENERAL CONSOLIDADA'!F25</f>
        <v>438</v>
      </c>
      <c r="H32" s="446">
        <f>+'Anexo 1 Matriz SINA Inf Gestión'!P25</f>
        <v>486929498.00899994</v>
      </c>
      <c r="I32" s="446">
        <f>+'MATRIZ GENERAL CONSOLIDADA'!G25</f>
        <v>486795199.17299998</v>
      </c>
      <c r="J32" s="75">
        <f t="shared" si="2"/>
        <v>134298.83599996567</v>
      </c>
      <c r="K32" s="462"/>
      <c r="L32" s="462"/>
      <c r="M32" s="137"/>
      <c r="N32" s="137"/>
      <c r="O32" s="135"/>
      <c r="P32" s="130"/>
      <c r="T32" s="753"/>
    </row>
    <row r="33" spans="1:20" s="1" customFormat="1" ht="53.25" customHeight="1">
      <c r="A33" s="840"/>
      <c r="B33" s="799"/>
      <c r="C33" s="724"/>
      <c r="D33" s="411" t="s">
        <v>509</v>
      </c>
      <c r="E33" s="568" t="s">
        <v>454</v>
      </c>
      <c r="F33" s="398">
        <f>+'MATRIZ GENERAL CONSOLIDADA'!D26</f>
        <v>4963</v>
      </c>
      <c r="G33" s="750">
        <f>+'MATRIZ GENERAL CONSOLIDADA'!F26</f>
        <v>14107</v>
      </c>
      <c r="H33" s="446">
        <f>+'Anexo 1 Matriz SINA Inf Gestión'!P26</f>
        <v>7197815867.3479996</v>
      </c>
      <c r="I33" s="446">
        <f>+'MATRIZ GENERAL CONSOLIDADA'!G26</f>
        <v>6719332076.3479996</v>
      </c>
      <c r="J33" s="75">
        <f t="shared" si="2"/>
        <v>478483791</v>
      </c>
      <c r="K33" s="462"/>
      <c r="L33" s="462"/>
      <c r="M33" s="137"/>
      <c r="N33" s="137"/>
      <c r="O33" s="135"/>
      <c r="P33" s="130"/>
      <c r="T33" s="753"/>
    </row>
    <row r="34" spans="1:20" s="1" customFormat="1" ht="53.25" customHeight="1">
      <c r="A34" s="840"/>
      <c r="B34" s="799"/>
      <c r="C34" s="724"/>
      <c r="D34" s="411" t="s">
        <v>363</v>
      </c>
      <c r="E34" s="413" t="s">
        <v>454</v>
      </c>
      <c r="F34" s="398">
        <f>+'MATRIZ GENERAL CONSOLIDADA'!D27</f>
        <v>14536</v>
      </c>
      <c r="G34" s="398">
        <f>+'MATRIZ GENERAL CONSOLIDADA'!F27</f>
        <v>13773</v>
      </c>
      <c r="H34" s="446">
        <f>+'Anexo 1 Matriz SINA Inf Gestión'!P27</f>
        <v>5319436527</v>
      </c>
      <c r="I34" s="446">
        <f>+'MATRIZ GENERAL CONSOLIDADA'!G27</f>
        <v>5295302840.7679996</v>
      </c>
      <c r="J34" s="75">
        <f t="shared" si="2"/>
        <v>24133686.232000351</v>
      </c>
      <c r="K34" s="462"/>
      <c r="L34" s="462"/>
      <c r="M34" s="137"/>
      <c r="N34" s="137"/>
      <c r="O34" s="135"/>
      <c r="P34" s="130"/>
      <c r="T34" s="753"/>
    </row>
    <row r="35" spans="1:20" s="1" customFormat="1" ht="53.25" customHeight="1">
      <c r="A35" s="840"/>
      <c r="B35" s="799"/>
      <c r="C35" s="725"/>
      <c r="D35" s="447" t="s">
        <v>361</v>
      </c>
      <c r="E35" s="413" t="s">
        <v>454</v>
      </c>
      <c r="F35" s="398">
        <f>+'MATRIZ GENERAL CONSOLIDADA'!D28</f>
        <v>1100</v>
      </c>
      <c r="G35" s="750">
        <f>+'MATRIZ GENERAL CONSOLIDADA'!F28</f>
        <v>1527.08</v>
      </c>
      <c r="H35" s="446">
        <f>+'Anexo 1 Matriz SINA Inf Gestión'!P28</f>
        <v>1380630506.6040001</v>
      </c>
      <c r="I35" s="446">
        <f>+'MATRIZ GENERAL CONSOLIDADA'!G28</f>
        <v>1380262665.816</v>
      </c>
      <c r="J35" s="75">
        <f t="shared" si="2"/>
        <v>367840.78800010681</v>
      </c>
      <c r="K35" s="462"/>
      <c r="L35" s="462"/>
      <c r="M35" s="137"/>
      <c r="N35" s="137"/>
      <c r="O35" s="135"/>
      <c r="P35" s="130"/>
      <c r="T35" s="753"/>
    </row>
    <row r="36" spans="1:20" s="1" customFormat="1" ht="53.25" customHeight="1">
      <c r="A36" s="840"/>
      <c r="B36" s="799"/>
      <c r="C36" s="724"/>
      <c r="D36" s="407" t="s">
        <v>480</v>
      </c>
      <c r="E36" s="397" t="s">
        <v>455</v>
      </c>
      <c r="F36" s="398">
        <f>+'MATRIZ GENERAL CONSOLIDADA'!D29</f>
        <v>100</v>
      </c>
      <c r="G36" s="398">
        <f>+'MATRIZ GENERAL CONSOLIDADA'!F29</f>
        <v>100</v>
      </c>
      <c r="H36" s="446">
        <f>+'Anexo 1 Matriz SINA Inf Gestión'!P29</f>
        <v>0</v>
      </c>
      <c r="I36" s="446">
        <f>+'MATRIZ GENERAL CONSOLIDADA'!G29</f>
        <v>0</v>
      </c>
      <c r="J36" s="75">
        <f t="shared" si="2"/>
        <v>0</v>
      </c>
      <c r="K36" s="462"/>
      <c r="L36" s="462"/>
      <c r="M36" s="137"/>
      <c r="N36" s="137"/>
      <c r="O36" s="135"/>
      <c r="P36" s="130"/>
      <c r="T36" s="753"/>
    </row>
    <row r="37" spans="1:20" s="1" customFormat="1" ht="24" customHeight="1">
      <c r="A37" s="840"/>
      <c r="B37" s="799"/>
      <c r="C37" s="725"/>
      <c r="D37" s="831" t="s">
        <v>320</v>
      </c>
      <c r="E37" s="831"/>
      <c r="F37" s="831"/>
      <c r="G37" s="831"/>
      <c r="H37" s="469">
        <f>SUM(H27:H36)</f>
        <v>31436715759.320999</v>
      </c>
      <c r="I37" s="448"/>
      <c r="J37" s="826">
        <f>+H37-I38</f>
        <v>1450239338.5039978</v>
      </c>
      <c r="K37" s="462"/>
      <c r="L37" s="462"/>
      <c r="M37" s="137"/>
      <c r="N37" s="137"/>
      <c r="O37" s="135"/>
      <c r="P37" s="130"/>
      <c r="T37" s="753"/>
    </row>
    <row r="38" spans="1:20" s="1" customFormat="1" ht="18" customHeight="1">
      <c r="A38" s="840"/>
      <c r="B38" s="799"/>
      <c r="C38" s="725"/>
      <c r="D38" s="831" t="s">
        <v>321</v>
      </c>
      <c r="E38" s="831"/>
      <c r="F38" s="831"/>
      <c r="G38" s="831"/>
      <c r="H38" s="831"/>
      <c r="I38" s="624">
        <f>SUM(I27:I37)</f>
        <v>29986476420.817001</v>
      </c>
      <c r="J38" s="837"/>
      <c r="K38" s="462"/>
      <c r="L38" s="462"/>
      <c r="M38" s="137"/>
      <c r="N38" s="137"/>
      <c r="O38" s="135"/>
      <c r="P38" s="130"/>
      <c r="T38" s="753"/>
    </row>
    <row r="39" spans="1:20" s="1" customFormat="1" ht="15">
      <c r="A39" s="840"/>
      <c r="B39" s="799"/>
      <c r="C39" s="725"/>
      <c r="D39" s="831" t="s">
        <v>322</v>
      </c>
      <c r="E39" s="831"/>
      <c r="F39" s="831"/>
      <c r="G39" s="831"/>
      <c r="H39" s="831"/>
      <c r="I39" s="491">
        <f>+'Anexo 1 Matriz SINA Inf Gestión'!R19/100</f>
        <v>0.95386797559875502</v>
      </c>
      <c r="J39" s="837"/>
      <c r="K39" s="462"/>
      <c r="L39" s="462"/>
      <c r="M39" s="137"/>
      <c r="N39" s="137"/>
      <c r="O39" s="135"/>
      <c r="P39" s="130"/>
      <c r="T39" s="753"/>
    </row>
    <row r="40" spans="1:20" s="1" customFormat="1" ht="18" customHeight="1">
      <c r="A40" s="840"/>
      <c r="B40" s="799"/>
      <c r="C40" s="725"/>
      <c r="D40" s="800" t="s">
        <v>527</v>
      </c>
      <c r="E40" s="801"/>
      <c r="F40" s="801"/>
      <c r="G40" s="801"/>
      <c r="H40" s="802"/>
      <c r="I40" s="491">
        <f>+'Anexo 1 Matriz SINA Inf Gestión'!K19/100</f>
        <v>0.98832151527327117</v>
      </c>
      <c r="J40" s="837"/>
      <c r="K40" s="462"/>
      <c r="L40" s="462"/>
      <c r="M40" s="137"/>
      <c r="N40" s="137"/>
      <c r="O40" s="135"/>
      <c r="P40" s="130"/>
      <c r="T40" s="753"/>
    </row>
    <row r="41" spans="1:20" s="1" customFormat="1" ht="47.25" customHeight="1">
      <c r="A41" s="840"/>
      <c r="B41" s="806" t="s">
        <v>307</v>
      </c>
      <c r="C41" s="729"/>
      <c r="D41" s="827" t="s">
        <v>542</v>
      </c>
      <c r="E41" s="807" t="s">
        <v>96</v>
      </c>
      <c r="F41" s="807" t="s">
        <v>309</v>
      </c>
      <c r="G41" s="807"/>
      <c r="H41" s="821" t="s">
        <v>310</v>
      </c>
      <c r="I41" s="821"/>
      <c r="J41" s="822"/>
      <c r="K41" s="462"/>
      <c r="L41" s="462"/>
      <c r="M41" s="137"/>
      <c r="N41" s="137"/>
      <c r="O41" s="135"/>
      <c r="P41" s="130"/>
      <c r="T41" s="753"/>
    </row>
    <row r="42" spans="1:20" s="1" customFormat="1" ht="47.25" customHeight="1">
      <c r="A42" s="840"/>
      <c r="B42" s="806"/>
      <c r="C42" s="729"/>
      <c r="D42" s="828"/>
      <c r="E42" s="807"/>
      <c r="F42" s="466" t="s">
        <v>311</v>
      </c>
      <c r="G42" s="466" t="s">
        <v>312</v>
      </c>
      <c r="H42" s="467" t="s">
        <v>313</v>
      </c>
      <c r="I42" s="732" t="s">
        <v>314</v>
      </c>
      <c r="J42" s="733" t="s">
        <v>315</v>
      </c>
      <c r="K42" s="462"/>
      <c r="L42" s="462"/>
      <c r="M42" s="137"/>
      <c r="N42" s="137"/>
      <c r="O42" s="135"/>
      <c r="P42" s="130"/>
      <c r="T42" s="753"/>
    </row>
    <row r="43" spans="1:20" s="1" customFormat="1" ht="68.25" customHeight="1">
      <c r="A43" s="840"/>
      <c r="B43" s="799" t="s">
        <v>469</v>
      </c>
      <c r="C43" s="724"/>
      <c r="D43" s="407" t="s">
        <v>376</v>
      </c>
      <c r="E43" s="406" t="s">
        <v>377</v>
      </c>
      <c r="F43" s="424">
        <f>+'MATRIZ GENERAL CONSOLIDADA'!D31</f>
        <v>1</v>
      </c>
      <c r="G43" s="715">
        <f>+'MATRIZ GENERAL CONSOLIDADA'!F31</f>
        <v>0.9375</v>
      </c>
      <c r="H43" s="468">
        <f>+'MATRIZ GENERAL CONSOLIDADA'!E31</f>
        <v>5565382157.9877996</v>
      </c>
      <c r="I43" s="468">
        <f>+'MATRIZ GENERAL CONSOLIDADA'!G31</f>
        <v>4546788341</v>
      </c>
      <c r="J43" s="75">
        <f>+H43-I43</f>
        <v>1018593816.9877996</v>
      </c>
      <c r="K43" s="462"/>
      <c r="L43" s="462"/>
      <c r="M43" s="137"/>
      <c r="N43" s="137"/>
      <c r="O43" s="135"/>
      <c r="P43" s="130"/>
      <c r="T43" s="753"/>
    </row>
    <row r="44" spans="1:20" s="1" customFormat="1" ht="33" customHeight="1">
      <c r="A44" s="840"/>
      <c r="B44" s="799"/>
      <c r="C44" s="724"/>
      <c r="D44" s="407" t="s">
        <v>481</v>
      </c>
      <c r="E44" s="406" t="s">
        <v>513</v>
      </c>
      <c r="F44" s="424">
        <f>+'MATRIZ GENERAL CONSOLIDADA'!D32</f>
        <v>1</v>
      </c>
      <c r="G44" s="715">
        <f>+'MATRIZ GENERAL CONSOLIDADA'!F32</f>
        <v>0.875</v>
      </c>
      <c r="H44" s="468">
        <f>+'MATRIZ GENERAL CONSOLIDADA'!E32</f>
        <v>691813802.49877977</v>
      </c>
      <c r="I44" s="468">
        <f>+'MATRIZ GENERAL CONSOLIDADA'!G32</f>
        <v>691742609</v>
      </c>
      <c r="J44" s="75">
        <f>+H44-I44</f>
        <v>71193.498779773712</v>
      </c>
      <c r="K44" s="462"/>
      <c r="L44" s="462"/>
      <c r="M44" s="137"/>
      <c r="N44" s="137"/>
      <c r="O44" s="135"/>
      <c r="P44" s="387"/>
      <c r="T44" s="753"/>
    </row>
    <row r="45" spans="1:20" s="1" customFormat="1" ht="22.5" customHeight="1">
      <c r="A45" s="840"/>
      <c r="B45" s="799"/>
      <c r="C45" s="725"/>
      <c r="D45" s="831" t="s">
        <v>320</v>
      </c>
      <c r="E45" s="831"/>
      <c r="F45" s="831"/>
      <c r="G45" s="831"/>
      <c r="H45" s="469">
        <f>SUM(H43:H44)</f>
        <v>6257195960.4865799</v>
      </c>
      <c r="I45" s="399"/>
      <c r="J45" s="826">
        <f>+H45-I46</f>
        <v>1018665010.4865799</v>
      </c>
      <c r="K45" s="462"/>
      <c r="L45" s="462"/>
      <c r="M45" s="137"/>
      <c r="N45" s="137"/>
      <c r="O45" s="135"/>
      <c r="P45" s="130"/>
      <c r="T45" s="753"/>
    </row>
    <row r="46" spans="1:20" s="1" customFormat="1" ht="16.5" customHeight="1">
      <c r="A46" s="840"/>
      <c r="B46" s="799"/>
      <c r="C46" s="725"/>
      <c r="D46" s="831" t="s">
        <v>321</v>
      </c>
      <c r="E46" s="831"/>
      <c r="F46" s="831"/>
      <c r="G46" s="831"/>
      <c r="H46" s="831"/>
      <c r="I46" s="469">
        <f>SUM(I43:I45)</f>
        <v>5238530950</v>
      </c>
      <c r="J46" s="837"/>
      <c r="K46" s="462"/>
      <c r="L46" s="462"/>
      <c r="M46" s="137"/>
      <c r="N46" s="137"/>
      <c r="O46" s="135"/>
      <c r="P46" s="130"/>
      <c r="T46" s="753"/>
    </row>
    <row r="47" spans="1:20" s="1" customFormat="1" ht="16.5" customHeight="1">
      <c r="A47" s="840"/>
      <c r="B47" s="799"/>
      <c r="C47" s="725"/>
      <c r="D47" s="831" t="s">
        <v>322</v>
      </c>
      <c r="E47" s="831"/>
      <c r="F47" s="831"/>
      <c r="G47" s="831"/>
      <c r="H47" s="831"/>
      <c r="I47" s="529">
        <f>+'Anexo 1 Matriz SINA Inf Gestión'!R30/100</f>
        <v>0.83720436768768247</v>
      </c>
      <c r="J47" s="837"/>
      <c r="K47" s="462"/>
      <c r="L47" s="462"/>
      <c r="M47" s="137"/>
      <c r="N47" s="137"/>
      <c r="O47" s="135"/>
      <c r="P47" s="130"/>
      <c r="T47" s="753"/>
    </row>
    <row r="48" spans="1:20" s="1" customFormat="1" ht="16.5" customHeight="1">
      <c r="A48" s="840"/>
      <c r="B48" s="799"/>
      <c r="C48" s="725"/>
      <c r="D48" s="800" t="s">
        <v>527</v>
      </c>
      <c r="E48" s="801"/>
      <c r="F48" s="801"/>
      <c r="G48" s="801"/>
      <c r="H48" s="802"/>
      <c r="I48" s="529">
        <f>+'Anexo 1 Matriz SINA Inf Gestión'!K30/100</f>
        <v>0.90625</v>
      </c>
      <c r="J48" s="837"/>
      <c r="K48" s="462"/>
      <c r="L48" s="462"/>
      <c r="M48" s="137"/>
      <c r="N48" s="137"/>
      <c r="O48" s="135"/>
      <c r="P48" s="130"/>
      <c r="T48" s="753"/>
    </row>
    <row r="49" spans="1:20" s="1" customFormat="1" ht="17.25" customHeight="1">
      <c r="A49" s="836" t="s">
        <v>306</v>
      </c>
      <c r="B49" s="806" t="s">
        <v>307</v>
      </c>
      <c r="C49" s="729"/>
      <c r="D49" s="827" t="s">
        <v>542</v>
      </c>
      <c r="E49" s="807" t="s">
        <v>96</v>
      </c>
      <c r="F49" s="807" t="s">
        <v>309</v>
      </c>
      <c r="G49" s="807"/>
      <c r="H49" s="821" t="s">
        <v>310</v>
      </c>
      <c r="I49" s="821"/>
      <c r="J49" s="822"/>
      <c r="K49" s="462"/>
      <c r="L49" s="462"/>
      <c r="M49" s="134"/>
      <c r="N49" s="134"/>
      <c r="O49" s="135"/>
      <c r="P49" s="130"/>
      <c r="T49" s="753"/>
    </row>
    <row r="50" spans="1:20" s="1" customFormat="1" ht="51.75" customHeight="1">
      <c r="A50" s="836"/>
      <c r="B50" s="806"/>
      <c r="C50" s="729"/>
      <c r="D50" s="828"/>
      <c r="E50" s="807"/>
      <c r="F50" s="466" t="s">
        <v>311</v>
      </c>
      <c r="G50" s="466" t="s">
        <v>312</v>
      </c>
      <c r="H50" s="467" t="s">
        <v>313</v>
      </c>
      <c r="I50" s="732" t="s">
        <v>314</v>
      </c>
      <c r="J50" s="733" t="s">
        <v>315</v>
      </c>
      <c r="K50" s="462"/>
      <c r="L50" s="462"/>
      <c r="M50" s="134"/>
      <c r="N50" s="134"/>
      <c r="O50" s="135"/>
      <c r="P50" s="130"/>
      <c r="T50" s="753"/>
    </row>
    <row r="51" spans="1:20" s="1" customFormat="1" ht="57.75" customHeight="1">
      <c r="A51" s="858" t="s">
        <v>470</v>
      </c>
      <c r="B51" s="799" t="s">
        <v>476</v>
      </c>
      <c r="C51" s="724"/>
      <c r="D51" s="396" t="s">
        <v>483</v>
      </c>
      <c r="E51" s="398" t="s">
        <v>1</v>
      </c>
      <c r="F51" s="424">
        <f>+'MATRIZ GENERAL CONSOLIDADA'!D35</f>
        <v>100</v>
      </c>
      <c r="G51" s="398">
        <f>+'MATRIZ GENERAL CONSOLIDADA'!F35</f>
        <v>22.25</v>
      </c>
      <c r="H51" s="468">
        <f>+'MATRIZ GENERAL CONSOLIDADA'!E35</f>
        <v>0</v>
      </c>
      <c r="I51" s="468">
        <f>+'MATRIZ GENERAL CONSOLIDADA'!G35</f>
        <v>0</v>
      </c>
      <c r="J51" s="75">
        <v>0</v>
      </c>
      <c r="K51" s="462"/>
      <c r="L51" s="462"/>
      <c r="M51" s="138">
        <v>75206</v>
      </c>
      <c r="N51" s="134">
        <v>340671</v>
      </c>
      <c r="O51" s="135"/>
      <c r="P51" s="130"/>
      <c r="Q51" s="1">
        <v>0</v>
      </c>
      <c r="T51" s="753"/>
    </row>
    <row r="52" spans="1:20" s="1" customFormat="1" ht="59.25" customHeight="1">
      <c r="A52" s="840"/>
      <c r="B52" s="799"/>
      <c r="C52" s="724"/>
      <c r="D52" s="401" t="s">
        <v>382</v>
      </c>
      <c r="E52" s="398" t="s">
        <v>454</v>
      </c>
      <c r="F52" s="424">
        <f>+'MATRIZ GENERAL CONSOLIDADA'!D36</f>
        <v>227184</v>
      </c>
      <c r="G52" s="398">
        <f>+'MATRIZ GENERAL CONSOLIDADA'!F36</f>
        <v>201747.36</v>
      </c>
      <c r="H52" s="468">
        <f>+'Anexo 1 Matriz SINA Inf Gestión'!P36</f>
        <v>1366192207</v>
      </c>
      <c r="I52" s="468">
        <f>+'MATRIZ GENERAL CONSOLIDADA'!G36</f>
        <v>1366192207.0999999</v>
      </c>
      <c r="J52" s="75">
        <v>0</v>
      </c>
      <c r="K52" s="462"/>
      <c r="L52" s="462"/>
      <c r="M52" s="138"/>
      <c r="N52" s="134"/>
      <c r="O52" s="135"/>
      <c r="P52" s="130"/>
      <c r="Q52" s="574">
        <v>0</v>
      </c>
      <c r="T52" s="753"/>
    </row>
    <row r="53" spans="1:20" s="1" customFormat="1" ht="47.25" customHeight="1">
      <c r="A53" s="840"/>
      <c r="B53" s="799"/>
      <c r="C53" s="724"/>
      <c r="D53" s="401" t="s">
        <v>383</v>
      </c>
      <c r="E53" s="398" t="s">
        <v>488</v>
      </c>
      <c r="F53" s="424">
        <f>+'MATRIZ GENERAL CONSOLIDADA'!D37</f>
        <v>33.333333333333336</v>
      </c>
      <c r="G53" s="398">
        <f>+'MATRIZ GENERAL CONSOLIDADA'!F37</f>
        <v>32.333333333333336</v>
      </c>
      <c r="H53" s="468">
        <f>+'Anexo 1 Matriz SINA Inf Gestión'!P37</f>
        <v>49279933</v>
      </c>
      <c r="I53" s="468">
        <f>+'MATRIZ GENERAL CONSOLIDADA'!G37</f>
        <v>49279933.395999998</v>
      </c>
      <c r="J53" s="75"/>
      <c r="K53" s="462"/>
      <c r="L53" s="462"/>
      <c r="M53" s="138"/>
      <c r="N53" s="134"/>
      <c r="O53" s="135"/>
      <c r="P53" s="130"/>
      <c r="T53" s="753"/>
    </row>
    <row r="54" spans="1:20" s="1" customFormat="1" ht="45" customHeight="1">
      <c r="A54" s="840"/>
      <c r="B54" s="799"/>
      <c r="C54" s="724"/>
      <c r="D54" s="401" t="s">
        <v>384</v>
      </c>
      <c r="E54" s="398" t="s">
        <v>510</v>
      </c>
      <c r="F54" s="424">
        <f>+'MATRIZ GENERAL CONSOLIDADA'!D38</f>
        <v>120</v>
      </c>
      <c r="G54" s="398">
        <f>+'MATRIZ GENERAL CONSOLIDADA'!F38</f>
        <v>119</v>
      </c>
      <c r="H54" s="468">
        <f>+'Anexo 1 Matriz SINA Inf Gestión'!P38</f>
        <v>296338658</v>
      </c>
      <c r="I54" s="468">
        <f>+'MATRIZ GENERAL CONSOLIDADA'!G38</f>
        <v>236445484</v>
      </c>
      <c r="J54" s="75">
        <f>+H54-I54</f>
        <v>59893174</v>
      </c>
      <c r="K54" s="462"/>
      <c r="L54" s="462"/>
      <c r="M54" s="138"/>
      <c r="N54" s="134"/>
      <c r="O54" s="135"/>
      <c r="P54" s="130"/>
      <c r="T54" s="753"/>
    </row>
    <row r="55" spans="1:20" s="1" customFormat="1" ht="42.75" customHeight="1">
      <c r="A55" s="840"/>
      <c r="B55" s="799"/>
      <c r="C55" s="724"/>
      <c r="D55" s="401" t="s">
        <v>385</v>
      </c>
      <c r="E55" s="398" t="s">
        <v>190</v>
      </c>
      <c r="F55" s="424">
        <f>+'MATRIZ GENERAL CONSOLIDADA'!D39</f>
        <v>3</v>
      </c>
      <c r="G55" s="398">
        <f>+'MATRIZ GENERAL CONSOLIDADA'!F39</f>
        <v>2.85</v>
      </c>
      <c r="H55" s="468">
        <f>+'Anexo 1 Matriz SINA Inf Gestión'!P39</f>
        <v>115380000</v>
      </c>
      <c r="I55" s="468">
        <f>+'MATRIZ GENERAL CONSOLIDADA'!G39</f>
        <v>115380000</v>
      </c>
      <c r="J55" s="75">
        <f t="shared" ref="J55:J60" si="3">+H55-I55</f>
        <v>0</v>
      </c>
      <c r="K55" s="462"/>
      <c r="L55" s="462"/>
      <c r="M55" s="138"/>
      <c r="N55" s="134"/>
      <c r="O55" s="135"/>
      <c r="P55" s="130"/>
      <c r="T55" s="753"/>
    </row>
    <row r="56" spans="1:20" s="1" customFormat="1" ht="39" customHeight="1">
      <c r="A56" s="840"/>
      <c r="B56" s="799"/>
      <c r="C56" s="724"/>
      <c r="D56" s="401" t="s">
        <v>522</v>
      </c>
      <c r="E56" s="398" t="s">
        <v>523</v>
      </c>
      <c r="F56" s="424">
        <f>+'MATRIZ GENERAL CONSOLIDADA'!D40</f>
        <v>7</v>
      </c>
      <c r="G56" s="398">
        <f>+'MATRIZ GENERAL CONSOLIDADA'!F40</f>
        <v>6.1</v>
      </c>
      <c r="H56" s="468">
        <f>+'Anexo 1 Matriz SINA Inf Gestión'!P40</f>
        <v>2270845778</v>
      </c>
      <c r="I56" s="468">
        <f>+'MATRIZ GENERAL CONSOLIDADA'!G40</f>
        <v>2244936021.632</v>
      </c>
      <c r="J56" s="75">
        <f t="shared" si="3"/>
        <v>25909756.368000031</v>
      </c>
      <c r="K56" s="462"/>
      <c r="L56" s="462"/>
      <c r="M56" s="138"/>
      <c r="N56" s="134"/>
      <c r="O56" s="135"/>
      <c r="P56" s="130"/>
      <c r="T56" s="753"/>
    </row>
    <row r="57" spans="1:20" s="1" customFormat="1" ht="39" customHeight="1">
      <c r="A57" s="840"/>
      <c r="B57" s="799"/>
      <c r="C57" s="724"/>
      <c r="D57" s="332" t="s">
        <v>534</v>
      </c>
      <c r="E57" s="174" t="s">
        <v>1</v>
      </c>
      <c r="F57" s="424">
        <f>+'MATRIZ GENERAL CONSOLIDADA'!D41</f>
        <v>100</v>
      </c>
      <c r="G57" s="398">
        <f>+'MATRIZ GENERAL CONSOLIDADA'!F41</f>
        <v>99.6</v>
      </c>
      <c r="H57" s="468">
        <f>+'Anexo 1 Matriz SINA Inf Gestión'!P41</f>
        <v>0</v>
      </c>
      <c r="I57" s="468">
        <f>+'MATRIZ GENERAL CONSOLIDADA'!G41</f>
        <v>0</v>
      </c>
      <c r="J57" s="75"/>
      <c r="K57" s="462"/>
      <c r="L57" s="462"/>
      <c r="M57" s="138"/>
      <c r="N57" s="134"/>
      <c r="O57" s="135"/>
      <c r="P57" s="130"/>
      <c r="T57" s="753"/>
    </row>
    <row r="58" spans="1:20" s="1" customFormat="1" ht="39" customHeight="1">
      <c r="A58" s="840"/>
      <c r="B58" s="799"/>
      <c r="C58" s="724"/>
      <c r="D58" s="329" t="s">
        <v>386</v>
      </c>
      <c r="E58" s="174" t="s">
        <v>133</v>
      </c>
      <c r="F58" s="424">
        <f>+'MATRIZ GENERAL CONSOLIDADA'!D42</f>
        <v>3</v>
      </c>
      <c r="G58" s="398">
        <f>+'MATRIZ GENERAL CONSOLIDADA'!F42</f>
        <v>3</v>
      </c>
      <c r="H58" s="468">
        <f>+'Anexo 1 Matriz SINA Inf Gestión'!P42</f>
        <v>36144000</v>
      </c>
      <c r="I58" s="468">
        <f>+'MATRIZ GENERAL CONSOLIDADA'!G42</f>
        <v>36144000</v>
      </c>
      <c r="J58" s="75"/>
      <c r="K58" s="462"/>
      <c r="L58" s="462"/>
      <c r="M58" s="138"/>
      <c r="N58" s="134"/>
      <c r="O58" s="135"/>
      <c r="P58" s="130"/>
      <c r="T58" s="753"/>
    </row>
    <row r="59" spans="1:20" s="1" customFormat="1" ht="40.5" customHeight="1">
      <c r="A59" s="840"/>
      <c r="B59" s="799"/>
      <c r="C59" s="724"/>
      <c r="D59" s="405" t="s">
        <v>381</v>
      </c>
      <c r="E59" s="398" t="s">
        <v>1</v>
      </c>
      <c r="F59" s="424">
        <f>+'MATRIZ GENERAL CONSOLIDADA'!D43</f>
        <v>100</v>
      </c>
      <c r="G59" s="398">
        <f>+'MATRIZ GENERAL CONSOLIDADA'!F43</f>
        <v>95</v>
      </c>
      <c r="H59" s="468">
        <f>+'Anexo 1 Matriz SINA Inf Gestión'!P43</f>
        <v>0</v>
      </c>
      <c r="I59" s="468">
        <f>+'MATRIZ GENERAL CONSOLIDADA'!G43</f>
        <v>0</v>
      </c>
      <c r="J59" s="75">
        <f t="shared" si="3"/>
        <v>0</v>
      </c>
      <c r="K59" s="462"/>
      <c r="L59" s="462"/>
      <c r="M59" s="138"/>
      <c r="N59" s="134"/>
      <c r="O59" s="135"/>
      <c r="P59" s="130"/>
      <c r="T59" s="753"/>
    </row>
    <row r="60" spans="1:20" s="1" customFormat="1" ht="37.5" customHeight="1">
      <c r="A60" s="840"/>
      <c r="B60" s="799"/>
      <c r="C60" s="724"/>
      <c r="D60" s="401" t="s">
        <v>387</v>
      </c>
      <c r="E60" s="398" t="s">
        <v>388</v>
      </c>
      <c r="F60" s="424">
        <f>+'MATRIZ GENERAL CONSOLIDADA'!D44</f>
        <v>1</v>
      </c>
      <c r="G60" s="398">
        <f>+'MATRIZ GENERAL CONSOLIDADA'!F44</f>
        <v>0.95</v>
      </c>
      <c r="H60" s="468">
        <f>+'Anexo 1 Matriz SINA Inf Gestión'!P44</f>
        <v>48893429</v>
      </c>
      <c r="I60" s="468">
        <f>+'MATRIZ GENERAL CONSOLIDADA'!G44</f>
        <v>8639219</v>
      </c>
      <c r="J60" s="75">
        <f t="shared" si="3"/>
        <v>40254210</v>
      </c>
      <c r="K60" s="462"/>
      <c r="L60" s="462"/>
      <c r="M60" s="138"/>
      <c r="N60" s="134"/>
      <c r="O60" s="135"/>
      <c r="P60" s="130"/>
      <c r="T60" s="753"/>
    </row>
    <row r="61" spans="1:20" s="1" customFormat="1" ht="37.5" customHeight="1">
      <c r="A61" s="840"/>
      <c r="B61" s="799"/>
      <c r="C61" s="724"/>
      <c r="D61" s="401" t="s">
        <v>515</v>
      </c>
      <c r="E61" s="398" t="s">
        <v>516</v>
      </c>
      <c r="F61" s="424">
        <f>+'MATRIZ GENERAL CONSOLIDADA'!D45</f>
        <v>0</v>
      </c>
      <c r="G61" s="398">
        <f>+'MATRIZ GENERAL CONSOLIDADA'!F45</f>
        <v>0</v>
      </c>
      <c r="H61" s="468">
        <f>+'Anexo 1 Matriz SINA Inf Gestión'!P45</f>
        <v>54623470</v>
      </c>
      <c r="I61" s="468">
        <f>+'MATRIZ GENERAL CONSOLIDADA'!G45</f>
        <v>54623470</v>
      </c>
      <c r="J61" s="75"/>
      <c r="K61" s="462"/>
      <c r="L61" s="462"/>
      <c r="M61" s="138"/>
      <c r="N61" s="134"/>
      <c r="O61" s="135"/>
      <c r="P61" s="130"/>
      <c r="T61" s="753"/>
    </row>
    <row r="62" spans="1:20" s="1" customFormat="1" ht="24" customHeight="1">
      <c r="A62" s="840"/>
      <c r="B62" s="799"/>
      <c r="C62" s="725"/>
      <c r="D62" s="834" t="s">
        <v>320</v>
      </c>
      <c r="E62" s="834"/>
      <c r="F62" s="834"/>
      <c r="G62" s="834"/>
      <c r="H62" s="469">
        <f>SUM(H51:H61)</f>
        <v>4237697475</v>
      </c>
      <c r="I62" s="399"/>
      <c r="J62" s="826">
        <f>+H62-I62</f>
        <v>4237697475</v>
      </c>
      <c r="K62" s="136"/>
      <c r="L62" s="462"/>
      <c r="M62" s="134"/>
      <c r="N62" s="134"/>
      <c r="O62" s="135"/>
      <c r="P62" s="130"/>
      <c r="T62" s="753"/>
    </row>
    <row r="63" spans="1:20" s="1" customFormat="1" ht="16.5" customHeight="1">
      <c r="A63" s="840"/>
      <c r="B63" s="799"/>
      <c r="C63" s="725"/>
      <c r="D63" s="834" t="s">
        <v>321</v>
      </c>
      <c r="E63" s="834"/>
      <c r="F63" s="834"/>
      <c r="G63" s="834"/>
      <c r="H63" s="834"/>
      <c r="I63" s="469">
        <f>SUM(I51:I62)</f>
        <v>4111640335.1279998</v>
      </c>
      <c r="J63" s="826"/>
      <c r="K63" s="136"/>
      <c r="L63" s="462"/>
      <c r="M63" s="134"/>
      <c r="N63" s="134"/>
      <c r="O63" s="135"/>
      <c r="P63" s="130"/>
      <c r="T63" s="753"/>
    </row>
    <row r="64" spans="1:20" s="1" customFormat="1" ht="16.5" customHeight="1">
      <c r="A64" s="840"/>
      <c r="B64" s="799"/>
      <c r="C64" s="726"/>
      <c r="D64" s="835" t="s">
        <v>322</v>
      </c>
      <c r="E64" s="831"/>
      <c r="F64" s="831"/>
      <c r="G64" s="831"/>
      <c r="H64" s="831"/>
      <c r="I64" s="529">
        <f>+'Anexo 1 Matriz SINA Inf Gestión'!R34/100</f>
        <v>0.97025338863482691</v>
      </c>
      <c r="J64" s="826"/>
      <c r="K64" s="136"/>
      <c r="L64" s="462"/>
      <c r="M64" s="134"/>
      <c r="N64" s="134"/>
      <c r="O64" s="135"/>
      <c r="P64" s="130"/>
      <c r="T64" s="753"/>
    </row>
    <row r="65" spans="1:20" s="1" customFormat="1" ht="16.5" customHeight="1">
      <c r="A65" s="840"/>
      <c r="B65" s="799"/>
      <c r="C65" s="726"/>
      <c r="D65" s="818" t="s">
        <v>527</v>
      </c>
      <c r="E65" s="819"/>
      <c r="F65" s="819"/>
      <c r="G65" s="819"/>
      <c r="H65" s="820"/>
      <c r="I65" s="529">
        <f>+'Anexo 1 Matriz SINA Inf Gestión'!K34/100</f>
        <v>0.8878860508906895</v>
      </c>
      <c r="J65" s="826"/>
      <c r="K65" s="136"/>
      <c r="L65" s="462"/>
      <c r="M65" s="134"/>
      <c r="N65" s="134"/>
      <c r="O65" s="135"/>
      <c r="P65" s="130"/>
      <c r="T65" s="753"/>
    </row>
    <row r="66" spans="1:20" s="1" customFormat="1" ht="33.75" customHeight="1">
      <c r="A66" s="840"/>
      <c r="B66" s="806" t="s">
        <v>307</v>
      </c>
      <c r="C66" s="729"/>
      <c r="D66" s="827" t="s">
        <v>542</v>
      </c>
      <c r="E66" s="807" t="s">
        <v>96</v>
      </c>
      <c r="F66" s="807" t="s">
        <v>309</v>
      </c>
      <c r="G66" s="807"/>
      <c r="H66" s="821" t="s">
        <v>247</v>
      </c>
      <c r="I66" s="821"/>
      <c r="J66" s="822"/>
      <c r="K66" s="462"/>
      <c r="L66" s="462"/>
      <c r="M66" s="134"/>
      <c r="N66" s="134"/>
      <c r="O66" s="135"/>
      <c r="P66" s="130"/>
      <c r="T66" s="753"/>
    </row>
    <row r="67" spans="1:20" s="1" customFormat="1" ht="27" customHeight="1">
      <c r="A67" s="840"/>
      <c r="B67" s="806"/>
      <c r="C67" s="729"/>
      <c r="D67" s="828"/>
      <c r="E67" s="807"/>
      <c r="F67" s="466" t="s">
        <v>311</v>
      </c>
      <c r="G67" s="466" t="s">
        <v>312</v>
      </c>
      <c r="H67" s="467" t="s">
        <v>313</v>
      </c>
      <c r="I67" s="732" t="s">
        <v>314</v>
      </c>
      <c r="J67" s="733" t="s">
        <v>315</v>
      </c>
      <c r="K67" s="462"/>
      <c r="L67" s="462"/>
      <c r="M67" s="134"/>
      <c r="N67" s="134"/>
      <c r="O67" s="135"/>
      <c r="P67" s="130"/>
      <c r="T67" s="753"/>
    </row>
    <row r="68" spans="1:20" s="1" customFormat="1" ht="34.5" customHeight="1">
      <c r="A68" s="840"/>
      <c r="B68" s="793" t="s">
        <v>540</v>
      </c>
      <c r="C68" s="723"/>
      <c r="D68" s="440" t="s">
        <v>389</v>
      </c>
      <c r="E68" s="398" t="s">
        <v>1</v>
      </c>
      <c r="F68" s="472">
        <f>+'MATRIZ GENERAL CONSOLIDADA'!D47</f>
        <v>100</v>
      </c>
      <c r="G68" s="618">
        <f>+'MATRIZ GENERAL CONSOLIDADA'!F47</f>
        <v>92.5</v>
      </c>
      <c r="H68" s="473">
        <f>+'MATRIZ GENERAL CONSOLIDADA'!E47</f>
        <v>0</v>
      </c>
      <c r="I68" s="473">
        <f>+'MATRIZ GENERAL CONSOLIDADA'!G47</f>
        <v>0</v>
      </c>
      <c r="J68" s="75">
        <f t="shared" ref="J68:J71" si="4">+H68-I68</f>
        <v>0</v>
      </c>
      <c r="K68" s="462"/>
      <c r="L68" s="462"/>
      <c r="M68" s="134"/>
      <c r="N68" s="134"/>
      <c r="O68" s="135"/>
      <c r="P68" s="130"/>
      <c r="T68" s="753"/>
    </row>
    <row r="69" spans="1:20" s="1" customFormat="1" ht="32.25" customHeight="1">
      <c r="A69" s="840"/>
      <c r="B69" s="793"/>
      <c r="C69" s="723"/>
      <c r="D69" s="437" t="s">
        <v>524</v>
      </c>
      <c r="E69" s="398" t="s">
        <v>454</v>
      </c>
      <c r="F69" s="472">
        <f>+'MATRIZ GENERAL CONSOLIDADA'!D48</f>
        <v>99948</v>
      </c>
      <c r="G69" s="618">
        <f>+'MATRIZ GENERAL CONSOLIDADA'!F48</f>
        <v>115666.40666666666</v>
      </c>
      <c r="H69" s="473">
        <f>+'Anexo 1 Matriz SINA Inf Gestión'!P48</f>
        <v>1798202377</v>
      </c>
      <c r="I69" s="473">
        <f>+'MATRIZ GENERAL CONSOLIDADA'!G48</f>
        <v>1769794197</v>
      </c>
      <c r="J69" s="75">
        <f>+H69-I69</f>
        <v>28408180</v>
      </c>
      <c r="K69" s="462"/>
      <c r="L69" s="462"/>
      <c r="M69" s="134"/>
      <c r="N69" s="134"/>
      <c r="O69" s="135"/>
      <c r="P69" s="130"/>
      <c r="T69" s="753"/>
    </row>
    <row r="70" spans="1:20" s="1" customFormat="1" ht="32.25" customHeight="1">
      <c r="A70" s="840"/>
      <c r="B70" s="793"/>
      <c r="C70" s="723"/>
      <c r="D70" s="437" t="s">
        <v>525</v>
      </c>
      <c r="E70" s="398" t="s">
        <v>454</v>
      </c>
      <c r="F70" s="472">
        <f>+'MATRIZ GENERAL CONSOLIDADA'!D49</f>
        <v>216462</v>
      </c>
      <c r="G70" s="618">
        <f>+'MATRIZ GENERAL CONSOLIDADA'!F49</f>
        <v>156670.07874999999</v>
      </c>
      <c r="H70" s="473">
        <f>+'Anexo 1 Matriz SINA Inf Gestión'!P49</f>
        <v>4132104384.3199997</v>
      </c>
      <c r="I70" s="473">
        <f>+'MATRIZ GENERAL CONSOLIDADA'!G49</f>
        <v>3865539439.3280001</v>
      </c>
      <c r="J70" s="75">
        <f>+H70-I70</f>
        <v>266564944.99199963</v>
      </c>
      <c r="K70" s="462"/>
      <c r="L70" s="462"/>
      <c r="M70" s="134"/>
      <c r="N70" s="134"/>
      <c r="O70" s="135"/>
      <c r="P70" s="130"/>
      <c r="R70" s="462"/>
      <c r="T70" s="753"/>
    </row>
    <row r="71" spans="1:20" s="1" customFormat="1" ht="32.25" customHeight="1">
      <c r="A71" s="840"/>
      <c r="B71" s="793"/>
      <c r="C71" s="723"/>
      <c r="D71" s="440" t="s">
        <v>390</v>
      </c>
      <c r="E71" s="398" t="s">
        <v>1</v>
      </c>
      <c r="F71" s="472">
        <f>+'MATRIZ GENERAL CONSOLIDADA'!D50</f>
        <v>100</v>
      </c>
      <c r="G71" s="618">
        <f>+'MATRIZ GENERAL CONSOLIDADA'!F50</f>
        <v>91.7</v>
      </c>
      <c r="H71" s="473">
        <f>+'Anexo 1 Matriz SINA Inf Gestión'!P50</f>
        <v>0</v>
      </c>
      <c r="I71" s="473">
        <f>+'MATRIZ GENERAL CONSOLIDADA'!G50</f>
        <v>0</v>
      </c>
      <c r="J71" s="75">
        <f t="shared" si="4"/>
        <v>0</v>
      </c>
      <c r="K71" s="462"/>
      <c r="L71" s="462"/>
      <c r="M71" s="134"/>
      <c r="N71" s="134"/>
      <c r="O71" s="135"/>
      <c r="P71" s="130"/>
      <c r="Q71" s="574">
        <v>64</v>
      </c>
      <c r="R71" s="1">
        <v>15.636704119850187</v>
      </c>
      <c r="T71" s="753"/>
    </row>
    <row r="72" spans="1:20" s="1" customFormat="1" ht="36" customHeight="1">
      <c r="A72" s="840"/>
      <c r="B72" s="793"/>
      <c r="C72" s="723"/>
      <c r="D72" s="437" t="s">
        <v>392</v>
      </c>
      <c r="E72" s="398" t="s">
        <v>188</v>
      </c>
      <c r="F72" s="472">
        <f>+'MATRIZ GENERAL CONSOLIDADA'!D51</f>
        <v>267</v>
      </c>
      <c r="G72" s="618">
        <f>+'MATRIZ GENERAL CONSOLIDADA'!F51</f>
        <v>245</v>
      </c>
      <c r="H72" s="473">
        <f>+'Anexo 1 Matriz SINA Inf Gestión'!P51</f>
        <v>557180800.65600002</v>
      </c>
      <c r="I72" s="473">
        <f>+'MATRIZ GENERAL CONSOLIDADA'!G51</f>
        <v>461496748.65600002</v>
      </c>
      <c r="J72" s="75">
        <f>+H72-I72</f>
        <v>95684052</v>
      </c>
      <c r="K72" s="462"/>
      <c r="L72" s="462"/>
      <c r="M72" s="134"/>
      <c r="N72" s="134"/>
      <c r="O72" s="135"/>
      <c r="P72" s="387"/>
      <c r="Q72" s="574">
        <v>62.546816479400746</v>
      </c>
      <c r="R72" s="1">
        <v>18.25</v>
      </c>
      <c r="T72" s="753"/>
    </row>
    <row r="73" spans="1:20" s="1" customFormat="1" ht="36" customHeight="1">
      <c r="A73" s="840"/>
      <c r="B73" s="793"/>
      <c r="C73" s="723"/>
      <c r="D73" s="440" t="s">
        <v>391</v>
      </c>
      <c r="E73" s="398" t="s">
        <v>180</v>
      </c>
      <c r="F73" s="472">
        <f>+'MATRIZ GENERAL CONSOLIDADA'!D52</f>
        <v>100</v>
      </c>
      <c r="G73" s="618">
        <f>+'MATRIZ GENERAL CONSOLIDADA'!F52</f>
        <v>95</v>
      </c>
      <c r="H73" s="473">
        <f>+'Anexo 1 Matriz SINA Inf Gestión'!P52</f>
        <v>0</v>
      </c>
      <c r="I73" s="473">
        <f>+'MATRIZ GENERAL CONSOLIDADA'!G52</f>
        <v>0</v>
      </c>
      <c r="J73" s="75">
        <f>+H73-I73</f>
        <v>0</v>
      </c>
      <c r="K73" s="462"/>
      <c r="L73" s="462"/>
      <c r="M73" s="134"/>
      <c r="N73" s="134"/>
      <c r="O73" s="135"/>
      <c r="P73" s="130"/>
      <c r="Q73" s="1">
        <v>75</v>
      </c>
      <c r="T73" s="753"/>
    </row>
    <row r="74" spans="1:20" s="1" customFormat="1" ht="36" customHeight="1">
      <c r="A74" s="840"/>
      <c r="B74" s="793"/>
      <c r="C74" s="723"/>
      <c r="D74" s="437" t="s">
        <v>456</v>
      </c>
      <c r="E74" s="398" t="s">
        <v>388</v>
      </c>
      <c r="F74" s="472">
        <f>+'MATRIZ GENERAL CONSOLIDADA'!D53</f>
        <v>4</v>
      </c>
      <c r="G74" s="616">
        <f>+'MATRIZ GENERAL CONSOLIDADA'!F53</f>
        <v>3.8</v>
      </c>
      <c r="H74" s="473">
        <f>+'Anexo 1 Matriz SINA Inf Gestión'!P53</f>
        <v>347244118.5</v>
      </c>
      <c r="I74" s="473">
        <f>+'MATRIZ GENERAL CONSOLIDADA'!G53</f>
        <v>324949294.5</v>
      </c>
      <c r="J74" s="75">
        <f>+H74-I74</f>
        <v>22294824</v>
      </c>
      <c r="K74" s="462"/>
      <c r="L74" s="462"/>
      <c r="M74" s="134"/>
      <c r="N74" s="134"/>
      <c r="O74" s="135"/>
      <c r="P74" s="130"/>
      <c r="Q74" s="1">
        <v>75</v>
      </c>
      <c r="T74" s="753"/>
    </row>
    <row r="75" spans="1:20" s="1" customFormat="1" ht="36" customHeight="1">
      <c r="A75" s="840"/>
      <c r="B75" s="793"/>
      <c r="C75" s="725"/>
      <c r="D75" s="474" t="s">
        <v>515</v>
      </c>
      <c r="E75" s="398" t="s">
        <v>516</v>
      </c>
      <c r="F75" s="472">
        <f>+'MATRIZ GENERAL CONSOLIDADA'!D54</f>
        <v>0</v>
      </c>
      <c r="G75" s="618">
        <f>+'MATRIZ GENERAL CONSOLIDADA'!F54</f>
        <v>0</v>
      </c>
      <c r="H75" s="473">
        <f>+'Anexo 1 Matriz SINA Inf Gestión'!P54</f>
        <v>200609558</v>
      </c>
      <c r="I75" s="473">
        <f>+'MATRIZ GENERAL CONSOLIDADA'!G54</f>
        <v>174718347</v>
      </c>
      <c r="J75" s="75">
        <f>+H75-I75</f>
        <v>25891211</v>
      </c>
      <c r="K75" s="462"/>
      <c r="L75" s="462"/>
      <c r="M75" s="134"/>
      <c r="N75" s="134"/>
      <c r="O75" s="135"/>
      <c r="P75" s="130"/>
      <c r="T75" s="753"/>
    </row>
    <row r="76" spans="1:20" s="1" customFormat="1" ht="20.25" customHeight="1">
      <c r="A76" s="840"/>
      <c r="B76" s="793"/>
      <c r="C76" s="725"/>
      <c r="D76" s="834" t="s">
        <v>320</v>
      </c>
      <c r="E76" s="834"/>
      <c r="F76" s="834"/>
      <c r="G76" s="834"/>
      <c r="H76" s="469">
        <f>SUM(H68:H75)</f>
        <v>7035341238.4759998</v>
      </c>
      <c r="I76" s="475"/>
      <c r="J76" s="826">
        <f>+H76-I77</f>
        <v>438843211.99199963</v>
      </c>
      <c r="K76" s="462"/>
      <c r="L76" s="462"/>
      <c r="M76" s="134"/>
      <c r="N76" s="134"/>
      <c r="O76" s="135"/>
      <c r="P76" s="130"/>
      <c r="T76" s="753"/>
    </row>
    <row r="77" spans="1:20" s="1" customFormat="1" ht="20.25" customHeight="1">
      <c r="A77" s="840"/>
      <c r="B77" s="799"/>
      <c r="C77" s="725"/>
      <c r="D77" s="834" t="s">
        <v>321</v>
      </c>
      <c r="E77" s="834"/>
      <c r="F77" s="834"/>
      <c r="G77" s="834"/>
      <c r="H77" s="834"/>
      <c r="I77" s="476">
        <f>SUM(I68:I76)</f>
        <v>6596498026.4840002</v>
      </c>
      <c r="J77" s="826"/>
      <c r="K77" s="462"/>
      <c r="L77" s="462"/>
      <c r="M77" s="134"/>
      <c r="N77" s="134"/>
      <c r="O77" s="135"/>
      <c r="P77" s="130"/>
      <c r="T77" s="753"/>
    </row>
    <row r="78" spans="1:20" s="1" customFormat="1" ht="20.25" customHeight="1">
      <c r="A78" s="840"/>
      <c r="B78" s="808"/>
      <c r="C78" s="726"/>
      <c r="D78" s="835" t="s">
        <v>322</v>
      </c>
      <c r="E78" s="835"/>
      <c r="F78" s="835"/>
      <c r="G78" s="835"/>
      <c r="H78" s="835"/>
      <c r="I78" s="529">
        <f>+'Anexo 1 Matriz SINA Inf Gestión'!R46/100</f>
        <v>0.93762303815599113</v>
      </c>
      <c r="J78" s="826"/>
      <c r="K78" s="462"/>
      <c r="L78" s="462"/>
      <c r="M78" s="134"/>
      <c r="N78" s="134"/>
      <c r="O78" s="135"/>
      <c r="P78" s="130"/>
      <c r="T78" s="753"/>
    </row>
    <row r="79" spans="1:20" s="1" customFormat="1" ht="20.25" customHeight="1">
      <c r="A79" s="840"/>
      <c r="B79" s="808"/>
      <c r="C79" s="726"/>
      <c r="D79" s="818" t="s">
        <v>527</v>
      </c>
      <c r="E79" s="819"/>
      <c r="F79" s="819"/>
      <c r="G79" s="819"/>
      <c r="H79" s="820"/>
      <c r="I79" s="696">
        <f>+'Anexo 1 Matriz SINA Inf Gestión'!K46/100</f>
        <v>0.8608228424311446</v>
      </c>
      <c r="J79" s="826"/>
      <c r="K79" s="462"/>
      <c r="L79" s="462"/>
      <c r="M79" s="134"/>
      <c r="N79" s="134"/>
      <c r="O79" s="135"/>
      <c r="P79" s="130"/>
      <c r="T79" s="753"/>
    </row>
    <row r="80" spans="1:20" s="1" customFormat="1" ht="16.5" customHeight="1">
      <c r="A80" s="836" t="s">
        <v>306</v>
      </c>
      <c r="B80" s="806" t="s">
        <v>307</v>
      </c>
      <c r="C80" s="729"/>
      <c r="D80" s="827" t="s">
        <v>542</v>
      </c>
      <c r="E80" s="807" t="s">
        <v>96</v>
      </c>
      <c r="F80" s="807" t="s">
        <v>309</v>
      </c>
      <c r="G80" s="807"/>
      <c r="H80" s="821" t="s">
        <v>310</v>
      </c>
      <c r="I80" s="821"/>
      <c r="J80" s="822"/>
      <c r="K80" s="462"/>
      <c r="L80" s="462"/>
      <c r="M80" s="134"/>
      <c r="N80" s="134"/>
      <c r="O80" s="135"/>
      <c r="P80" s="130"/>
      <c r="T80" s="753"/>
    </row>
    <row r="81" spans="1:20" s="1" customFormat="1" ht="44.25" customHeight="1">
      <c r="A81" s="836"/>
      <c r="B81" s="806"/>
      <c r="C81" s="740"/>
      <c r="D81" s="828"/>
      <c r="E81" s="807"/>
      <c r="F81" s="466" t="s">
        <v>311</v>
      </c>
      <c r="G81" s="466" t="s">
        <v>312</v>
      </c>
      <c r="H81" s="467" t="s">
        <v>313</v>
      </c>
      <c r="I81" s="732" t="s">
        <v>314</v>
      </c>
      <c r="J81" s="733" t="s">
        <v>315</v>
      </c>
      <c r="K81" s="462"/>
      <c r="L81" s="462"/>
      <c r="M81" s="134"/>
      <c r="N81" s="134"/>
      <c r="O81" s="135"/>
      <c r="P81" s="130"/>
      <c r="T81" s="753"/>
    </row>
    <row r="82" spans="1:20" s="1" customFormat="1" ht="68.25" customHeight="1">
      <c r="A82" s="853" t="s">
        <v>471</v>
      </c>
      <c r="B82" s="793" t="s">
        <v>477</v>
      </c>
      <c r="C82" s="723"/>
      <c r="D82" s="441" t="s">
        <v>395</v>
      </c>
      <c r="E82" s="406" t="s">
        <v>1</v>
      </c>
      <c r="F82" s="398">
        <f>+'MATRIZ GENERAL CONSOLIDADA'!D57</f>
        <v>100</v>
      </c>
      <c r="G82" s="398">
        <f>+'MATRIZ GENERAL CONSOLIDADA'!F57</f>
        <v>99</v>
      </c>
      <c r="H82" s="446">
        <f>+'Anexo 1 Matriz SINA Inf Gestión'!P57</f>
        <v>888909547.79999995</v>
      </c>
      <c r="I82" s="446">
        <f>+'MATRIZ GENERAL CONSOLIDADA'!G57</f>
        <v>885467060</v>
      </c>
      <c r="J82" s="75">
        <f>+H82-I82</f>
        <v>3442487.7999999523</v>
      </c>
      <c r="K82" s="462"/>
      <c r="L82" s="462"/>
      <c r="M82" s="134">
        <v>175228</v>
      </c>
      <c r="N82" s="134">
        <v>45086</v>
      </c>
      <c r="O82" s="135">
        <v>334406</v>
      </c>
      <c r="P82" s="130"/>
      <c r="T82" s="753"/>
    </row>
    <row r="83" spans="1:20" s="1" customFormat="1" ht="57" customHeight="1">
      <c r="A83" s="853"/>
      <c r="B83" s="793"/>
      <c r="C83" s="723"/>
      <c r="D83" s="440" t="s">
        <v>396</v>
      </c>
      <c r="E83" s="406" t="s">
        <v>1</v>
      </c>
      <c r="F83" s="398">
        <f>+'MATRIZ GENERAL CONSOLIDADA'!D58</f>
        <v>100</v>
      </c>
      <c r="G83" s="398">
        <f>+'MATRIZ GENERAL CONSOLIDADA'!F58</f>
        <v>100</v>
      </c>
      <c r="H83" s="446">
        <f>+'Anexo 1 Matriz SINA Inf Gestión'!P58</f>
        <v>0</v>
      </c>
      <c r="I83" s="446">
        <f>+'MATRIZ GENERAL CONSOLIDADA'!G58</f>
        <v>0</v>
      </c>
      <c r="J83" s="75">
        <f>+H83-I83</f>
        <v>0</v>
      </c>
      <c r="K83" s="462"/>
      <c r="L83" s="462"/>
      <c r="M83" s="134"/>
      <c r="N83" s="134"/>
      <c r="O83" s="135"/>
      <c r="P83" s="130"/>
      <c r="Q83" s="1">
        <v>0</v>
      </c>
      <c r="R83" s="1">
        <v>17.82</v>
      </c>
      <c r="T83" s="753"/>
    </row>
    <row r="84" spans="1:20" s="1" customFormat="1" ht="73.5" customHeight="1">
      <c r="A84" s="853"/>
      <c r="B84" s="793"/>
      <c r="C84" s="723"/>
      <c r="D84" s="477" t="s">
        <v>397</v>
      </c>
      <c r="E84" s="406" t="s">
        <v>490</v>
      </c>
      <c r="F84" s="398">
        <f>+'MATRIZ GENERAL CONSOLIDADA'!D59</f>
        <v>11</v>
      </c>
      <c r="G84" s="398">
        <f>+'MATRIZ GENERAL CONSOLIDADA'!F59</f>
        <v>11</v>
      </c>
      <c r="H84" s="446">
        <f>+'Anexo 1 Matriz SINA Inf Gestión'!P59</f>
        <v>2491671683</v>
      </c>
      <c r="I84" s="446">
        <f>+'MATRIZ GENERAL CONSOLIDADA'!G59</f>
        <v>2336508615.448</v>
      </c>
      <c r="J84" s="75">
        <f>+H84-I84</f>
        <v>155163067.55200005</v>
      </c>
      <c r="K84" s="462"/>
      <c r="L84" s="462"/>
      <c r="M84" s="134"/>
      <c r="N84" s="134"/>
      <c r="O84" s="135"/>
      <c r="P84" s="130"/>
      <c r="Q84" s="1">
        <v>25</v>
      </c>
      <c r="R84" s="1">
        <v>6.75</v>
      </c>
      <c r="T84" s="753"/>
    </row>
    <row r="85" spans="1:20" s="1" customFormat="1" ht="33.75" customHeight="1">
      <c r="A85" s="853"/>
      <c r="B85" s="793"/>
      <c r="C85" s="723"/>
      <c r="D85" s="478" t="s">
        <v>520</v>
      </c>
      <c r="E85" s="406" t="s">
        <v>398</v>
      </c>
      <c r="F85" s="398">
        <f>+'MATRIZ GENERAL CONSOLIDADA'!D60</f>
        <v>1</v>
      </c>
      <c r="G85" s="398">
        <f>+'MATRIZ GENERAL CONSOLIDADA'!F60</f>
        <v>1</v>
      </c>
      <c r="H85" s="446">
        <f>+'Anexo 1 Matriz SINA Inf Gestión'!P60</f>
        <v>160033113.48800001</v>
      </c>
      <c r="I85" s="446">
        <f>+'MATRIZ GENERAL CONSOLIDADA'!G60</f>
        <v>159704480</v>
      </c>
      <c r="J85" s="75">
        <f>+H85-I85</f>
        <v>328633.48800000548</v>
      </c>
      <c r="K85" s="462"/>
      <c r="L85" s="462"/>
      <c r="M85" s="134"/>
      <c r="N85" s="134"/>
      <c r="O85" s="135"/>
      <c r="P85" s="130"/>
      <c r="T85" s="753"/>
    </row>
    <row r="86" spans="1:20" s="1" customFormat="1" ht="33.75" customHeight="1">
      <c r="A86" s="853"/>
      <c r="B86" s="793"/>
      <c r="C86" s="723"/>
      <c r="D86" s="478" t="s">
        <v>399</v>
      </c>
      <c r="E86" s="406" t="s">
        <v>400</v>
      </c>
      <c r="F86" s="398">
        <f>+'MATRIZ GENERAL CONSOLIDADA'!D61</f>
        <v>8</v>
      </c>
      <c r="G86" s="398">
        <f>+'MATRIZ GENERAL CONSOLIDADA'!F61</f>
        <v>8</v>
      </c>
      <c r="H86" s="446">
        <f>+'Anexo 1 Matriz SINA Inf Gestión'!P61</f>
        <v>0</v>
      </c>
      <c r="I86" s="446">
        <f>+'MATRIZ GENERAL CONSOLIDADA'!G61</f>
        <v>0</v>
      </c>
      <c r="J86" s="75">
        <f t="shared" ref="J86" si="5">+H86-I86</f>
        <v>0</v>
      </c>
      <c r="K86" s="462"/>
      <c r="L86" s="462"/>
      <c r="M86" s="134"/>
      <c r="N86" s="134"/>
      <c r="O86" s="135"/>
      <c r="P86" s="130"/>
      <c r="T86" s="753"/>
    </row>
    <row r="87" spans="1:20" s="1" customFormat="1" ht="69.75" customHeight="1">
      <c r="A87" s="853"/>
      <c r="B87" s="793"/>
      <c r="C87" s="723"/>
      <c r="D87" s="474" t="s">
        <v>401</v>
      </c>
      <c r="E87" s="406" t="s">
        <v>400</v>
      </c>
      <c r="F87" s="398">
        <f>+'MATRIZ GENERAL CONSOLIDADA'!D62</f>
        <v>1.5</v>
      </c>
      <c r="G87" s="398">
        <f>+'MATRIZ GENERAL CONSOLIDADA'!F62</f>
        <v>1.5</v>
      </c>
      <c r="H87" s="446">
        <f>+'Anexo 1 Matriz SINA Inf Gestión'!P62</f>
        <v>15122012618</v>
      </c>
      <c r="I87" s="446">
        <f>+'MATRIZ GENERAL CONSOLIDADA'!G62</f>
        <v>13862827777.044001</v>
      </c>
      <c r="J87" s="75">
        <f>+H87-I87</f>
        <v>1259184840.9559994</v>
      </c>
      <c r="K87" s="462"/>
      <c r="L87" s="462"/>
      <c r="M87" s="134"/>
      <c r="N87" s="134"/>
      <c r="O87" s="135"/>
      <c r="P87" s="130"/>
      <c r="T87" s="753"/>
    </row>
    <row r="88" spans="1:20" s="1" customFormat="1" ht="33.75" customHeight="1">
      <c r="A88" s="853"/>
      <c r="B88" s="793"/>
      <c r="C88" s="725"/>
      <c r="D88" s="474" t="s">
        <v>515</v>
      </c>
      <c r="E88" s="406" t="s">
        <v>516</v>
      </c>
      <c r="F88" s="398">
        <f>+'MATRIZ GENERAL CONSOLIDADA'!D63</f>
        <v>0</v>
      </c>
      <c r="G88" s="398">
        <f>+'MATRIZ GENERAL CONSOLIDADA'!F63</f>
        <v>0</v>
      </c>
      <c r="H88" s="446">
        <f>+'Anexo 1 Matriz SINA Inf Gestión'!P63</f>
        <v>111345620</v>
      </c>
      <c r="I88" s="446">
        <f>+'MATRIZ GENERAL CONSOLIDADA'!G63</f>
        <v>97104795</v>
      </c>
      <c r="J88" s="75">
        <f>+H88-I88</f>
        <v>14240825</v>
      </c>
      <c r="K88" s="462"/>
      <c r="L88" s="462"/>
      <c r="M88" s="134"/>
      <c r="N88" s="134"/>
      <c r="O88" s="135"/>
      <c r="P88" s="130"/>
      <c r="T88" s="753"/>
    </row>
    <row r="89" spans="1:20" s="1" customFormat="1" ht="15">
      <c r="A89" s="853"/>
      <c r="B89" s="832"/>
      <c r="C89" s="479"/>
      <c r="D89" s="833" t="s">
        <v>320</v>
      </c>
      <c r="E89" s="834"/>
      <c r="F89" s="834"/>
      <c r="G89" s="834"/>
      <c r="H89" s="469">
        <f>SUM(H82:H88)</f>
        <v>18773972582.288002</v>
      </c>
      <c r="I89" s="399"/>
      <c r="J89" s="826">
        <f>+H89-I90</f>
        <v>1432359854.7960014</v>
      </c>
      <c r="K89" s="139"/>
      <c r="L89" s="462"/>
      <c r="M89" s="134">
        <v>630821</v>
      </c>
      <c r="N89" s="134"/>
      <c r="O89" s="135"/>
      <c r="P89" s="130"/>
      <c r="T89" s="753"/>
    </row>
    <row r="90" spans="1:20" s="1" customFormat="1" ht="15">
      <c r="A90" s="853"/>
      <c r="B90" s="832"/>
      <c r="C90" s="737"/>
      <c r="D90" s="834" t="s">
        <v>321</v>
      </c>
      <c r="E90" s="834"/>
      <c r="F90" s="834"/>
      <c r="G90" s="834"/>
      <c r="H90" s="834"/>
      <c r="I90" s="469">
        <f>SUM(I82:I89)</f>
        <v>17341612727.492001</v>
      </c>
      <c r="J90" s="826"/>
      <c r="K90" s="136"/>
      <c r="L90" s="462"/>
      <c r="M90" s="134">
        <v>4107244</v>
      </c>
      <c r="N90" s="134"/>
      <c r="O90" s="135"/>
      <c r="P90" s="130"/>
      <c r="T90" s="753"/>
    </row>
    <row r="91" spans="1:20" s="1" customFormat="1" ht="15">
      <c r="A91" s="853"/>
      <c r="B91" s="852"/>
      <c r="C91" s="738"/>
      <c r="D91" s="835" t="s">
        <v>322</v>
      </c>
      <c r="E91" s="835"/>
      <c r="F91" s="835"/>
      <c r="G91" s="835"/>
      <c r="H91" s="835"/>
      <c r="I91" s="529">
        <f>+'Anexo 1 Matriz SINA Inf Gestión'!R56/100</f>
        <v>0.92370502042027391</v>
      </c>
      <c r="J91" s="826"/>
      <c r="K91" s="136"/>
      <c r="L91" s="462"/>
      <c r="M91" s="134"/>
      <c r="N91" s="134"/>
      <c r="O91" s="135"/>
      <c r="P91" s="130"/>
      <c r="T91" s="753"/>
    </row>
    <row r="92" spans="1:20" s="1" customFormat="1" ht="15">
      <c r="A92" s="853"/>
      <c r="B92" s="852"/>
      <c r="C92" s="738"/>
      <c r="D92" s="818" t="s">
        <v>527</v>
      </c>
      <c r="E92" s="819"/>
      <c r="F92" s="819"/>
      <c r="G92" s="819"/>
      <c r="H92" s="820"/>
      <c r="I92" s="716">
        <f>+'Anexo 1 Matriz SINA Inf Gestión'!K56/100</f>
        <v>0.99548532731376982</v>
      </c>
      <c r="J92" s="826"/>
      <c r="K92" s="136"/>
      <c r="L92" s="462"/>
      <c r="M92" s="134"/>
      <c r="N92" s="134"/>
      <c r="O92" s="135"/>
      <c r="P92" s="130"/>
      <c r="T92" s="753"/>
    </row>
    <row r="93" spans="1:20" s="1" customFormat="1" ht="23.25" customHeight="1">
      <c r="A93" s="853"/>
      <c r="B93" s="806" t="s">
        <v>307</v>
      </c>
      <c r="C93" s="729"/>
      <c r="D93" s="827" t="s">
        <v>542</v>
      </c>
      <c r="E93" s="807" t="s">
        <v>96</v>
      </c>
      <c r="F93" s="807" t="s">
        <v>309</v>
      </c>
      <c r="G93" s="807"/>
      <c r="H93" s="821" t="s">
        <v>310</v>
      </c>
      <c r="I93" s="821"/>
      <c r="J93" s="822"/>
      <c r="K93" s="462"/>
      <c r="L93" s="462"/>
      <c r="M93" s="140"/>
      <c r="N93" s="137"/>
      <c r="O93" s="141"/>
      <c r="P93" s="130"/>
      <c r="T93" s="753"/>
    </row>
    <row r="94" spans="1:20" s="1" customFormat="1" ht="33.75" customHeight="1">
      <c r="A94" s="853"/>
      <c r="B94" s="806"/>
      <c r="C94" s="740"/>
      <c r="D94" s="828"/>
      <c r="E94" s="807"/>
      <c r="F94" s="466" t="s">
        <v>311</v>
      </c>
      <c r="G94" s="466" t="s">
        <v>312</v>
      </c>
      <c r="H94" s="467" t="s">
        <v>313</v>
      </c>
      <c r="I94" s="732" t="s">
        <v>314</v>
      </c>
      <c r="J94" s="733" t="s">
        <v>315</v>
      </c>
      <c r="K94" s="462"/>
      <c r="L94" s="462"/>
      <c r="M94" s="140"/>
      <c r="N94" s="137"/>
      <c r="O94" s="141"/>
      <c r="P94" s="130"/>
      <c r="T94" s="753"/>
    </row>
    <row r="95" spans="1:20" s="1" customFormat="1" ht="50.25" customHeight="1">
      <c r="A95" s="853"/>
      <c r="B95" s="799" t="s">
        <v>541</v>
      </c>
      <c r="C95" s="725"/>
      <c r="D95" s="441" t="s">
        <v>402</v>
      </c>
      <c r="E95" s="406" t="s">
        <v>1</v>
      </c>
      <c r="F95" s="398">
        <f>+'MATRIZ GENERAL CONSOLIDADA'!D65</f>
        <v>100</v>
      </c>
      <c r="G95" s="398">
        <f>+'MATRIZ GENERAL CONSOLIDADA'!F65</f>
        <v>100</v>
      </c>
      <c r="H95" s="446">
        <f>+'Anexo 1 Matriz SINA Inf Gestión'!P65</f>
        <v>52999999.508000001</v>
      </c>
      <c r="I95" s="446">
        <f>+'MATRIZ GENERAL CONSOLIDADA'!G65</f>
        <v>52999999.508000001</v>
      </c>
      <c r="J95" s="75">
        <f>+H95-I95</f>
        <v>0</v>
      </c>
      <c r="K95" s="462"/>
      <c r="L95" s="462"/>
      <c r="M95" s="140"/>
      <c r="N95" s="137"/>
      <c r="O95" s="141"/>
      <c r="P95" s="130"/>
      <c r="Q95" s="1">
        <v>0</v>
      </c>
      <c r="T95" s="753"/>
    </row>
    <row r="96" spans="1:20" s="1" customFormat="1" ht="44.25" customHeight="1">
      <c r="A96" s="853"/>
      <c r="B96" s="799"/>
      <c r="C96" s="725"/>
      <c r="D96" s="480" t="s">
        <v>404</v>
      </c>
      <c r="E96" s="406" t="s">
        <v>131</v>
      </c>
      <c r="F96" s="398">
        <f>+'MATRIZ GENERAL CONSOLIDADA'!D66</f>
        <v>8</v>
      </c>
      <c r="G96" s="398">
        <f>+'MATRIZ GENERAL CONSOLIDADA'!F66</f>
        <v>8</v>
      </c>
      <c r="H96" s="446">
        <f>+'Anexo 1 Matriz SINA Inf Gestión'!P66</f>
        <v>419638592.88999999</v>
      </c>
      <c r="I96" s="446">
        <f>+'MATRIZ GENERAL CONSOLIDADA'!G66</f>
        <v>369637896.88999999</v>
      </c>
      <c r="J96" s="75">
        <f t="shared" ref="J96:J98" si="6">+H96-I96</f>
        <v>50000696</v>
      </c>
      <c r="K96" s="462"/>
      <c r="L96" s="462"/>
      <c r="M96" s="140"/>
      <c r="N96" s="137"/>
      <c r="O96" s="141"/>
      <c r="P96" s="387"/>
      <c r="Q96" s="1">
        <v>50</v>
      </c>
      <c r="R96" s="1">
        <v>10</v>
      </c>
      <c r="T96" s="753"/>
    </row>
    <row r="97" spans="1:20" s="1" customFormat="1" ht="44.25" customHeight="1">
      <c r="A97" s="853"/>
      <c r="B97" s="799"/>
      <c r="C97" s="725"/>
      <c r="D97" s="407" t="s">
        <v>405</v>
      </c>
      <c r="E97" s="406" t="s">
        <v>407</v>
      </c>
      <c r="F97" s="398">
        <f>+'MATRIZ GENERAL CONSOLIDADA'!D67</f>
        <v>2</v>
      </c>
      <c r="G97" s="398">
        <f>+'MATRIZ GENERAL CONSOLIDADA'!F67</f>
        <v>2</v>
      </c>
      <c r="H97" s="446">
        <f>+'Anexo 1 Matriz SINA Inf Gestión'!P67</f>
        <v>129896750</v>
      </c>
      <c r="I97" s="446">
        <f>+'MATRIZ GENERAL CONSOLIDADA'!G67</f>
        <v>129896750</v>
      </c>
      <c r="J97" s="75"/>
      <c r="K97" s="462"/>
      <c r="L97" s="462"/>
      <c r="M97" s="140"/>
      <c r="N97" s="137"/>
      <c r="O97" s="141"/>
      <c r="P97" s="387"/>
      <c r="T97" s="753"/>
    </row>
    <row r="98" spans="1:20" s="1" customFormat="1" ht="61.5" customHeight="1">
      <c r="A98" s="853"/>
      <c r="B98" s="799"/>
      <c r="C98" s="725"/>
      <c r="D98" s="481" t="s">
        <v>406</v>
      </c>
      <c r="E98" s="406" t="s">
        <v>131</v>
      </c>
      <c r="F98" s="398">
        <f>+'MATRIZ GENERAL CONSOLIDADA'!D68</f>
        <v>4</v>
      </c>
      <c r="G98" s="398">
        <f>+'MATRIZ GENERAL CONSOLIDADA'!F68</f>
        <v>4</v>
      </c>
      <c r="H98" s="446">
        <f>+'Anexo 1 Matriz SINA Inf Gestión'!P68</f>
        <v>1384945663.49</v>
      </c>
      <c r="I98" s="446">
        <f>+'MATRIZ GENERAL CONSOLIDADA'!G68</f>
        <v>1279882419.49</v>
      </c>
      <c r="J98" s="75">
        <f t="shared" si="6"/>
        <v>105063244</v>
      </c>
      <c r="K98" s="462"/>
      <c r="L98" s="462"/>
      <c r="M98" s="140"/>
      <c r="N98" s="137"/>
      <c r="O98" s="141"/>
      <c r="P98" s="130"/>
      <c r="T98" s="753"/>
    </row>
    <row r="99" spans="1:20" s="1" customFormat="1" ht="15">
      <c r="A99" s="853"/>
      <c r="B99" s="832"/>
      <c r="C99" s="737"/>
      <c r="D99" s="833" t="s">
        <v>320</v>
      </c>
      <c r="E99" s="834"/>
      <c r="F99" s="834"/>
      <c r="G99" s="834"/>
      <c r="H99" s="469">
        <f>SUM(H95:H98)</f>
        <v>1987481005.888</v>
      </c>
      <c r="I99" s="603"/>
      <c r="J99" s="826">
        <f>+H99-I100</f>
        <v>155063940</v>
      </c>
      <c r="K99" s="462"/>
      <c r="L99" s="462"/>
      <c r="M99" s="140"/>
      <c r="N99" s="137"/>
      <c r="O99" s="141"/>
      <c r="P99" s="130"/>
      <c r="T99" s="753"/>
    </row>
    <row r="100" spans="1:20" s="1" customFormat="1" ht="15">
      <c r="A100" s="853"/>
      <c r="B100" s="832"/>
      <c r="C100" s="737"/>
      <c r="D100" s="834" t="s">
        <v>321</v>
      </c>
      <c r="E100" s="834"/>
      <c r="F100" s="834"/>
      <c r="G100" s="834"/>
      <c r="H100" s="834"/>
      <c r="I100" s="469">
        <f>SUM(I95:I99)</f>
        <v>1832417065.888</v>
      </c>
      <c r="J100" s="826"/>
      <c r="K100" s="462"/>
      <c r="L100" s="462"/>
      <c r="M100" s="140"/>
      <c r="N100" s="137"/>
      <c r="O100" s="141"/>
      <c r="P100" s="130"/>
      <c r="T100" s="753"/>
    </row>
    <row r="101" spans="1:20" s="1" customFormat="1" ht="15">
      <c r="A101" s="853"/>
      <c r="B101" s="832"/>
      <c r="C101" s="737"/>
      <c r="D101" s="835" t="s">
        <v>322</v>
      </c>
      <c r="E101" s="835"/>
      <c r="F101" s="835"/>
      <c r="G101" s="835"/>
      <c r="H101" s="835"/>
      <c r="I101" s="696">
        <f>+'Anexo 1 Matriz SINA Inf Gestión'!R64/100</f>
        <v>0.92197966192350189</v>
      </c>
      <c r="J101" s="826"/>
      <c r="K101" s="462"/>
      <c r="L101" s="462"/>
      <c r="M101" s="140"/>
      <c r="N101" s="137"/>
      <c r="O101" s="141"/>
      <c r="P101" s="130"/>
      <c r="T101" s="753"/>
    </row>
    <row r="102" spans="1:20" s="1" customFormat="1" ht="15">
      <c r="A102" s="853"/>
      <c r="B102" s="832"/>
      <c r="C102" s="737"/>
      <c r="D102" s="818" t="s">
        <v>527</v>
      </c>
      <c r="E102" s="819"/>
      <c r="F102" s="819"/>
      <c r="G102" s="819"/>
      <c r="H102" s="820"/>
      <c r="I102" s="686">
        <f>+'Anexo 1 Matriz SINA Inf Gestión'!F64/100</f>
        <v>1</v>
      </c>
      <c r="J102" s="826"/>
      <c r="K102" s="462"/>
      <c r="L102" s="462"/>
      <c r="M102" s="140"/>
      <c r="N102" s="137"/>
      <c r="O102" s="141"/>
      <c r="P102" s="130"/>
      <c r="T102" s="753"/>
    </row>
    <row r="103" spans="1:20" s="1" customFormat="1" ht="19.5" customHeight="1">
      <c r="A103" s="836" t="s">
        <v>306</v>
      </c>
      <c r="B103" s="806" t="s">
        <v>307</v>
      </c>
      <c r="C103" s="729"/>
      <c r="D103" s="827" t="s">
        <v>542</v>
      </c>
      <c r="E103" s="807" t="s">
        <v>96</v>
      </c>
      <c r="F103" s="807" t="s">
        <v>309</v>
      </c>
      <c r="G103" s="807"/>
      <c r="H103" s="821" t="s">
        <v>310</v>
      </c>
      <c r="I103" s="821"/>
      <c r="J103" s="822"/>
      <c r="K103" s="462"/>
      <c r="L103" s="462"/>
      <c r="M103" s="134"/>
      <c r="N103" s="134"/>
      <c r="O103" s="135"/>
      <c r="P103" s="130"/>
      <c r="T103" s="753"/>
    </row>
    <row r="104" spans="1:20" s="1" customFormat="1" ht="28.5" customHeight="1">
      <c r="A104" s="836"/>
      <c r="B104" s="806"/>
      <c r="C104" s="740"/>
      <c r="D104" s="828"/>
      <c r="E104" s="807"/>
      <c r="F104" s="466" t="s">
        <v>311</v>
      </c>
      <c r="G104" s="466" t="s">
        <v>312</v>
      </c>
      <c r="H104" s="482" t="s">
        <v>313</v>
      </c>
      <c r="I104" s="466" t="s">
        <v>314</v>
      </c>
      <c r="J104" s="483" t="s">
        <v>315</v>
      </c>
      <c r="K104" s="462"/>
      <c r="L104" s="462"/>
      <c r="M104" s="134"/>
      <c r="N104" s="134"/>
      <c r="O104" s="135"/>
      <c r="P104" s="130"/>
      <c r="T104" s="753"/>
    </row>
    <row r="105" spans="1:20" s="1" customFormat="1" ht="68.25" customHeight="1">
      <c r="A105" s="858" t="s">
        <v>472</v>
      </c>
      <c r="B105" s="808" t="s">
        <v>473</v>
      </c>
      <c r="C105" s="723"/>
      <c r="D105" s="441" t="s">
        <v>409</v>
      </c>
      <c r="E105" s="406" t="s">
        <v>180</v>
      </c>
      <c r="F105" s="398">
        <f>+'MATRIZ GENERAL CONSOLIDADA'!D71</f>
        <v>100</v>
      </c>
      <c r="G105" s="398">
        <f>+'MATRIZ GENERAL CONSOLIDADA'!F71</f>
        <v>93.75</v>
      </c>
      <c r="H105" s="446">
        <f>+'MATRIZ GENERAL CONSOLIDADA'!E71</f>
        <v>0</v>
      </c>
      <c r="I105" s="446">
        <f>+'MATRIZ GENERAL CONSOLIDADA'!G71</f>
        <v>0</v>
      </c>
      <c r="J105" s="75">
        <f t="shared" ref="J105:J120" si="7">+H105-I105</f>
        <v>0</v>
      </c>
      <c r="K105" s="462"/>
      <c r="L105" s="462"/>
      <c r="M105" s="142">
        <v>951912</v>
      </c>
      <c r="N105" s="134">
        <v>69813</v>
      </c>
      <c r="O105" s="135">
        <v>412670</v>
      </c>
      <c r="P105" s="387"/>
      <c r="T105" s="753"/>
    </row>
    <row r="106" spans="1:20" s="1" customFormat="1" ht="60.75" customHeight="1">
      <c r="A106" s="840"/>
      <c r="B106" s="809"/>
      <c r="C106" s="723"/>
      <c r="D106" s="440" t="s">
        <v>410</v>
      </c>
      <c r="E106" s="406" t="s">
        <v>180</v>
      </c>
      <c r="F106" s="398">
        <f>+'MATRIZ GENERAL CONSOLIDADA'!D72</f>
        <v>100</v>
      </c>
      <c r="G106" s="398">
        <f>+'MATRIZ GENERAL CONSOLIDADA'!F72</f>
        <v>93.75</v>
      </c>
      <c r="H106" s="446">
        <f>+'Anexo 1 Matriz SINA Inf Gestión'!P72</f>
        <v>13432564</v>
      </c>
      <c r="I106" s="446">
        <f>+'MATRIZ GENERAL CONSOLIDADA'!G72</f>
        <v>13432564</v>
      </c>
      <c r="J106" s="75">
        <f t="shared" si="7"/>
        <v>0</v>
      </c>
      <c r="K106" s="462"/>
      <c r="L106" s="462"/>
      <c r="M106" s="142"/>
      <c r="N106" s="134"/>
      <c r="O106" s="135"/>
      <c r="P106" s="130"/>
      <c r="T106" s="753"/>
    </row>
    <row r="107" spans="1:20" s="1" customFormat="1" ht="48" customHeight="1">
      <c r="A107" s="840"/>
      <c r="B107" s="809"/>
      <c r="C107" s="723"/>
      <c r="D107" s="440" t="s">
        <v>411</v>
      </c>
      <c r="E107" s="406" t="s">
        <v>180</v>
      </c>
      <c r="F107" s="398">
        <f>+'MATRIZ GENERAL CONSOLIDADA'!D73</f>
        <v>100</v>
      </c>
      <c r="G107" s="398">
        <f>+'MATRIZ GENERAL CONSOLIDADA'!F73</f>
        <v>93.75</v>
      </c>
      <c r="H107" s="446">
        <f>+'Anexo 1 Matriz SINA Inf Gestión'!P73</f>
        <v>0</v>
      </c>
      <c r="I107" s="446">
        <f>+'MATRIZ GENERAL CONSOLIDADA'!G73</f>
        <v>0</v>
      </c>
      <c r="J107" s="75">
        <f t="shared" si="7"/>
        <v>0</v>
      </c>
      <c r="K107" s="462"/>
      <c r="L107" s="462"/>
      <c r="M107" s="142"/>
      <c r="N107" s="134"/>
      <c r="O107" s="135"/>
      <c r="P107" s="130"/>
      <c r="T107" s="753"/>
    </row>
    <row r="108" spans="1:20" s="1" customFormat="1" ht="48.75" customHeight="1">
      <c r="A108" s="840"/>
      <c r="B108" s="809"/>
      <c r="C108" s="723"/>
      <c r="D108" s="441" t="s">
        <v>412</v>
      </c>
      <c r="E108" s="406" t="s">
        <v>1</v>
      </c>
      <c r="F108" s="398">
        <f>+'MATRIZ GENERAL CONSOLIDADA'!D74</f>
        <v>100</v>
      </c>
      <c r="G108" s="398">
        <f>+'MATRIZ GENERAL CONSOLIDADA'!F74</f>
        <v>99.5</v>
      </c>
      <c r="H108" s="446">
        <f>+'Anexo 1 Matriz SINA Inf Gestión'!P74</f>
        <v>2378743199.055706</v>
      </c>
      <c r="I108" s="446">
        <f>+'MATRIZ GENERAL CONSOLIDADA'!G74</f>
        <v>2320703967.5</v>
      </c>
      <c r="J108" s="75">
        <f>+H108-I108</f>
        <v>58039231.555706024</v>
      </c>
      <c r="K108" s="462"/>
      <c r="L108" s="462"/>
      <c r="M108" s="142"/>
      <c r="N108" s="134"/>
      <c r="O108" s="135"/>
      <c r="P108" s="130"/>
      <c r="T108" s="753"/>
    </row>
    <row r="109" spans="1:20" s="1" customFormat="1" ht="47.25" customHeight="1">
      <c r="A109" s="840"/>
      <c r="B109" s="809"/>
      <c r="C109" s="723"/>
      <c r="D109" s="441" t="s">
        <v>413</v>
      </c>
      <c r="E109" s="406" t="s">
        <v>491</v>
      </c>
      <c r="F109" s="398">
        <f>+'MATRIZ GENERAL CONSOLIDADA'!D75</f>
        <v>60</v>
      </c>
      <c r="G109" s="398">
        <f>+'MATRIZ GENERAL CONSOLIDADA'!F75</f>
        <v>60</v>
      </c>
      <c r="H109" s="446">
        <f>+'Anexo 1 Matriz SINA Inf Gestión'!P75</f>
        <v>0</v>
      </c>
      <c r="I109" s="446">
        <f>+'MATRIZ GENERAL CONSOLIDADA'!G75</f>
        <v>0</v>
      </c>
      <c r="J109" s="75">
        <f t="shared" si="7"/>
        <v>0</v>
      </c>
      <c r="K109" s="462"/>
      <c r="L109" s="462"/>
      <c r="M109" s="142"/>
      <c r="N109" s="134"/>
      <c r="O109" s="135"/>
      <c r="P109" s="130"/>
      <c r="T109" s="753"/>
    </row>
    <row r="110" spans="1:20" s="1" customFormat="1" ht="56.25" customHeight="1">
      <c r="A110" s="840"/>
      <c r="B110" s="809"/>
      <c r="C110" s="723"/>
      <c r="D110" s="441" t="s">
        <v>414</v>
      </c>
      <c r="E110" s="406" t="s">
        <v>180</v>
      </c>
      <c r="F110" s="398">
        <f>+'MATRIZ GENERAL CONSOLIDADA'!D76</f>
        <v>35</v>
      </c>
      <c r="G110" s="398">
        <f>+'MATRIZ GENERAL CONSOLIDADA'!F76</f>
        <v>27.5</v>
      </c>
      <c r="H110" s="446">
        <f>+'Anexo 1 Matriz SINA Inf Gestión'!P76</f>
        <v>445191433.79120207</v>
      </c>
      <c r="I110" s="446">
        <f>+'MATRIZ GENERAL CONSOLIDADA'!G76</f>
        <v>379907185.30400002</v>
      </c>
      <c r="J110" s="75">
        <f>+H110-I110</f>
        <v>65284248.487202048</v>
      </c>
      <c r="K110" s="462"/>
      <c r="L110" s="462"/>
      <c r="M110" s="142"/>
      <c r="N110" s="134"/>
      <c r="O110" s="135"/>
      <c r="P110" s="387"/>
      <c r="T110" s="753"/>
    </row>
    <row r="111" spans="1:20" s="1" customFormat="1" ht="78" customHeight="1">
      <c r="A111" s="840"/>
      <c r="B111" s="809"/>
      <c r="C111" s="723"/>
      <c r="D111" s="437" t="s">
        <v>415</v>
      </c>
      <c r="E111" s="406" t="s">
        <v>180</v>
      </c>
      <c r="F111" s="398">
        <f>+'MATRIZ GENERAL CONSOLIDADA'!D77</f>
        <v>100</v>
      </c>
      <c r="G111" s="398">
        <f>+'MATRIZ GENERAL CONSOLIDADA'!F77</f>
        <v>100</v>
      </c>
      <c r="H111" s="446">
        <f>+'Anexo 1 Matriz SINA Inf Gestión'!P77</f>
        <v>267780424.62</v>
      </c>
      <c r="I111" s="446">
        <f>+'MATRIZ GENERAL CONSOLIDADA'!G77</f>
        <v>254879024.5</v>
      </c>
      <c r="J111" s="75">
        <f t="shared" si="7"/>
        <v>12901400.120000005</v>
      </c>
      <c r="K111" s="462"/>
      <c r="L111" s="462"/>
      <c r="M111" s="142"/>
      <c r="N111" s="134"/>
      <c r="O111" s="135"/>
      <c r="P111" s="130"/>
      <c r="T111" s="753"/>
    </row>
    <row r="112" spans="1:20" s="1" customFormat="1" ht="53.25" customHeight="1">
      <c r="A112" s="840"/>
      <c r="B112" s="809"/>
      <c r="C112" s="723"/>
      <c r="D112" s="484" t="s">
        <v>416</v>
      </c>
      <c r="E112" s="406" t="s">
        <v>182</v>
      </c>
      <c r="F112" s="398">
        <f>+'MATRIZ GENERAL CONSOLIDADA'!D78</f>
        <v>1</v>
      </c>
      <c r="G112" s="398">
        <f>+'MATRIZ GENERAL CONSOLIDADA'!F78</f>
        <v>1</v>
      </c>
      <c r="H112" s="446">
        <f>+'Anexo 1 Matriz SINA Inf Gestión'!P78</f>
        <v>3740683715.7480001</v>
      </c>
      <c r="I112" s="446">
        <f>+'MATRIZ GENERAL CONSOLIDADA'!G78</f>
        <v>3699870253.9920001</v>
      </c>
      <c r="J112" s="75">
        <f t="shared" si="7"/>
        <v>40813461.756000042</v>
      </c>
      <c r="K112" s="462"/>
      <c r="L112" s="462"/>
      <c r="M112" s="142">
        <v>561108</v>
      </c>
      <c r="N112" s="134">
        <v>210274</v>
      </c>
      <c r="O112" s="135"/>
      <c r="P112" s="130"/>
      <c r="T112" s="753"/>
    </row>
    <row r="113" spans="1:20" s="1" customFormat="1" ht="55.5" customHeight="1">
      <c r="A113" s="840"/>
      <c r="B113" s="809"/>
      <c r="C113" s="723"/>
      <c r="D113" s="484" t="s">
        <v>417</v>
      </c>
      <c r="E113" s="406" t="s">
        <v>418</v>
      </c>
      <c r="F113" s="398">
        <f>+'MATRIZ GENERAL CONSOLIDADA'!D79</f>
        <v>4</v>
      </c>
      <c r="G113" s="398">
        <f>+'MATRIZ GENERAL CONSOLIDADA'!F79</f>
        <v>4</v>
      </c>
      <c r="H113" s="446">
        <f>+'Anexo 1 Matriz SINA Inf Gestión'!P79</f>
        <v>273481512.44</v>
      </c>
      <c r="I113" s="446">
        <f>+'MATRIZ GENERAL CONSOLIDADA'!G79</f>
        <v>273481512</v>
      </c>
      <c r="J113" s="75">
        <f t="shared" si="7"/>
        <v>0.43999999761581421</v>
      </c>
      <c r="K113" s="462"/>
      <c r="L113" s="462"/>
      <c r="M113" s="142">
        <v>425686</v>
      </c>
      <c r="N113" s="134">
        <v>63158</v>
      </c>
      <c r="O113" s="135"/>
      <c r="P113" s="130"/>
      <c r="T113" s="753"/>
    </row>
    <row r="114" spans="1:20" s="1" customFormat="1" ht="38.25" customHeight="1">
      <c r="A114" s="840"/>
      <c r="B114" s="809"/>
      <c r="C114" s="723"/>
      <c r="D114" s="474" t="s">
        <v>419</v>
      </c>
      <c r="E114" s="406" t="s">
        <v>182</v>
      </c>
      <c r="F114" s="398">
        <f>+'MATRIZ GENERAL CONSOLIDADA'!D80</f>
        <v>1</v>
      </c>
      <c r="G114" s="398">
        <f>+'MATRIZ GENERAL CONSOLIDADA'!F80</f>
        <v>1</v>
      </c>
      <c r="H114" s="446">
        <f>+'Anexo 1 Matriz SINA Inf Gestión'!P80</f>
        <v>80995909.439999998</v>
      </c>
      <c r="I114" s="446">
        <f>+'MATRIZ GENERAL CONSOLIDADA'!G80</f>
        <v>80995909.299999997</v>
      </c>
      <c r="J114" s="75">
        <f t="shared" si="7"/>
        <v>0.14000000059604645</v>
      </c>
      <c r="K114" s="462"/>
      <c r="L114" s="462"/>
      <c r="M114" s="142"/>
      <c r="N114" s="134"/>
      <c r="O114" s="135"/>
      <c r="P114" s="130"/>
      <c r="T114" s="753"/>
    </row>
    <row r="115" spans="1:20" s="1" customFormat="1" ht="40.5" customHeight="1">
      <c r="A115" s="840"/>
      <c r="B115" s="809"/>
      <c r="C115" s="723"/>
      <c r="D115" s="484" t="s">
        <v>420</v>
      </c>
      <c r="E115" s="406" t="s">
        <v>192</v>
      </c>
      <c r="F115" s="398">
        <f>+'MATRIZ GENERAL CONSOLIDADA'!D81</f>
        <v>1</v>
      </c>
      <c r="G115" s="398">
        <f>+'MATRIZ GENERAL CONSOLIDADA'!F81</f>
        <v>1</v>
      </c>
      <c r="H115" s="446">
        <f>+'Anexo 1 Matriz SINA Inf Gestión'!P81</f>
        <v>828294580.5</v>
      </c>
      <c r="I115" s="446">
        <f>+'MATRIZ GENERAL CONSOLIDADA'!G81</f>
        <v>802588581.5</v>
      </c>
      <c r="J115" s="75">
        <f t="shared" si="7"/>
        <v>25705999</v>
      </c>
      <c r="K115" s="462"/>
      <c r="L115" s="462"/>
      <c r="M115" s="142"/>
      <c r="N115" s="134"/>
      <c r="O115" s="135"/>
      <c r="P115" s="130"/>
      <c r="T115" s="753"/>
    </row>
    <row r="116" spans="1:20" s="1" customFormat="1" ht="40.5" customHeight="1">
      <c r="A116" s="840"/>
      <c r="B116" s="809"/>
      <c r="C116" s="723"/>
      <c r="D116" s="474" t="s">
        <v>421</v>
      </c>
      <c r="E116" s="406" t="s">
        <v>1</v>
      </c>
      <c r="F116" s="398">
        <f>+'MATRIZ GENERAL CONSOLIDADA'!D82</f>
        <v>100</v>
      </c>
      <c r="G116" s="398">
        <f>+'MATRIZ GENERAL CONSOLIDADA'!F82</f>
        <v>100</v>
      </c>
      <c r="H116" s="446">
        <f>+'Anexo 1 Matriz SINA Inf Gestión'!P82</f>
        <v>36417200</v>
      </c>
      <c r="I116" s="446">
        <f>+'MATRIZ GENERAL CONSOLIDADA'!G82</f>
        <v>36417200</v>
      </c>
      <c r="J116" s="75">
        <f t="shared" si="7"/>
        <v>0</v>
      </c>
      <c r="K116" s="462"/>
      <c r="L116" s="462"/>
      <c r="M116" s="142"/>
      <c r="N116" s="134"/>
      <c r="O116" s="135"/>
      <c r="P116" s="130"/>
      <c r="T116" s="753"/>
    </row>
    <row r="117" spans="1:20" s="1" customFormat="1" ht="30">
      <c r="A117" s="840"/>
      <c r="B117" s="809"/>
      <c r="C117" s="723"/>
      <c r="D117" s="474" t="s">
        <v>422</v>
      </c>
      <c r="E117" s="406" t="s">
        <v>181</v>
      </c>
      <c r="F117" s="398">
        <f>+'MATRIZ GENERAL CONSOLIDADA'!D83</f>
        <v>37</v>
      </c>
      <c r="G117" s="398">
        <f>+'MATRIZ GENERAL CONSOLIDADA'!F83</f>
        <v>37</v>
      </c>
      <c r="H117" s="446">
        <f>+'Anexo 1 Matriz SINA Inf Gestión'!P83</f>
        <v>36947200</v>
      </c>
      <c r="I117" s="446">
        <f>+'MATRIZ GENERAL CONSOLIDADA'!G83</f>
        <v>36947200</v>
      </c>
      <c r="J117" s="75">
        <f t="shared" si="7"/>
        <v>0</v>
      </c>
      <c r="K117" s="462"/>
      <c r="L117" s="462"/>
      <c r="M117" s="142"/>
      <c r="N117" s="134"/>
      <c r="O117" s="135"/>
      <c r="P117" s="130"/>
      <c r="T117" s="753"/>
    </row>
    <row r="118" spans="1:20" s="1" customFormat="1" ht="30">
      <c r="A118" s="840"/>
      <c r="B118" s="809"/>
      <c r="C118" s="723"/>
      <c r="D118" s="474" t="s">
        <v>0</v>
      </c>
      <c r="E118" s="406" t="s">
        <v>423</v>
      </c>
      <c r="F118" s="398">
        <f>+'MATRIZ GENERAL CONSOLIDADA'!D84</f>
        <v>1</v>
      </c>
      <c r="G118" s="398">
        <f>+'MATRIZ GENERAL CONSOLIDADA'!F84</f>
        <v>1</v>
      </c>
      <c r="H118" s="446">
        <f>+'Anexo 1 Matriz SINA Inf Gestión'!P84</f>
        <v>581465855.16000009</v>
      </c>
      <c r="I118" s="446">
        <f>+'MATRIZ GENERAL CONSOLIDADA'!G84</f>
        <v>581465797</v>
      </c>
      <c r="J118" s="75">
        <f t="shared" si="7"/>
        <v>58.160000085830688</v>
      </c>
      <c r="K118" s="462"/>
      <c r="L118" s="462"/>
      <c r="M118" s="142"/>
      <c r="N118" s="134"/>
      <c r="O118" s="135"/>
      <c r="P118" s="130"/>
      <c r="T118" s="753"/>
    </row>
    <row r="119" spans="1:20" s="1" customFormat="1" ht="19.5" customHeight="1">
      <c r="A119" s="840"/>
      <c r="B119" s="809"/>
      <c r="C119" s="723"/>
      <c r="D119" s="485" t="s">
        <v>424</v>
      </c>
      <c r="E119" s="406" t="s">
        <v>1</v>
      </c>
      <c r="F119" s="398">
        <f>+'MATRIZ GENERAL CONSOLIDADA'!D85</f>
        <v>90</v>
      </c>
      <c r="G119" s="398">
        <f>+'MATRIZ GENERAL CONSOLIDADA'!F85</f>
        <v>90</v>
      </c>
      <c r="H119" s="446">
        <f>+'Anexo 1 Matriz SINA Inf Gestión'!P85</f>
        <v>136928800</v>
      </c>
      <c r="I119" s="446">
        <f>+'MATRIZ GENERAL CONSOLIDADA'!G85</f>
        <v>136928800</v>
      </c>
      <c r="J119" s="75">
        <f t="shared" si="7"/>
        <v>0</v>
      </c>
      <c r="K119" s="462"/>
      <c r="L119" s="462"/>
      <c r="M119" s="142"/>
      <c r="N119" s="134"/>
      <c r="O119" s="135"/>
      <c r="P119" s="387"/>
      <c r="T119" s="753"/>
    </row>
    <row r="120" spans="1:20" s="1" customFormat="1" ht="30">
      <c r="A120" s="840"/>
      <c r="B120" s="809"/>
      <c r="C120" s="723"/>
      <c r="D120" s="474" t="s">
        <v>515</v>
      </c>
      <c r="E120" s="406" t="s">
        <v>516</v>
      </c>
      <c r="F120" s="398">
        <f>+'MATRIZ GENERAL CONSOLIDADA'!D86</f>
        <v>0</v>
      </c>
      <c r="G120" s="398">
        <f>+'MATRIZ GENERAL CONSOLIDADA'!F86</f>
        <v>0</v>
      </c>
      <c r="H120" s="446">
        <f>+'Anexo 1 Matriz SINA Inf Gestión'!P86</f>
        <v>188927141</v>
      </c>
      <c r="I120" s="446">
        <f>+'MATRIZ GENERAL CONSOLIDADA'!G86</f>
        <v>171859140.54800001</v>
      </c>
      <c r="J120" s="75">
        <f t="shared" si="7"/>
        <v>17068000.451999992</v>
      </c>
      <c r="K120" s="462"/>
      <c r="L120" s="462"/>
      <c r="M120" s="142"/>
      <c r="N120" s="134"/>
      <c r="O120" s="135"/>
      <c r="P120" s="130"/>
      <c r="T120" s="753"/>
    </row>
    <row r="121" spans="1:20" s="1" customFormat="1" ht="15">
      <c r="A121" s="840"/>
      <c r="B121" s="809"/>
      <c r="C121" s="725"/>
      <c r="D121" s="800" t="s">
        <v>320</v>
      </c>
      <c r="E121" s="801"/>
      <c r="F121" s="801"/>
      <c r="G121" s="802"/>
      <c r="H121" s="469">
        <f>SUM(H105:H120)</f>
        <v>9009289535.7549076</v>
      </c>
      <c r="J121" s="826">
        <f>+H121-I122</f>
        <v>219812400.1109066</v>
      </c>
      <c r="K121" s="136">
        <v>29</v>
      </c>
      <c r="L121" s="462"/>
      <c r="M121" s="142"/>
      <c r="N121" s="134"/>
      <c r="O121" s="135"/>
      <c r="P121" s="130"/>
      <c r="T121" s="753"/>
    </row>
    <row r="122" spans="1:20" s="1" customFormat="1" ht="18" customHeight="1">
      <c r="A122" s="840"/>
      <c r="B122" s="809"/>
      <c r="C122" s="725"/>
      <c r="D122" s="800" t="s">
        <v>321</v>
      </c>
      <c r="E122" s="801"/>
      <c r="F122" s="801"/>
      <c r="G122" s="801"/>
      <c r="H122" s="802"/>
      <c r="I122" s="469">
        <f>SUM(I105:I121)</f>
        <v>8789477135.644001</v>
      </c>
      <c r="J122" s="826"/>
      <c r="K122" s="462"/>
      <c r="L122" s="462"/>
      <c r="M122" s="137">
        <v>1938706</v>
      </c>
      <c r="N122" s="137">
        <v>343245</v>
      </c>
      <c r="O122" s="141">
        <v>412670</v>
      </c>
      <c r="P122" s="130"/>
      <c r="T122" s="753"/>
    </row>
    <row r="123" spans="1:20" s="1" customFormat="1" ht="18" customHeight="1">
      <c r="A123" s="840"/>
      <c r="B123" s="809"/>
      <c r="C123" s="726"/>
      <c r="D123" s="800" t="s">
        <v>322</v>
      </c>
      <c r="E123" s="801"/>
      <c r="F123" s="801"/>
      <c r="G123" s="801"/>
      <c r="H123" s="802"/>
      <c r="I123" s="529">
        <f>+'Anexo 1 Matriz SINA Inf Gestión'!R70/100</f>
        <v>0.97560158331702584</v>
      </c>
      <c r="J123" s="826"/>
      <c r="K123" s="462"/>
      <c r="L123" s="462"/>
      <c r="M123" s="137"/>
      <c r="N123" s="137"/>
      <c r="O123" s="141"/>
      <c r="P123" s="130"/>
      <c r="T123" s="753"/>
    </row>
    <row r="124" spans="1:20" s="1" customFormat="1" ht="18" customHeight="1">
      <c r="A124" s="840"/>
      <c r="B124" s="809"/>
      <c r="C124" s="726"/>
      <c r="D124" s="800" t="s">
        <v>527</v>
      </c>
      <c r="E124" s="801"/>
      <c r="F124" s="801"/>
      <c r="G124" s="801"/>
      <c r="H124" s="802"/>
      <c r="I124" s="529">
        <f>+'Anexo 1 Matriz SINA Inf Gestión'!K70/100</f>
        <v>0.96777108433734926</v>
      </c>
      <c r="J124" s="826"/>
      <c r="K124" s="462"/>
      <c r="L124" s="462"/>
      <c r="M124" s="137"/>
      <c r="N124" s="137"/>
      <c r="O124" s="141"/>
      <c r="P124" s="130"/>
      <c r="T124" s="753"/>
    </row>
    <row r="125" spans="1:20" s="1" customFormat="1" ht="19.5" customHeight="1">
      <c r="A125" s="859" t="s">
        <v>306</v>
      </c>
      <c r="B125" s="829" t="s">
        <v>307</v>
      </c>
      <c r="C125" s="740"/>
      <c r="D125" s="827" t="s">
        <v>542</v>
      </c>
      <c r="E125" s="807" t="s">
        <v>96</v>
      </c>
      <c r="F125" s="807" t="s">
        <v>309</v>
      </c>
      <c r="G125" s="807"/>
      <c r="H125" s="821" t="s">
        <v>310</v>
      </c>
      <c r="I125" s="821"/>
      <c r="J125" s="822"/>
      <c r="K125" s="462"/>
      <c r="L125" s="462"/>
      <c r="M125" s="134"/>
      <c r="N125" s="134"/>
      <c r="O125" s="135"/>
      <c r="P125" s="130"/>
      <c r="T125" s="753"/>
    </row>
    <row r="126" spans="1:20" s="1" customFormat="1" ht="50.25" customHeight="1">
      <c r="A126" s="860"/>
      <c r="B126" s="830"/>
      <c r="C126" s="741"/>
      <c r="D126" s="828"/>
      <c r="E126" s="807"/>
      <c r="F126" s="466" t="s">
        <v>311</v>
      </c>
      <c r="G126" s="466" t="s">
        <v>312</v>
      </c>
      <c r="H126" s="467" t="s">
        <v>313</v>
      </c>
      <c r="I126" s="732" t="s">
        <v>314</v>
      </c>
      <c r="J126" s="733" t="s">
        <v>315</v>
      </c>
      <c r="K126" s="462"/>
      <c r="L126" s="462"/>
      <c r="M126" s="134"/>
      <c r="N126" s="134"/>
      <c r="O126" s="135"/>
      <c r="P126" s="130"/>
      <c r="T126" s="753"/>
    </row>
    <row r="127" spans="1:20" s="1" customFormat="1" ht="85.5" customHeight="1">
      <c r="A127" s="858" t="s">
        <v>478</v>
      </c>
      <c r="B127" s="808" t="s">
        <v>479</v>
      </c>
      <c r="C127" s="725"/>
      <c r="D127" s="432" t="s">
        <v>426</v>
      </c>
      <c r="E127" s="406" t="s">
        <v>180</v>
      </c>
      <c r="F127" s="398">
        <f>+'MATRIZ GENERAL CONSOLIDADA'!D89</f>
        <v>100</v>
      </c>
      <c r="G127" s="398">
        <f>+'MATRIZ GENERAL CONSOLIDADA'!F89</f>
        <v>100</v>
      </c>
      <c r="H127" s="446">
        <f>+'Anexo 1 Matriz SINA Inf Gestión'!P89</f>
        <v>330522381</v>
      </c>
      <c r="I127" s="446">
        <f>+'MATRIZ GENERAL CONSOLIDADA'!G89</f>
        <v>318494473</v>
      </c>
      <c r="J127" s="75">
        <f>+H127-I127</f>
        <v>12027908</v>
      </c>
      <c r="K127" s="462"/>
      <c r="L127" s="462"/>
      <c r="M127" s="134"/>
      <c r="N127" s="134"/>
      <c r="O127" s="135"/>
      <c r="P127" s="387"/>
      <c r="T127" s="753"/>
    </row>
    <row r="128" spans="1:20" s="1" customFormat="1" ht="81" customHeight="1">
      <c r="A128" s="840"/>
      <c r="B128" s="809"/>
      <c r="C128" s="725"/>
      <c r="D128" s="403" t="s">
        <v>427</v>
      </c>
      <c r="E128" s="406" t="s">
        <v>180</v>
      </c>
      <c r="F128" s="398">
        <f>+'MATRIZ GENERAL CONSOLIDADA'!D90</f>
        <v>100</v>
      </c>
      <c r="G128" s="398">
        <f>+'MATRIZ GENERAL CONSOLIDADA'!F90</f>
        <v>100</v>
      </c>
      <c r="H128" s="446">
        <f>+'Anexo 1 Matriz SINA Inf Gestión'!P90</f>
        <v>240041874</v>
      </c>
      <c r="I128" s="446">
        <f>+'MATRIZ GENERAL CONSOLIDADA'!G90</f>
        <v>225383874</v>
      </c>
      <c r="J128" s="75">
        <f t="shared" ref="J128:J132" si="8">+H128-I128</f>
        <v>14658000</v>
      </c>
      <c r="K128" s="462"/>
      <c r="L128" s="462"/>
      <c r="M128" s="134"/>
      <c r="N128" s="134"/>
      <c r="O128" s="135"/>
      <c r="P128" s="130"/>
      <c r="T128" s="753"/>
    </row>
    <row r="129" spans="1:20" s="1" customFormat="1" ht="81" customHeight="1">
      <c r="A129" s="840"/>
      <c r="B129" s="809"/>
      <c r="C129" s="725"/>
      <c r="D129" s="330" t="s">
        <v>428</v>
      </c>
      <c r="E129" s="174" t="s">
        <v>1</v>
      </c>
      <c r="F129" s="398">
        <f>+'MATRIZ GENERAL CONSOLIDADA'!D91</f>
        <v>100</v>
      </c>
      <c r="G129" s="398">
        <f>+'MATRIZ GENERAL CONSOLIDADA'!F91</f>
        <v>100</v>
      </c>
      <c r="H129" s="446">
        <f>+'Anexo 1 Matriz SINA Inf Gestión'!P91</f>
        <v>211577339</v>
      </c>
      <c r="I129" s="446">
        <f>+'MATRIZ GENERAL CONSOLIDADA'!G91</f>
        <v>211577339</v>
      </c>
      <c r="J129" s="75"/>
      <c r="K129" s="462"/>
      <c r="L129" s="462"/>
      <c r="M129" s="134"/>
      <c r="N129" s="134"/>
      <c r="O129" s="135"/>
      <c r="P129" s="387"/>
      <c r="T129" s="753"/>
    </row>
    <row r="130" spans="1:20" s="1" customFormat="1" ht="57">
      <c r="A130" s="840"/>
      <c r="B130" s="809"/>
      <c r="C130" s="725"/>
      <c r="D130" s="442" t="s">
        <v>429</v>
      </c>
      <c r="E130" s="406" t="s">
        <v>430</v>
      </c>
      <c r="F130" s="398">
        <f>+'MATRIZ GENERAL CONSOLIDADA'!D92</f>
        <v>26</v>
      </c>
      <c r="G130" s="398">
        <f>+'MATRIZ GENERAL CONSOLIDADA'!F92</f>
        <v>26</v>
      </c>
      <c r="H130" s="446">
        <f>+'Anexo 1 Matriz SINA Inf Gestión'!P92</f>
        <v>1248906434</v>
      </c>
      <c r="I130" s="446">
        <f>+'MATRIZ GENERAL CONSOLIDADA'!G92</f>
        <v>1192923305</v>
      </c>
      <c r="J130" s="75">
        <f t="shared" si="8"/>
        <v>55983129</v>
      </c>
      <c r="K130" s="462"/>
      <c r="L130" s="462"/>
      <c r="M130" s="671"/>
      <c r="N130" s="671"/>
      <c r="O130" s="671"/>
      <c r="P130" s="672"/>
      <c r="T130" s="753"/>
    </row>
    <row r="131" spans="1:20" s="1" customFormat="1" ht="28.5">
      <c r="A131" s="840"/>
      <c r="B131" s="809"/>
      <c r="C131" s="725"/>
      <c r="D131" s="428" t="s">
        <v>431</v>
      </c>
      <c r="E131" s="406" t="s">
        <v>511</v>
      </c>
      <c r="F131" s="398">
        <f>+'MATRIZ GENERAL CONSOLIDADA'!D93</f>
        <v>1</v>
      </c>
      <c r="G131" s="398">
        <f>+'MATRIZ GENERAL CONSOLIDADA'!F93</f>
        <v>1</v>
      </c>
      <c r="H131" s="446">
        <f>+'Anexo 1 Matriz SINA Inf Gestión'!P93</f>
        <v>50000000</v>
      </c>
      <c r="I131" s="446">
        <f>+'MATRIZ GENERAL CONSOLIDADA'!G93</f>
        <v>50000000</v>
      </c>
      <c r="J131" s="75"/>
      <c r="K131" s="462"/>
      <c r="L131" s="462"/>
      <c r="M131" s="671"/>
      <c r="N131" s="671"/>
      <c r="O131" s="671"/>
      <c r="P131" s="672"/>
      <c r="T131" s="753"/>
    </row>
    <row r="132" spans="1:20" s="1" customFormat="1" ht="39.75" customHeight="1">
      <c r="A132" s="840"/>
      <c r="B132" s="809"/>
      <c r="C132" s="725"/>
      <c r="D132" s="428" t="s">
        <v>515</v>
      </c>
      <c r="E132" s="406" t="s">
        <v>516</v>
      </c>
      <c r="F132" s="398">
        <f>+'MATRIZ GENERAL CONSOLIDADA'!D94</f>
        <v>0</v>
      </c>
      <c r="G132" s="398">
        <f>+'MATRIZ GENERAL CONSOLIDADA'!F94</f>
        <v>0</v>
      </c>
      <c r="H132" s="446">
        <f>+'Anexo 1 Matriz SINA Inf Gestión'!P94</f>
        <v>124565885.40000001</v>
      </c>
      <c r="I132" s="446">
        <f>+'MATRIZ GENERAL CONSOLIDADA'!G94</f>
        <v>121579788</v>
      </c>
      <c r="J132" s="75">
        <f t="shared" si="8"/>
        <v>2986097.400000006</v>
      </c>
      <c r="K132" s="462"/>
      <c r="L132" s="462"/>
      <c r="M132" s="671"/>
      <c r="N132" s="671"/>
      <c r="O132" s="671"/>
      <c r="P132" s="671"/>
      <c r="T132" s="753"/>
    </row>
    <row r="133" spans="1:20" s="1" customFormat="1" ht="18" customHeight="1">
      <c r="A133" s="840"/>
      <c r="B133" s="809"/>
      <c r="C133" s="737"/>
      <c r="D133" s="800" t="s">
        <v>320</v>
      </c>
      <c r="E133" s="801"/>
      <c r="F133" s="801"/>
      <c r="G133" s="802"/>
      <c r="H133" s="469">
        <f>SUM(H127:H132)</f>
        <v>2205613913.4000001</v>
      </c>
      <c r="J133" s="826">
        <f>+H133-I134</f>
        <v>85655134.400000095</v>
      </c>
      <c r="K133" s="462"/>
      <c r="L133" s="462"/>
      <c r="M133" s="134"/>
      <c r="N133" s="134"/>
      <c r="O133" s="135"/>
      <c r="P133" s="130"/>
      <c r="T133" s="753"/>
    </row>
    <row r="134" spans="1:20" s="1" customFormat="1" ht="18" customHeight="1">
      <c r="A134" s="840"/>
      <c r="B134" s="809"/>
      <c r="C134" s="737"/>
      <c r="D134" s="800" t="s">
        <v>321</v>
      </c>
      <c r="E134" s="801"/>
      <c r="F134" s="801"/>
      <c r="G134" s="801"/>
      <c r="H134" s="802"/>
      <c r="I134" s="486">
        <f>SUM(I127:I133)</f>
        <v>2119958779</v>
      </c>
      <c r="J134" s="826"/>
      <c r="K134" s="462"/>
      <c r="L134" s="462"/>
      <c r="M134" s="134"/>
      <c r="N134" s="134"/>
      <c r="O134" s="135"/>
      <c r="P134" s="130"/>
      <c r="T134" s="753"/>
    </row>
    <row r="135" spans="1:20" s="1" customFormat="1" ht="18" customHeight="1">
      <c r="A135" s="840"/>
      <c r="B135" s="809"/>
      <c r="C135" s="737"/>
      <c r="D135" s="800" t="s">
        <v>322</v>
      </c>
      <c r="E135" s="801"/>
      <c r="F135" s="801"/>
      <c r="G135" s="801"/>
      <c r="H135" s="802"/>
      <c r="I135" s="696">
        <f>+'Anexo 1 Matriz SINA Inf Gestión'!R88/100</f>
        <v>0.96116494646700845</v>
      </c>
      <c r="J135" s="826"/>
      <c r="K135" s="462"/>
      <c r="L135" s="462"/>
      <c r="M135" s="134"/>
      <c r="N135" s="134"/>
      <c r="O135" s="135"/>
      <c r="P135" s="130"/>
      <c r="T135" s="753"/>
    </row>
    <row r="136" spans="1:20" s="1" customFormat="1" ht="18" customHeight="1">
      <c r="A136" s="840"/>
      <c r="B136" s="809"/>
      <c r="C136" s="737"/>
      <c r="D136" s="800" t="s">
        <v>527</v>
      </c>
      <c r="E136" s="801"/>
      <c r="F136" s="801"/>
      <c r="G136" s="801"/>
      <c r="H136" s="802"/>
      <c r="I136" s="529">
        <f>+'Anexo 1 Matriz SINA Inf Gestión'!K88/100</f>
        <v>1</v>
      </c>
      <c r="J136" s="826"/>
      <c r="K136" s="462"/>
      <c r="L136" s="462"/>
      <c r="M136" s="134"/>
      <c r="N136" s="134"/>
      <c r="O136" s="135"/>
      <c r="P136" s="130"/>
      <c r="T136" s="753"/>
    </row>
    <row r="137" spans="1:20" s="1" customFormat="1" ht="16.5" customHeight="1">
      <c r="A137" s="840"/>
      <c r="B137" s="806" t="s">
        <v>307</v>
      </c>
      <c r="C137" s="729"/>
      <c r="D137" s="827" t="s">
        <v>308</v>
      </c>
      <c r="E137" s="807" t="s">
        <v>96</v>
      </c>
      <c r="F137" s="807" t="s">
        <v>309</v>
      </c>
      <c r="G137" s="807"/>
      <c r="H137" s="821" t="s">
        <v>310</v>
      </c>
      <c r="I137" s="821"/>
      <c r="J137" s="822"/>
      <c r="K137" s="462"/>
      <c r="L137" s="462"/>
      <c r="M137" s="134"/>
      <c r="N137" s="134"/>
      <c r="O137" s="135"/>
      <c r="P137" s="130"/>
      <c r="T137" s="753"/>
    </row>
    <row r="138" spans="1:20" s="1" customFormat="1" ht="30">
      <c r="A138" s="840"/>
      <c r="B138" s="806"/>
      <c r="C138" s="729"/>
      <c r="D138" s="828"/>
      <c r="E138" s="807"/>
      <c r="F138" s="466" t="s">
        <v>311</v>
      </c>
      <c r="G138" s="466" t="s">
        <v>312</v>
      </c>
      <c r="H138" s="467" t="s">
        <v>313</v>
      </c>
      <c r="I138" s="732" t="s">
        <v>314</v>
      </c>
      <c r="J138" s="733" t="s">
        <v>315</v>
      </c>
      <c r="K138" s="462"/>
      <c r="L138" s="462"/>
      <c r="M138" s="134"/>
      <c r="N138" s="134"/>
      <c r="O138" s="135"/>
      <c r="P138" s="130"/>
      <c r="T138" s="753"/>
    </row>
    <row r="139" spans="1:20" s="1" customFormat="1" ht="40.5" customHeight="1">
      <c r="A139" s="840"/>
      <c r="B139" s="808" t="s">
        <v>544</v>
      </c>
      <c r="C139" s="726"/>
      <c r="D139" s="474" t="s">
        <v>432</v>
      </c>
      <c r="E139" s="406" t="s">
        <v>433</v>
      </c>
      <c r="F139" s="398">
        <f>+'MATRIZ GENERAL CONSOLIDADA'!D96</f>
        <v>4</v>
      </c>
      <c r="G139" s="398">
        <f>+'MATRIZ GENERAL CONSOLIDADA'!F96</f>
        <v>4</v>
      </c>
      <c r="H139" s="446">
        <f>+'Anexo 1 Matriz SINA Inf Gestión'!P96</f>
        <v>2341241156</v>
      </c>
      <c r="I139" s="446">
        <f>+'MATRIZ GENERAL CONSOLIDADA'!G96</f>
        <v>2341241155</v>
      </c>
      <c r="J139" s="75">
        <f t="shared" ref="J139:J142" si="9">+H139-I139</f>
        <v>1</v>
      </c>
      <c r="K139" s="462"/>
      <c r="L139" s="462"/>
      <c r="M139" s="134"/>
      <c r="N139" s="134"/>
      <c r="O139" s="135"/>
      <c r="P139" s="130"/>
      <c r="T139" s="753"/>
    </row>
    <row r="140" spans="1:20" s="1" customFormat="1" ht="38.25" customHeight="1">
      <c r="A140" s="840"/>
      <c r="B140" s="809"/>
      <c r="C140" s="725"/>
      <c r="D140" s="474" t="s">
        <v>434</v>
      </c>
      <c r="E140" s="406" t="s">
        <v>131</v>
      </c>
      <c r="F140" s="398">
        <f>+'MATRIZ GENERAL CONSOLIDADA'!D97</f>
        <v>4</v>
      </c>
      <c r="G140" s="398">
        <f>+'MATRIZ GENERAL CONSOLIDADA'!F97</f>
        <v>4</v>
      </c>
      <c r="H140" s="446">
        <f>+'Anexo 1 Matriz SINA Inf Gestión'!P97</f>
        <v>1175507226.7308002</v>
      </c>
      <c r="I140" s="446">
        <f>+'MATRIZ GENERAL CONSOLIDADA'!G97</f>
        <v>260000000</v>
      </c>
      <c r="J140" s="75">
        <f t="shared" si="9"/>
        <v>915507226.73080015</v>
      </c>
      <c r="K140" s="462"/>
      <c r="L140" s="462"/>
      <c r="M140" s="134"/>
      <c r="N140" s="134"/>
      <c r="O140" s="135"/>
      <c r="P140" s="130"/>
      <c r="T140" s="753"/>
    </row>
    <row r="141" spans="1:20" s="1" customFormat="1" ht="57.75" customHeight="1">
      <c r="A141" s="840"/>
      <c r="B141" s="809"/>
      <c r="C141" s="725"/>
      <c r="D141" s="474" t="s">
        <v>435</v>
      </c>
      <c r="E141" s="406" t="s">
        <v>1</v>
      </c>
      <c r="F141" s="398">
        <f>+'MATRIZ GENERAL CONSOLIDADA'!D98</f>
        <v>100</v>
      </c>
      <c r="G141" s="398">
        <f>+'MATRIZ GENERAL CONSOLIDADA'!F98</f>
        <v>100</v>
      </c>
      <c r="H141" s="446">
        <f>+'Anexo 1 Matriz SINA Inf Gestión'!P98</f>
        <v>5006045766.2451992</v>
      </c>
      <c r="I141" s="446">
        <f>+'MATRIZ GENERAL CONSOLIDADA'!G98</f>
        <v>5001262040.3999996</v>
      </c>
      <c r="J141" s="75">
        <f t="shared" si="9"/>
        <v>4783725.845199585</v>
      </c>
      <c r="K141" s="462"/>
      <c r="L141" s="462"/>
      <c r="M141" s="134"/>
      <c r="N141" s="134"/>
      <c r="O141" s="135"/>
      <c r="P141" s="130"/>
      <c r="T141" s="753"/>
    </row>
    <row r="142" spans="1:20" s="1" customFormat="1" ht="77.25" customHeight="1">
      <c r="A142" s="840"/>
      <c r="B142" s="809"/>
      <c r="C142" s="737"/>
      <c r="D142" s="474" t="s">
        <v>436</v>
      </c>
      <c r="E142" s="406" t="s">
        <v>437</v>
      </c>
      <c r="F142" s="398">
        <f>+'MATRIZ GENERAL CONSOLIDADA'!D99</f>
        <v>38</v>
      </c>
      <c r="G142" s="398">
        <f>+'MATRIZ GENERAL CONSOLIDADA'!F99</f>
        <v>38</v>
      </c>
      <c r="H142" s="446">
        <f>+'Anexo 1 Matriz SINA Inf Gestión'!P99</f>
        <v>1304252071.2080002</v>
      </c>
      <c r="I142" s="446">
        <f>+'MATRIZ GENERAL CONSOLIDADA'!G99</f>
        <v>1239718172.8080001</v>
      </c>
      <c r="J142" s="75">
        <f t="shared" si="9"/>
        <v>64533898.400000095</v>
      </c>
      <c r="K142" s="462"/>
      <c r="L142" s="462"/>
      <c r="M142" s="134"/>
      <c r="N142" s="134"/>
      <c r="O142" s="135"/>
      <c r="P142" s="130"/>
      <c r="T142" s="753"/>
    </row>
    <row r="143" spans="1:20" s="1" customFormat="1" ht="15">
      <c r="A143" s="840"/>
      <c r="B143" s="809"/>
      <c r="C143" s="737"/>
      <c r="D143" s="818" t="s">
        <v>320</v>
      </c>
      <c r="E143" s="819"/>
      <c r="F143" s="819"/>
      <c r="G143" s="820"/>
      <c r="H143" s="486">
        <f>SUM(H139:H142)</f>
        <v>9827046220.184</v>
      </c>
      <c r="I143" s="490"/>
      <c r="J143" s="826">
        <f>+H143-I144</f>
        <v>984824851.97599983</v>
      </c>
      <c r="K143" s="462"/>
      <c r="L143" s="462"/>
      <c r="M143" s="134"/>
      <c r="N143" s="134"/>
      <c r="O143" s="135"/>
      <c r="P143" s="130"/>
      <c r="T143" s="753"/>
    </row>
    <row r="144" spans="1:20" s="1" customFormat="1" ht="18" customHeight="1">
      <c r="A144" s="840"/>
      <c r="B144" s="809"/>
      <c r="C144" s="737"/>
      <c r="D144" s="818" t="s">
        <v>321</v>
      </c>
      <c r="E144" s="819"/>
      <c r="F144" s="819"/>
      <c r="G144" s="819"/>
      <c r="H144" s="820"/>
      <c r="I144" s="469">
        <f>SUM(I139:I143)</f>
        <v>8842221368.2080002</v>
      </c>
      <c r="J144" s="826"/>
      <c r="K144" s="462"/>
      <c r="L144" s="462"/>
      <c r="M144" s="134"/>
      <c r="N144" s="134"/>
      <c r="O144" s="135"/>
      <c r="P144" s="130"/>
      <c r="T144" s="753"/>
    </row>
    <row r="145" spans="1:20" s="1" customFormat="1" ht="18" customHeight="1">
      <c r="A145" s="840"/>
      <c r="B145" s="809"/>
      <c r="C145" s="737"/>
      <c r="D145" s="800" t="s">
        <v>322</v>
      </c>
      <c r="E145" s="801"/>
      <c r="F145" s="801"/>
      <c r="G145" s="801"/>
      <c r="H145" s="802"/>
      <c r="I145" s="696">
        <f>+'Anexo 1 Matriz SINA Inf Gestión'!R95/100</f>
        <v>0.89978424544770685</v>
      </c>
      <c r="J145" s="826"/>
      <c r="K145" s="462"/>
      <c r="L145" s="462"/>
      <c r="M145" s="134"/>
      <c r="N145" s="134"/>
      <c r="O145" s="135"/>
      <c r="P145" s="130"/>
      <c r="T145" s="753"/>
    </row>
    <row r="146" spans="1:20" s="1" customFormat="1" ht="18" customHeight="1">
      <c r="A146" s="840"/>
      <c r="B146" s="809"/>
      <c r="C146" s="737"/>
      <c r="D146" s="818" t="s">
        <v>527</v>
      </c>
      <c r="E146" s="819"/>
      <c r="F146" s="819"/>
      <c r="G146" s="819"/>
      <c r="H146" s="820"/>
      <c r="I146" s="686">
        <f>+'Anexo 1 Matriz SINA Inf Gestión'!K95/100</f>
        <v>1</v>
      </c>
      <c r="J146" s="826"/>
      <c r="K146" s="462"/>
      <c r="L146" s="462"/>
      <c r="M146" s="134"/>
      <c r="N146" s="134"/>
      <c r="O146" s="135"/>
      <c r="P146" s="130"/>
      <c r="T146" s="753"/>
    </row>
    <row r="147" spans="1:20" s="1" customFormat="1" ht="26.25" customHeight="1">
      <c r="A147" s="836" t="s">
        <v>306</v>
      </c>
      <c r="B147" s="806" t="s">
        <v>307</v>
      </c>
      <c r="C147" s="729"/>
      <c r="D147" s="487"/>
      <c r="E147" s="807" t="s">
        <v>96</v>
      </c>
      <c r="F147" s="807" t="s">
        <v>309</v>
      </c>
      <c r="G147" s="807"/>
      <c r="H147" s="821" t="s">
        <v>310</v>
      </c>
      <c r="I147" s="821"/>
      <c r="J147" s="822"/>
      <c r="K147" s="462"/>
      <c r="L147" s="462"/>
      <c r="M147" s="134"/>
      <c r="N147" s="134"/>
      <c r="O147" s="135"/>
      <c r="P147" s="130"/>
      <c r="T147" s="753"/>
    </row>
    <row r="148" spans="1:20" s="1" customFormat="1" ht="47.25" customHeight="1">
      <c r="A148" s="836"/>
      <c r="B148" s="806"/>
      <c r="C148" s="729"/>
      <c r="D148" s="730" t="s">
        <v>542</v>
      </c>
      <c r="E148" s="807"/>
      <c r="F148" s="466" t="s">
        <v>311</v>
      </c>
      <c r="G148" s="466" t="s">
        <v>312</v>
      </c>
      <c r="H148" s="467" t="s">
        <v>313</v>
      </c>
      <c r="I148" s="732" t="s">
        <v>314</v>
      </c>
      <c r="J148" s="733" t="s">
        <v>315</v>
      </c>
      <c r="K148" s="462"/>
      <c r="L148" s="462"/>
      <c r="M148" s="134"/>
      <c r="N148" s="134"/>
      <c r="O148" s="135"/>
      <c r="P148" s="130"/>
      <c r="T148" s="753"/>
    </row>
    <row r="149" spans="1:20" s="1" customFormat="1" ht="38.25" customHeight="1">
      <c r="A149" s="858" t="s">
        <v>474</v>
      </c>
      <c r="B149" s="808" t="s">
        <v>475</v>
      </c>
      <c r="C149" s="725"/>
      <c r="D149" s="474" t="s">
        <v>439</v>
      </c>
      <c r="E149" s="406" t="s">
        <v>512</v>
      </c>
      <c r="F149" s="398">
        <f>+'MATRIZ GENERAL CONSOLIDADA'!D102</f>
        <v>1</v>
      </c>
      <c r="G149" s="398">
        <f>+'MATRIZ GENERAL CONSOLIDADA'!F102</f>
        <v>0.98750000000000004</v>
      </c>
      <c r="H149" s="446">
        <f>+'Anexo 1 Matriz SINA Inf Gestión'!P102</f>
        <v>549032596.39999998</v>
      </c>
      <c r="I149" s="446">
        <f>+'MATRIZ GENERAL CONSOLIDADA'!G102</f>
        <v>545819796</v>
      </c>
      <c r="J149" s="75">
        <f t="shared" ref="J149:J157" si="10">+H149-I149</f>
        <v>3212800.3999999762</v>
      </c>
      <c r="K149" s="462"/>
      <c r="L149" s="462"/>
      <c r="M149" s="134">
        <v>70091</v>
      </c>
      <c r="N149" s="134"/>
      <c r="O149" s="135">
        <v>413662</v>
      </c>
      <c r="P149" s="130"/>
      <c r="T149" s="753"/>
    </row>
    <row r="150" spans="1:20" s="1" customFormat="1" ht="38.25" customHeight="1">
      <c r="A150" s="840"/>
      <c r="B150" s="809"/>
      <c r="C150" s="725"/>
      <c r="D150" s="474" t="s">
        <v>440</v>
      </c>
      <c r="E150" s="406" t="s">
        <v>1</v>
      </c>
      <c r="F150" s="398">
        <f>+'MATRIZ GENERAL CONSOLIDADA'!D103</f>
        <v>100</v>
      </c>
      <c r="G150" s="398">
        <f>+'MATRIZ GENERAL CONSOLIDADA'!F103</f>
        <v>95</v>
      </c>
      <c r="H150" s="446">
        <f>+'Anexo 1 Matriz SINA Inf Gestión'!P103</f>
        <v>2685643574</v>
      </c>
      <c r="I150" s="446">
        <f>+'MATRIZ GENERAL CONSOLIDADA'!G103</f>
        <v>2679980639</v>
      </c>
      <c r="J150" s="75">
        <f t="shared" si="10"/>
        <v>5662935</v>
      </c>
      <c r="K150" s="462"/>
      <c r="L150" s="462"/>
      <c r="M150" s="134"/>
      <c r="N150" s="134"/>
      <c r="O150" s="135"/>
      <c r="P150" s="130"/>
      <c r="T150" s="753"/>
    </row>
    <row r="151" spans="1:20" s="1" customFormat="1" ht="40.5" customHeight="1">
      <c r="A151" s="840"/>
      <c r="B151" s="809"/>
      <c r="C151" s="725"/>
      <c r="D151" s="474" t="s">
        <v>545</v>
      </c>
      <c r="E151" s="406" t="s">
        <v>179</v>
      </c>
      <c r="F151" s="398">
        <f>+'MATRIZ GENERAL CONSOLIDADA'!D104</f>
        <v>1</v>
      </c>
      <c r="G151" s="518">
        <f>+'MATRIZ GENERAL CONSOLIDADA'!F104</f>
        <v>0.95</v>
      </c>
      <c r="H151" s="446">
        <f>+'Anexo 1 Matriz SINA Inf Gestión'!P104</f>
        <v>270886656.39999998</v>
      </c>
      <c r="I151" s="446">
        <f>+'MATRIZ GENERAL CONSOLIDADA'!G104</f>
        <v>245002100</v>
      </c>
      <c r="J151" s="75">
        <f t="shared" si="10"/>
        <v>25884556.399999976</v>
      </c>
      <c r="K151" s="462"/>
      <c r="L151" s="462"/>
      <c r="M151" s="134"/>
      <c r="N151" s="134"/>
      <c r="O151" s="135"/>
      <c r="P151" s="130"/>
      <c r="T151" s="753"/>
    </row>
    <row r="152" spans="1:20" s="1" customFormat="1" ht="40.5" customHeight="1">
      <c r="A152" s="840"/>
      <c r="B152" s="809"/>
      <c r="C152" s="725"/>
      <c r="D152" s="425" t="s">
        <v>442</v>
      </c>
      <c r="E152" s="751" t="s">
        <v>193</v>
      </c>
      <c r="F152" s="398">
        <f>+'MATRIZ GENERAL CONSOLIDADA'!D105</f>
        <v>1</v>
      </c>
      <c r="G152" s="398">
        <f>+'MATRIZ GENERAL CONSOLIDADA'!F105</f>
        <v>1</v>
      </c>
      <c r="H152" s="446">
        <f>+'Anexo 1 Matriz SINA Inf Gestión'!P105</f>
        <v>0</v>
      </c>
      <c r="I152" s="446">
        <f>+'MATRIZ GENERAL CONSOLIDADA'!G105</f>
        <v>0</v>
      </c>
      <c r="J152" s="75"/>
      <c r="K152" s="462"/>
      <c r="L152" s="462"/>
      <c r="M152" s="134"/>
      <c r="N152" s="134"/>
      <c r="O152" s="135"/>
      <c r="P152" s="130"/>
      <c r="T152" s="753"/>
    </row>
    <row r="153" spans="1:20" s="1" customFormat="1" ht="61.5" customHeight="1">
      <c r="A153" s="840"/>
      <c r="B153" s="809"/>
      <c r="C153" s="725"/>
      <c r="D153" s="474" t="s">
        <v>443</v>
      </c>
      <c r="E153" s="406" t="s">
        <v>444</v>
      </c>
      <c r="F153" s="398">
        <f>+'MATRIZ GENERAL CONSOLIDADA'!D106</f>
        <v>4</v>
      </c>
      <c r="G153" s="518">
        <f>+'MATRIZ GENERAL CONSOLIDADA'!F106</f>
        <v>3.8</v>
      </c>
      <c r="H153" s="446">
        <f>+'Anexo 1 Matriz SINA Inf Gestión'!P106</f>
        <v>3367270132</v>
      </c>
      <c r="I153" s="446">
        <f>+'MATRIZ GENERAL CONSOLIDADA'!G106</f>
        <v>3299240132</v>
      </c>
      <c r="J153" s="75">
        <f t="shared" si="10"/>
        <v>68030000</v>
      </c>
      <c r="K153" s="462"/>
      <c r="L153" s="462"/>
      <c r="M153" s="134"/>
      <c r="N153" s="134"/>
      <c r="O153" s="135"/>
      <c r="P153" s="130"/>
      <c r="T153" s="753"/>
    </row>
    <row r="154" spans="1:20" s="1" customFormat="1" ht="61.5" customHeight="1">
      <c r="A154" s="840"/>
      <c r="B154" s="809"/>
      <c r="C154" s="725"/>
      <c r="D154" s="425" t="s">
        <v>445</v>
      </c>
      <c r="E154" s="751" t="s">
        <v>494</v>
      </c>
      <c r="F154" s="398">
        <f>+'MATRIZ GENERAL CONSOLIDADA'!D107</f>
        <v>3</v>
      </c>
      <c r="G154" s="398">
        <f>+'MATRIZ GENERAL CONSOLIDADA'!F107</f>
        <v>3</v>
      </c>
      <c r="H154" s="446">
        <f>+'Anexo 1 Matriz SINA Inf Gestión'!P107</f>
        <v>94671399</v>
      </c>
      <c r="I154" s="446">
        <f>+'MATRIZ GENERAL CONSOLIDADA'!G107</f>
        <v>94671399</v>
      </c>
      <c r="J154" s="75"/>
      <c r="K154" s="462"/>
      <c r="L154" s="462"/>
      <c r="M154" s="134"/>
      <c r="N154" s="134"/>
      <c r="O154" s="135"/>
      <c r="P154" s="130"/>
      <c r="T154" s="753"/>
    </row>
    <row r="155" spans="1:20" s="1" customFormat="1" ht="25.5" customHeight="1">
      <c r="A155" s="840"/>
      <c r="B155" s="809"/>
      <c r="C155" s="725"/>
      <c r="D155" s="474" t="s">
        <v>446</v>
      </c>
      <c r="E155" s="406" t="s">
        <v>192</v>
      </c>
      <c r="F155" s="398">
        <f>+'MATRIZ GENERAL CONSOLIDADA'!D108</f>
        <v>1</v>
      </c>
      <c r="G155" s="398">
        <f>+'MATRIZ GENERAL CONSOLIDADA'!F108</f>
        <v>1</v>
      </c>
      <c r="H155" s="446">
        <f>+'Anexo 1 Matriz SINA Inf Gestión'!P108</f>
        <v>21682030</v>
      </c>
      <c r="I155" s="446">
        <f>+'MATRIZ GENERAL CONSOLIDADA'!G108</f>
        <v>21682030</v>
      </c>
      <c r="J155" s="75">
        <f t="shared" si="10"/>
        <v>0</v>
      </c>
      <c r="K155" s="462"/>
      <c r="L155" s="462"/>
      <c r="M155" s="134"/>
      <c r="N155" s="134"/>
      <c r="O155" s="135"/>
      <c r="P155" s="130"/>
      <c r="T155" s="753"/>
    </row>
    <row r="156" spans="1:20" s="1" customFormat="1" ht="25.5" customHeight="1">
      <c r="A156" s="840"/>
      <c r="B156" s="809"/>
      <c r="C156" s="725"/>
      <c r="D156" s="425" t="s">
        <v>447</v>
      </c>
      <c r="E156" s="406" t="s">
        <v>131</v>
      </c>
      <c r="F156" s="398">
        <f>+'MATRIZ GENERAL CONSOLIDADA'!D109</f>
        <v>2</v>
      </c>
      <c r="G156" s="398">
        <f>+'MATRIZ GENERAL CONSOLIDADA'!F109</f>
        <v>2</v>
      </c>
      <c r="H156" s="446">
        <f>+'Anexo 1 Matriz SINA Inf Gestión'!P109</f>
        <v>50191686</v>
      </c>
      <c r="I156" s="446">
        <f>+'MATRIZ GENERAL CONSOLIDADA'!G109</f>
        <v>50191686</v>
      </c>
      <c r="J156" s="75"/>
      <c r="K156" s="462"/>
      <c r="L156" s="462"/>
      <c r="M156" s="134"/>
      <c r="N156" s="134"/>
      <c r="O156" s="135"/>
      <c r="P156" s="130"/>
      <c r="T156" s="753"/>
    </row>
    <row r="157" spans="1:20" s="1" customFormat="1" ht="35.25" customHeight="1">
      <c r="A157" s="840"/>
      <c r="B157" s="809"/>
      <c r="C157" s="725"/>
      <c r="D157" s="470" t="s">
        <v>515</v>
      </c>
      <c r="E157" s="406" t="s">
        <v>516</v>
      </c>
      <c r="F157" s="398">
        <f>+'MATRIZ GENERAL CONSOLIDADA'!D110</f>
        <v>0</v>
      </c>
      <c r="G157" s="518">
        <v>0</v>
      </c>
      <c r="H157" s="446">
        <f>+'Anexo 1 Matriz SINA Inf Gestión'!P110</f>
        <v>23398434</v>
      </c>
      <c r="I157" s="446">
        <f>+'MATRIZ GENERAL CONSOLIDADA'!G110</f>
        <v>23398434</v>
      </c>
      <c r="J157" s="75">
        <f t="shared" si="10"/>
        <v>0</v>
      </c>
      <c r="K157" s="462"/>
      <c r="L157" s="462"/>
      <c r="M157" s="134"/>
      <c r="N157" s="134"/>
      <c r="O157" s="135"/>
      <c r="P157" s="130"/>
      <c r="T157" s="753"/>
    </row>
    <row r="158" spans="1:20" s="1" customFormat="1" ht="15">
      <c r="A158" s="840"/>
      <c r="B158" s="809"/>
      <c r="C158" s="737"/>
      <c r="D158" s="800" t="s">
        <v>320</v>
      </c>
      <c r="E158" s="801"/>
      <c r="F158" s="801"/>
      <c r="G158" s="802"/>
      <c r="H158" s="469">
        <f>SUM(H149:H157)</f>
        <v>7062776507.8000002</v>
      </c>
      <c r="I158" s="446"/>
      <c r="J158" s="826">
        <f>+H158-I159</f>
        <v>102790291.80000019</v>
      </c>
      <c r="K158" s="488">
        <v>21</v>
      </c>
      <c r="L158" s="462"/>
      <c r="M158" s="134"/>
      <c r="N158" s="134"/>
      <c r="O158" s="135"/>
      <c r="P158" s="130"/>
      <c r="T158" s="753"/>
    </row>
    <row r="159" spans="1:20" s="144" customFormat="1" ht="19.5" customHeight="1">
      <c r="A159" s="840"/>
      <c r="B159" s="809"/>
      <c r="C159" s="737"/>
      <c r="D159" s="800" t="s">
        <v>321</v>
      </c>
      <c r="E159" s="801"/>
      <c r="F159" s="801"/>
      <c r="G159" s="801"/>
      <c r="H159" s="802"/>
      <c r="I159" s="469">
        <f>SUM(I149:I158)</f>
        <v>6959986216</v>
      </c>
      <c r="J159" s="826"/>
      <c r="K159" s="136">
        <v>8.7142857142857135</v>
      </c>
      <c r="L159" s="136"/>
      <c r="M159" s="137">
        <v>70091</v>
      </c>
      <c r="N159" s="137"/>
      <c r="O159" s="137">
        <v>413662</v>
      </c>
      <c r="P159" s="36"/>
      <c r="T159" s="754"/>
    </row>
    <row r="160" spans="1:20" s="144" customFormat="1" ht="19.5" customHeight="1">
      <c r="A160" s="840"/>
      <c r="B160" s="809"/>
      <c r="C160" s="737"/>
      <c r="D160" s="800" t="s">
        <v>322</v>
      </c>
      <c r="E160" s="801"/>
      <c r="F160" s="801"/>
      <c r="G160" s="801"/>
      <c r="H160" s="802"/>
      <c r="I160" s="529">
        <f>+'Anexo 1 Matriz SINA Inf Gestión'!R101/100</f>
        <v>0.98544619220408847</v>
      </c>
      <c r="J160" s="826"/>
      <c r="K160" s="136"/>
      <c r="L160" s="136"/>
      <c r="M160" s="137"/>
      <c r="N160" s="137"/>
      <c r="O160" s="137"/>
      <c r="P160" s="36"/>
      <c r="T160" s="754"/>
    </row>
    <row r="161" spans="1:20" s="144" customFormat="1" ht="19.5" customHeight="1">
      <c r="A161" s="840"/>
      <c r="B161" s="809"/>
      <c r="C161" s="737"/>
      <c r="D161" s="800" t="s">
        <v>567</v>
      </c>
      <c r="E161" s="801"/>
      <c r="F161" s="801"/>
      <c r="G161" s="801"/>
      <c r="H161" s="802"/>
      <c r="I161" s="529">
        <f>+'Anexo 1 Matriz SINA Inf Gestión'!K101/100</f>
        <v>0.95342920353982297</v>
      </c>
      <c r="J161" s="826"/>
      <c r="K161" s="136"/>
      <c r="L161" s="136"/>
      <c r="M161" s="137"/>
      <c r="N161" s="137"/>
      <c r="O161" s="137"/>
      <c r="P161" s="36"/>
      <c r="T161" s="754"/>
    </row>
    <row r="162" spans="1:20" s="144" customFormat="1" ht="37.5" customHeight="1">
      <c r="A162" s="840"/>
      <c r="B162" s="806" t="s">
        <v>307</v>
      </c>
      <c r="C162" s="729"/>
      <c r="D162" s="729"/>
      <c r="E162" s="807" t="s">
        <v>96</v>
      </c>
      <c r="F162" s="807" t="s">
        <v>309</v>
      </c>
      <c r="G162" s="807"/>
      <c r="H162" s="821" t="s">
        <v>310</v>
      </c>
      <c r="I162" s="821"/>
      <c r="J162" s="822"/>
      <c r="K162" s="136"/>
      <c r="L162" s="136"/>
      <c r="M162" s="137"/>
      <c r="N162" s="137"/>
      <c r="O162" s="137"/>
      <c r="P162" s="36"/>
      <c r="T162" s="754"/>
    </row>
    <row r="163" spans="1:20" s="144" customFormat="1" ht="46.9" customHeight="1">
      <c r="A163" s="840"/>
      <c r="B163" s="806"/>
      <c r="C163" s="729"/>
      <c r="D163" s="730" t="s">
        <v>542</v>
      </c>
      <c r="E163" s="807"/>
      <c r="F163" s="466" t="s">
        <v>311</v>
      </c>
      <c r="G163" s="466" t="s">
        <v>312</v>
      </c>
      <c r="H163" s="467" t="s">
        <v>313</v>
      </c>
      <c r="I163" s="732" t="s">
        <v>314</v>
      </c>
      <c r="J163" s="733" t="s">
        <v>315</v>
      </c>
      <c r="K163" s="136"/>
      <c r="L163" s="136"/>
      <c r="M163" s="137"/>
      <c r="N163" s="137"/>
      <c r="O163" s="137"/>
      <c r="P163" s="36"/>
      <c r="T163" s="754"/>
    </row>
    <row r="164" spans="1:20" s="144" customFormat="1" ht="36.75" customHeight="1">
      <c r="A164" s="840"/>
      <c r="B164" s="808" t="s">
        <v>531</v>
      </c>
      <c r="C164" s="726"/>
      <c r="D164" s="440" t="s">
        <v>448</v>
      </c>
      <c r="E164" s="406" t="s">
        <v>1</v>
      </c>
      <c r="F164" s="398">
        <f>+'MATRIZ GENERAL CONSOLIDADA'!D112</f>
        <v>100</v>
      </c>
      <c r="G164" s="682">
        <f>+'MATRIZ GENERAL CONSOLIDADA'!F112</f>
        <v>98</v>
      </c>
      <c r="H164" s="471">
        <f>+'MATRIZ GENERAL CONSOLIDADA'!E112</f>
        <v>0</v>
      </c>
      <c r="I164" s="471">
        <f>+'MATRIZ GENERAL CONSOLIDADA'!G112</f>
        <v>0</v>
      </c>
      <c r="J164" s="75">
        <f>+H164-I164</f>
        <v>0</v>
      </c>
      <c r="K164" s="136"/>
      <c r="L164" s="136"/>
      <c r="M164" s="137"/>
      <c r="N164" s="137"/>
      <c r="O164" s="137"/>
      <c r="P164" s="36"/>
      <c r="Q164" s="144">
        <v>0.25</v>
      </c>
      <c r="R164" s="144">
        <v>66</v>
      </c>
      <c r="T164" s="754"/>
    </row>
    <row r="165" spans="1:20" s="144" customFormat="1" ht="15">
      <c r="A165" s="840"/>
      <c r="B165" s="809"/>
      <c r="C165" s="756"/>
      <c r="D165" s="477" t="s">
        <v>449</v>
      </c>
      <c r="E165" s="406" t="s">
        <v>495</v>
      </c>
      <c r="F165" s="398">
        <f>+'MATRIZ GENERAL CONSOLIDADA'!D113</f>
        <v>1</v>
      </c>
      <c r="G165" s="682">
        <f>+'MATRIZ GENERAL CONSOLIDADA'!F113</f>
        <v>0.97499999999999998</v>
      </c>
      <c r="H165" s="471">
        <f>+'Anexo 1 Matriz SINA Inf Gestión'!P113</f>
        <v>2609816117.7600002</v>
      </c>
      <c r="I165" s="471">
        <f>+'MATRIZ GENERAL CONSOLIDADA'!G113</f>
        <v>2232936891.2600002</v>
      </c>
      <c r="J165" s="75">
        <f t="shared" ref="J165:J169" si="11">+H165-I165</f>
        <v>376879226.5</v>
      </c>
      <c r="K165" s="136"/>
      <c r="L165" s="136"/>
      <c r="M165" s="137"/>
      <c r="N165" s="137"/>
      <c r="O165" s="137"/>
      <c r="P165" s="36"/>
      <c r="Q165" s="144">
        <v>25</v>
      </c>
      <c r="R165" s="144">
        <v>37.5</v>
      </c>
      <c r="T165" s="754"/>
    </row>
    <row r="166" spans="1:20" s="144" customFormat="1" ht="15">
      <c r="A166" s="840"/>
      <c r="B166" s="809"/>
      <c r="C166" s="756"/>
      <c r="D166" s="437" t="s">
        <v>450</v>
      </c>
      <c r="E166" s="406"/>
      <c r="F166" s="398">
        <f>+'MATRIZ GENERAL CONSOLIDADA'!D114</f>
        <v>0.75</v>
      </c>
      <c r="G166" s="682">
        <f>+'MATRIZ GENERAL CONSOLIDADA'!F114</f>
        <v>0.75</v>
      </c>
      <c r="H166" s="471">
        <f>+'Anexo 1 Matriz SINA Inf Gestión'!P114</f>
        <v>1650410735</v>
      </c>
      <c r="I166" s="471">
        <f>+'MATRIZ GENERAL CONSOLIDADA'!G114</f>
        <v>1650410735</v>
      </c>
      <c r="J166" s="75"/>
      <c r="K166" s="136"/>
      <c r="L166" s="136"/>
      <c r="M166" s="145"/>
      <c r="N166" s="137"/>
      <c r="O166" s="137"/>
      <c r="P166" s="36"/>
      <c r="T166" s="754"/>
    </row>
    <row r="167" spans="1:20" s="144" customFormat="1" ht="28.5">
      <c r="A167" s="840"/>
      <c r="B167" s="809"/>
      <c r="C167" s="756"/>
      <c r="D167" s="437" t="s">
        <v>452</v>
      </c>
      <c r="E167" s="406" t="s">
        <v>496</v>
      </c>
      <c r="F167" s="398">
        <f>+'MATRIZ GENERAL CONSOLIDADA'!D115</f>
        <v>4</v>
      </c>
      <c r="G167" s="682">
        <f>+'MATRIZ GENERAL CONSOLIDADA'!F115</f>
        <v>3.9</v>
      </c>
      <c r="H167" s="471">
        <f>+'Anexo 1 Matriz SINA Inf Gestión'!P115</f>
        <v>1065021941.452</v>
      </c>
      <c r="I167" s="471">
        <f>+'MATRIZ GENERAL CONSOLIDADA'!G115</f>
        <v>1023431287.76</v>
      </c>
      <c r="J167" s="75">
        <f t="shared" si="11"/>
        <v>41590653.692000031</v>
      </c>
      <c r="K167" s="136"/>
      <c r="L167" s="136"/>
      <c r="M167" s="145"/>
      <c r="N167" s="137"/>
      <c r="O167" s="137"/>
      <c r="P167" s="36"/>
      <c r="T167" s="754"/>
    </row>
    <row r="168" spans="1:20" s="144" customFormat="1" ht="42.75">
      <c r="A168" s="840"/>
      <c r="B168" s="809"/>
      <c r="C168" s="756"/>
      <c r="D168" s="437" t="s">
        <v>453</v>
      </c>
      <c r="E168" s="406" t="s">
        <v>192</v>
      </c>
      <c r="F168" s="398">
        <f>+'MATRIZ GENERAL CONSOLIDADA'!D116</f>
        <v>1</v>
      </c>
      <c r="G168" s="682">
        <f>+'MATRIZ GENERAL CONSOLIDADA'!F116</f>
        <v>0.97499999999999998</v>
      </c>
      <c r="H168" s="471">
        <f>+'Anexo 1 Matriz SINA Inf Gestión'!P116</f>
        <v>995390015</v>
      </c>
      <c r="I168" s="471">
        <f>+'MATRIZ GENERAL CONSOLIDADA'!G116</f>
        <v>991549645</v>
      </c>
      <c r="J168" s="75">
        <f t="shared" si="11"/>
        <v>3840370</v>
      </c>
      <c r="K168" s="136"/>
      <c r="L168" s="136"/>
      <c r="M168" s="145"/>
      <c r="N168" s="137"/>
      <c r="O168" s="137"/>
      <c r="P168" s="36"/>
      <c r="T168" s="754"/>
    </row>
    <row r="169" spans="1:20" s="144" customFormat="1" ht="66" customHeight="1">
      <c r="A169" s="840"/>
      <c r="B169" s="809"/>
      <c r="C169" s="756"/>
      <c r="D169" s="474" t="s">
        <v>515</v>
      </c>
      <c r="E169" s="406" t="s">
        <v>516</v>
      </c>
      <c r="F169" s="398">
        <f>+'MATRIZ GENERAL CONSOLIDADA'!D117</f>
        <v>0</v>
      </c>
      <c r="G169" s="682">
        <f>+'MATRIZ GENERAL CONSOLIDADA'!F117</f>
        <v>0</v>
      </c>
      <c r="H169" s="471">
        <f>+'Anexo 1 Matriz SINA Inf Gestión'!P117</f>
        <v>121027238</v>
      </c>
      <c r="I169" s="446">
        <f>+'MATRIZ GENERAL CONSOLIDADA'!G117</f>
        <v>121027238</v>
      </c>
      <c r="J169" s="75">
        <f t="shared" si="11"/>
        <v>0</v>
      </c>
      <c r="K169" s="136"/>
      <c r="L169" s="136"/>
      <c r="M169" s="145"/>
      <c r="N169" s="137"/>
      <c r="O169" s="137"/>
      <c r="P169" s="36"/>
      <c r="T169" s="754"/>
    </row>
    <row r="170" spans="1:20" s="144" customFormat="1" ht="15">
      <c r="A170" s="840"/>
      <c r="B170" s="809"/>
      <c r="C170" s="727"/>
      <c r="D170" s="831" t="s">
        <v>320</v>
      </c>
      <c r="E170" s="831"/>
      <c r="F170" s="831"/>
      <c r="G170" s="831"/>
      <c r="H170" s="469">
        <f>SUM(H164:H169)</f>
        <v>6441666047.2119999</v>
      </c>
      <c r="J170" s="531"/>
      <c r="K170" s="146"/>
      <c r="L170" s="136"/>
      <c r="M170" s="136"/>
      <c r="N170" s="137"/>
      <c r="O170" s="137"/>
      <c r="P170" s="386"/>
      <c r="T170" s="754"/>
    </row>
    <row r="171" spans="1:20" s="144" customFormat="1" ht="18" customHeight="1">
      <c r="A171" s="840"/>
      <c r="B171" s="809"/>
      <c r="C171" s="739"/>
      <c r="D171" s="831" t="s">
        <v>321</v>
      </c>
      <c r="E171" s="831"/>
      <c r="F171" s="831"/>
      <c r="G171" s="831"/>
      <c r="H171" s="831"/>
      <c r="I171" s="469">
        <f>SUM(I164:I170)</f>
        <v>6019355797.0200005</v>
      </c>
      <c r="J171" s="531">
        <f>+H170-I171</f>
        <v>422310250.19199944</v>
      </c>
      <c r="K171" s="146"/>
      <c r="L171" s="136"/>
      <c r="M171" s="136"/>
      <c r="N171" s="137"/>
      <c r="O171" s="137"/>
      <c r="P171" s="386"/>
      <c r="R171" s="136"/>
      <c r="T171" s="754"/>
    </row>
    <row r="172" spans="1:20" s="144" customFormat="1" ht="18" customHeight="1">
      <c r="A172" s="840"/>
      <c r="B172" s="809"/>
      <c r="C172" s="727"/>
      <c r="D172" s="831" t="s">
        <v>546</v>
      </c>
      <c r="E172" s="831"/>
      <c r="F172" s="831"/>
      <c r="G172" s="831"/>
      <c r="H172" s="831"/>
      <c r="I172" s="529">
        <f>+'Anexo 1 Matriz SINA Inf Gestión'!R111/100</f>
        <v>0.93444083454547</v>
      </c>
      <c r="J172" s="532"/>
      <c r="K172" s="143"/>
      <c r="L172" s="136"/>
      <c r="M172" s="136"/>
      <c r="N172" s="137"/>
      <c r="O172" s="137"/>
      <c r="P172" s="386"/>
      <c r="R172" s="136"/>
      <c r="T172" s="754"/>
    </row>
    <row r="173" spans="1:20" s="144" customFormat="1" ht="18" customHeight="1" thickBot="1">
      <c r="A173" s="840"/>
      <c r="B173" s="809"/>
      <c r="C173" s="727"/>
      <c r="D173" s="835" t="s">
        <v>527</v>
      </c>
      <c r="E173" s="835"/>
      <c r="F173" s="835"/>
      <c r="G173" s="835"/>
      <c r="H173" s="835"/>
      <c r="I173" s="529">
        <f>+'Anexo 1 Matriz SINA Inf Gestión'!K111/100</f>
        <v>0.97985948477751739</v>
      </c>
      <c r="J173" s="532"/>
      <c r="K173" s="143"/>
      <c r="L173" s="136"/>
      <c r="M173" s="136"/>
      <c r="N173" s="137"/>
      <c r="O173" s="137"/>
      <c r="P173" s="386"/>
      <c r="R173" s="136"/>
      <c r="T173" s="754"/>
    </row>
    <row r="174" spans="1:20" ht="18" customHeight="1" thickBot="1">
      <c r="A174" s="866" t="s">
        <v>571</v>
      </c>
      <c r="B174" s="867"/>
      <c r="C174" s="867"/>
      <c r="D174" s="867"/>
      <c r="E174" s="867"/>
      <c r="F174" s="867"/>
      <c r="G174" s="867"/>
      <c r="H174" s="868"/>
      <c r="I174" s="757">
        <f>+'Anexo 1 Matriz SINA Inf Gestión'!P118</f>
        <v>116661297709.71173</v>
      </c>
      <c r="J174" s="823">
        <f>+I174-I175</f>
        <v>6534673457.4347382</v>
      </c>
      <c r="T174" s="755">
        <f>+T172-T173</f>
        <v>0</v>
      </c>
    </row>
    <row r="175" spans="1:20" ht="18" customHeight="1" thickBot="1">
      <c r="A175" s="864" t="s">
        <v>572</v>
      </c>
      <c r="B175" s="865"/>
      <c r="C175" s="865"/>
      <c r="D175" s="865"/>
      <c r="E175" s="865"/>
      <c r="F175" s="865"/>
      <c r="G175" s="865"/>
      <c r="H175" s="865"/>
      <c r="I175" s="700">
        <f>+'Anexo 1 Matriz SINA Inf Gestión'!Q118</f>
        <v>110126624252.27699</v>
      </c>
      <c r="J175" s="824"/>
    </row>
    <row r="176" spans="1:20" ht="18" customHeight="1" thickBot="1">
      <c r="A176" s="810" t="s">
        <v>573</v>
      </c>
      <c r="B176" s="811"/>
      <c r="C176" s="811"/>
      <c r="D176" s="811"/>
      <c r="E176" s="811"/>
      <c r="F176" s="811"/>
      <c r="G176" s="811"/>
      <c r="H176" s="811"/>
      <c r="I176" s="758">
        <f>+'Anexo 1 Matriz SINA Inf Gestión'!R118/100</f>
        <v>0.94398593547540532</v>
      </c>
      <c r="J176" s="824"/>
      <c r="T176" s="755">
        <f>+I175-'Anexo 1 Matriz SINA Inf Gestión'!Q118</f>
        <v>0</v>
      </c>
    </row>
    <row r="177" spans="1:20" ht="18" customHeight="1" thickBot="1">
      <c r="A177" s="803" t="s">
        <v>528</v>
      </c>
      <c r="B177" s="804"/>
      <c r="C177" s="804"/>
      <c r="D177" s="804"/>
      <c r="E177" s="804"/>
      <c r="F177" s="804"/>
      <c r="G177" s="804"/>
      <c r="H177" s="804"/>
      <c r="I177" s="762">
        <f>+'Anexo 1 Matriz SINA Inf Gestión'!K118/100</f>
        <v>0.95864037542736058</v>
      </c>
      <c r="J177" s="825"/>
    </row>
    <row r="178" spans="1:20" s="1" customFormat="1">
      <c r="A178" s="674"/>
      <c r="B178" s="675"/>
      <c r="C178" s="675"/>
      <c r="D178" s="674"/>
      <c r="E178" s="674"/>
      <c r="F178" s="675"/>
      <c r="G178" s="746"/>
      <c r="H178" s="677"/>
      <c r="I178" s="677"/>
      <c r="J178" s="677"/>
      <c r="K178" s="462"/>
      <c r="L178" s="462"/>
      <c r="M178" s="671"/>
      <c r="N178" s="671"/>
      <c r="O178" s="671"/>
      <c r="P178" s="671"/>
      <c r="T178" s="753"/>
    </row>
    <row r="179" spans="1:20" s="1" customFormat="1">
      <c r="A179" s="674"/>
      <c r="B179" s="675"/>
      <c r="C179" s="675"/>
      <c r="D179" s="674"/>
      <c r="E179" s="674"/>
      <c r="F179" s="675"/>
      <c r="G179" s="746"/>
      <c r="H179" s="677"/>
      <c r="I179" s="677"/>
      <c r="J179" s="677"/>
      <c r="K179" s="462"/>
      <c r="L179" s="462"/>
      <c r="M179" s="671"/>
      <c r="N179" s="671"/>
      <c r="O179" s="671"/>
      <c r="P179" s="671"/>
      <c r="T179" s="753"/>
    </row>
    <row r="180" spans="1:20" s="1" customFormat="1">
      <c r="A180" s="674"/>
      <c r="B180" s="675"/>
      <c r="C180" s="675"/>
      <c r="D180" s="674"/>
      <c r="E180" s="674"/>
      <c r="F180" s="675"/>
      <c r="G180" s="746"/>
      <c r="H180" s="677"/>
      <c r="I180" s="677"/>
      <c r="J180" s="677"/>
      <c r="K180" s="462"/>
      <c r="L180" s="462"/>
      <c r="M180" s="671"/>
      <c r="N180" s="671"/>
      <c r="O180" s="671"/>
      <c r="P180" s="671"/>
      <c r="T180" s="753"/>
    </row>
    <row r="181" spans="1:20" s="1" customFormat="1">
      <c r="A181" s="674"/>
      <c r="B181" s="675"/>
      <c r="C181" s="675"/>
      <c r="D181" s="674"/>
      <c r="E181" s="674"/>
      <c r="F181" s="675"/>
      <c r="G181" s="746"/>
      <c r="H181" s="677"/>
      <c r="I181" s="677"/>
      <c r="J181" s="677"/>
      <c r="K181" s="462"/>
      <c r="L181" s="462"/>
      <c r="M181" s="671"/>
      <c r="N181" s="671"/>
      <c r="O181" s="671"/>
      <c r="P181" s="671"/>
      <c r="T181" s="753"/>
    </row>
    <row r="182" spans="1:20" s="1" customFormat="1">
      <c r="A182" s="674"/>
      <c r="B182" s="675"/>
      <c r="C182" s="675"/>
      <c r="D182" s="674"/>
      <c r="E182" s="674"/>
      <c r="F182" s="675"/>
      <c r="G182" s="746"/>
      <c r="H182" s="677"/>
      <c r="I182" s="677"/>
      <c r="J182" s="677"/>
      <c r="K182" s="462"/>
      <c r="L182" s="462"/>
      <c r="M182" s="671"/>
      <c r="N182" s="671"/>
      <c r="O182" s="671"/>
      <c r="P182" s="671"/>
      <c r="T182" s="753"/>
    </row>
    <row r="183" spans="1:20" s="1" customFormat="1">
      <c r="A183" s="674"/>
      <c r="B183" s="675"/>
      <c r="C183" s="675"/>
      <c r="D183" s="674"/>
      <c r="E183" s="674"/>
      <c r="F183" s="675"/>
      <c r="G183" s="746"/>
      <c r="H183" s="677"/>
      <c r="I183" s="713"/>
      <c r="J183" s="677"/>
      <c r="K183" s="462"/>
      <c r="L183" s="462"/>
      <c r="M183" s="671"/>
      <c r="N183" s="671"/>
      <c r="O183" s="671"/>
      <c r="P183" s="671"/>
      <c r="T183" s="753"/>
    </row>
    <row r="184" spans="1:20" s="1" customFormat="1">
      <c r="A184" s="674"/>
      <c r="B184" s="675"/>
      <c r="C184" s="675"/>
      <c r="D184" s="674"/>
      <c r="E184" s="674"/>
      <c r="F184" s="675"/>
      <c r="G184" s="746"/>
      <c r="H184" s="677"/>
      <c r="I184" s="713"/>
      <c r="J184" s="677"/>
      <c r="K184" s="462"/>
      <c r="L184" s="462"/>
      <c r="M184" s="671"/>
      <c r="N184" s="671"/>
      <c r="O184" s="671"/>
      <c r="P184" s="671"/>
      <c r="T184" s="753"/>
    </row>
    <row r="185" spans="1:20" s="1" customFormat="1">
      <c r="A185" s="674"/>
      <c r="B185" s="675"/>
      <c r="C185" s="675"/>
      <c r="D185" s="674"/>
      <c r="E185" s="674"/>
      <c r="F185" s="675"/>
      <c r="G185" s="746"/>
      <c r="H185" s="677"/>
      <c r="I185" s="677"/>
      <c r="J185" s="677"/>
      <c r="K185" s="462"/>
      <c r="L185" s="462"/>
      <c r="M185" s="671"/>
      <c r="N185" s="671"/>
      <c r="O185" s="671"/>
      <c r="P185" s="671"/>
      <c r="T185" s="753"/>
    </row>
    <row r="186" spans="1:20" s="1" customFormat="1">
      <c r="A186" s="674"/>
      <c r="B186" s="675"/>
      <c r="C186" s="675"/>
      <c r="D186" s="674"/>
      <c r="E186" s="674"/>
      <c r="F186" s="675"/>
      <c r="G186" s="746"/>
      <c r="H186" s="677"/>
      <c r="I186" s="677"/>
      <c r="J186" s="677"/>
      <c r="K186" s="462"/>
      <c r="L186" s="462"/>
      <c r="M186" s="671"/>
      <c r="N186" s="671"/>
      <c r="O186" s="671"/>
      <c r="P186" s="671"/>
      <c r="T186" s="753"/>
    </row>
    <row r="187" spans="1:20" s="1" customFormat="1">
      <c r="A187" s="674"/>
      <c r="B187" s="675"/>
      <c r="C187" s="675"/>
      <c r="D187" s="674"/>
      <c r="E187" s="674"/>
      <c r="F187" s="675"/>
      <c r="G187" s="746"/>
      <c r="H187" s="677"/>
      <c r="I187" s="677"/>
      <c r="J187" s="677"/>
      <c r="K187" s="462"/>
      <c r="L187" s="462"/>
      <c r="M187" s="671"/>
      <c r="N187" s="671"/>
      <c r="O187" s="671"/>
      <c r="P187" s="671"/>
      <c r="T187" s="753"/>
    </row>
    <row r="188" spans="1:20" s="1" customFormat="1">
      <c r="A188" s="674"/>
      <c r="B188" s="675"/>
      <c r="C188" s="675"/>
      <c r="D188" s="674"/>
      <c r="E188" s="674"/>
      <c r="F188" s="675"/>
      <c r="G188" s="746"/>
      <c r="H188" s="677"/>
      <c r="I188" s="677"/>
      <c r="J188" s="677"/>
      <c r="K188" s="462"/>
      <c r="L188" s="462"/>
      <c r="M188" s="671"/>
      <c r="N188" s="671"/>
      <c r="O188" s="671"/>
      <c r="P188" s="671"/>
      <c r="T188" s="753"/>
    </row>
    <row r="189" spans="1:20" s="1" customFormat="1">
      <c r="A189" s="674"/>
      <c r="B189" s="675"/>
      <c r="C189" s="675"/>
      <c r="D189" s="674"/>
      <c r="E189" s="674"/>
      <c r="F189" s="675"/>
      <c r="G189" s="746"/>
      <c r="H189" s="677"/>
      <c r="I189" s="677"/>
      <c r="J189" s="677"/>
      <c r="K189" s="462"/>
      <c r="L189" s="462"/>
      <c r="M189" s="671"/>
      <c r="N189" s="671"/>
      <c r="O189" s="671"/>
      <c r="P189" s="671"/>
      <c r="T189" s="753"/>
    </row>
    <row r="190" spans="1:20" s="1" customFormat="1">
      <c r="A190" s="674"/>
      <c r="B190" s="675"/>
      <c r="C190" s="675"/>
      <c r="D190" s="674"/>
      <c r="E190" s="674"/>
      <c r="F190" s="675"/>
      <c r="G190" s="746"/>
      <c r="H190" s="677"/>
      <c r="I190" s="677"/>
      <c r="J190" s="677"/>
      <c r="K190" s="462"/>
      <c r="L190" s="462"/>
      <c r="M190" s="671"/>
      <c r="N190" s="671"/>
      <c r="O190" s="671"/>
      <c r="P190" s="671"/>
      <c r="T190" s="753"/>
    </row>
    <row r="191" spans="1:20" s="1" customFormat="1">
      <c r="A191" s="674"/>
      <c r="B191" s="675"/>
      <c r="C191" s="675"/>
      <c r="D191" s="674"/>
      <c r="E191" s="674"/>
      <c r="F191" s="675"/>
      <c r="G191" s="746"/>
      <c r="H191" s="677"/>
      <c r="I191" s="677"/>
      <c r="J191" s="677"/>
      <c r="K191" s="462"/>
      <c r="L191" s="462"/>
      <c r="M191" s="671"/>
      <c r="N191" s="671"/>
      <c r="O191" s="671"/>
      <c r="P191" s="671"/>
      <c r="T191" s="753"/>
    </row>
    <row r="192" spans="1:20" s="1" customFormat="1">
      <c r="A192" s="674"/>
      <c r="B192" s="675"/>
      <c r="C192" s="675"/>
      <c r="D192" s="674"/>
      <c r="E192" s="674"/>
      <c r="F192" s="675"/>
      <c r="G192" s="746"/>
      <c r="H192" s="677"/>
      <c r="I192" s="677"/>
      <c r="J192" s="677"/>
      <c r="K192" s="462"/>
      <c r="L192" s="462"/>
      <c r="M192" s="671"/>
      <c r="N192" s="671"/>
      <c r="O192" s="671"/>
      <c r="P192" s="671"/>
      <c r="T192" s="753"/>
    </row>
    <row r="193" spans="1:20" s="1" customFormat="1">
      <c r="A193" s="674"/>
      <c r="B193" s="675"/>
      <c r="C193" s="675"/>
      <c r="D193" s="674"/>
      <c r="E193" s="674"/>
      <c r="F193" s="675"/>
      <c r="G193" s="746"/>
      <c r="H193" s="677"/>
      <c r="I193" s="677"/>
      <c r="J193" s="677"/>
      <c r="K193" s="462"/>
      <c r="L193" s="462"/>
      <c r="M193" s="671"/>
      <c r="N193" s="671"/>
      <c r="O193" s="671"/>
      <c r="P193" s="671"/>
      <c r="T193" s="753"/>
    </row>
    <row r="194" spans="1:20" s="1" customFormat="1">
      <c r="A194" s="674"/>
      <c r="B194" s="675"/>
      <c r="C194" s="675"/>
      <c r="D194" s="674"/>
      <c r="E194" s="674"/>
      <c r="F194" s="675"/>
      <c r="G194" s="746"/>
      <c r="H194" s="677"/>
      <c r="I194" s="677"/>
      <c r="J194" s="677"/>
      <c r="K194" s="462"/>
      <c r="L194" s="462"/>
      <c r="M194" s="671"/>
      <c r="N194" s="671"/>
      <c r="O194" s="671"/>
      <c r="P194" s="671"/>
      <c r="T194" s="753"/>
    </row>
    <row r="195" spans="1:20" s="1" customFormat="1">
      <c r="A195" s="674"/>
      <c r="B195" s="675"/>
      <c r="C195" s="675"/>
      <c r="D195" s="674"/>
      <c r="E195" s="674"/>
      <c r="F195" s="675"/>
      <c r="G195" s="746"/>
      <c r="H195" s="677"/>
      <c r="I195" s="677"/>
      <c r="J195" s="677"/>
      <c r="K195" s="462"/>
      <c r="L195" s="462"/>
      <c r="M195" s="671"/>
      <c r="N195" s="671"/>
      <c r="O195" s="671"/>
      <c r="P195" s="671"/>
      <c r="T195" s="753"/>
    </row>
    <row r="196" spans="1:20" s="1" customFormat="1">
      <c r="A196" s="674"/>
      <c r="B196" s="675"/>
      <c r="C196" s="675"/>
      <c r="D196" s="674"/>
      <c r="E196" s="674"/>
      <c r="F196" s="675"/>
      <c r="G196" s="746"/>
      <c r="H196" s="677"/>
      <c r="I196" s="677"/>
      <c r="J196" s="677"/>
      <c r="K196" s="462"/>
      <c r="L196" s="462"/>
      <c r="M196" s="671"/>
      <c r="N196" s="671"/>
      <c r="O196" s="671"/>
      <c r="P196" s="671"/>
      <c r="T196" s="753"/>
    </row>
    <row r="197" spans="1:20" s="1" customFormat="1">
      <c r="A197" s="674"/>
      <c r="B197" s="675"/>
      <c r="C197" s="675"/>
      <c r="D197" s="674"/>
      <c r="E197" s="674"/>
      <c r="F197" s="675"/>
      <c r="G197" s="746"/>
      <c r="H197" s="677"/>
      <c r="I197" s="677"/>
      <c r="J197" s="677"/>
      <c r="K197" s="462"/>
      <c r="L197" s="462"/>
      <c r="M197" s="671"/>
      <c r="N197" s="671"/>
      <c r="O197" s="671"/>
      <c r="P197" s="671"/>
      <c r="T197" s="753"/>
    </row>
    <row r="198" spans="1:20" s="1" customFormat="1">
      <c r="A198" s="674"/>
      <c r="B198" s="675"/>
      <c r="C198" s="675"/>
      <c r="D198" s="674"/>
      <c r="E198" s="674"/>
      <c r="F198" s="675"/>
      <c r="G198" s="746"/>
      <c r="H198" s="677"/>
      <c r="I198" s="677"/>
      <c r="J198" s="677"/>
      <c r="K198" s="462"/>
      <c r="L198" s="462"/>
      <c r="M198" s="671"/>
      <c r="N198" s="671"/>
      <c r="O198" s="671"/>
      <c r="P198" s="671"/>
      <c r="T198" s="753"/>
    </row>
    <row r="199" spans="1:20" s="1" customFormat="1">
      <c r="A199" s="674"/>
      <c r="B199" s="675"/>
      <c r="C199" s="675"/>
      <c r="D199" s="674"/>
      <c r="E199" s="674"/>
      <c r="F199" s="675"/>
      <c r="G199" s="746"/>
      <c r="H199" s="677"/>
      <c r="I199" s="677"/>
      <c r="J199" s="677"/>
      <c r="K199" s="462"/>
      <c r="L199" s="462"/>
      <c r="M199" s="671"/>
      <c r="N199" s="671"/>
      <c r="O199" s="671"/>
      <c r="P199" s="671"/>
      <c r="T199" s="753"/>
    </row>
    <row r="200" spans="1:20" s="1" customFormat="1">
      <c r="A200" s="674"/>
      <c r="B200" s="675"/>
      <c r="C200" s="675"/>
      <c r="D200" s="674"/>
      <c r="E200" s="674"/>
      <c r="F200" s="675"/>
      <c r="G200" s="746"/>
      <c r="H200" s="677"/>
      <c r="I200" s="677"/>
      <c r="J200" s="677"/>
      <c r="K200" s="462"/>
      <c r="L200" s="462"/>
      <c r="M200" s="671"/>
      <c r="N200" s="671"/>
      <c r="O200" s="671"/>
      <c r="P200" s="671"/>
      <c r="T200" s="753"/>
    </row>
    <row r="201" spans="1:20" s="1" customFormat="1">
      <c r="A201" s="674"/>
      <c r="B201" s="675"/>
      <c r="C201" s="675"/>
      <c r="D201" s="674"/>
      <c r="E201" s="674"/>
      <c r="F201" s="675"/>
      <c r="G201" s="746"/>
      <c r="H201" s="677"/>
      <c r="I201" s="677"/>
      <c r="J201" s="677"/>
      <c r="K201" s="462"/>
      <c r="L201" s="462"/>
      <c r="M201" s="671"/>
      <c r="N201" s="671"/>
      <c r="O201" s="671"/>
      <c r="P201" s="671"/>
      <c r="T201" s="753"/>
    </row>
    <row r="202" spans="1:20" s="1" customFormat="1">
      <c r="A202" s="674"/>
      <c r="B202" s="675"/>
      <c r="C202" s="675"/>
      <c r="D202" s="674"/>
      <c r="E202" s="674"/>
      <c r="F202" s="675"/>
      <c r="G202" s="746"/>
      <c r="H202" s="677"/>
      <c r="I202" s="677"/>
      <c r="J202" s="677"/>
      <c r="K202" s="462"/>
      <c r="L202" s="462"/>
      <c r="M202" s="671"/>
      <c r="N202" s="671"/>
      <c r="O202" s="671"/>
      <c r="P202" s="671"/>
      <c r="T202" s="753"/>
    </row>
    <row r="203" spans="1:20" s="1" customFormat="1">
      <c r="A203" s="674"/>
      <c r="B203" s="675"/>
      <c r="C203" s="675"/>
      <c r="D203" s="674"/>
      <c r="E203" s="674"/>
      <c r="F203" s="675"/>
      <c r="G203" s="746"/>
      <c r="H203" s="677"/>
      <c r="I203" s="677"/>
      <c r="J203" s="677"/>
      <c r="K203" s="462"/>
      <c r="L203" s="462"/>
      <c r="M203" s="671"/>
      <c r="N203" s="671"/>
      <c r="O203" s="671"/>
      <c r="P203" s="671"/>
      <c r="T203" s="753"/>
    </row>
    <row r="204" spans="1:20" s="1" customFormat="1">
      <c r="A204" s="674"/>
      <c r="B204" s="675"/>
      <c r="C204" s="675"/>
      <c r="D204" s="674"/>
      <c r="E204" s="674"/>
      <c r="F204" s="675"/>
      <c r="G204" s="746"/>
      <c r="H204" s="677"/>
      <c r="I204" s="677"/>
      <c r="J204" s="677"/>
      <c r="K204" s="462"/>
      <c r="L204" s="462"/>
      <c r="M204" s="671"/>
      <c r="N204" s="671"/>
      <c r="O204" s="671"/>
      <c r="P204" s="671"/>
      <c r="T204" s="753"/>
    </row>
    <row r="205" spans="1:20" s="1" customFormat="1">
      <c r="A205" s="674"/>
      <c r="B205" s="675"/>
      <c r="C205" s="675"/>
      <c r="D205" s="674"/>
      <c r="E205" s="674"/>
      <c r="F205" s="675"/>
      <c r="G205" s="746"/>
      <c r="H205" s="677"/>
      <c r="I205" s="677"/>
      <c r="J205" s="677"/>
      <c r="K205" s="462"/>
      <c r="L205" s="462"/>
      <c r="M205" s="671"/>
      <c r="N205" s="671"/>
      <c r="O205" s="671"/>
      <c r="P205" s="671"/>
      <c r="T205" s="753"/>
    </row>
    <row r="206" spans="1:20" s="1" customFormat="1">
      <c r="A206" s="674"/>
      <c r="B206" s="675"/>
      <c r="C206" s="675"/>
      <c r="D206" s="674"/>
      <c r="E206" s="674"/>
      <c r="F206" s="675"/>
      <c r="G206" s="746"/>
      <c r="H206" s="677"/>
      <c r="I206" s="677"/>
      <c r="J206" s="677"/>
      <c r="K206" s="462"/>
      <c r="L206" s="462"/>
      <c r="M206" s="671"/>
      <c r="N206" s="671"/>
      <c r="O206" s="671"/>
      <c r="P206" s="671"/>
      <c r="T206" s="753"/>
    </row>
    <row r="207" spans="1:20" s="1" customFormat="1">
      <c r="A207" s="674"/>
      <c r="B207" s="675"/>
      <c r="C207" s="675"/>
      <c r="D207" s="674"/>
      <c r="E207" s="674"/>
      <c r="F207" s="675"/>
      <c r="G207" s="746"/>
      <c r="H207" s="677"/>
      <c r="I207" s="677"/>
      <c r="J207" s="677"/>
      <c r="K207" s="462"/>
      <c r="L207" s="462"/>
      <c r="M207" s="671"/>
      <c r="N207" s="671"/>
      <c r="O207" s="671"/>
      <c r="P207" s="671"/>
      <c r="T207" s="753"/>
    </row>
    <row r="208" spans="1:20" s="1" customFormat="1">
      <c r="B208" s="458"/>
      <c r="C208" s="458"/>
      <c r="F208" s="458"/>
      <c r="G208" s="2"/>
      <c r="H208" s="148"/>
      <c r="I208" s="148"/>
      <c r="J208" s="148"/>
      <c r="K208" s="462"/>
      <c r="L208" s="462"/>
      <c r="M208" s="671"/>
      <c r="N208" s="671"/>
      <c r="O208" s="671"/>
      <c r="P208" s="671"/>
      <c r="T208" s="753"/>
    </row>
    <row r="209" spans="2:20" s="1" customFormat="1">
      <c r="B209" s="458"/>
      <c r="C209" s="458"/>
      <c r="F209" s="458"/>
      <c r="G209" s="2"/>
      <c r="H209" s="148"/>
      <c r="I209" s="148"/>
      <c r="J209" s="148"/>
      <c r="K209" s="462"/>
      <c r="L209" s="462"/>
      <c r="M209" s="671"/>
      <c r="N209" s="671"/>
      <c r="O209" s="671"/>
      <c r="P209" s="671"/>
      <c r="T209" s="753"/>
    </row>
    <row r="210" spans="2:20" s="1" customFormat="1">
      <c r="B210" s="458"/>
      <c r="C210" s="458"/>
      <c r="F210" s="458"/>
      <c r="G210" s="2"/>
      <c r="H210" s="148"/>
      <c r="I210" s="148"/>
      <c r="J210" s="148"/>
      <c r="K210" s="462"/>
      <c r="L210" s="462"/>
      <c r="M210" s="671"/>
      <c r="N210" s="671"/>
      <c r="O210" s="671"/>
      <c r="P210" s="671"/>
      <c r="T210" s="753"/>
    </row>
    <row r="211" spans="2:20" s="1" customFormat="1">
      <c r="B211" s="458"/>
      <c r="C211" s="458"/>
      <c r="F211" s="458"/>
      <c r="G211" s="2"/>
      <c r="H211" s="148"/>
      <c r="I211" s="148"/>
      <c r="J211" s="148"/>
      <c r="K211" s="462"/>
      <c r="L211" s="462"/>
      <c r="M211" s="671"/>
      <c r="N211" s="671"/>
      <c r="O211" s="671"/>
      <c r="P211" s="671"/>
      <c r="T211" s="753"/>
    </row>
    <row r="212" spans="2:20" s="1" customFormat="1">
      <c r="B212" s="458"/>
      <c r="C212" s="458"/>
      <c r="F212" s="458"/>
      <c r="G212" s="2"/>
      <c r="H212" s="148"/>
      <c r="I212" s="148"/>
      <c r="J212" s="148"/>
      <c r="K212" s="462"/>
      <c r="L212" s="462"/>
      <c r="M212" s="671"/>
      <c r="N212" s="671"/>
      <c r="O212" s="671"/>
      <c r="P212" s="671"/>
      <c r="T212" s="753"/>
    </row>
    <row r="213" spans="2:20" s="1" customFormat="1">
      <c r="B213" s="458"/>
      <c r="C213" s="458"/>
      <c r="F213" s="458"/>
      <c r="G213" s="2"/>
      <c r="H213" s="148"/>
      <c r="I213" s="148"/>
      <c r="J213" s="148"/>
      <c r="K213" s="462"/>
      <c r="L213" s="462"/>
      <c r="M213" s="671"/>
      <c r="N213" s="671"/>
      <c r="O213" s="671"/>
      <c r="P213" s="671"/>
      <c r="T213" s="753"/>
    </row>
    <row r="214" spans="2:20" s="1" customFormat="1">
      <c r="B214" s="458"/>
      <c r="C214" s="458"/>
      <c r="F214" s="458"/>
      <c r="G214" s="2"/>
      <c r="H214" s="148"/>
      <c r="I214" s="148"/>
      <c r="J214" s="148"/>
      <c r="K214" s="462"/>
      <c r="L214" s="462"/>
      <c r="M214" s="671"/>
      <c r="N214" s="671"/>
      <c r="O214" s="671"/>
      <c r="P214" s="671"/>
      <c r="T214" s="753"/>
    </row>
    <row r="215" spans="2:20" s="1" customFormat="1">
      <c r="B215" s="458"/>
      <c r="C215" s="458"/>
      <c r="F215" s="458"/>
      <c r="G215" s="2"/>
      <c r="H215" s="148"/>
      <c r="I215" s="148"/>
      <c r="J215" s="148"/>
      <c r="K215" s="462"/>
      <c r="L215" s="462"/>
      <c r="M215" s="671"/>
      <c r="N215" s="671"/>
      <c r="O215" s="671"/>
      <c r="P215" s="671"/>
      <c r="T215" s="753"/>
    </row>
    <row r="216" spans="2:20" s="1" customFormat="1">
      <c r="B216" s="458"/>
      <c r="C216" s="458"/>
      <c r="F216" s="458"/>
      <c r="G216" s="2"/>
      <c r="H216" s="148"/>
      <c r="I216" s="148"/>
      <c r="J216" s="148"/>
      <c r="K216" s="462"/>
      <c r="L216" s="462"/>
      <c r="M216" s="671"/>
      <c r="N216" s="671"/>
      <c r="O216" s="671"/>
      <c r="P216" s="671"/>
      <c r="T216" s="753"/>
    </row>
    <row r="217" spans="2:20" s="1" customFormat="1">
      <c r="B217" s="458"/>
      <c r="C217" s="458"/>
      <c r="F217" s="458"/>
      <c r="G217" s="2"/>
      <c r="H217" s="148"/>
      <c r="I217" s="148"/>
      <c r="J217" s="148"/>
      <c r="K217" s="462"/>
      <c r="L217" s="462"/>
      <c r="M217" s="671"/>
      <c r="N217" s="671"/>
      <c r="O217" s="671"/>
      <c r="P217" s="671"/>
      <c r="T217" s="753"/>
    </row>
    <row r="218" spans="2:20" s="1" customFormat="1">
      <c r="B218" s="458"/>
      <c r="C218" s="458"/>
      <c r="F218" s="458"/>
      <c r="G218" s="2"/>
      <c r="H218" s="148"/>
      <c r="I218" s="148"/>
      <c r="J218" s="148"/>
      <c r="K218" s="462"/>
      <c r="L218" s="462"/>
      <c r="M218" s="671"/>
      <c r="N218" s="671"/>
      <c r="O218" s="671"/>
      <c r="P218" s="671"/>
      <c r="T218" s="753"/>
    </row>
    <row r="219" spans="2:20" s="1" customFormat="1">
      <c r="B219" s="458"/>
      <c r="C219" s="458"/>
      <c r="F219" s="458"/>
      <c r="G219" s="2"/>
      <c r="H219" s="148"/>
      <c r="I219" s="148"/>
      <c r="J219" s="148"/>
      <c r="K219" s="462"/>
      <c r="L219" s="462"/>
      <c r="M219" s="671"/>
      <c r="N219" s="671"/>
      <c r="O219" s="671"/>
      <c r="P219" s="671"/>
      <c r="T219" s="753"/>
    </row>
    <row r="220" spans="2:20" s="1" customFormat="1">
      <c r="B220" s="458"/>
      <c r="C220" s="458"/>
      <c r="F220" s="458"/>
      <c r="G220" s="2"/>
      <c r="H220" s="148"/>
      <c r="I220" s="148"/>
      <c r="J220" s="148"/>
      <c r="K220" s="462"/>
      <c r="L220" s="462"/>
      <c r="M220" s="671"/>
      <c r="N220" s="671"/>
      <c r="O220" s="671"/>
      <c r="P220" s="671"/>
      <c r="T220" s="753"/>
    </row>
    <row r="221" spans="2:20" s="1" customFormat="1">
      <c r="B221" s="458"/>
      <c r="C221" s="458"/>
      <c r="F221" s="458"/>
      <c r="G221" s="2"/>
      <c r="H221" s="148"/>
      <c r="I221" s="148"/>
      <c r="J221" s="148"/>
      <c r="K221" s="462"/>
      <c r="L221" s="462"/>
      <c r="M221" s="671"/>
      <c r="N221" s="671"/>
      <c r="O221" s="671"/>
      <c r="P221" s="671"/>
      <c r="T221" s="753"/>
    </row>
    <row r="222" spans="2:20" s="1" customFormat="1">
      <c r="B222" s="458"/>
      <c r="C222" s="458"/>
      <c r="F222" s="458"/>
      <c r="G222" s="2"/>
      <c r="H222" s="148"/>
      <c r="I222" s="148"/>
      <c r="J222" s="148"/>
      <c r="K222" s="462"/>
      <c r="L222" s="462"/>
      <c r="M222" s="671"/>
      <c r="N222" s="671"/>
      <c r="O222" s="671"/>
      <c r="P222" s="671"/>
      <c r="T222" s="753"/>
    </row>
    <row r="223" spans="2:20" s="1" customFormat="1">
      <c r="B223" s="458"/>
      <c r="C223" s="458"/>
      <c r="F223" s="458"/>
      <c r="G223" s="2"/>
      <c r="H223" s="148"/>
      <c r="I223" s="148"/>
      <c r="J223" s="148"/>
      <c r="K223" s="462"/>
      <c r="L223" s="462"/>
      <c r="M223" s="671"/>
      <c r="N223" s="671"/>
      <c r="O223" s="671"/>
      <c r="P223" s="671"/>
      <c r="T223" s="753"/>
    </row>
    <row r="224" spans="2:20" s="1" customFormat="1">
      <c r="B224" s="458"/>
      <c r="C224" s="458"/>
      <c r="F224" s="458"/>
      <c r="G224" s="2"/>
      <c r="H224" s="148"/>
      <c r="I224" s="148"/>
      <c r="J224" s="148"/>
      <c r="K224" s="462"/>
      <c r="L224" s="462"/>
      <c r="M224" s="671"/>
      <c r="N224" s="671"/>
      <c r="O224" s="671"/>
      <c r="P224" s="671"/>
      <c r="T224" s="753"/>
    </row>
    <row r="225" spans="2:20" s="1" customFormat="1">
      <c r="B225" s="458"/>
      <c r="C225" s="458"/>
      <c r="F225" s="458"/>
      <c r="G225" s="2"/>
      <c r="H225" s="148"/>
      <c r="I225" s="148"/>
      <c r="J225" s="148"/>
      <c r="K225" s="462"/>
      <c r="L225" s="462"/>
      <c r="M225" s="671"/>
      <c r="N225" s="671"/>
      <c r="O225" s="671"/>
      <c r="P225" s="671"/>
      <c r="T225" s="753"/>
    </row>
    <row r="226" spans="2:20" s="1" customFormat="1">
      <c r="B226" s="458"/>
      <c r="C226" s="458"/>
      <c r="F226" s="458"/>
      <c r="G226" s="2"/>
      <c r="H226" s="148"/>
      <c r="I226" s="148"/>
      <c r="J226" s="148"/>
      <c r="K226" s="462"/>
      <c r="L226" s="462"/>
      <c r="M226" s="671"/>
      <c r="N226" s="671"/>
      <c r="O226" s="671"/>
      <c r="P226" s="671"/>
      <c r="T226" s="753"/>
    </row>
    <row r="227" spans="2:20" s="1" customFormat="1">
      <c r="B227" s="458"/>
      <c r="C227" s="458"/>
      <c r="F227" s="458"/>
      <c r="G227" s="2"/>
      <c r="H227" s="148"/>
      <c r="I227" s="148"/>
      <c r="J227" s="148"/>
      <c r="K227" s="462"/>
      <c r="L227" s="462"/>
      <c r="M227" s="671"/>
      <c r="N227" s="671"/>
      <c r="O227" s="671"/>
      <c r="P227" s="671"/>
      <c r="T227" s="753"/>
    </row>
    <row r="228" spans="2:20" s="1" customFormat="1">
      <c r="B228" s="458"/>
      <c r="C228" s="458"/>
      <c r="F228" s="458"/>
      <c r="G228" s="2"/>
      <c r="H228" s="148"/>
      <c r="I228" s="148"/>
      <c r="J228" s="148"/>
      <c r="K228" s="462"/>
      <c r="L228" s="462"/>
      <c r="M228" s="671"/>
      <c r="N228" s="671"/>
      <c r="O228" s="671"/>
      <c r="P228" s="671"/>
      <c r="T228" s="753"/>
    </row>
    <row r="229" spans="2:20" s="1" customFormat="1">
      <c r="B229" s="458"/>
      <c r="C229" s="458"/>
      <c r="F229" s="458"/>
      <c r="G229" s="2"/>
      <c r="H229" s="148"/>
      <c r="I229" s="148"/>
      <c r="J229" s="148"/>
      <c r="K229" s="462"/>
      <c r="L229" s="462"/>
      <c r="M229" s="671"/>
      <c r="N229" s="671"/>
      <c r="O229" s="671"/>
      <c r="P229" s="671"/>
      <c r="T229" s="753"/>
    </row>
    <row r="230" spans="2:20" s="1" customFormat="1">
      <c r="B230" s="458"/>
      <c r="C230" s="458"/>
      <c r="F230" s="458"/>
      <c r="G230" s="2"/>
      <c r="H230" s="148"/>
      <c r="I230" s="148"/>
      <c r="J230" s="148"/>
      <c r="K230" s="462"/>
      <c r="L230" s="462"/>
      <c r="M230" s="671"/>
      <c r="N230" s="671"/>
      <c r="O230" s="671"/>
      <c r="P230" s="671"/>
      <c r="T230" s="753"/>
    </row>
    <row r="231" spans="2:20" s="1" customFormat="1">
      <c r="B231" s="458"/>
      <c r="C231" s="458"/>
      <c r="F231" s="458"/>
      <c r="G231" s="2"/>
      <c r="H231" s="148"/>
      <c r="I231" s="148"/>
      <c r="J231" s="148"/>
      <c r="K231" s="462"/>
      <c r="L231" s="462"/>
      <c r="M231" s="671"/>
      <c r="N231" s="671"/>
      <c r="O231" s="671"/>
      <c r="P231" s="671"/>
      <c r="T231" s="753"/>
    </row>
    <row r="232" spans="2:20" s="1" customFormat="1">
      <c r="B232" s="458"/>
      <c r="C232" s="458"/>
      <c r="F232" s="458"/>
      <c r="G232" s="2"/>
      <c r="H232" s="148"/>
      <c r="I232" s="148"/>
      <c r="J232" s="148"/>
      <c r="K232" s="462"/>
      <c r="L232" s="462"/>
      <c r="M232" s="671"/>
      <c r="N232" s="671"/>
      <c r="O232" s="671"/>
      <c r="P232" s="671"/>
      <c r="T232" s="753"/>
    </row>
    <row r="233" spans="2:20" s="1" customFormat="1">
      <c r="B233" s="458"/>
      <c r="C233" s="458"/>
      <c r="F233" s="458"/>
      <c r="G233" s="2"/>
      <c r="H233" s="148"/>
      <c r="I233" s="148"/>
      <c r="J233" s="148"/>
      <c r="K233" s="462"/>
      <c r="L233" s="462"/>
      <c r="M233" s="671"/>
      <c r="N233" s="671"/>
      <c r="O233" s="671"/>
      <c r="P233" s="671"/>
      <c r="T233" s="753"/>
    </row>
    <row r="234" spans="2:20" s="1" customFormat="1">
      <c r="B234" s="458"/>
      <c r="C234" s="458"/>
      <c r="F234" s="458"/>
      <c r="G234" s="2"/>
      <c r="H234" s="148"/>
      <c r="I234" s="148"/>
      <c r="J234" s="148"/>
      <c r="K234" s="462"/>
      <c r="L234" s="462"/>
      <c r="M234" s="671"/>
      <c r="N234" s="671"/>
      <c r="O234" s="671"/>
      <c r="P234" s="671"/>
      <c r="T234" s="753"/>
    </row>
    <row r="235" spans="2:20" s="1" customFormat="1">
      <c r="B235" s="458"/>
      <c r="C235" s="458"/>
      <c r="F235" s="458"/>
      <c r="G235" s="2"/>
      <c r="H235" s="148"/>
      <c r="I235" s="148"/>
      <c r="J235" s="148"/>
      <c r="K235" s="462"/>
      <c r="L235" s="462"/>
      <c r="M235" s="671"/>
      <c r="N235" s="671"/>
      <c r="O235" s="671"/>
      <c r="P235" s="671"/>
      <c r="T235" s="753"/>
    </row>
    <row r="236" spans="2:20" s="1" customFormat="1">
      <c r="B236" s="458"/>
      <c r="C236" s="458"/>
      <c r="F236" s="458"/>
      <c r="G236" s="2"/>
      <c r="H236" s="148"/>
      <c r="I236" s="148"/>
      <c r="J236" s="148"/>
      <c r="K236" s="462"/>
      <c r="L236" s="462"/>
      <c r="M236" s="671"/>
      <c r="N236" s="671"/>
      <c r="O236" s="671"/>
      <c r="P236" s="671"/>
      <c r="T236" s="753"/>
    </row>
    <row r="237" spans="2:20" s="1" customFormat="1">
      <c r="B237" s="458"/>
      <c r="C237" s="458"/>
      <c r="F237" s="458"/>
      <c r="G237" s="2"/>
      <c r="H237" s="148"/>
      <c r="I237" s="148"/>
      <c r="J237" s="148"/>
      <c r="K237" s="462"/>
      <c r="L237" s="462"/>
      <c r="M237" s="671"/>
      <c r="N237" s="671"/>
      <c r="O237" s="671"/>
      <c r="P237" s="671"/>
      <c r="T237" s="753"/>
    </row>
    <row r="238" spans="2:20" s="1" customFormat="1">
      <c r="B238" s="458"/>
      <c r="C238" s="458"/>
      <c r="F238" s="458"/>
      <c r="G238" s="2"/>
      <c r="H238" s="148"/>
      <c r="I238" s="148"/>
      <c r="J238" s="148"/>
      <c r="K238" s="462"/>
      <c r="L238" s="462"/>
      <c r="M238" s="671"/>
      <c r="N238" s="671"/>
      <c r="O238" s="671"/>
      <c r="P238" s="671"/>
      <c r="T238" s="753"/>
    </row>
    <row r="239" spans="2:20" s="1" customFormat="1">
      <c r="B239" s="458"/>
      <c r="C239" s="458"/>
      <c r="F239" s="458"/>
      <c r="G239" s="2"/>
      <c r="H239" s="148"/>
      <c r="I239" s="148"/>
      <c r="J239" s="148"/>
      <c r="K239" s="462"/>
      <c r="L239" s="462"/>
      <c r="M239" s="671"/>
      <c r="N239" s="671"/>
      <c r="O239" s="671"/>
      <c r="P239" s="671"/>
      <c r="T239" s="753"/>
    </row>
    <row r="240" spans="2:20" s="1" customFormat="1">
      <c r="B240" s="458"/>
      <c r="C240" s="458"/>
      <c r="F240" s="458"/>
      <c r="G240" s="2"/>
      <c r="H240" s="148"/>
      <c r="I240" s="148"/>
      <c r="J240" s="148"/>
      <c r="K240" s="462"/>
      <c r="L240" s="462"/>
      <c r="M240" s="671"/>
      <c r="N240" s="671"/>
      <c r="O240" s="671"/>
      <c r="P240" s="671"/>
      <c r="T240" s="753"/>
    </row>
    <row r="241" spans="2:20" s="1" customFormat="1">
      <c r="B241" s="458"/>
      <c r="C241" s="458"/>
      <c r="F241" s="458"/>
      <c r="G241" s="2"/>
      <c r="H241" s="148"/>
      <c r="I241" s="148"/>
      <c r="J241" s="148"/>
      <c r="K241" s="462"/>
      <c r="L241" s="462"/>
      <c r="M241" s="671"/>
      <c r="N241" s="671"/>
      <c r="O241" s="671"/>
      <c r="P241" s="671"/>
      <c r="T241" s="753"/>
    </row>
    <row r="242" spans="2:20" s="1" customFormat="1">
      <c r="B242" s="458"/>
      <c r="C242" s="458"/>
      <c r="F242" s="458"/>
      <c r="G242" s="2"/>
      <c r="H242" s="148"/>
      <c r="I242" s="148"/>
      <c r="J242" s="148"/>
      <c r="K242" s="462"/>
      <c r="L242" s="462"/>
      <c r="M242" s="671"/>
      <c r="N242" s="671"/>
      <c r="O242" s="671"/>
      <c r="P242" s="671"/>
      <c r="T242" s="753"/>
    </row>
  </sheetData>
  <mergeCells count="152">
    <mergeCell ref="J174:J177"/>
    <mergeCell ref="A175:H175"/>
    <mergeCell ref="A176:H176"/>
    <mergeCell ref="A177:H177"/>
    <mergeCell ref="B164:B173"/>
    <mergeCell ref="D170:G170"/>
    <mergeCell ref="D171:H171"/>
    <mergeCell ref="D172:H172"/>
    <mergeCell ref="D173:H173"/>
    <mergeCell ref="A174:H174"/>
    <mergeCell ref="D160:H160"/>
    <mergeCell ref="D161:H161"/>
    <mergeCell ref="B162:B163"/>
    <mergeCell ref="E162:E163"/>
    <mergeCell ref="F162:G162"/>
    <mergeCell ref="H162:J162"/>
    <mergeCell ref="A147:A148"/>
    <mergeCell ref="B147:B148"/>
    <mergeCell ref="E147:E148"/>
    <mergeCell ref="F147:G147"/>
    <mergeCell ref="H147:J147"/>
    <mergeCell ref="A149:A173"/>
    <mergeCell ref="B149:B161"/>
    <mergeCell ref="D158:G158"/>
    <mergeCell ref="J158:J161"/>
    <mergeCell ref="D159:H159"/>
    <mergeCell ref="F137:G137"/>
    <mergeCell ref="H137:J137"/>
    <mergeCell ref="B139:B146"/>
    <mergeCell ref="D143:G143"/>
    <mergeCell ref="J143:J146"/>
    <mergeCell ref="D144:H144"/>
    <mergeCell ref="D145:H145"/>
    <mergeCell ref="D146:H146"/>
    <mergeCell ref="A127:A146"/>
    <mergeCell ref="B127:B136"/>
    <mergeCell ref="D133:G133"/>
    <mergeCell ref="J133:J136"/>
    <mergeCell ref="D134:H134"/>
    <mergeCell ref="D135:H135"/>
    <mergeCell ref="D136:H136"/>
    <mergeCell ref="B137:B138"/>
    <mergeCell ref="D137:D138"/>
    <mergeCell ref="E137:E138"/>
    <mergeCell ref="A125:A126"/>
    <mergeCell ref="B125:B126"/>
    <mergeCell ref="D125:D126"/>
    <mergeCell ref="E125:E126"/>
    <mergeCell ref="F125:G125"/>
    <mergeCell ref="H125:J125"/>
    <mergeCell ref="A105:A124"/>
    <mergeCell ref="B105:B124"/>
    <mergeCell ref="D121:G121"/>
    <mergeCell ref="J121:J124"/>
    <mergeCell ref="D122:H122"/>
    <mergeCell ref="D123:H123"/>
    <mergeCell ref="D124:H124"/>
    <mergeCell ref="A103:A104"/>
    <mergeCell ref="B103:B104"/>
    <mergeCell ref="D103:D104"/>
    <mergeCell ref="E103:E104"/>
    <mergeCell ref="F103:G103"/>
    <mergeCell ref="H103:J103"/>
    <mergeCell ref="F93:G93"/>
    <mergeCell ref="H93:J93"/>
    <mergeCell ref="B95:B102"/>
    <mergeCell ref="D99:G99"/>
    <mergeCell ref="J99:J102"/>
    <mergeCell ref="D100:H100"/>
    <mergeCell ref="D101:H101"/>
    <mergeCell ref="D102:H102"/>
    <mergeCell ref="A82:A102"/>
    <mergeCell ref="B82:B92"/>
    <mergeCell ref="D89:G89"/>
    <mergeCell ref="J89:J92"/>
    <mergeCell ref="D90:H90"/>
    <mergeCell ref="D91:H91"/>
    <mergeCell ref="D92:H92"/>
    <mergeCell ref="B93:B94"/>
    <mergeCell ref="D93:D94"/>
    <mergeCell ref="E93:E94"/>
    <mergeCell ref="A80:A81"/>
    <mergeCell ref="B80:B81"/>
    <mergeCell ref="D80:D81"/>
    <mergeCell ref="E80:E81"/>
    <mergeCell ref="F80:G80"/>
    <mergeCell ref="H80:J80"/>
    <mergeCell ref="F66:G66"/>
    <mergeCell ref="H66:J66"/>
    <mergeCell ref="B68:B79"/>
    <mergeCell ref="D76:G76"/>
    <mergeCell ref="J76:J79"/>
    <mergeCell ref="D77:H77"/>
    <mergeCell ref="D78:H78"/>
    <mergeCell ref="D79:H79"/>
    <mergeCell ref="A51:A79"/>
    <mergeCell ref="B51:B65"/>
    <mergeCell ref="D62:G62"/>
    <mergeCell ref="J62:J65"/>
    <mergeCell ref="D63:H63"/>
    <mergeCell ref="D64:H64"/>
    <mergeCell ref="D65:H65"/>
    <mergeCell ref="B66:B67"/>
    <mergeCell ref="D66:D67"/>
    <mergeCell ref="E66:E67"/>
    <mergeCell ref="A49:A50"/>
    <mergeCell ref="B49:B50"/>
    <mergeCell ref="D49:D50"/>
    <mergeCell ref="E49:E50"/>
    <mergeCell ref="F49:G49"/>
    <mergeCell ref="H49:J49"/>
    <mergeCell ref="B41:B42"/>
    <mergeCell ref="D41:D42"/>
    <mergeCell ref="E41:E42"/>
    <mergeCell ref="F41:G41"/>
    <mergeCell ref="H41:J41"/>
    <mergeCell ref="B43:B48"/>
    <mergeCell ref="D45:G45"/>
    <mergeCell ref="J45:J48"/>
    <mergeCell ref="D46:H46"/>
    <mergeCell ref="D47:H47"/>
    <mergeCell ref="F25:G25"/>
    <mergeCell ref="H25:J25"/>
    <mergeCell ref="B27:B40"/>
    <mergeCell ref="D37:G37"/>
    <mergeCell ref="J37:J40"/>
    <mergeCell ref="D38:H38"/>
    <mergeCell ref="D39:H39"/>
    <mergeCell ref="D40:H40"/>
    <mergeCell ref="A9:A48"/>
    <mergeCell ref="B9:B23"/>
    <mergeCell ref="D21:G21"/>
    <mergeCell ref="J21:J23"/>
    <mergeCell ref="D22:H22"/>
    <mergeCell ref="D23:H23"/>
    <mergeCell ref="D24:H24"/>
    <mergeCell ref="B25:B26"/>
    <mergeCell ref="D25:D26"/>
    <mergeCell ref="E25:E26"/>
    <mergeCell ref="D48:H48"/>
    <mergeCell ref="A7:A8"/>
    <mergeCell ref="B7:B8"/>
    <mergeCell ref="D7:D8"/>
    <mergeCell ref="E7:E8"/>
    <mergeCell ref="F7:G7"/>
    <mergeCell ref="H7:J7"/>
    <mergeCell ref="A1:I3"/>
    <mergeCell ref="B4:J4"/>
    <mergeCell ref="A5:B5"/>
    <mergeCell ref="D5:E5"/>
    <mergeCell ref="H5:J5"/>
    <mergeCell ref="B6:J6"/>
  </mergeCell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1" workbookViewId="0">
      <selection activeCell="E6" sqref="E6"/>
    </sheetView>
  </sheetViews>
  <sheetFormatPr baseColWidth="10" defaultRowHeight="12.75"/>
  <cols>
    <col min="1" max="1" width="9.140625" style="577" customWidth="1"/>
    <col min="2" max="2" width="49" style="577" customWidth="1"/>
    <col min="3" max="4" width="20.5703125" style="577" customWidth="1"/>
    <col min="5" max="5" width="14.7109375" style="577" bestFit="1" customWidth="1"/>
    <col min="6" max="6" width="11.7109375" style="577" bestFit="1" customWidth="1"/>
    <col min="7" max="256" width="11.42578125" style="577"/>
    <col min="257" max="257" width="9.140625" style="577" customWidth="1"/>
    <col min="258" max="258" width="49" style="577" customWidth="1"/>
    <col min="259" max="260" width="20.5703125" style="577" customWidth="1"/>
    <col min="261" max="512" width="11.42578125" style="577"/>
    <col min="513" max="513" width="9.140625" style="577" customWidth="1"/>
    <col min="514" max="514" width="49" style="577" customWidth="1"/>
    <col min="515" max="516" width="20.5703125" style="577" customWidth="1"/>
    <col min="517" max="768" width="11.42578125" style="577"/>
    <col min="769" max="769" width="9.140625" style="577" customWidth="1"/>
    <col min="770" max="770" width="49" style="577" customWidth="1"/>
    <col min="771" max="772" width="20.5703125" style="577" customWidth="1"/>
    <col min="773" max="1024" width="11.42578125" style="577"/>
    <col min="1025" max="1025" width="9.140625" style="577" customWidth="1"/>
    <col min="1026" max="1026" width="49" style="577" customWidth="1"/>
    <col min="1027" max="1028" width="20.5703125" style="577" customWidth="1"/>
    <col min="1029" max="1280" width="11.42578125" style="577"/>
    <col min="1281" max="1281" width="9.140625" style="577" customWidth="1"/>
    <col min="1282" max="1282" width="49" style="577" customWidth="1"/>
    <col min="1283" max="1284" width="20.5703125" style="577" customWidth="1"/>
    <col min="1285" max="1536" width="11.42578125" style="577"/>
    <col min="1537" max="1537" width="9.140625" style="577" customWidth="1"/>
    <col min="1538" max="1538" width="49" style="577" customWidth="1"/>
    <col min="1539" max="1540" width="20.5703125" style="577" customWidth="1"/>
    <col min="1541" max="1792" width="11.42578125" style="577"/>
    <col min="1793" max="1793" width="9.140625" style="577" customWidth="1"/>
    <col min="1794" max="1794" width="49" style="577" customWidth="1"/>
    <col min="1795" max="1796" width="20.5703125" style="577" customWidth="1"/>
    <col min="1797" max="2048" width="11.42578125" style="577"/>
    <col min="2049" max="2049" width="9.140625" style="577" customWidth="1"/>
    <col min="2050" max="2050" width="49" style="577" customWidth="1"/>
    <col min="2051" max="2052" width="20.5703125" style="577" customWidth="1"/>
    <col min="2053" max="2304" width="11.42578125" style="577"/>
    <col min="2305" max="2305" width="9.140625" style="577" customWidth="1"/>
    <col min="2306" max="2306" width="49" style="577" customWidth="1"/>
    <col min="2307" max="2308" width="20.5703125" style="577" customWidth="1"/>
    <col min="2309" max="2560" width="11.42578125" style="577"/>
    <col min="2561" max="2561" width="9.140625" style="577" customWidth="1"/>
    <col min="2562" max="2562" width="49" style="577" customWidth="1"/>
    <col min="2563" max="2564" width="20.5703125" style="577" customWidth="1"/>
    <col min="2565" max="2816" width="11.42578125" style="577"/>
    <col min="2817" max="2817" width="9.140625" style="577" customWidth="1"/>
    <col min="2818" max="2818" width="49" style="577" customWidth="1"/>
    <col min="2819" max="2820" width="20.5703125" style="577" customWidth="1"/>
    <col min="2821" max="3072" width="11.42578125" style="577"/>
    <col min="3073" max="3073" width="9.140625" style="577" customWidth="1"/>
    <col min="3074" max="3074" width="49" style="577" customWidth="1"/>
    <col min="3075" max="3076" width="20.5703125" style="577" customWidth="1"/>
    <col min="3077" max="3328" width="11.42578125" style="577"/>
    <col min="3329" max="3329" width="9.140625" style="577" customWidth="1"/>
    <col min="3330" max="3330" width="49" style="577" customWidth="1"/>
    <col min="3331" max="3332" width="20.5703125" style="577" customWidth="1"/>
    <col min="3333" max="3584" width="11.42578125" style="577"/>
    <col min="3585" max="3585" width="9.140625" style="577" customWidth="1"/>
    <col min="3586" max="3586" width="49" style="577" customWidth="1"/>
    <col min="3587" max="3588" width="20.5703125" style="577" customWidth="1"/>
    <col min="3589" max="3840" width="11.42578125" style="577"/>
    <col min="3841" max="3841" width="9.140625" style="577" customWidth="1"/>
    <col min="3842" max="3842" width="49" style="577" customWidth="1"/>
    <col min="3843" max="3844" width="20.5703125" style="577" customWidth="1"/>
    <col min="3845" max="4096" width="11.42578125" style="577"/>
    <col min="4097" max="4097" width="9.140625" style="577" customWidth="1"/>
    <col min="4098" max="4098" width="49" style="577" customWidth="1"/>
    <col min="4099" max="4100" width="20.5703125" style="577" customWidth="1"/>
    <col min="4101" max="4352" width="11.42578125" style="577"/>
    <col min="4353" max="4353" width="9.140625" style="577" customWidth="1"/>
    <col min="4354" max="4354" width="49" style="577" customWidth="1"/>
    <col min="4355" max="4356" width="20.5703125" style="577" customWidth="1"/>
    <col min="4357" max="4608" width="11.42578125" style="577"/>
    <col min="4609" max="4609" width="9.140625" style="577" customWidth="1"/>
    <col min="4610" max="4610" width="49" style="577" customWidth="1"/>
    <col min="4611" max="4612" width="20.5703125" style="577" customWidth="1"/>
    <col min="4613" max="4864" width="11.42578125" style="577"/>
    <col min="4865" max="4865" width="9.140625" style="577" customWidth="1"/>
    <col min="4866" max="4866" width="49" style="577" customWidth="1"/>
    <col min="4867" max="4868" width="20.5703125" style="577" customWidth="1"/>
    <col min="4869" max="5120" width="11.42578125" style="577"/>
    <col min="5121" max="5121" width="9.140625" style="577" customWidth="1"/>
    <col min="5122" max="5122" width="49" style="577" customWidth="1"/>
    <col min="5123" max="5124" width="20.5703125" style="577" customWidth="1"/>
    <col min="5125" max="5376" width="11.42578125" style="577"/>
    <col min="5377" max="5377" width="9.140625" style="577" customWidth="1"/>
    <col min="5378" max="5378" width="49" style="577" customWidth="1"/>
    <col min="5379" max="5380" width="20.5703125" style="577" customWidth="1"/>
    <col min="5381" max="5632" width="11.42578125" style="577"/>
    <col min="5633" max="5633" width="9.140625" style="577" customWidth="1"/>
    <col min="5634" max="5634" width="49" style="577" customWidth="1"/>
    <col min="5635" max="5636" width="20.5703125" style="577" customWidth="1"/>
    <col min="5637" max="5888" width="11.42578125" style="577"/>
    <col min="5889" max="5889" width="9.140625" style="577" customWidth="1"/>
    <col min="5890" max="5890" width="49" style="577" customWidth="1"/>
    <col min="5891" max="5892" width="20.5703125" style="577" customWidth="1"/>
    <col min="5893" max="6144" width="11.42578125" style="577"/>
    <col min="6145" max="6145" width="9.140625" style="577" customWidth="1"/>
    <col min="6146" max="6146" width="49" style="577" customWidth="1"/>
    <col min="6147" max="6148" width="20.5703125" style="577" customWidth="1"/>
    <col min="6149" max="6400" width="11.42578125" style="577"/>
    <col min="6401" max="6401" width="9.140625" style="577" customWidth="1"/>
    <col min="6402" max="6402" width="49" style="577" customWidth="1"/>
    <col min="6403" max="6404" width="20.5703125" style="577" customWidth="1"/>
    <col min="6405" max="6656" width="11.42578125" style="577"/>
    <col min="6657" max="6657" width="9.140625" style="577" customWidth="1"/>
    <col min="6658" max="6658" width="49" style="577" customWidth="1"/>
    <col min="6659" max="6660" width="20.5703125" style="577" customWidth="1"/>
    <col min="6661" max="6912" width="11.42578125" style="577"/>
    <col min="6913" max="6913" width="9.140625" style="577" customWidth="1"/>
    <col min="6914" max="6914" width="49" style="577" customWidth="1"/>
    <col min="6915" max="6916" width="20.5703125" style="577" customWidth="1"/>
    <col min="6917" max="7168" width="11.42578125" style="577"/>
    <col min="7169" max="7169" width="9.140625" style="577" customWidth="1"/>
    <col min="7170" max="7170" width="49" style="577" customWidth="1"/>
    <col min="7171" max="7172" width="20.5703125" style="577" customWidth="1"/>
    <col min="7173" max="7424" width="11.42578125" style="577"/>
    <col min="7425" max="7425" width="9.140625" style="577" customWidth="1"/>
    <col min="7426" max="7426" width="49" style="577" customWidth="1"/>
    <col min="7427" max="7428" width="20.5703125" style="577" customWidth="1"/>
    <col min="7429" max="7680" width="11.42578125" style="577"/>
    <col min="7681" max="7681" width="9.140625" style="577" customWidth="1"/>
    <col min="7682" max="7682" width="49" style="577" customWidth="1"/>
    <col min="7683" max="7684" width="20.5703125" style="577" customWidth="1"/>
    <col min="7685" max="7936" width="11.42578125" style="577"/>
    <col min="7937" max="7937" width="9.140625" style="577" customWidth="1"/>
    <col min="7938" max="7938" width="49" style="577" customWidth="1"/>
    <col min="7939" max="7940" width="20.5703125" style="577" customWidth="1"/>
    <col min="7941" max="8192" width="11.42578125" style="577"/>
    <col min="8193" max="8193" width="9.140625" style="577" customWidth="1"/>
    <col min="8194" max="8194" width="49" style="577" customWidth="1"/>
    <col min="8195" max="8196" width="20.5703125" style="577" customWidth="1"/>
    <col min="8197" max="8448" width="11.42578125" style="577"/>
    <col min="8449" max="8449" width="9.140625" style="577" customWidth="1"/>
    <col min="8450" max="8450" width="49" style="577" customWidth="1"/>
    <col min="8451" max="8452" width="20.5703125" style="577" customWidth="1"/>
    <col min="8453" max="8704" width="11.42578125" style="577"/>
    <col min="8705" max="8705" width="9.140625" style="577" customWidth="1"/>
    <col min="8706" max="8706" width="49" style="577" customWidth="1"/>
    <col min="8707" max="8708" width="20.5703125" style="577" customWidth="1"/>
    <col min="8709" max="8960" width="11.42578125" style="577"/>
    <col min="8961" max="8961" width="9.140625" style="577" customWidth="1"/>
    <col min="8962" max="8962" width="49" style="577" customWidth="1"/>
    <col min="8963" max="8964" width="20.5703125" style="577" customWidth="1"/>
    <col min="8965" max="9216" width="11.42578125" style="577"/>
    <col min="9217" max="9217" width="9.140625" style="577" customWidth="1"/>
    <col min="9218" max="9218" width="49" style="577" customWidth="1"/>
    <col min="9219" max="9220" width="20.5703125" style="577" customWidth="1"/>
    <col min="9221" max="9472" width="11.42578125" style="577"/>
    <col min="9473" max="9473" width="9.140625" style="577" customWidth="1"/>
    <col min="9474" max="9474" width="49" style="577" customWidth="1"/>
    <col min="9475" max="9476" width="20.5703125" style="577" customWidth="1"/>
    <col min="9477" max="9728" width="11.42578125" style="577"/>
    <col min="9729" max="9729" width="9.140625" style="577" customWidth="1"/>
    <col min="9730" max="9730" width="49" style="577" customWidth="1"/>
    <col min="9731" max="9732" width="20.5703125" style="577" customWidth="1"/>
    <col min="9733" max="9984" width="11.42578125" style="577"/>
    <col min="9985" max="9985" width="9.140625" style="577" customWidth="1"/>
    <col min="9986" max="9986" width="49" style="577" customWidth="1"/>
    <col min="9987" max="9988" width="20.5703125" style="577" customWidth="1"/>
    <col min="9989" max="10240" width="11.42578125" style="577"/>
    <col min="10241" max="10241" width="9.140625" style="577" customWidth="1"/>
    <col min="10242" max="10242" width="49" style="577" customWidth="1"/>
    <col min="10243" max="10244" width="20.5703125" style="577" customWidth="1"/>
    <col min="10245" max="10496" width="11.42578125" style="577"/>
    <col min="10497" max="10497" width="9.140625" style="577" customWidth="1"/>
    <col min="10498" max="10498" width="49" style="577" customWidth="1"/>
    <col min="10499" max="10500" width="20.5703125" style="577" customWidth="1"/>
    <col min="10501" max="10752" width="11.42578125" style="577"/>
    <col min="10753" max="10753" width="9.140625" style="577" customWidth="1"/>
    <col min="10754" max="10754" width="49" style="577" customWidth="1"/>
    <col min="10755" max="10756" width="20.5703125" style="577" customWidth="1"/>
    <col min="10757" max="11008" width="11.42578125" style="577"/>
    <col min="11009" max="11009" width="9.140625" style="577" customWidth="1"/>
    <col min="11010" max="11010" width="49" style="577" customWidth="1"/>
    <col min="11011" max="11012" width="20.5703125" style="577" customWidth="1"/>
    <col min="11013" max="11264" width="11.42578125" style="577"/>
    <col min="11265" max="11265" width="9.140625" style="577" customWidth="1"/>
    <col min="11266" max="11266" width="49" style="577" customWidth="1"/>
    <col min="11267" max="11268" width="20.5703125" style="577" customWidth="1"/>
    <col min="11269" max="11520" width="11.42578125" style="577"/>
    <col min="11521" max="11521" width="9.140625" style="577" customWidth="1"/>
    <col min="11522" max="11522" width="49" style="577" customWidth="1"/>
    <col min="11523" max="11524" width="20.5703125" style="577" customWidth="1"/>
    <col min="11525" max="11776" width="11.42578125" style="577"/>
    <col min="11777" max="11777" width="9.140625" style="577" customWidth="1"/>
    <col min="11778" max="11778" width="49" style="577" customWidth="1"/>
    <col min="11779" max="11780" width="20.5703125" style="577" customWidth="1"/>
    <col min="11781" max="12032" width="11.42578125" style="577"/>
    <col min="12033" max="12033" width="9.140625" style="577" customWidth="1"/>
    <col min="12034" max="12034" width="49" style="577" customWidth="1"/>
    <col min="12035" max="12036" width="20.5703125" style="577" customWidth="1"/>
    <col min="12037" max="12288" width="11.42578125" style="577"/>
    <col min="12289" max="12289" width="9.140625" style="577" customWidth="1"/>
    <col min="12290" max="12290" width="49" style="577" customWidth="1"/>
    <col min="12291" max="12292" width="20.5703125" style="577" customWidth="1"/>
    <col min="12293" max="12544" width="11.42578125" style="577"/>
    <col min="12545" max="12545" width="9.140625" style="577" customWidth="1"/>
    <col min="12546" max="12546" width="49" style="577" customWidth="1"/>
    <col min="12547" max="12548" width="20.5703125" style="577" customWidth="1"/>
    <col min="12549" max="12800" width="11.42578125" style="577"/>
    <col min="12801" max="12801" width="9.140625" style="577" customWidth="1"/>
    <col min="12802" max="12802" width="49" style="577" customWidth="1"/>
    <col min="12803" max="12804" width="20.5703125" style="577" customWidth="1"/>
    <col min="12805" max="13056" width="11.42578125" style="577"/>
    <col min="13057" max="13057" width="9.140625" style="577" customWidth="1"/>
    <col min="13058" max="13058" width="49" style="577" customWidth="1"/>
    <col min="13059" max="13060" width="20.5703125" style="577" customWidth="1"/>
    <col min="13061" max="13312" width="11.42578125" style="577"/>
    <col min="13313" max="13313" width="9.140625" style="577" customWidth="1"/>
    <col min="13314" max="13314" width="49" style="577" customWidth="1"/>
    <col min="13315" max="13316" width="20.5703125" style="577" customWidth="1"/>
    <col min="13317" max="13568" width="11.42578125" style="577"/>
    <col min="13569" max="13569" width="9.140625" style="577" customWidth="1"/>
    <col min="13570" max="13570" width="49" style="577" customWidth="1"/>
    <col min="13571" max="13572" width="20.5703125" style="577" customWidth="1"/>
    <col min="13573" max="13824" width="11.42578125" style="577"/>
    <col min="13825" max="13825" width="9.140625" style="577" customWidth="1"/>
    <col min="13826" max="13826" width="49" style="577" customWidth="1"/>
    <col min="13827" max="13828" width="20.5703125" style="577" customWidth="1"/>
    <col min="13829" max="14080" width="11.42578125" style="577"/>
    <col min="14081" max="14081" width="9.140625" style="577" customWidth="1"/>
    <col min="14082" max="14082" width="49" style="577" customWidth="1"/>
    <col min="14083" max="14084" width="20.5703125" style="577" customWidth="1"/>
    <col min="14085" max="14336" width="11.42578125" style="577"/>
    <col min="14337" max="14337" width="9.140625" style="577" customWidth="1"/>
    <col min="14338" max="14338" width="49" style="577" customWidth="1"/>
    <col min="14339" max="14340" width="20.5703125" style="577" customWidth="1"/>
    <col min="14341" max="14592" width="11.42578125" style="577"/>
    <col min="14593" max="14593" width="9.140625" style="577" customWidth="1"/>
    <col min="14594" max="14594" width="49" style="577" customWidth="1"/>
    <col min="14595" max="14596" width="20.5703125" style="577" customWidth="1"/>
    <col min="14597" max="14848" width="11.42578125" style="577"/>
    <col min="14849" max="14849" width="9.140625" style="577" customWidth="1"/>
    <col min="14850" max="14850" width="49" style="577" customWidth="1"/>
    <col min="14851" max="14852" width="20.5703125" style="577" customWidth="1"/>
    <col min="14853" max="15104" width="11.42578125" style="577"/>
    <col min="15105" max="15105" width="9.140625" style="577" customWidth="1"/>
    <col min="15106" max="15106" width="49" style="577" customWidth="1"/>
    <col min="15107" max="15108" width="20.5703125" style="577" customWidth="1"/>
    <col min="15109" max="15360" width="11.42578125" style="577"/>
    <col min="15361" max="15361" width="9.140625" style="577" customWidth="1"/>
    <col min="15362" max="15362" width="49" style="577" customWidth="1"/>
    <col min="15363" max="15364" width="20.5703125" style="577" customWidth="1"/>
    <col min="15365" max="15616" width="11.42578125" style="577"/>
    <col min="15617" max="15617" width="9.140625" style="577" customWidth="1"/>
    <col min="15618" max="15618" width="49" style="577" customWidth="1"/>
    <col min="15619" max="15620" width="20.5703125" style="577" customWidth="1"/>
    <col min="15621" max="15872" width="11.42578125" style="577"/>
    <col min="15873" max="15873" width="9.140625" style="577" customWidth="1"/>
    <col min="15874" max="15874" width="49" style="577" customWidth="1"/>
    <col min="15875" max="15876" width="20.5703125" style="577" customWidth="1"/>
    <col min="15877" max="16128" width="11.42578125" style="577"/>
    <col min="16129" max="16129" width="9.140625" style="577" customWidth="1"/>
    <col min="16130" max="16130" width="49" style="577" customWidth="1"/>
    <col min="16131" max="16132" width="20.5703125" style="577" customWidth="1"/>
    <col min="16133" max="16384" width="11.42578125" style="577"/>
  </cols>
  <sheetData>
    <row r="1" spans="1:8" ht="130.5" customHeight="1">
      <c r="A1" s="576"/>
      <c r="B1" s="576"/>
      <c r="C1" s="576"/>
      <c r="D1" s="576"/>
    </row>
    <row r="2" spans="1:8" s="579" customFormat="1">
      <c r="A2" s="869" t="s">
        <v>552</v>
      </c>
      <c r="B2" s="869"/>
      <c r="C2" s="869"/>
      <c r="D2" s="869"/>
      <c r="E2" s="578"/>
      <c r="F2" s="578"/>
      <c r="G2" s="578"/>
    </row>
    <row r="3" spans="1:8" s="579" customFormat="1">
      <c r="A3" s="869" t="s">
        <v>198</v>
      </c>
      <c r="B3" s="869"/>
      <c r="C3" s="869"/>
      <c r="D3" s="869"/>
      <c r="E3" s="578"/>
      <c r="F3" s="578"/>
      <c r="G3" s="578"/>
    </row>
    <row r="4" spans="1:8" s="579" customFormat="1" ht="15.75" customHeight="1" thickBot="1">
      <c r="A4" s="870" t="s">
        <v>576</v>
      </c>
      <c r="B4" s="870"/>
      <c r="C4" s="580" t="s">
        <v>247</v>
      </c>
      <c r="D4" s="580"/>
      <c r="E4" s="581"/>
      <c r="F4" s="581"/>
      <c r="G4" s="581"/>
    </row>
    <row r="5" spans="1:8" s="582" customFormat="1" ht="21" customHeight="1">
      <c r="A5" s="911"/>
      <c r="B5" s="912" t="s">
        <v>199</v>
      </c>
      <c r="C5" s="912" t="s">
        <v>200</v>
      </c>
      <c r="D5" s="912" t="s">
        <v>201</v>
      </c>
      <c r="E5" s="590"/>
      <c r="F5" s="590"/>
      <c r="G5" s="590"/>
      <c r="H5" s="590"/>
    </row>
    <row r="6" spans="1:8" s="579" customFormat="1">
      <c r="A6" s="913">
        <v>3000</v>
      </c>
      <c r="B6" s="914" t="s">
        <v>202</v>
      </c>
      <c r="C6" s="915">
        <f>SUM(C7+C33)</f>
        <v>133799068557</v>
      </c>
      <c r="D6" s="915">
        <f>SUM(D7+D33)</f>
        <v>140451314887</v>
      </c>
      <c r="E6" s="583" t="s">
        <v>247</v>
      </c>
      <c r="F6" s="583" t="s">
        <v>247</v>
      </c>
      <c r="G6" s="583"/>
      <c r="H6" s="583"/>
    </row>
    <row r="7" spans="1:8" s="579" customFormat="1">
      <c r="A7" s="916">
        <v>3100</v>
      </c>
      <c r="B7" s="917" t="s">
        <v>203</v>
      </c>
      <c r="C7" s="918">
        <f>SUM(C8+C12)</f>
        <v>83084373380</v>
      </c>
      <c r="D7" s="918">
        <f>SUM(D8+D12)</f>
        <v>85440729450</v>
      </c>
      <c r="E7" s="583" t="s">
        <v>247</v>
      </c>
      <c r="F7" s="583"/>
      <c r="G7" s="583"/>
      <c r="H7" s="583"/>
    </row>
    <row r="8" spans="1:8" s="579" customFormat="1">
      <c r="A8" s="919">
        <v>3110</v>
      </c>
      <c r="B8" s="920" t="s">
        <v>204</v>
      </c>
      <c r="C8" s="921">
        <f>SUM(C9:C11)</f>
        <v>35001953059</v>
      </c>
      <c r="D8" s="921">
        <f>SUM(D9:D11)</f>
        <v>35526657839</v>
      </c>
      <c r="E8" s="583" t="s">
        <v>247</v>
      </c>
      <c r="F8" s="583"/>
      <c r="G8" s="583"/>
      <c r="H8" s="583"/>
    </row>
    <row r="9" spans="1:8" s="584" customFormat="1" ht="11.25">
      <c r="A9" s="922"/>
      <c r="B9" s="923" t="s">
        <v>205</v>
      </c>
      <c r="C9" s="924"/>
      <c r="D9" s="924"/>
      <c r="E9" s="764" t="s">
        <v>247</v>
      </c>
      <c r="F9" s="764"/>
      <c r="G9" s="764"/>
      <c r="H9" s="764"/>
    </row>
    <row r="10" spans="1:8" s="584" customFormat="1" ht="11.25">
      <c r="A10" s="922"/>
      <c r="B10" s="923" t="s">
        <v>206</v>
      </c>
      <c r="C10" s="924">
        <f>9344765137+7966559232+8557612194+9133016496</f>
        <v>35001953059</v>
      </c>
      <c r="D10" s="924">
        <f>9470124982+8240561838+8767169298+9048801721</f>
        <v>35526657839</v>
      </c>
      <c r="E10" s="764"/>
      <c r="F10" s="764"/>
      <c r="G10" s="764"/>
      <c r="H10" s="764"/>
    </row>
    <row r="11" spans="1:8" s="584" customFormat="1" ht="11.25">
      <c r="A11" s="922"/>
      <c r="B11" s="923" t="s">
        <v>207</v>
      </c>
      <c r="C11" s="924"/>
      <c r="D11" s="924"/>
      <c r="E11" s="764"/>
      <c r="F11" s="764"/>
      <c r="G11" s="764"/>
      <c r="H11" s="764"/>
    </row>
    <row r="12" spans="1:8" s="579" customFormat="1">
      <c r="A12" s="919">
        <v>3120</v>
      </c>
      <c r="B12" s="920" t="s">
        <v>208</v>
      </c>
      <c r="C12" s="921">
        <f>SUM(C13+C17+C18+C19+C20+C25)</f>
        <v>48082420321</v>
      </c>
      <c r="D12" s="921">
        <f>SUM(D13+D17+D18+D19+D20+D25)</f>
        <v>49914071611</v>
      </c>
      <c r="E12" s="583"/>
      <c r="F12" s="583"/>
      <c r="G12" s="583"/>
      <c r="H12" s="583" t="s">
        <v>247</v>
      </c>
    </row>
    <row r="13" spans="1:8" s="585" customFormat="1" ht="12">
      <c r="A13" s="922">
        <v>3121</v>
      </c>
      <c r="B13" s="925" t="s">
        <v>209</v>
      </c>
      <c r="C13" s="926">
        <f>SUM(C14:C16)</f>
        <v>3330454209</v>
      </c>
      <c r="D13" s="926">
        <f>SUM(D14:D16)</f>
        <v>4408016582</v>
      </c>
      <c r="E13" s="765"/>
      <c r="F13" s="765"/>
      <c r="G13" s="765"/>
      <c r="H13" s="765"/>
    </row>
    <row r="14" spans="1:8" s="584" customFormat="1" ht="11.25">
      <c r="A14" s="922"/>
      <c r="B14" s="923" t="s">
        <v>209</v>
      </c>
      <c r="C14" s="924">
        <v>0</v>
      </c>
      <c r="D14" s="924">
        <v>0</v>
      </c>
      <c r="E14" s="764"/>
      <c r="F14" s="764"/>
      <c r="G14" s="764"/>
      <c r="H14" s="764"/>
    </row>
    <row r="15" spans="1:8" s="584" customFormat="1" ht="11.25">
      <c r="A15" s="922"/>
      <c r="B15" s="923" t="s">
        <v>210</v>
      </c>
      <c r="C15" s="924">
        <f>993131154+579744516+849924856+907653683</f>
        <v>3330454209</v>
      </c>
      <c r="D15" s="924">
        <f>835286295+1104825798+1272410442+1195494047</f>
        <v>4408016582</v>
      </c>
      <c r="E15" s="764"/>
      <c r="F15" s="764"/>
      <c r="G15" s="764"/>
      <c r="H15" s="764"/>
    </row>
    <row r="16" spans="1:8" s="584" customFormat="1" ht="11.25">
      <c r="A16" s="922"/>
      <c r="B16" s="923" t="s">
        <v>211</v>
      </c>
      <c r="C16" s="924">
        <v>0</v>
      </c>
      <c r="D16" s="924">
        <v>0</v>
      </c>
      <c r="E16" s="764"/>
      <c r="F16" s="764"/>
      <c r="G16" s="764"/>
      <c r="H16" s="764"/>
    </row>
    <row r="17" spans="1:8" s="585" customFormat="1" ht="12">
      <c r="A17" s="922">
        <v>3123</v>
      </c>
      <c r="B17" s="925" t="s">
        <v>212</v>
      </c>
      <c r="C17" s="926">
        <v>0</v>
      </c>
      <c r="D17" s="926">
        <v>0</v>
      </c>
      <c r="E17" s="765"/>
      <c r="F17" s="765"/>
      <c r="G17" s="765"/>
      <c r="H17" s="765"/>
    </row>
    <row r="18" spans="1:8" s="585" customFormat="1" ht="12">
      <c r="A18" s="922">
        <v>3124</v>
      </c>
      <c r="B18" s="925" t="s">
        <v>213</v>
      </c>
      <c r="C18" s="926">
        <v>0</v>
      </c>
      <c r="D18" s="926">
        <v>0</v>
      </c>
      <c r="E18" s="765"/>
      <c r="F18" s="765"/>
      <c r="G18" s="765"/>
      <c r="H18" s="765"/>
    </row>
    <row r="19" spans="1:8" s="585" customFormat="1" ht="12">
      <c r="A19" s="922">
        <v>3125</v>
      </c>
      <c r="B19" s="925" t="s">
        <v>214</v>
      </c>
      <c r="C19" s="926">
        <v>0</v>
      </c>
      <c r="D19" s="926">
        <v>0</v>
      </c>
      <c r="E19" s="765"/>
      <c r="F19" s="765"/>
      <c r="G19" s="765"/>
      <c r="H19" s="765"/>
    </row>
    <row r="20" spans="1:8" s="585" customFormat="1" ht="12">
      <c r="A20" s="922">
        <v>3126</v>
      </c>
      <c r="B20" s="925" t="s">
        <v>215</v>
      </c>
      <c r="C20" s="926">
        <f>SUM(C21:C24)</f>
        <v>33697547688</v>
      </c>
      <c r="D20" s="926">
        <f>+D21+D23</f>
        <v>32400069894</v>
      </c>
      <c r="E20" s="765"/>
      <c r="F20" s="765"/>
      <c r="G20" s="765"/>
      <c r="H20" s="765"/>
    </row>
    <row r="21" spans="1:8" s="584" customFormat="1" ht="11.25">
      <c r="A21" s="922"/>
      <c r="B21" s="923" t="s">
        <v>216</v>
      </c>
      <c r="C21" s="924">
        <f>9484273515+5328127328+6468644284+7195334584</f>
        <v>28476379711</v>
      </c>
      <c r="D21" s="924">
        <f>7223631002+5277101396+8087206690+9853737859</f>
        <v>30441676947</v>
      </c>
      <c r="E21" s="764"/>
      <c r="F21" s="764"/>
      <c r="G21" s="764"/>
      <c r="H21" s="764"/>
    </row>
    <row r="22" spans="1:8" s="584" customFormat="1" ht="11.25">
      <c r="A22" s="922"/>
      <c r="B22" s="923" t="s">
        <v>217</v>
      </c>
      <c r="C22" s="924"/>
      <c r="D22" s="924"/>
      <c r="E22" s="764"/>
      <c r="F22" s="764"/>
      <c r="G22" s="764"/>
      <c r="H22" s="764"/>
    </row>
    <row r="23" spans="1:8" s="584" customFormat="1" ht="11.25">
      <c r="A23" s="922"/>
      <c r="B23" s="923" t="s">
        <v>218</v>
      </c>
      <c r="C23" s="924">
        <f>302778749+4477666940+440722288</f>
        <v>5221167977</v>
      </c>
      <c r="D23" s="924">
        <f>285457837+1160653520+18661114+493620476</f>
        <v>1958392947</v>
      </c>
      <c r="E23" s="764"/>
      <c r="F23" s="764"/>
      <c r="G23" s="764"/>
      <c r="H23" s="764"/>
    </row>
    <row r="24" spans="1:8" s="584" customFormat="1" ht="11.25">
      <c r="A24" s="922"/>
      <c r="B24" s="923" t="s">
        <v>219</v>
      </c>
      <c r="C24" s="924">
        <v>0</v>
      </c>
      <c r="D24" s="924">
        <v>0</v>
      </c>
      <c r="E24" s="764"/>
      <c r="F24" s="764"/>
      <c r="G24" s="764"/>
      <c r="H24" s="764"/>
    </row>
    <row r="25" spans="1:8" s="585" customFormat="1" ht="12">
      <c r="A25" s="922">
        <v>3128</v>
      </c>
      <c r="B25" s="925" t="s">
        <v>220</v>
      </c>
      <c r="C25" s="926">
        <f>SUM(C26:C32)</f>
        <v>11054418424</v>
      </c>
      <c r="D25" s="926">
        <f>SUM(D26:D32)</f>
        <v>13105985135</v>
      </c>
      <c r="E25" s="765"/>
      <c r="F25" s="765"/>
      <c r="G25" s="765"/>
      <c r="H25" s="765"/>
    </row>
    <row r="26" spans="1:8" s="584" customFormat="1" ht="11.25">
      <c r="A26" s="922"/>
      <c r="B26" s="923" t="s">
        <v>221</v>
      </c>
      <c r="C26" s="924">
        <f>1030288704+804494608+989495721+1070506847</f>
        <v>3894785880</v>
      </c>
      <c r="D26" s="924">
        <f>826155249+1271442421+1113770257+1370111793</f>
        <v>4581479720</v>
      </c>
      <c r="E26" s="764"/>
      <c r="F26" s="764"/>
      <c r="G26" s="764"/>
      <c r="H26" s="764"/>
    </row>
    <row r="27" spans="1:8" s="584" customFormat="1" ht="11.25">
      <c r="A27" s="922"/>
      <c r="B27" s="923" t="s">
        <v>222</v>
      </c>
      <c r="C27" s="924"/>
      <c r="D27" s="924"/>
      <c r="E27" s="764"/>
      <c r="F27" s="764"/>
      <c r="G27" s="764"/>
      <c r="H27" s="764"/>
    </row>
    <row r="28" spans="1:8" s="584" customFormat="1" ht="11.25">
      <c r="A28" s="922"/>
      <c r="B28" s="923" t="s">
        <v>223</v>
      </c>
      <c r="C28" s="924">
        <f>1530714673+1165272764+1038663894+1324022079</f>
        <v>5058673410</v>
      </c>
      <c r="D28" s="924">
        <f>752246957+1574584642+1159353697+1434972675</f>
        <v>4921157971</v>
      </c>
      <c r="E28" s="764"/>
      <c r="F28" s="764"/>
      <c r="G28" s="764"/>
      <c r="H28" s="764"/>
    </row>
    <row r="29" spans="1:8" s="584" customFormat="1" ht="11.25">
      <c r="A29" s="922"/>
      <c r="B29" s="923" t="s">
        <v>224</v>
      </c>
      <c r="C29" s="924">
        <f>283332800+12390896+507495478+253747000</f>
        <v>1056966174</v>
      </c>
      <c r="D29" s="924">
        <f>268986529+57502+1132110972+493837816+401208601</f>
        <v>2296201420</v>
      </c>
      <c r="E29" s="764"/>
      <c r="F29" s="764"/>
      <c r="G29" s="764"/>
      <c r="H29" s="764"/>
    </row>
    <row r="30" spans="1:8" s="584" customFormat="1" ht="11.25">
      <c r="A30" s="922"/>
      <c r="B30" s="923" t="s">
        <v>225</v>
      </c>
      <c r="C30" s="924"/>
      <c r="D30" s="924"/>
      <c r="E30" s="764"/>
      <c r="F30" s="764"/>
      <c r="G30" s="764"/>
      <c r="H30" s="764"/>
    </row>
    <row r="31" spans="1:8" s="584" customFormat="1" ht="11.25">
      <c r="A31" s="922"/>
      <c r="B31" s="923" t="s">
        <v>226</v>
      </c>
      <c r="C31" s="924">
        <f>+'[6]INGRESOS A '!$D$15+172058789+338558803+151754308</f>
        <v>814126208</v>
      </c>
      <c r="D31" s="924">
        <f>37242787+442902598+259971783+36672147</f>
        <v>776789315</v>
      </c>
      <c r="E31" s="764"/>
      <c r="F31" s="764"/>
      <c r="G31" s="764"/>
      <c r="H31" s="764"/>
    </row>
    <row r="32" spans="1:8" s="584" customFormat="1" ht="11.25">
      <c r="A32" s="922"/>
      <c r="B32" s="923" t="s">
        <v>220</v>
      </c>
      <c r="C32" s="924">
        <f>56702815+54400465+62060657+56702815</f>
        <v>229866752</v>
      </c>
      <c r="D32" s="924">
        <f>171699909+84880195+84305212+189471393</f>
        <v>530356709</v>
      </c>
      <c r="E32" s="764"/>
      <c r="F32" s="764"/>
      <c r="G32" s="764"/>
      <c r="H32" s="764"/>
    </row>
    <row r="33" spans="1:8" s="579" customFormat="1">
      <c r="A33" s="916">
        <v>3200</v>
      </c>
      <c r="B33" s="917" t="s">
        <v>227</v>
      </c>
      <c r="C33" s="918">
        <f>SUM(C34+C37+C40+C41+C47+C48)</f>
        <v>50714695177</v>
      </c>
      <c r="D33" s="918">
        <f>SUM(D34+D37+D40+D41+D47+D48)</f>
        <v>55010585437</v>
      </c>
      <c r="E33" s="583"/>
      <c r="F33" s="583"/>
      <c r="G33" s="583"/>
      <c r="H33" s="583"/>
    </row>
    <row r="34" spans="1:8" s="585" customFormat="1" ht="12">
      <c r="A34" s="922">
        <v>3210</v>
      </c>
      <c r="B34" s="927" t="s">
        <v>228</v>
      </c>
      <c r="C34" s="928">
        <v>0</v>
      </c>
      <c r="D34" s="928">
        <v>0</v>
      </c>
      <c r="E34" s="765"/>
      <c r="F34" s="765"/>
      <c r="G34" s="765"/>
      <c r="H34" s="765"/>
    </row>
    <row r="35" spans="1:8" s="584" customFormat="1" ht="11.25">
      <c r="A35" s="929">
        <v>3211</v>
      </c>
      <c r="B35" s="923" t="s">
        <v>229</v>
      </c>
      <c r="C35" s="924">
        <v>0</v>
      </c>
      <c r="D35" s="924">
        <v>0</v>
      </c>
      <c r="E35" s="764"/>
      <c r="F35" s="764"/>
      <c r="G35" s="764"/>
      <c r="H35" s="764"/>
    </row>
    <row r="36" spans="1:8" s="584" customFormat="1" ht="11.25">
      <c r="A36" s="929">
        <v>3212</v>
      </c>
      <c r="B36" s="923" t="s">
        <v>230</v>
      </c>
      <c r="C36" s="924">
        <v>0</v>
      </c>
      <c r="D36" s="924">
        <v>0</v>
      </c>
      <c r="E36" s="764"/>
      <c r="F36" s="764"/>
      <c r="G36" s="764"/>
      <c r="H36" s="764"/>
    </row>
    <row r="37" spans="1:8" s="585" customFormat="1" ht="12">
      <c r="A37" s="922">
        <v>3220</v>
      </c>
      <c r="B37" s="927" t="s">
        <v>231</v>
      </c>
      <c r="C37" s="928">
        <v>0</v>
      </c>
      <c r="D37" s="928">
        <v>0</v>
      </c>
      <c r="E37" s="765"/>
      <c r="F37" s="765"/>
      <c r="G37" s="765"/>
      <c r="H37" s="765"/>
    </row>
    <row r="38" spans="1:8" s="584" customFormat="1" ht="11.25">
      <c r="A38" s="929">
        <v>3221</v>
      </c>
      <c r="B38" s="923" t="s">
        <v>229</v>
      </c>
      <c r="C38" s="924">
        <v>0</v>
      </c>
      <c r="D38" s="924">
        <v>0</v>
      </c>
      <c r="E38" s="764"/>
      <c r="F38" s="764"/>
      <c r="G38" s="764"/>
      <c r="H38" s="764"/>
    </row>
    <row r="39" spans="1:8" s="584" customFormat="1" ht="11.25">
      <c r="A39" s="929">
        <v>3222</v>
      </c>
      <c r="B39" s="923" t="s">
        <v>230</v>
      </c>
      <c r="C39" s="924">
        <v>0</v>
      </c>
      <c r="D39" s="924">
        <v>0</v>
      </c>
    </row>
    <row r="40" spans="1:8" s="585" customFormat="1" ht="12">
      <c r="A40" s="922">
        <v>3230</v>
      </c>
      <c r="B40" s="927" t="s">
        <v>232</v>
      </c>
      <c r="C40" s="930">
        <f>300000000+420196365+566354371+720000000</f>
        <v>2006550736</v>
      </c>
      <c r="D40" s="930">
        <f>1114535587+736340760+1083489837+645309163</f>
        <v>3579675347</v>
      </c>
    </row>
    <row r="41" spans="1:8" s="585" customFormat="1" ht="12">
      <c r="A41" s="922">
        <v>3250</v>
      </c>
      <c r="B41" s="927" t="s">
        <v>233</v>
      </c>
      <c r="C41" s="930">
        <f>SUM(C42:C46)</f>
        <v>48708144441</v>
      </c>
      <c r="D41" s="930">
        <f>SUM(D42:D46)</f>
        <v>51430910090</v>
      </c>
    </row>
    <row r="42" spans="1:8" s="584" customFormat="1" ht="11.25">
      <c r="A42" s="929">
        <v>3251</v>
      </c>
      <c r="B42" s="923" t="s">
        <v>234</v>
      </c>
      <c r="C42" s="924">
        <v>0</v>
      </c>
      <c r="D42" s="924">
        <v>0</v>
      </c>
    </row>
    <row r="43" spans="1:8" s="584" customFormat="1" ht="11.25">
      <c r="A43" s="929">
        <v>3252</v>
      </c>
      <c r="B43" s="923" t="s">
        <v>235</v>
      </c>
      <c r="C43" s="924">
        <f>7252172875+11224297484+7783475405+5210149324-4084103935</f>
        <v>27385991153</v>
      </c>
      <c r="D43" s="924">
        <f>+C43</f>
        <v>27385991153</v>
      </c>
    </row>
    <row r="44" spans="1:8" s="584" customFormat="1" ht="11.25">
      <c r="A44" s="929">
        <v>3253</v>
      </c>
      <c r="B44" s="923" t="s">
        <v>236</v>
      </c>
      <c r="C44" s="924">
        <f>449880465+4828952214</f>
        <v>5278832679</v>
      </c>
      <c r="D44" s="924">
        <f>+C44</f>
        <v>5278832679</v>
      </c>
    </row>
    <row r="45" spans="1:8" s="584" customFormat="1" ht="11.25">
      <c r="A45" s="929">
        <v>3254</v>
      </c>
      <c r="B45" s="923" t="s">
        <v>237</v>
      </c>
      <c r="C45" s="924">
        <f>5166790156+2874467545+3959496493+4042566415</f>
        <v>16043320609</v>
      </c>
      <c r="D45" s="924">
        <f>3322150434+5794692477+4485283427+5163959920</f>
        <v>18766086258</v>
      </c>
    </row>
    <row r="46" spans="1:8" s="584" customFormat="1" ht="11.25">
      <c r="A46" s="929">
        <v>3255</v>
      </c>
      <c r="B46" s="923" t="s">
        <v>238</v>
      </c>
      <c r="C46" s="924">
        <v>0</v>
      </c>
      <c r="D46" s="924">
        <v>0</v>
      </c>
    </row>
    <row r="47" spans="1:8" s="585" customFormat="1" ht="12">
      <c r="A47" s="922">
        <v>3260</v>
      </c>
      <c r="B47" s="927" t="s">
        <v>239</v>
      </c>
      <c r="C47" s="928">
        <v>0</v>
      </c>
      <c r="D47" s="928">
        <v>0</v>
      </c>
    </row>
    <row r="48" spans="1:8" s="579" customFormat="1">
      <c r="A48" s="916">
        <v>3500</v>
      </c>
      <c r="B48" s="917" t="s">
        <v>240</v>
      </c>
      <c r="C48" s="918">
        <v>0</v>
      </c>
      <c r="D48" s="918">
        <v>0</v>
      </c>
    </row>
    <row r="49" spans="1:5" s="579" customFormat="1">
      <c r="A49" s="913">
        <v>4000</v>
      </c>
      <c r="B49" s="931" t="s">
        <v>241</v>
      </c>
      <c r="C49" s="915">
        <f>SUM(C50:C53)</f>
        <v>18678524867</v>
      </c>
      <c r="D49" s="915">
        <f>SUM(D50:D53)</f>
        <v>11093440016</v>
      </c>
    </row>
    <row r="50" spans="1:5" s="585" customFormat="1" ht="12">
      <c r="A50" s="932">
        <v>4100</v>
      </c>
      <c r="B50" s="933" t="s">
        <v>242</v>
      </c>
      <c r="C50" s="934">
        <f>2185304000+1977719678+2074005000+2135610000</f>
        <v>8372638678</v>
      </c>
      <c r="D50" s="934">
        <f>1916664229+1656530322+1994309235+1898941563</f>
        <v>7466445349</v>
      </c>
    </row>
    <row r="51" spans="1:5" s="585" customFormat="1" ht="12">
      <c r="A51" s="932">
        <v>4200</v>
      </c>
      <c r="B51" s="933" t="s">
        <v>243</v>
      </c>
      <c r="C51" s="935">
        <v>0</v>
      </c>
      <c r="D51" s="935">
        <v>0</v>
      </c>
    </row>
    <row r="52" spans="1:5" s="585" customFormat="1" ht="12">
      <c r="A52" s="932">
        <v>4300</v>
      </c>
      <c r="B52" s="933" t="s">
        <v>244</v>
      </c>
      <c r="C52" s="935">
        <f>2680000000+3051800000+4574086189</f>
        <v>10305886189</v>
      </c>
      <c r="D52" s="935">
        <f>1462239683+2164754984+0</f>
        <v>3626994667</v>
      </c>
      <c r="E52" s="585" t="s">
        <v>553</v>
      </c>
    </row>
    <row r="53" spans="1:5" s="579" customFormat="1">
      <c r="A53" s="932">
        <v>41001</v>
      </c>
      <c r="B53" s="933" t="s">
        <v>245</v>
      </c>
      <c r="C53" s="935">
        <v>0</v>
      </c>
      <c r="D53" s="935">
        <v>0</v>
      </c>
    </row>
    <row r="54" spans="1:5" ht="23.25" customHeight="1">
      <c r="A54" s="913"/>
      <c r="B54" s="913" t="s">
        <v>246</v>
      </c>
      <c r="C54" s="915">
        <f>SUM(C6+C49)</f>
        <v>152477593424</v>
      </c>
      <c r="D54" s="915">
        <f>SUM(D6+D49)</f>
        <v>151544754903</v>
      </c>
    </row>
    <row r="55" spans="1:5" ht="7.5" customHeight="1"/>
    <row r="56" spans="1:5">
      <c r="C56" s="586" t="s">
        <v>247</v>
      </c>
      <c r="D56" s="586" t="s">
        <v>247</v>
      </c>
    </row>
    <row r="57" spans="1:5">
      <c r="C57" s="586" t="s">
        <v>247</v>
      </c>
      <c r="D57" s="586" t="s">
        <v>247</v>
      </c>
    </row>
    <row r="58" spans="1:5">
      <c r="C58" s="586" t="s">
        <v>247</v>
      </c>
      <c r="D58" s="577" t="s">
        <v>247</v>
      </c>
      <c r="E58" s="577" t="s">
        <v>247</v>
      </c>
    </row>
    <row r="59" spans="1:5">
      <c r="C59" s="586" t="s">
        <v>247</v>
      </c>
    </row>
  </sheetData>
  <mergeCells count="3">
    <mergeCell ref="A2:D2"/>
    <mergeCell ref="A3:D3"/>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topLeftCell="A60" workbookViewId="0">
      <selection activeCell="G81" sqref="G81"/>
    </sheetView>
  </sheetViews>
  <sheetFormatPr baseColWidth="10" defaultRowHeight="12.75"/>
  <cols>
    <col min="1" max="1" width="46" style="587" customWidth="1"/>
    <col min="2" max="2" width="17.85546875" style="587" customWidth="1"/>
    <col min="3" max="3" width="16.7109375" style="587" customWidth="1"/>
    <col min="4" max="4" width="14" style="587" customWidth="1"/>
    <col min="5" max="7" width="13.5703125" style="587" customWidth="1"/>
    <col min="8" max="8" width="18.28515625" style="587" customWidth="1"/>
    <col min="9" max="9" width="16.85546875" style="587" customWidth="1"/>
    <col min="10" max="10" width="14" style="587" customWidth="1"/>
    <col min="11" max="11" width="13.7109375" style="587" bestFit="1" customWidth="1"/>
    <col min="12" max="12" width="16.42578125" style="587" customWidth="1"/>
    <col min="13" max="13" width="13.7109375" style="587" bestFit="1" customWidth="1"/>
    <col min="14" max="14" width="12.7109375" style="587" bestFit="1" customWidth="1"/>
    <col min="15" max="15" width="16.7109375" style="587" customWidth="1"/>
    <col min="16" max="256" width="11.42578125" style="587"/>
    <col min="257" max="257" width="46" style="587" customWidth="1"/>
    <col min="258" max="258" width="14.42578125" style="587" customWidth="1"/>
    <col min="259" max="260" width="14" style="587" customWidth="1"/>
    <col min="261" max="263" width="13.5703125" style="587" customWidth="1"/>
    <col min="264" max="264" width="14.28515625" style="587" customWidth="1"/>
    <col min="265" max="266" width="14" style="587" customWidth="1"/>
    <col min="267" max="512" width="11.42578125" style="587"/>
    <col min="513" max="513" width="46" style="587" customWidth="1"/>
    <col min="514" max="514" width="14.42578125" style="587" customWidth="1"/>
    <col min="515" max="516" width="14" style="587" customWidth="1"/>
    <col min="517" max="519" width="13.5703125" style="587" customWidth="1"/>
    <col min="520" max="520" width="14.28515625" style="587" customWidth="1"/>
    <col min="521" max="522" width="14" style="587" customWidth="1"/>
    <col min="523" max="768" width="11.42578125" style="587"/>
    <col min="769" max="769" width="46" style="587" customWidth="1"/>
    <col min="770" max="770" width="14.42578125" style="587" customWidth="1"/>
    <col min="771" max="772" width="14" style="587" customWidth="1"/>
    <col min="773" max="775" width="13.5703125" style="587" customWidth="1"/>
    <col min="776" max="776" width="14.28515625" style="587" customWidth="1"/>
    <col min="777" max="778" width="14" style="587" customWidth="1"/>
    <col min="779" max="1024" width="11.42578125" style="587"/>
    <col min="1025" max="1025" width="46" style="587" customWidth="1"/>
    <col min="1026" max="1026" width="14.42578125" style="587" customWidth="1"/>
    <col min="1027" max="1028" width="14" style="587" customWidth="1"/>
    <col min="1029" max="1031" width="13.5703125" style="587" customWidth="1"/>
    <col min="1032" max="1032" width="14.28515625" style="587" customWidth="1"/>
    <col min="1033" max="1034" width="14" style="587" customWidth="1"/>
    <col min="1035" max="1280" width="11.42578125" style="587"/>
    <col min="1281" max="1281" width="46" style="587" customWidth="1"/>
    <col min="1282" max="1282" width="14.42578125" style="587" customWidth="1"/>
    <col min="1283" max="1284" width="14" style="587" customWidth="1"/>
    <col min="1285" max="1287" width="13.5703125" style="587" customWidth="1"/>
    <col min="1288" max="1288" width="14.28515625" style="587" customWidth="1"/>
    <col min="1289" max="1290" width="14" style="587" customWidth="1"/>
    <col min="1291" max="1536" width="11.42578125" style="587"/>
    <col min="1537" max="1537" width="46" style="587" customWidth="1"/>
    <col min="1538" max="1538" width="14.42578125" style="587" customWidth="1"/>
    <col min="1539" max="1540" width="14" style="587" customWidth="1"/>
    <col min="1541" max="1543" width="13.5703125" style="587" customWidth="1"/>
    <col min="1544" max="1544" width="14.28515625" style="587" customWidth="1"/>
    <col min="1545" max="1546" width="14" style="587" customWidth="1"/>
    <col min="1547" max="1792" width="11.42578125" style="587"/>
    <col min="1793" max="1793" width="46" style="587" customWidth="1"/>
    <col min="1794" max="1794" width="14.42578125" style="587" customWidth="1"/>
    <col min="1795" max="1796" width="14" style="587" customWidth="1"/>
    <col min="1797" max="1799" width="13.5703125" style="587" customWidth="1"/>
    <col min="1800" max="1800" width="14.28515625" style="587" customWidth="1"/>
    <col min="1801" max="1802" width="14" style="587" customWidth="1"/>
    <col min="1803" max="2048" width="11.42578125" style="587"/>
    <col min="2049" max="2049" width="46" style="587" customWidth="1"/>
    <col min="2050" max="2050" width="14.42578125" style="587" customWidth="1"/>
    <col min="2051" max="2052" width="14" style="587" customWidth="1"/>
    <col min="2053" max="2055" width="13.5703125" style="587" customWidth="1"/>
    <col min="2056" max="2056" width="14.28515625" style="587" customWidth="1"/>
    <col min="2057" max="2058" width="14" style="587" customWidth="1"/>
    <col min="2059" max="2304" width="11.42578125" style="587"/>
    <col min="2305" max="2305" width="46" style="587" customWidth="1"/>
    <col min="2306" max="2306" width="14.42578125" style="587" customWidth="1"/>
    <col min="2307" max="2308" width="14" style="587" customWidth="1"/>
    <col min="2309" max="2311" width="13.5703125" style="587" customWidth="1"/>
    <col min="2312" max="2312" width="14.28515625" style="587" customWidth="1"/>
    <col min="2313" max="2314" width="14" style="587" customWidth="1"/>
    <col min="2315" max="2560" width="11.42578125" style="587"/>
    <col min="2561" max="2561" width="46" style="587" customWidth="1"/>
    <col min="2562" max="2562" width="14.42578125" style="587" customWidth="1"/>
    <col min="2563" max="2564" width="14" style="587" customWidth="1"/>
    <col min="2565" max="2567" width="13.5703125" style="587" customWidth="1"/>
    <col min="2568" max="2568" width="14.28515625" style="587" customWidth="1"/>
    <col min="2569" max="2570" width="14" style="587" customWidth="1"/>
    <col min="2571" max="2816" width="11.42578125" style="587"/>
    <col min="2817" max="2817" width="46" style="587" customWidth="1"/>
    <col min="2818" max="2818" width="14.42578125" style="587" customWidth="1"/>
    <col min="2819" max="2820" width="14" style="587" customWidth="1"/>
    <col min="2821" max="2823" width="13.5703125" style="587" customWidth="1"/>
    <col min="2824" max="2824" width="14.28515625" style="587" customWidth="1"/>
    <col min="2825" max="2826" width="14" style="587" customWidth="1"/>
    <col min="2827" max="3072" width="11.42578125" style="587"/>
    <col min="3073" max="3073" width="46" style="587" customWidth="1"/>
    <col min="3074" max="3074" width="14.42578125" style="587" customWidth="1"/>
    <col min="3075" max="3076" width="14" style="587" customWidth="1"/>
    <col min="3077" max="3079" width="13.5703125" style="587" customWidth="1"/>
    <col min="3080" max="3080" width="14.28515625" style="587" customWidth="1"/>
    <col min="3081" max="3082" width="14" style="587" customWidth="1"/>
    <col min="3083" max="3328" width="11.42578125" style="587"/>
    <col min="3329" max="3329" width="46" style="587" customWidth="1"/>
    <col min="3330" max="3330" width="14.42578125" style="587" customWidth="1"/>
    <col min="3331" max="3332" width="14" style="587" customWidth="1"/>
    <col min="3333" max="3335" width="13.5703125" style="587" customWidth="1"/>
    <col min="3336" max="3336" width="14.28515625" style="587" customWidth="1"/>
    <col min="3337" max="3338" width="14" style="587" customWidth="1"/>
    <col min="3339" max="3584" width="11.42578125" style="587"/>
    <col min="3585" max="3585" width="46" style="587" customWidth="1"/>
    <col min="3586" max="3586" width="14.42578125" style="587" customWidth="1"/>
    <col min="3587" max="3588" width="14" style="587" customWidth="1"/>
    <col min="3589" max="3591" width="13.5703125" style="587" customWidth="1"/>
    <col min="3592" max="3592" width="14.28515625" style="587" customWidth="1"/>
    <col min="3593" max="3594" width="14" style="587" customWidth="1"/>
    <col min="3595" max="3840" width="11.42578125" style="587"/>
    <col min="3841" max="3841" width="46" style="587" customWidth="1"/>
    <col min="3842" max="3842" width="14.42578125" style="587" customWidth="1"/>
    <col min="3843" max="3844" width="14" style="587" customWidth="1"/>
    <col min="3845" max="3847" width="13.5703125" style="587" customWidth="1"/>
    <col min="3848" max="3848" width="14.28515625" style="587" customWidth="1"/>
    <col min="3849" max="3850" width="14" style="587" customWidth="1"/>
    <col min="3851" max="4096" width="11.42578125" style="587"/>
    <col min="4097" max="4097" width="46" style="587" customWidth="1"/>
    <col min="4098" max="4098" width="14.42578125" style="587" customWidth="1"/>
    <col min="4099" max="4100" width="14" style="587" customWidth="1"/>
    <col min="4101" max="4103" width="13.5703125" style="587" customWidth="1"/>
    <col min="4104" max="4104" width="14.28515625" style="587" customWidth="1"/>
    <col min="4105" max="4106" width="14" style="587" customWidth="1"/>
    <col min="4107" max="4352" width="11.42578125" style="587"/>
    <col min="4353" max="4353" width="46" style="587" customWidth="1"/>
    <col min="4354" max="4354" width="14.42578125" style="587" customWidth="1"/>
    <col min="4355" max="4356" width="14" style="587" customWidth="1"/>
    <col min="4357" max="4359" width="13.5703125" style="587" customWidth="1"/>
    <col min="4360" max="4360" width="14.28515625" style="587" customWidth="1"/>
    <col min="4361" max="4362" width="14" style="587" customWidth="1"/>
    <col min="4363" max="4608" width="11.42578125" style="587"/>
    <col min="4609" max="4609" width="46" style="587" customWidth="1"/>
    <col min="4610" max="4610" width="14.42578125" style="587" customWidth="1"/>
    <col min="4611" max="4612" width="14" style="587" customWidth="1"/>
    <col min="4613" max="4615" width="13.5703125" style="587" customWidth="1"/>
    <col min="4616" max="4616" width="14.28515625" style="587" customWidth="1"/>
    <col min="4617" max="4618" width="14" style="587" customWidth="1"/>
    <col min="4619" max="4864" width="11.42578125" style="587"/>
    <col min="4865" max="4865" width="46" style="587" customWidth="1"/>
    <col min="4866" max="4866" width="14.42578125" style="587" customWidth="1"/>
    <col min="4867" max="4868" width="14" style="587" customWidth="1"/>
    <col min="4869" max="4871" width="13.5703125" style="587" customWidth="1"/>
    <col min="4872" max="4872" width="14.28515625" style="587" customWidth="1"/>
    <col min="4873" max="4874" width="14" style="587" customWidth="1"/>
    <col min="4875" max="5120" width="11.42578125" style="587"/>
    <col min="5121" max="5121" width="46" style="587" customWidth="1"/>
    <col min="5122" max="5122" width="14.42578125" style="587" customWidth="1"/>
    <col min="5123" max="5124" width="14" style="587" customWidth="1"/>
    <col min="5125" max="5127" width="13.5703125" style="587" customWidth="1"/>
    <col min="5128" max="5128" width="14.28515625" style="587" customWidth="1"/>
    <col min="5129" max="5130" width="14" style="587" customWidth="1"/>
    <col min="5131" max="5376" width="11.42578125" style="587"/>
    <col min="5377" max="5377" width="46" style="587" customWidth="1"/>
    <col min="5378" max="5378" width="14.42578125" style="587" customWidth="1"/>
    <col min="5379" max="5380" width="14" style="587" customWidth="1"/>
    <col min="5381" max="5383" width="13.5703125" style="587" customWidth="1"/>
    <col min="5384" max="5384" width="14.28515625" style="587" customWidth="1"/>
    <col min="5385" max="5386" width="14" style="587" customWidth="1"/>
    <col min="5387" max="5632" width="11.42578125" style="587"/>
    <col min="5633" max="5633" width="46" style="587" customWidth="1"/>
    <col min="5634" max="5634" width="14.42578125" style="587" customWidth="1"/>
    <col min="5635" max="5636" width="14" style="587" customWidth="1"/>
    <col min="5637" max="5639" width="13.5703125" style="587" customWidth="1"/>
    <col min="5640" max="5640" width="14.28515625" style="587" customWidth="1"/>
    <col min="5641" max="5642" width="14" style="587" customWidth="1"/>
    <col min="5643" max="5888" width="11.42578125" style="587"/>
    <col min="5889" max="5889" width="46" style="587" customWidth="1"/>
    <col min="5890" max="5890" width="14.42578125" style="587" customWidth="1"/>
    <col min="5891" max="5892" width="14" style="587" customWidth="1"/>
    <col min="5893" max="5895" width="13.5703125" style="587" customWidth="1"/>
    <col min="5896" max="5896" width="14.28515625" style="587" customWidth="1"/>
    <col min="5897" max="5898" width="14" style="587" customWidth="1"/>
    <col min="5899" max="6144" width="11.42578125" style="587"/>
    <col min="6145" max="6145" width="46" style="587" customWidth="1"/>
    <col min="6146" max="6146" width="14.42578125" style="587" customWidth="1"/>
    <col min="6147" max="6148" width="14" style="587" customWidth="1"/>
    <col min="6149" max="6151" width="13.5703125" style="587" customWidth="1"/>
    <col min="6152" max="6152" width="14.28515625" style="587" customWidth="1"/>
    <col min="6153" max="6154" width="14" style="587" customWidth="1"/>
    <col min="6155" max="6400" width="11.42578125" style="587"/>
    <col min="6401" max="6401" width="46" style="587" customWidth="1"/>
    <col min="6402" max="6402" width="14.42578125" style="587" customWidth="1"/>
    <col min="6403" max="6404" width="14" style="587" customWidth="1"/>
    <col min="6405" max="6407" width="13.5703125" style="587" customWidth="1"/>
    <col min="6408" max="6408" width="14.28515625" style="587" customWidth="1"/>
    <col min="6409" max="6410" width="14" style="587" customWidth="1"/>
    <col min="6411" max="6656" width="11.42578125" style="587"/>
    <col min="6657" max="6657" width="46" style="587" customWidth="1"/>
    <col min="6658" max="6658" width="14.42578125" style="587" customWidth="1"/>
    <col min="6659" max="6660" width="14" style="587" customWidth="1"/>
    <col min="6661" max="6663" width="13.5703125" style="587" customWidth="1"/>
    <col min="6664" max="6664" width="14.28515625" style="587" customWidth="1"/>
    <col min="6665" max="6666" width="14" style="587" customWidth="1"/>
    <col min="6667" max="6912" width="11.42578125" style="587"/>
    <col min="6913" max="6913" width="46" style="587" customWidth="1"/>
    <col min="6914" max="6914" width="14.42578125" style="587" customWidth="1"/>
    <col min="6915" max="6916" width="14" style="587" customWidth="1"/>
    <col min="6917" max="6919" width="13.5703125" style="587" customWidth="1"/>
    <col min="6920" max="6920" width="14.28515625" style="587" customWidth="1"/>
    <col min="6921" max="6922" width="14" style="587" customWidth="1"/>
    <col min="6923" max="7168" width="11.42578125" style="587"/>
    <col min="7169" max="7169" width="46" style="587" customWidth="1"/>
    <col min="7170" max="7170" width="14.42578125" style="587" customWidth="1"/>
    <col min="7171" max="7172" width="14" style="587" customWidth="1"/>
    <col min="7173" max="7175" width="13.5703125" style="587" customWidth="1"/>
    <col min="7176" max="7176" width="14.28515625" style="587" customWidth="1"/>
    <col min="7177" max="7178" width="14" style="587" customWidth="1"/>
    <col min="7179" max="7424" width="11.42578125" style="587"/>
    <col min="7425" max="7425" width="46" style="587" customWidth="1"/>
    <col min="7426" max="7426" width="14.42578125" style="587" customWidth="1"/>
    <col min="7427" max="7428" width="14" style="587" customWidth="1"/>
    <col min="7429" max="7431" width="13.5703125" style="587" customWidth="1"/>
    <col min="7432" max="7432" width="14.28515625" style="587" customWidth="1"/>
    <col min="7433" max="7434" width="14" style="587" customWidth="1"/>
    <col min="7435" max="7680" width="11.42578125" style="587"/>
    <col min="7681" max="7681" width="46" style="587" customWidth="1"/>
    <col min="7682" max="7682" width="14.42578125" style="587" customWidth="1"/>
    <col min="7683" max="7684" width="14" style="587" customWidth="1"/>
    <col min="7685" max="7687" width="13.5703125" style="587" customWidth="1"/>
    <col min="7688" max="7688" width="14.28515625" style="587" customWidth="1"/>
    <col min="7689" max="7690" width="14" style="587" customWidth="1"/>
    <col min="7691" max="7936" width="11.42578125" style="587"/>
    <col min="7937" max="7937" width="46" style="587" customWidth="1"/>
    <col min="7938" max="7938" width="14.42578125" style="587" customWidth="1"/>
    <col min="7939" max="7940" width="14" style="587" customWidth="1"/>
    <col min="7941" max="7943" width="13.5703125" style="587" customWidth="1"/>
    <col min="7944" max="7944" width="14.28515625" style="587" customWidth="1"/>
    <col min="7945" max="7946" width="14" style="587" customWidth="1"/>
    <col min="7947" max="8192" width="11.42578125" style="587"/>
    <col min="8193" max="8193" width="46" style="587" customWidth="1"/>
    <col min="8194" max="8194" width="14.42578125" style="587" customWidth="1"/>
    <col min="8195" max="8196" width="14" style="587" customWidth="1"/>
    <col min="8197" max="8199" width="13.5703125" style="587" customWidth="1"/>
    <col min="8200" max="8200" width="14.28515625" style="587" customWidth="1"/>
    <col min="8201" max="8202" width="14" style="587" customWidth="1"/>
    <col min="8203" max="8448" width="11.42578125" style="587"/>
    <col min="8449" max="8449" width="46" style="587" customWidth="1"/>
    <col min="8450" max="8450" width="14.42578125" style="587" customWidth="1"/>
    <col min="8451" max="8452" width="14" style="587" customWidth="1"/>
    <col min="8453" max="8455" width="13.5703125" style="587" customWidth="1"/>
    <col min="8456" max="8456" width="14.28515625" style="587" customWidth="1"/>
    <col min="8457" max="8458" width="14" style="587" customWidth="1"/>
    <col min="8459" max="8704" width="11.42578125" style="587"/>
    <col min="8705" max="8705" width="46" style="587" customWidth="1"/>
    <col min="8706" max="8706" width="14.42578125" style="587" customWidth="1"/>
    <col min="8707" max="8708" width="14" style="587" customWidth="1"/>
    <col min="8709" max="8711" width="13.5703125" style="587" customWidth="1"/>
    <col min="8712" max="8712" width="14.28515625" style="587" customWidth="1"/>
    <col min="8713" max="8714" width="14" style="587" customWidth="1"/>
    <col min="8715" max="8960" width="11.42578125" style="587"/>
    <col min="8961" max="8961" width="46" style="587" customWidth="1"/>
    <col min="8962" max="8962" width="14.42578125" style="587" customWidth="1"/>
    <col min="8963" max="8964" width="14" style="587" customWidth="1"/>
    <col min="8965" max="8967" width="13.5703125" style="587" customWidth="1"/>
    <col min="8968" max="8968" width="14.28515625" style="587" customWidth="1"/>
    <col min="8969" max="8970" width="14" style="587" customWidth="1"/>
    <col min="8971" max="9216" width="11.42578125" style="587"/>
    <col min="9217" max="9217" width="46" style="587" customWidth="1"/>
    <col min="9218" max="9218" width="14.42578125" style="587" customWidth="1"/>
    <col min="9219" max="9220" width="14" style="587" customWidth="1"/>
    <col min="9221" max="9223" width="13.5703125" style="587" customWidth="1"/>
    <col min="9224" max="9224" width="14.28515625" style="587" customWidth="1"/>
    <col min="9225" max="9226" width="14" style="587" customWidth="1"/>
    <col min="9227" max="9472" width="11.42578125" style="587"/>
    <col min="9473" max="9473" width="46" style="587" customWidth="1"/>
    <col min="9474" max="9474" width="14.42578125" style="587" customWidth="1"/>
    <col min="9475" max="9476" width="14" style="587" customWidth="1"/>
    <col min="9477" max="9479" width="13.5703125" style="587" customWidth="1"/>
    <col min="9480" max="9480" width="14.28515625" style="587" customWidth="1"/>
    <col min="9481" max="9482" width="14" style="587" customWidth="1"/>
    <col min="9483" max="9728" width="11.42578125" style="587"/>
    <col min="9729" max="9729" width="46" style="587" customWidth="1"/>
    <col min="9730" max="9730" width="14.42578125" style="587" customWidth="1"/>
    <col min="9731" max="9732" width="14" style="587" customWidth="1"/>
    <col min="9733" max="9735" width="13.5703125" style="587" customWidth="1"/>
    <col min="9736" max="9736" width="14.28515625" style="587" customWidth="1"/>
    <col min="9737" max="9738" width="14" style="587" customWidth="1"/>
    <col min="9739" max="9984" width="11.42578125" style="587"/>
    <col min="9985" max="9985" width="46" style="587" customWidth="1"/>
    <col min="9986" max="9986" width="14.42578125" style="587" customWidth="1"/>
    <col min="9987" max="9988" width="14" style="587" customWidth="1"/>
    <col min="9989" max="9991" width="13.5703125" style="587" customWidth="1"/>
    <col min="9992" max="9992" width="14.28515625" style="587" customWidth="1"/>
    <col min="9993" max="9994" width="14" style="587" customWidth="1"/>
    <col min="9995" max="10240" width="11.42578125" style="587"/>
    <col min="10241" max="10241" width="46" style="587" customWidth="1"/>
    <col min="10242" max="10242" width="14.42578125" style="587" customWidth="1"/>
    <col min="10243" max="10244" width="14" style="587" customWidth="1"/>
    <col min="10245" max="10247" width="13.5703125" style="587" customWidth="1"/>
    <col min="10248" max="10248" width="14.28515625" style="587" customWidth="1"/>
    <col min="10249" max="10250" width="14" style="587" customWidth="1"/>
    <col min="10251" max="10496" width="11.42578125" style="587"/>
    <col min="10497" max="10497" width="46" style="587" customWidth="1"/>
    <col min="10498" max="10498" width="14.42578125" style="587" customWidth="1"/>
    <col min="10499" max="10500" width="14" style="587" customWidth="1"/>
    <col min="10501" max="10503" width="13.5703125" style="587" customWidth="1"/>
    <col min="10504" max="10504" width="14.28515625" style="587" customWidth="1"/>
    <col min="10505" max="10506" width="14" style="587" customWidth="1"/>
    <col min="10507" max="10752" width="11.42578125" style="587"/>
    <col min="10753" max="10753" width="46" style="587" customWidth="1"/>
    <col min="10754" max="10754" width="14.42578125" style="587" customWidth="1"/>
    <col min="10755" max="10756" width="14" style="587" customWidth="1"/>
    <col min="10757" max="10759" width="13.5703125" style="587" customWidth="1"/>
    <col min="10760" max="10760" width="14.28515625" style="587" customWidth="1"/>
    <col min="10761" max="10762" width="14" style="587" customWidth="1"/>
    <col min="10763" max="11008" width="11.42578125" style="587"/>
    <col min="11009" max="11009" width="46" style="587" customWidth="1"/>
    <col min="11010" max="11010" width="14.42578125" style="587" customWidth="1"/>
    <col min="11011" max="11012" width="14" style="587" customWidth="1"/>
    <col min="11013" max="11015" width="13.5703125" style="587" customWidth="1"/>
    <col min="11016" max="11016" width="14.28515625" style="587" customWidth="1"/>
    <col min="11017" max="11018" width="14" style="587" customWidth="1"/>
    <col min="11019" max="11264" width="11.42578125" style="587"/>
    <col min="11265" max="11265" width="46" style="587" customWidth="1"/>
    <col min="11266" max="11266" width="14.42578125" style="587" customWidth="1"/>
    <col min="11267" max="11268" width="14" style="587" customWidth="1"/>
    <col min="11269" max="11271" width="13.5703125" style="587" customWidth="1"/>
    <col min="11272" max="11272" width="14.28515625" style="587" customWidth="1"/>
    <col min="11273" max="11274" width="14" style="587" customWidth="1"/>
    <col min="11275" max="11520" width="11.42578125" style="587"/>
    <col min="11521" max="11521" width="46" style="587" customWidth="1"/>
    <col min="11522" max="11522" width="14.42578125" style="587" customWidth="1"/>
    <col min="11523" max="11524" width="14" style="587" customWidth="1"/>
    <col min="11525" max="11527" width="13.5703125" style="587" customWidth="1"/>
    <col min="11528" max="11528" width="14.28515625" style="587" customWidth="1"/>
    <col min="11529" max="11530" width="14" style="587" customWidth="1"/>
    <col min="11531" max="11776" width="11.42578125" style="587"/>
    <col min="11777" max="11777" width="46" style="587" customWidth="1"/>
    <col min="11778" max="11778" width="14.42578125" style="587" customWidth="1"/>
    <col min="11779" max="11780" width="14" style="587" customWidth="1"/>
    <col min="11781" max="11783" width="13.5703125" style="587" customWidth="1"/>
    <col min="11784" max="11784" width="14.28515625" style="587" customWidth="1"/>
    <col min="11785" max="11786" width="14" style="587" customWidth="1"/>
    <col min="11787" max="12032" width="11.42578125" style="587"/>
    <col min="12033" max="12033" width="46" style="587" customWidth="1"/>
    <col min="12034" max="12034" width="14.42578125" style="587" customWidth="1"/>
    <col min="12035" max="12036" width="14" style="587" customWidth="1"/>
    <col min="12037" max="12039" width="13.5703125" style="587" customWidth="1"/>
    <col min="12040" max="12040" width="14.28515625" style="587" customWidth="1"/>
    <col min="12041" max="12042" width="14" style="587" customWidth="1"/>
    <col min="12043" max="12288" width="11.42578125" style="587"/>
    <col min="12289" max="12289" width="46" style="587" customWidth="1"/>
    <col min="12290" max="12290" width="14.42578125" style="587" customWidth="1"/>
    <col min="12291" max="12292" width="14" style="587" customWidth="1"/>
    <col min="12293" max="12295" width="13.5703125" style="587" customWidth="1"/>
    <col min="12296" max="12296" width="14.28515625" style="587" customWidth="1"/>
    <col min="12297" max="12298" width="14" style="587" customWidth="1"/>
    <col min="12299" max="12544" width="11.42578125" style="587"/>
    <col min="12545" max="12545" width="46" style="587" customWidth="1"/>
    <col min="12546" max="12546" width="14.42578125" style="587" customWidth="1"/>
    <col min="12547" max="12548" width="14" style="587" customWidth="1"/>
    <col min="12549" max="12551" width="13.5703125" style="587" customWidth="1"/>
    <col min="12552" max="12552" width="14.28515625" style="587" customWidth="1"/>
    <col min="12553" max="12554" width="14" style="587" customWidth="1"/>
    <col min="12555" max="12800" width="11.42578125" style="587"/>
    <col min="12801" max="12801" width="46" style="587" customWidth="1"/>
    <col min="12802" max="12802" width="14.42578125" style="587" customWidth="1"/>
    <col min="12803" max="12804" width="14" style="587" customWidth="1"/>
    <col min="12805" max="12807" width="13.5703125" style="587" customWidth="1"/>
    <col min="12808" max="12808" width="14.28515625" style="587" customWidth="1"/>
    <col min="12809" max="12810" width="14" style="587" customWidth="1"/>
    <col min="12811" max="13056" width="11.42578125" style="587"/>
    <col min="13057" max="13057" width="46" style="587" customWidth="1"/>
    <col min="13058" max="13058" width="14.42578125" style="587" customWidth="1"/>
    <col min="13059" max="13060" width="14" style="587" customWidth="1"/>
    <col min="13061" max="13063" width="13.5703125" style="587" customWidth="1"/>
    <col min="13064" max="13064" width="14.28515625" style="587" customWidth="1"/>
    <col min="13065" max="13066" width="14" style="587" customWidth="1"/>
    <col min="13067" max="13312" width="11.42578125" style="587"/>
    <col min="13313" max="13313" width="46" style="587" customWidth="1"/>
    <col min="13314" max="13314" width="14.42578125" style="587" customWidth="1"/>
    <col min="13315" max="13316" width="14" style="587" customWidth="1"/>
    <col min="13317" max="13319" width="13.5703125" style="587" customWidth="1"/>
    <col min="13320" max="13320" width="14.28515625" style="587" customWidth="1"/>
    <col min="13321" max="13322" width="14" style="587" customWidth="1"/>
    <col min="13323" max="13568" width="11.42578125" style="587"/>
    <col min="13569" max="13569" width="46" style="587" customWidth="1"/>
    <col min="13570" max="13570" width="14.42578125" style="587" customWidth="1"/>
    <col min="13571" max="13572" width="14" style="587" customWidth="1"/>
    <col min="13573" max="13575" width="13.5703125" style="587" customWidth="1"/>
    <col min="13576" max="13576" width="14.28515625" style="587" customWidth="1"/>
    <col min="13577" max="13578" width="14" style="587" customWidth="1"/>
    <col min="13579" max="13824" width="11.42578125" style="587"/>
    <col min="13825" max="13825" width="46" style="587" customWidth="1"/>
    <col min="13826" max="13826" width="14.42578125" style="587" customWidth="1"/>
    <col min="13827" max="13828" width="14" style="587" customWidth="1"/>
    <col min="13829" max="13831" width="13.5703125" style="587" customWidth="1"/>
    <col min="13832" max="13832" width="14.28515625" style="587" customWidth="1"/>
    <col min="13833" max="13834" width="14" style="587" customWidth="1"/>
    <col min="13835" max="14080" width="11.42578125" style="587"/>
    <col min="14081" max="14081" width="46" style="587" customWidth="1"/>
    <col min="14082" max="14082" width="14.42578125" style="587" customWidth="1"/>
    <col min="14083" max="14084" width="14" style="587" customWidth="1"/>
    <col min="14085" max="14087" width="13.5703125" style="587" customWidth="1"/>
    <col min="14088" max="14088" width="14.28515625" style="587" customWidth="1"/>
    <col min="14089" max="14090" width="14" style="587" customWidth="1"/>
    <col min="14091" max="14336" width="11.42578125" style="587"/>
    <col min="14337" max="14337" width="46" style="587" customWidth="1"/>
    <col min="14338" max="14338" width="14.42578125" style="587" customWidth="1"/>
    <col min="14339" max="14340" width="14" style="587" customWidth="1"/>
    <col min="14341" max="14343" width="13.5703125" style="587" customWidth="1"/>
    <col min="14344" max="14344" width="14.28515625" style="587" customWidth="1"/>
    <col min="14345" max="14346" width="14" style="587" customWidth="1"/>
    <col min="14347" max="14592" width="11.42578125" style="587"/>
    <col min="14593" max="14593" width="46" style="587" customWidth="1"/>
    <col min="14594" max="14594" width="14.42578125" style="587" customWidth="1"/>
    <col min="14595" max="14596" width="14" style="587" customWidth="1"/>
    <col min="14597" max="14599" width="13.5703125" style="587" customWidth="1"/>
    <col min="14600" max="14600" width="14.28515625" style="587" customWidth="1"/>
    <col min="14601" max="14602" width="14" style="587" customWidth="1"/>
    <col min="14603" max="14848" width="11.42578125" style="587"/>
    <col min="14849" max="14849" width="46" style="587" customWidth="1"/>
    <col min="14850" max="14850" width="14.42578125" style="587" customWidth="1"/>
    <col min="14851" max="14852" width="14" style="587" customWidth="1"/>
    <col min="14853" max="14855" width="13.5703125" style="587" customWidth="1"/>
    <col min="14856" max="14856" width="14.28515625" style="587" customWidth="1"/>
    <col min="14857" max="14858" width="14" style="587" customWidth="1"/>
    <col min="14859" max="15104" width="11.42578125" style="587"/>
    <col min="15105" max="15105" width="46" style="587" customWidth="1"/>
    <col min="15106" max="15106" width="14.42578125" style="587" customWidth="1"/>
    <col min="15107" max="15108" width="14" style="587" customWidth="1"/>
    <col min="15109" max="15111" width="13.5703125" style="587" customWidth="1"/>
    <col min="15112" max="15112" width="14.28515625" style="587" customWidth="1"/>
    <col min="15113" max="15114" width="14" style="587" customWidth="1"/>
    <col min="15115" max="15360" width="11.42578125" style="587"/>
    <col min="15361" max="15361" width="46" style="587" customWidth="1"/>
    <col min="15362" max="15362" width="14.42578125" style="587" customWidth="1"/>
    <col min="15363" max="15364" width="14" style="587" customWidth="1"/>
    <col min="15365" max="15367" width="13.5703125" style="587" customWidth="1"/>
    <col min="15368" max="15368" width="14.28515625" style="587" customWidth="1"/>
    <col min="15369" max="15370" width="14" style="587" customWidth="1"/>
    <col min="15371" max="15616" width="11.42578125" style="587"/>
    <col min="15617" max="15617" width="46" style="587" customWidth="1"/>
    <col min="15618" max="15618" width="14.42578125" style="587" customWidth="1"/>
    <col min="15619" max="15620" width="14" style="587" customWidth="1"/>
    <col min="15621" max="15623" width="13.5703125" style="587" customWidth="1"/>
    <col min="15624" max="15624" width="14.28515625" style="587" customWidth="1"/>
    <col min="15625" max="15626" width="14" style="587" customWidth="1"/>
    <col min="15627" max="15872" width="11.42578125" style="587"/>
    <col min="15873" max="15873" width="46" style="587" customWidth="1"/>
    <col min="15874" max="15874" width="14.42578125" style="587" customWidth="1"/>
    <col min="15875" max="15876" width="14" style="587" customWidth="1"/>
    <col min="15877" max="15879" width="13.5703125" style="587" customWidth="1"/>
    <col min="15880" max="15880" width="14.28515625" style="587" customWidth="1"/>
    <col min="15881" max="15882" width="14" style="587" customWidth="1"/>
    <col min="15883" max="16128" width="11.42578125" style="587"/>
    <col min="16129" max="16129" width="46" style="587" customWidth="1"/>
    <col min="16130" max="16130" width="14.42578125" style="587" customWidth="1"/>
    <col min="16131" max="16132" width="14" style="587" customWidth="1"/>
    <col min="16133" max="16135" width="13.5703125" style="587" customWidth="1"/>
    <col min="16136" max="16136" width="14.28515625" style="587" customWidth="1"/>
    <col min="16137" max="16138" width="14" style="587" customWidth="1"/>
    <col min="16139" max="16384" width="11.42578125" style="587"/>
  </cols>
  <sheetData>
    <row r="1" spans="1:39" ht="130.5" customHeight="1" thickBot="1">
      <c r="A1" s="871"/>
      <c r="B1" s="871"/>
      <c r="C1" s="871"/>
      <c r="D1" s="871"/>
      <c r="E1" s="871"/>
      <c r="F1" s="871"/>
      <c r="G1" s="871"/>
      <c r="H1" s="871"/>
      <c r="I1" s="871"/>
      <c r="J1" s="770"/>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row>
    <row r="2" spans="1:39">
      <c r="A2" s="872" t="s">
        <v>577</v>
      </c>
      <c r="B2" s="873"/>
      <c r="C2" s="873"/>
      <c r="D2" s="873"/>
      <c r="E2" s="873"/>
      <c r="F2" s="873"/>
      <c r="G2" s="873"/>
      <c r="H2" s="873"/>
      <c r="I2" s="873"/>
      <c r="J2" s="874"/>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row>
    <row r="3" spans="1:39" ht="13.5" thickBot="1">
      <c r="A3" s="875" t="str">
        <f>+'[11]INGRESOS '!A3:D3</f>
        <v>CORPORACION AUTONOMA REGIONAL DEL ALTO MAGDALENA CAM</v>
      </c>
      <c r="B3" s="876"/>
      <c r="C3" s="876"/>
      <c r="D3" s="876"/>
      <c r="E3" s="876"/>
      <c r="F3" s="876"/>
      <c r="G3" s="876"/>
      <c r="H3" s="876"/>
      <c r="I3" s="876"/>
      <c r="J3" s="877"/>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row>
    <row r="4" spans="1:39" ht="24.75" customHeight="1" thickBot="1">
      <c r="A4" s="936" t="s">
        <v>578</v>
      </c>
      <c r="B4" s="937"/>
      <c r="C4" s="937"/>
      <c r="D4" s="937"/>
      <c r="E4" s="937"/>
      <c r="F4" s="937"/>
      <c r="G4" s="937"/>
      <c r="H4" s="937"/>
      <c r="I4" s="937"/>
      <c r="J4" s="938"/>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row>
    <row r="5" spans="1:39" ht="33" customHeight="1">
      <c r="A5" s="939" t="s">
        <v>252</v>
      </c>
      <c r="B5" s="890" t="s">
        <v>253</v>
      </c>
      <c r="C5" s="892"/>
      <c r="D5" s="940"/>
      <c r="E5" s="890" t="s">
        <v>254</v>
      </c>
      <c r="F5" s="892"/>
      <c r="G5" s="940"/>
      <c r="H5" s="890" t="s">
        <v>255</v>
      </c>
      <c r="I5" s="892"/>
      <c r="J5" s="940"/>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row>
    <row r="6" spans="1:39" ht="21.75" customHeight="1" thickBot="1">
      <c r="A6" s="939"/>
      <c r="B6" s="941" t="s">
        <v>554</v>
      </c>
      <c r="C6" s="942" t="s">
        <v>555</v>
      </c>
      <c r="D6" s="943" t="s">
        <v>570</v>
      </c>
      <c r="E6" s="941" t="s">
        <v>554</v>
      </c>
      <c r="F6" s="942" t="s">
        <v>555</v>
      </c>
      <c r="G6" s="943" t="s">
        <v>570</v>
      </c>
      <c r="H6" s="941" t="s">
        <v>554</v>
      </c>
      <c r="I6" s="942" t="s">
        <v>555</v>
      </c>
      <c r="J6" s="943" t="s">
        <v>570</v>
      </c>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row>
    <row r="7" spans="1:39" s="582" customFormat="1" ht="13.5" thickBot="1">
      <c r="A7" s="944" t="s">
        <v>258</v>
      </c>
      <c r="B7" s="910">
        <f>2856035097+2334886895+2363497053+2628388174</f>
        <v>10182807219</v>
      </c>
      <c r="C7" s="945">
        <f>1915196837+2194256120+2131038208+2527888502</f>
        <v>8768379667</v>
      </c>
      <c r="D7" s="946">
        <f>1860668464+1823097481+1880560206+2338162693</f>
        <v>7902488844</v>
      </c>
      <c r="E7" s="910">
        <f>2150339000+1942275458+2039750000+2101005000</f>
        <v>8233369458</v>
      </c>
      <c r="F7" s="945">
        <f>1978679161+1942129273+2039001675+2101005000</f>
        <v>8060815109</v>
      </c>
      <c r="G7" s="945">
        <f>1784106216+1942129273+2039001675+2101005000</f>
        <v>7866242164</v>
      </c>
      <c r="H7" s="947">
        <f>+B7+E7</f>
        <v>18416176677</v>
      </c>
      <c r="I7" s="947">
        <f>+C7+F7</f>
        <v>16829194776</v>
      </c>
      <c r="J7" s="947">
        <f>+D7+G7</f>
        <v>15768731008</v>
      </c>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row>
    <row r="8" spans="1:39" s="582" customFormat="1">
      <c r="A8" s="948" t="s">
        <v>259</v>
      </c>
      <c r="B8" s="949">
        <f t="shared" ref="B8:H8" si="0">SUM(B9:B11)</f>
        <v>5558168832</v>
      </c>
      <c r="C8" s="950">
        <f t="shared" si="0"/>
        <v>4555465133</v>
      </c>
      <c r="D8" s="951">
        <f t="shared" si="0"/>
        <v>3754147445</v>
      </c>
      <c r="E8" s="949">
        <f t="shared" si="0"/>
        <v>97415220</v>
      </c>
      <c r="F8" s="950">
        <f t="shared" si="0"/>
        <v>97135050</v>
      </c>
      <c r="G8" s="951">
        <f>SUM(G9:G11)</f>
        <v>74817063</v>
      </c>
      <c r="H8" s="949">
        <f t="shared" si="0"/>
        <v>5655584052</v>
      </c>
      <c r="I8" s="947">
        <f t="shared" ref="I8:J24" si="1">+C8+F8</f>
        <v>4652600183</v>
      </c>
      <c r="J8" s="947">
        <f t="shared" si="1"/>
        <v>3828964508</v>
      </c>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row>
    <row r="9" spans="1:39">
      <c r="A9" s="952" t="s">
        <v>260</v>
      </c>
      <c r="B9" s="947">
        <f>242775683+378312500+333638910+256485391</f>
        <v>1211212484</v>
      </c>
      <c r="C9" s="953">
        <f>193628813+231490846+135831554+253667423</f>
        <v>814618636</v>
      </c>
      <c r="D9" s="954">
        <f>126059378+97345064+90140957+202825379</f>
        <v>516370778</v>
      </c>
      <c r="E9" s="947">
        <v>0</v>
      </c>
      <c r="F9" s="953">
        <v>0</v>
      </c>
      <c r="G9" s="954"/>
      <c r="H9" s="947">
        <f t="shared" ref="H9:H11" si="2">+B9+E9</f>
        <v>1211212484</v>
      </c>
      <c r="I9" s="947">
        <f t="shared" si="1"/>
        <v>814618636</v>
      </c>
      <c r="J9" s="947">
        <f t="shared" si="1"/>
        <v>516370778</v>
      </c>
      <c r="K9" s="591"/>
      <c r="L9" s="590"/>
      <c r="M9" s="591"/>
      <c r="N9" s="590"/>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row>
    <row r="10" spans="1:39">
      <c r="A10" s="952" t="s">
        <v>261</v>
      </c>
      <c r="B10" s="947">
        <f>1213756681+772339281+1066566191+1061590695</f>
        <v>4114252848</v>
      </c>
      <c r="C10" s="953">
        <f>881237519+747797131+892498474+1018332804</f>
        <v>3539865928</v>
      </c>
      <c r="D10" s="954">
        <f>741502812+660409867+758127778+880647767</f>
        <v>3040688224</v>
      </c>
      <c r="E10" s="947">
        <f>22601000+23790220+22601000+22601000</f>
        <v>91593220</v>
      </c>
      <c r="F10" s="953">
        <f>22601000+23790220+22320830+22601000</f>
        <v>91313050</v>
      </c>
      <c r="G10" s="954">
        <f>283013+23790220+22320830+22601000</f>
        <v>68995063</v>
      </c>
      <c r="H10" s="947">
        <f t="shared" si="2"/>
        <v>4205846068</v>
      </c>
      <c r="I10" s="947">
        <f t="shared" si="1"/>
        <v>3631178978</v>
      </c>
      <c r="J10" s="947">
        <f t="shared" si="1"/>
        <v>3109683287</v>
      </c>
      <c r="K10" s="591"/>
      <c r="L10" s="590"/>
      <c r="M10" s="591"/>
      <c r="N10" s="590"/>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row>
    <row r="11" spans="1:39" ht="13.5" thickBot="1">
      <c r="A11" s="955" t="s">
        <v>262</v>
      </c>
      <c r="B11" s="956">
        <f>58730000+58719750+63719750+51534000</f>
        <v>232703500</v>
      </c>
      <c r="C11" s="957">
        <f>49334119-1510000+57152611+45334244+50669595</f>
        <v>200980569</v>
      </c>
      <c r="D11" s="958">
        <f>49143585-1510000+53451019+45334244+50669595</f>
        <v>197088443</v>
      </c>
      <c r="E11" s="956">
        <f>1510000+1423000+1423000+1466000</f>
        <v>5822000</v>
      </c>
      <c r="F11" s="957">
        <f>+E11</f>
        <v>5822000</v>
      </c>
      <c r="G11" s="958">
        <f>+F11</f>
        <v>5822000</v>
      </c>
      <c r="H11" s="956">
        <f t="shared" si="2"/>
        <v>238525500</v>
      </c>
      <c r="I11" s="947">
        <f t="shared" si="1"/>
        <v>206802569</v>
      </c>
      <c r="J11" s="947">
        <f t="shared" si="1"/>
        <v>202910443</v>
      </c>
      <c r="K11" s="591"/>
      <c r="L11" s="590"/>
      <c r="M11" s="591"/>
      <c r="N11" s="590"/>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row>
    <row r="12" spans="1:39" s="582" customFormat="1">
      <c r="A12" s="948" t="s">
        <v>263</v>
      </c>
      <c r="B12" s="949">
        <f>+B13+B17+B20</f>
        <v>11702680985</v>
      </c>
      <c r="C12" s="949">
        <f>+C13+C17+C20</f>
        <v>9505692519</v>
      </c>
      <c r="D12" s="949">
        <f>+D13+D17+D20</f>
        <v>9190589480</v>
      </c>
      <c r="E12" s="949">
        <f t="shared" ref="E12:G12" si="3">+E13+E17</f>
        <v>41854000</v>
      </c>
      <c r="F12" s="950">
        <f t="shared" si="3"/>
        <v>20769000</v>
      </c>
      <c r="G12" s="951">
        <f t="shared" si="3"/>
        <v>20769000</v>
      </c>
      <c r="H12" s="949">
        <f>+H13+H17+H20</f>
        <v>11744534985</v>
      </c>
      <c r="I12" s="947">
        <f t="shared" si="1"/>
        <v>9526461519</v>
      </c>
      <c r="J12" s="947">
        <f t="shared" si="1"/>
        <v>9211358480</v>
      </c>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row>
    <row r="13" spans="1:39" s="588" customFormat="1">
      <c r="A13" s="959" t="s">
        <v>264</v>
      </c>
      <c r="B13" s="960">
        <f t="shared" ref="B13:H13" si="4">SUM(B14:B16)</f>
        <v>10952680985</v>
      </c>
      <c r="C13" s="961">
        <f t="shared" si="4"/>
        <v>9166890179</v>
      </c>
      <c r="D13" s="962">
        <f>SUM(D14:D16)</f>
        <v>8851787140</v>
      </c>
      <c r="E13" s="960">
        <f t="shared" si="4"/>
        <v>41854000</v>
      </c>
      <c r="F13" s="961">
        <f t="shared" si="4"/>
        <v>20769000</v>
      </c>
      <c r="G13" s="962">
        <f>SUM(G14:G16)</f>
        <v>20769000</v>
      </c>
      <c r="H13" s="960">
        <f t="shared" si="4"/>
        <v>10994534985</v>
      </c>
      <c r="I13" s="947">
        <f t="shared" si="1"/>
        <v>9187659179</v>
      </c>
      <c r="J13" s="947">
        <f t="shared" si="1"/>
        <v>8872556140</v>
      </c>
      <c r="K13" s="766"/>
      <c r="L13" s="590"/>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row>
    <row r="14" spans="1:39" s="589" customFormat="1">
      <c r="A14" s="952" t="s">
        <v>265</v>
      </c>
      <c r="B14" s="947">
        <f>39146000+34269000+31322800+39428850</f>
        <v>144166650</v>
      </c>
      <c r="C14" s="953">
        <f>100732+34253734+31290368+39321683</f>
        <v>104966517</v>
      </c>
      <c r="D14" s="954">
        <f>100331+34253734+31290368+39321683</f>
        <v>104966116</v>
      </c>
      <c r="E14" s="947">
        <f>10854000+10231000+10231000+10538000</f>
        <v>41854000</v>
      </c>
      <c r="F14" s="953">
        <f>10231000+10538000</f>
        <v>20769000</v>
      </c>
      <c r="G14" s="954">
        <f>+F14</f>
        <v>20769000</v>
      </c>
      <c r="H14" s="947">
        <f t="shared" ref="H14:H16" si="5">+B14+E14</f>
        <v>186020650</v>
      </c>
      <c r="I14" s="947">
        <f t="shared" si="1"/>
        <v>125735517</v>
      </c>
      <c r="J14" s="947">
        <f t="shared" si="1"/>
        <v>125735116</v>
      </c>
      <c r="K14" s="767"/>
      <c r="L14" s="590"/>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767"/>
      <c r="AM14" s="767"/>
    </row>
    <row r="15" spans="1:39" s="589" customFormat="1">
      <c r="A15" s="952" t="s">
        <v>266</v>
      </c>
      <c r="B15" s="947">
        <f>3004266970+1966548770+2417673280+2820760237</f>
        <v>10209249257</v>
      </c>
      <c r="C15" s="953">
        <f>1794461363+1965893673+2366799742+2820760237</f>
        <v>8947915015</v>
      </c>
      <c r="D15" s="954">
        <f>1787312114+1658067929+2366799742+2820760237</f>
        <v>8632940022</v>
      </c>
      <c r="E15" s="947"/>
      <c r="F15" s="953"/>
      <c r="G15" s="954"/>
      <c r="H15" s="947">
        <f t="shared" si="5"/>
        <v>10209249257</v>
      </c>
      <c r="I15" s="947">
        <f t="shared" si="1"/>
        <v>8947915015</v>
      </c>
      <c r="J15" s="947">
        <f t="shared" si="1"/>
        <v>8632940022</v>
      </c>
      <c r="K15" s="767"/>
      <c r="L15" s="590"/>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row>
    <row r="16" spans="1:39" s="589" customFormat="1">
      <c r="A16" s="952" t="s">
        <v>207</v>
      </c>
      <c r="B16" s="947">
        <f>32038802+485029676+23000000+28396600+30800000</f>
        <v>599265078</v>
      </c>
      <c r="C16" s="953">
        <f>32038802+22814692+28375250+30779903</f>
        <v>114008647</v>
      </c>
      <c r="D16" s="954">
        <f>31911157+22814692+28375250+30779903</f>
        <v>113881002</v>
      </c>
      <c r="E16" s="947"/>
      <c r="F16" s="953"/>
      <c r="G16" s="954"/>
      <c r="H16" s="947">
        <f t="shared" si="5"/>
        <v>599265078</v>
      </c>
      <c r="I16" s="947">
        <f t="shared" si="1"/>
        <v>114008647</v>
      </c>
      <c r="J16" s="947">
        <f t="shared" si="1"/>
        <v>113881002</v>
      </c>
      <c r="K16" s="767"/>
      <c r="L16" s="590"/>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row>
    <row r="17" spans="1:39" s="588" customFormat="1">
      <c r="A17" s="959" t="s">
        <v>267</v>
      </c>
      <c r="B17" s="960">
        <f t="shared" ref="B17:H17" si="6">SUM(B18:B19)</f>
        <v>0</v>
      </c>
      <c r="C17" s="961">
        <f t="shared" si="6"/>
        <v>0</v>
      </c>
      <c r="D17" s="962">
        <f t="shared" si="6"/>
        <v>0</v>
      </c>
      <c r="E17" s="960">
        <f t="shared" si="6"/>
        <v>0</v>
      </c>
      <c r="F17" s="961">
        <f t="shared" si="6"/>
        <v>0</v>
      </c>
      <c r="G17" s="962">
        <f t="shared" si="6"/>
        <v>0</v>
      </c>
      <c r="H17" s="960">
        <f t="shared" si="6"/>
        <v>0</v>
      </c>
      <c r="I17" s="947">
        <f t="shared" si="1"/>
        <v>0</v>
      </c>
      <c r="J17" s="947">
        <f t="shared" si="1"/>
        <v>0</v>
      </c>
      <c r="K17" s="766"/>
      <c r="L17" s="590"/>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6"/>
    </row>
    <row r="18" spans="1:39" s="589" customFormat="1">
      <c r="A18" s="952" t="s">
        <v>268</v>
      </c>
      <c r="B18" s="947"/>
      <c r="C18" s="953"/>
      <c r="D18" s="954"/>
      <c r="E18" s="947"/>
      <c r="F18" s="953"/>
      <c r="G18" s="954"/>
      <c r="H18" s="947">
        <f t="shared" ref="H18:H19" si="7">+B18+E18</f>
        <v>0</v>
      </c>
      <c r="I18" s="947">
        <f t="shared" si="1"/>
        <v>0</v>
      </c>
      <c r="J18" s="947">
        <f t="shared" si="1"/>
        <v>0</v>
      </c>
      <c r="K18" s="767"/>
      <c r="L18" s="590"/>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row>
    <row r="19" spans="1:39" s="589" customFormat="1">
      <c r="A19" s="952" t="s">
        <v>269</v>
      </c>
      <c r="B19" s="947"/>
      <c r="C19" s="953"/>
      <c r="D19" s="954"/>
      <c r="E19" s="947"/>
      <c r="F19" s="953"/>
      <c r="G19" s="954"/>
      <c r="H19" s="947">
        <f t="shared" si="7"/>
        <v>0</v>
      </c>
      <c r="I19" s="947">
        <f t="shared" si="1"/>
        <v>0</v>
      </c>
      <c r="J19" s="947">
        <f t="shared" si="1"/>
        <v>0</v>
      </c>
      <c r="K19" s="767"/>
      <c r="L19" s="590"/>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7"/>
      <c r="AM19" s="767"/>
    </row>
    <row r="20" spans="1:39" s="582" customFormat="1">
      <c r="A20" s="963" t="s">
        <v>270</v>
      </c>
      <c r="B20" s="964">
        <f t="shared" ref="B20:H20" si="8">+B21+B23</f>
        <v>750000000</v>
      </c>
      <c r="C20" s="965">
        <f t="shared" si="8"/>
        <v>338802340</v>
      </c>
      <c r="D20" s="966">
        <f t="shared" si="8"/>
        <v>338802340</v>
      </c>
      <c r="E20" s="964">
        <f t="shared" si="8"/>
        <v>0</v>
      </c>
      <c r="F20" s="965">
        <f t="shared" si="8"/>
        <v>0</v>
      </c>
      <c r="G20" s="966">
        <f t="shared" si="8"/>
        <v>0</v>
      </c>
      <c r="H20" s="964">
        <f t="shared" si="8"/>
        <v>750000000</v>
      </c>
      <c r="I20" s="947">
        <f t="shared" si="1"/>
        <v>338802340</v>
      </c>
      <c r="J20" s="947">
        <f t="shared" si="1"/>
        <v>338802340</v>
      </c>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590"/>
    </row>
    <row r="21" spans="1:39" s="588" customFormat="1">
      <c r="A21" s="959" t="s">
        <v>271</v>
      </c>
      <c r="B21" s="960">
        <f t="shared" ref="B21:H21" si="9">SUM(B22)</f>
        <v>750000000</v>
      </c>
      <c r="C21" s="961">
        <f t="shared" si="9"/>
        <v>338802340</v>
      </c>
      <c r="D21" s="962">
        <f t="shared" si="9"/>
        <v>338802340</v>
      </c>
      <c r="E21" s="960">
        <f t="shared" si="9"/>
        <v>0</v>
      </c>
      <c r="F21" s="961">
        <f t="shared" si="9"/>
        <v>0</v>
      </c>
      <c r="G21" s="962">
        <f t="shared" si="9"/>
        <v>0</v>
      </c>
      <c r="H21" s="960">
        <f t="shared" si="9"/>
        <v>750000000</v>
      </c>
      <c r="I21" s="947">
        <f t="shared" si="1"/>
        <v>338802340</v>
      </c>
      <c r="J21" s="947">
        <f t="shared" si="1"/>
        <v>338802340</v>
      </c>
      <c r="K21" s="766"/>
      <c r="L21" s="590"/>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row>
    <row r="22" spans="1:39">
      <c r="A22" s="952" t="s">
        <v>272</v>
      </c>
      <c r="B22" s="947">
        <f>200000000+308000000+2000000+240000000</f>
        <v>750000000</v>
      </c>
      <c r="C22" s="953">
        <f>291491289+1747462+45563589</f>
        <v>338802340</v>
      </c>
      <c r="D22" s="954">
        <f>+C22</f>
        <v>338802340</v>
      </c>
      <c r="E22" s="947"/>
      <c r="F22" s="953"/>
      <c r="G22" s="954"/>
      <c r="H22" s="947">
        <f t="shared" ref="H22:H23" si="10">+B22+E22</f>
        <v>750000000</v>
      </c>
      <c r="I22" s="947">
        <f t="shared" si="1"/>
        <v>338802340</v>
      </c>
      <c r="J22" s="947">
        <f t="shared" si="1"/>
        <v>338802340</v>
      </c>
      <c r="K22" s="591"/>
      <c r="L22" s="590"/>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row>
    <row r="23" spans="1:39" s="588" customFormat="1" ht="13.5" thickBot="1">
      <c r="A23" s="967" t="s">
        <v>273</v>
      </c>
      <c r="B23" s="968"/>
      <c r="C23" s="969"/>
      <c r="D23" s="970"/>
      <c r="E23" s="968"/>
      <c r="F23" s="969"/>
      <c r="G23" s="970"/>
      <c r="H23" s="968">
        <f t="shared" si="10"/>
        <v>0</v>
      </c>
      <c r="I23" s="947">
        <f t="shared" si="1"/>
        <v>0</v>
      </c>
      <c r="J23" s="947">
        <f t="shared" si="1"/>
        <v>0</v>
      </c>
      <c r="K23" s="766"/>
      <c r="L23" s="590"/>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6"/>
      <c r="AL23" s="766"/>
      <c r="AM23" s="766"/>
    </row>
    <row r="24" spans="1:39" s="582" customFormat="1" ht="13.5" thickBot="1">
      <c r="A24" s="944" t="s">
        <v>274</v>
      </c>
      <c r="B24" s="910">
        <f>+B7+B8+B12</f>
        <v>27443657036</v>
      </c>
      <c r="C24" s="910">
        <f>+C7+C8+C12</f>
        <v>22829537319</v>
      </c>
      <c r="D24" s="910">
        <f>+D7+D8+D12</f>
        <v>20847225769</v>
      </c>
      <c r="E24" s="910">
        <f t="shared" ref="E24:G24" si="11">+E7+E8+E12+E20</f>
        <v>8372638678</v>
      </c>
      <c r="F24" s="945">
        <f t="shared" si="11"/>
        <v>8178719159</v>
      </c>
      <c r="G24" s="946">
        <f t="shared" si="11"/>
        <v>7961828227</v>
      </c>
      <c r="H24" s="910">
        <f>+H7+H8+H12</f>
        <v>35816295714</v>
      </c>
      <c r="I24" s="947">
        <f t="shared" si="1"/>
        <v>31008256478</v>
      </c>
      <c r="J24" s="947">
        <f t="shared" si="1"/>
        <v>28809053996</v>
      </c>
      <c r="K24" s="590"/>
      <c r="L24" s="590"/>
      <c r="M24" s="591"/>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row>
    <row r="25" spans="1:39" ht="13.5" thickBot="1">
      <c r="A25" s="971"/>
      <c r="B25" s="972" t="s">
        <v>247</v>
      </c>
      <c r="C25" s="973"/>
      <c r="D25" s="974"/>
      <c r="E25" s="972"/>
      <c r="F25" s="973"/>
      <c r="G25" s="974"/>
      <c r="H25" s="972"/>
      <c r="I25" s="973"/>
      <c r="J25" s="974"/>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row>
    <row r="26" spans="1:39" s="582" customFormat="1" ht="13.5" thickBot="1">
      <c r="A26" s="944" t="s">
        <v>275</v>
      </c>
      <c r="B26" s="910">
        <f>+B51+B56+B60+B66+B68+B72+B28+B32+B36+B40+B43+B45</f>
        <v>106355411521</v>
      </c>
      <c r="C26" s="910">
        <f>+C51+C56+C60+C66+C68+C72+C28+C32+C36+C40+C43+C45</f>
        <v>100552405834</v>
      </c>
      <c r="D26" s="910">
        <f>+D51+D56+D60+D66+D68+D72+D28+D32+D36+D40+D43+D45</f>
        <v>39760697597.695992</v>
      </c>
      <c r="E26" s="910">
        <f>+E51+E56+E60+E66+E68+E72+E36</f>
        <v>10305886189</v>
      </c>
      <c r="F26" s="910">
        <f>+F51+F56+F60+F66+F68+F72+F36</f>
        <v>9574218418</v>
      </c>
      <c r="G26" s="910">
        <f>+G51+G56+G60+G66+G68+G72+G36</f>
        <v>3961815122</v>
      </c>
      <c r="H26" s="910">
        <f>+H51+H56+H60+H66+H68+H72+H28+H32+H36+H40+H43+H45</f>
        <v>116661297710</v>
      </c>
      <c r="I26" s="910">
        <f>+I51+I56+I60+I66+I68+I72+I28+I32+I36+I40+I43+I45</f>
        <v>110126624252</v>
      </c>
      <c r="J26" s="910">
        <f>+J51+J56+J60+J66+J68+J72+J28+J32+J36+J40+J43+J45</f>
        <v>43722512719.695992</v>
      </c>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row>
    <row r="27" spans="1:39">
      <c r="A27" s="975"/>
      <c r="B27" s="975"/>
      <c r="C27" s="975"/>
      <c r="D27" s="975"/>
      <c r="E27" s="975"/>
      <c r="F27" s="975"/>
      <c r="G27" s="975"/>
      <c r="H27" s="976" t="s">
        <v>247</v>
      </c>
      <c r="I27" s="975" t="s">
        <v>247</v>
      </c>
      <c r="J27" s="977" t="s">
        <v>247</v>
      </c>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row>
    <row r="28" spans="1:39">
      <c r="A28" s="978" t="s">
        <v>579</v>
      </c>
      <c r="B28" s="979">
        <f t="shared" ref="B28:C28" si="12">SUM(B29:B31)</f>
        <v>782504558</v>
      </c>
      <c r="C28" s="980">
        <f t="shared" si="12"/>
        <v>764432558</v>
      </c>
      <c r="D28" s="981">
        <f t="shared" ref="D28" si="13">SUM(D29:D31)</f>
        <v>401946464.33600003</v>
      </c>
      <c r="E28" s="975"/>
      <c r="F28" s="975"/>
      <c r="G28" s="975"/>
      <c r="H28" s="976">
        <f t="shared" ref="H28:J47" si="14">+B28+E28</f>
        <v>782504558</v>
      </c>
      <c r="I28" s="975">
        <f t="shared" si="14"/>
        <v>764432558</v>
      </c>
      <c r="J28" s="977">
        <f t="shared" si="14"/>
        <v>401946464.33600003</v>
      </c>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row>
    <row r="29" spans="1:39" ht="21">
      <c r="A29" s="982" t="s">
        <v>580</v>
      </c>
      <c r="B29" s="976">
        <v>427038674</v>
      </c>
      <c r="C29" s="975">
        <v>408966674</v>
      </c>
      <c r="D29" s="977">
        <f>295691705*1.004</f>
        <v>296874471.81999999</v>
      </c>
      <c r="E29" s="975"/>
      <c r="F29" s="975"/>
      <c r="G29" s="975"/>
      <c r="H29" s="976">
        <f t="shared" si="14"/>
        <v>427038674</v>
      </c>
      <c r="I29" s="975">
        <f t="shared" si="14"/>
        <v>408966674</v>
      </c>
      <c r="J29" s="977">
        <f t="shared" si="14"/>
        <v>296874471.81999999</v>
      </c>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row>
    <row r="30" spans="1:39" ht="21">
      <c r="A30" s="982" t="s">
        <v>581</v>
      </c>
      <c r="B30" s="976">
        <v>156891409</v>
      </c>
      <c r="C30" s="975">
        <v>156891409</v>
      </c>
      <c r="D30" s="977">
        <f>70664759*1.004</f>
        <v>70947418.035999998</v>
      </c>
      <c r="E30" s="975"/>
      <c r="F30" s="975"/>
      <c r="G30" s="975"/>
      <c r="H30" s="976">
        <f t="shared" si="14"/>
        <v>156891409</v>
      </c>
      <c r="I30" s="975">
        <f t="shared" si="14"/>
        <v>156891409</v>
      </c>
      <c r="J30" s="977">
        <f t="shared" si="14"/>
        <v>70947418.035999998</v>
      </c>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row>
    <row r="31" spans="1:39" ht="21">
      <c r="A31" s="982" t="s">
        <v>582</v>
      </c>
      <c r="B31" s="976">
        <v>198574475</v>
      </c>
      <c r="C31" s="975">
        <v>198574475</v>
      </c>
      <c r="D31" s="977">
        <f>33988620*1.004</f>
        <v>34124574.479999997</v>
      </c>
      <c r="E31" s="975"/>
      <c r="F31" s="975"/>
      <c r="G31" s="975"/>
      <c r="H31" s="976">
        <f t="shared" si="14"/>
        <v>198574475</v>
      </c>
      <c r="I31" s="975">
        <f t="shared" si="14"/>
        <v>198574475</v>
      </c>
      <c r="J31" s="977">
        <f t="shared" si="14"/>
        <v>34124574.479999997</v>
      </c>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1"/>
    </row>
    <row r="32" spans="1:39">
      <c r="A32" s="983" t="s">
        <v>557</v>
      </c>
      <c r="B32" s="984">
        <f>SUM(B33:B34)</f>
        <v>461133354</v>
      </c>
      <c r="C32" s="985">
        <f>SUM(C33:C34)</f>
        <v>461133354</v>
      </c>
      <c r="D32" s="986">
        <f>SUM(D33:D34)</f>
        <v>414593635.472</v>
      </c>
      <c r="E32" s="975"/>
      <c r="F32" s="975"/>
      <c r="G32" s="975"/>
      <c r="H32" s="976">
        <f t="shared" si="14"/>
        <v>461133354</v>
      </c>
      <c r="I32" s="975">
        <f t="shared" si="14"/>
        <v>461133354</v>
      </c>
      <c r="J32" s="977">
        <f t="shared" si="14"/>
        <v>414593635.472</v>
      </c>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row>
    <row r="33" spans="1:39">
      <c r="A33" s="982" t="s">
        <v>583</v>
      </c>
      <c r="B33" s="976">
        <v>27107074</v>
      </c>
      <c r="C33" s="975">
        <f>+B33</f>
        <v>27107074</v>
      </c>
      <c r="D33" s="977">
        <f>26999078*1.004</f>
        <v>27107074.311999999</v>
      </c>
      <c r="E33" s="975"/>
      <c r="F33" s="975"/>
      <c r="G33" s="975"/>
      <c r="H33" s="976">
        <f t="shared" si="14"/>
        <v>27107074</v>
      </c>
      <c r="I33" s="975">
        <f t="shared" si="14"/>
        <v>27107074</v>
      </c>
      <c r="J33" s="977">
        <f t="shared" si="14"/>
        <v>27107074.311999999</v>
      </c>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row>
    <row r="34" spans="1:39">
      <c r="A34" s="982" t="s">
        <v>584</v>
      </c>
      <c r="B34" s="976">
        <v>434026280</v>
      </c>
      <c r="C34" s="975">
        <f>+B34</f>
        <v>434026280</v>
      </c>
      <c r="D34" s="977">
        <f>385942790*1.004</f>
        <v>387486561.16000003</v>
      </c>
      <c r="E34" s="975"/>
      <c r="F34" s="975"/>
      <c r="G34" s="975"/>
      <c r="H34" s="976">
        <f t="shared" si="14"/>
        <v>434026280</v>
      </c>
      <c r="I34" s="975">
        <f t="shared" si="14"/>
        <v>434026280</v>
      </c>
      <c r="J34" s="977">
        <f t="shared" si="14"/>
        <v>387486561.16000003</v>
      </c>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row>
    <row r="35" spans="1:39">
      <c r="A35" s="987" t="s">
        <v>585</v>
      </c>
      <c r="B35" s="975"/>
      <c r="C35" s="975"/>
      <c r="D35" s="975"/>
      <c r="E35" s="975"/>
      <c r="F35" s="975"/>
      <c r="G35" s="975"/>
      <c r="H35" s="976">
        <f t="shared" si="14"/>
        <v>0</v>
      </c>
      <c r="I35" s="975">
        <f t="shared" si="14"/>
        <v>0</v>
      </c>
      <c r="J35" s="977">
        <f t="shared" si="14"/>
        <v>0</v>
      </c>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row>
    <row r="36" spans="1:39">
      <c r="A36" s="988" t="s">
        <v>558</v>
      </c>
      <c r="B36" s="988">
        <f>SUM(B37:B38)</f>
        <v>112711735</v>
      </c>
      <c r="C36" s="988">
        <f t="shared" ref="C36:D36" si="15">SUM(C37:C38)</f>
        <v>112711735</v>
      </c>
      <c r="D36" s="988">
        <f t="shared" si="15"/>
        <v>87513568.636000007</v>
      </c>
      <c r="E36" s="975">
        <f>+E39</f>
        <v>2680000000</v>
      </c>
      <c r="F36" s="975">
        <f>+F39</f>
        <v>2635226410</v>
      </c>
      <c r="G36" s="975">
        <f>+G39</f>
        <v>1769127691</v>
      </c>
      <c r="H36" s="976">
        <f t="shared" si="14"/>
        <v>2792711735</v>
      </c>
      <c r="I36" s="975">
        <f t="shared" si="14"/>
        <v>2747938145</v>
      </c>
      <c r="J36" s="977">
        <f t="shared" si="14"/>
        <v>1856641259.6359999</v>
      </c>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row>
    <row r="37" spans="1:39">
      <c r="A37" s="982" t="s">
        <v>586</v>
      </c>
      <c r="B37" s="975">
        <v>63924612</v>
      </c>
      <c r="C37" s="975">
        <v>63924612</v>
      </c>
      <c r="D37" s="975">
        <f>43693579*1.004</f>
        <v>43868353.316</v>
      </c>
      <c r="E37" s="975"/>
      <c r="F37" s="975"/>
      <c r="G37" s="975"/>
      <c r="H37" s="976">
        <f t="shared" si="14"/>
        <v>63924612</v>
      </c>
      <c r="I37" s="975">
        <f t="shared" si="14"/>
        <v>63924612</v>
      </c>
      <c r="J37" s="977">
        <f t="shared" si="14"/>
        <v>43868353.316</v>
      </c>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row>
    <row r="38" spans="1:39">
      <c r="A38" s="982" t="s">
        <v>587</v>
      </c>
      <c r="B38" s="975">
        <v>48787123</v>
      </c>
      <c r="C38" s="975">
        <v>48787123</v>
      </c>
      <c r="D38" s="975">
        <f>43471330*1.004</f>
        <v>43645215.32</v>
      </c>
      <c r="E38" s="975"/>
      <c r="F38" s="975"/>
      <c r="G38" s="975"/>
      <c r="H38" s="976">
        <f t="shared" si="14"/>
        <v>48787123</v>
      </c>
      <c r="I38" s="975">
        <f t="shared" si="14"/>
        <v>48787123</v>
      </c>
      <c r="J38" s="977">
        <f t="shared" si="14"/>
        <v>43645215.32</v>
      </c>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row>
    <row r="39" spans="1:39">
      <c r="A39" s="987" t="s">
        <v>585</v>
      </c>
      <c r="B39" s="975"/>
      <c r="C39" s="975"/>
      <c r="D39" s="975"/>
      <c r="E39" s="975">
        <v>2680000000</v>
      </c>
      <c r="F39" s="975">
        <v>2635226410</v>
      </c>
      <c r="G39" s="975">
        <v>1769127691</v>
      </c>
      <c r="H39" s="976">
        <f t="shared" si="14"/>
        <v>2680000000</v>
      </c>
      <c r="I39" s="975">
        <f t="shared" si="14"/>
        <v>2635226410</v>
      </c>
      <c r="J39" s="977">
        <f t="shared" si="14"/>
        <v>1769127691</v>
      </c>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row>
    <row r="40" spans="1:39">
      <c r="A40" s="988" t="s">
        <v>562</v>
      </c>
      <c r="B40" s="988">
        <f>SUM(B41:B42)</f>
        <v>1436913278</v>
      </c>
      <c r="C40" s="988">
        <f t="shared" ref="C40:D40" si="16">SUM(C41:C42)</f>
        <v>1423587008</v>
      </c>
      <c r="D40" s="988">
        <f t="shared" si="16"/>
        <v>1165875555.5320001</v>
      </c>
      <c r="E40" s="975"/>
      <c r="F40" s="975"/>
      <c r="G40" s="975"/>
      <c r="H40" s="976">
        <f t="shared" si="14"/>
        <v>1436913278</v>
      </c>
      <c r="I40" s="975">
        <f t="shared" si="14"/>
        <v>1423587008</v>
      </c>
      <c r="J40" s="977">
        <f t="shared" si="14"/>
        <v>1165875555.5320001</v>
      </c>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row>
    <row r="41" spans="1:39">
      <c r="A41" s="982" t="s">
        <v>588</v>
      </c>
      <c r="B41" s="975">
        <v>1116914749</v>
      </c>
      <c r="C41" s="975">
        <v>1103588479</v>
      </c>
      <c r="D41" s="975">
        <f>+(923777390-2300000)*1.004</f>
        <v>925163299.56000006</v>
      </c>
      <c r="E41" s="975"/>
      <c r="F41" s="975"/>
      <c r="G41" s="975"/>
      <c r="H41" s="976">
        <f t="shared" si="14"/>
        <v>1116914749</v>
      </c>
      <c r="I41" s="975">
        <f t="shared" si="14"/>
        <v>1103588479</v>
      </c>
      <c r="J41" s="977">
        <f t="shared" si="14"/>
        <v>925163299.56000006</v>
      </c>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row>
    <row r="42" spans="1:39" ht="21">
      <c r="A42" s="982" t="s">
        <v>589</v>
      </c>
      <c r="B42" s="975">
        <v>319998529</v>
      </c>
      <c r="C42" s="975">
        <v>319998529</v>
      </c>
      <c r="D42" s="975">
        <f>239753243*1.004</f>
        <v>240712255.972</v>
      </c>
      <c r="E42" s="975"/>
      <c r="F42" s="975"/>
      <c r="G42" s="975"/>
      <c r="H42" s="976">
        <f t="shared" si="14"/>
        <v>319998529</v>
      </c>
      <c r="I42" s="975">
        <f t="shared" si="14"/>
        <v>319998529</v>
      </c>
      <c r="J42" s="977">
        <f t="shared" si="14"/>
        <v>240712255.972</v>
      </c>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row>
    <row r="43" spans="1:39">
      <c r="A43" s="988" t="s">
        <v>564</v>
      </c>
      <c r="B43" s="988">
        <f>+B44</f>
        <v>164418432</v>
      </c>
      <c r="C43" s="988">
        <f t="shared" ref="C43:D43" si="17">+C44</f>
        <v>164418432</v>
      </c>
      <c r="D43" s="988">
        <f t="shared" si="17"/>
        <v>138651045.604</v>
      </c>
      <c r="E43" s="975"/>
      <c r="F43" s="975"/>
      <c r="G43" s="975"/>
      <c r="H43" s="976">
        <f t="shared" si="14"/>
        <v>164418432</v>
      </c>
      <c r="I43" s="975">
        <f t="shared" si="14"/>
        <v>164418432</v>
      </c>
      <c r="J43" s="977">
        <f t="shared" si="14"/>
        <v>138651045.604</v>
      </c>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row>
    <row r="44" spans="1:39" ht="21">
      <c r="A44" s="982" t="s">
        <v>333</v>
      </c>
      <c r="B44" s="975">
        <v>164418432</v>
      </c>
      <c r="C44" s="975">
        <f>+B44</f>
        <v>164418432</v>
      </c>
      <c r="D44" s="975">
        <f>138098651*1.004</f>
        <v>138651045.604</v>
      </c>
      <c r="E44" s="975"/>
      <c r="F44" s="975"/>
      <c r="G44" s="975"/>
      <c r="H44" s="976">
        <f t="shared" si="14"/>
        <v>164418432</v>
      </c>
      <c r="I44" s="975">
        <f t="shared" si="14"/>
        <v>164418432</v>
      </c>
      <c r="J44" s="977">
        <f t="shared" si="14"/>
        <v>138651045.604</v>
      </c>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row>
    <row r="45" spans="1:39">
      <c r="A45" s="988" t="s">
        <v>565</v>
      </c>
      <c r="B45" s="988">
        <f>+B46+B47</f>
        <v>951524557</v>
      </c>
      <c r="C45" s="988">
        <f t="shared" ref="C45:D45" si="18">+C46+C47</f>
        <v>935508492</v>
      </c>
      <c r="D45" s="988">
        <f t="shared" si="18"/>
        <v>458260267.116</v>
      </c>
      <c r="E45" s="975"/>
      <c r="F45" s="975"/>
      <c r="G45" s="975"/>
      <c r="H45" s="976">
        <f t="shared" si="14"/>
        <v>951524557</v>
      </c>
      <c r="I45" s="975">
        <f t="shared" si="14"/>
        <v>935508492</v>
      </c>
      <c r="J45" s="977">
        <f t="shared" si="14"/>
        <v>458260267.116</v>
      </c>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row>
    <row r="46" spans="1:39" ht="21">
      <c r="A46" s="989" t="s">
        <v>590</v>
      </c>
      <c r="B46" s="975">
        <v>108301948</v>
      </c>
      <c r="C46" s="975">
        <v>108301948</v>
      </c>
      <c r="D46" s="975">
        <f>84646146*1.004</f>
        <v>84984730.584000006</v>
      </c>
      <c r="E46" s="975"/>
      <c r="F46" s="975"/>
      <c r="G46" s="975"/>
      <c r="H46" s="976">
        <f t="shared" si="14"/>
        <v>108301948</v>
      </c>
      <c r="I46" s="975">
        <f t="shared" si="14"/>
        <v>108301948</v>
      </c>
      <c r="J46" s="977">
        <f t="shared" si="14"/>
        <v>84984730.584000006</v>
      </c>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row>
    <row r="47" spans="1:39">
      <c r="A47" s="989" t="s">
        <v>591</v>
      </c>
      <c r="B47" s="975">
        <v>843222609</v>
      </c>
      <c r="C47" s="975">
        <v>827206544</v>
      </c>
      <c r="D47" s="975">
        <f>371788383*1.004</f>
        <v>373275536.53200001</v>
      </c>
      <c r="E47" s="975"/>
      <c r="F47" s="975"/>
      <c r="G47" s="975"/>
      <c r="H47" s="976">
        <f t="shared" si="14"/>
        <v>843222609</v>
      </c>
      <c r="I47" s="975">
        <f t="shared" si="14"/>
        <v>827206544</v>
      </c>
      <c r="J47" s="977">
        <f t="shared" si="14"/>
        <v>373275536.53200001</v>
      </c>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row>
    <row r="48" spans="1:39">
      <c r="A48" s="975"/>
      <c r="B48" s="975"/>
      <c r="C48" s="975"/>
      <c r="D48" s="975"/>
      <c r="E48" s="975"/>
      <c r="F48" s="975"/>
      <c r="G48" s="975"/>
      <c r="H48" s="976"/>
      <c r="I48" s="975"/>
      <c r="J48" s="977"/>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row>
    <row r="49" spans="1:39">
      <c r="A49" s="988" t="s">
        <v>592</v>
      </c>
      <c r="B49" s="975"/>
      <c r="C49" s="975"/>
      <c r="D49" s="975"/>
      <c r="E49" s="975"/>
      <c r="F49" s="975"/>
      <c r="G49" s="975"/>
      <c r="H49" s="976"/>
      <c r="I49" s="975"/>
      <c r="J49" s="977"/>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row>
    <row r="50" spans="1:39">
      <c r="A50" s="975"/>
      <c r="B50" s="975" t="s">
        <v>247</v>
      </c>
      <c r="C50" s="975"/>
      <c r="D50" s="975"/>
      <c r="E50" s="975"/>
      <c r="F50" s="975"/>
      <c r="G50" s="975"/>
      <c r="H50" s="976"/>
      <c r="I50" s="975"/>
      <c r="J50" s="977"/>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row>
    <row r="51" spans="1:39">
      <c r="A51" s="988" t="s">
        <v>556</v>
      </c>
      <c r="B51" s="988">
        <f t="shared" ref="B51:D51" si="19">SUM(B52:B54)</f>
        <v>43887479829</v>
      </c>
      <c r="C51" s="988">
        <f t="shared" si="19"/>
        <v>41846925077</v>
      </c>
      <c r="D51" s="988">
        <f t="shared" si="19"/>
        <v>18547384307</v>
      </c>
      <c r="E51" s="988">
        <f>+E55</f>
        <v>3051800000</v>
      </c>
      <c r="F51" s="988">
        <f>+F55</f>
        <v>2570172581</v>
      </c>
      <c r="G51" s="988">
        <f>+G55</f>
        <v>1299271235</v>
      </c>
      <c r="H51" s="976">
        <f t="shared" ref="H51:J75" si="20">+B51+E51</f>
        <v>46939279829</v>
      </c>
      <c r="I51" s="975">
        <f t="shared" si="20"/>
        <v>44417097658</v>
      </c>
      <c r="J51" s="977">
        <f t="shared" si="20"/>
        <v>19846655542</v>
      </c>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row>
    <row r="52" spans="1:39">
      <c r="A52" s="990" t="s">
        <v>593</v>
      </c>
      <c r="B52" s="975">
        <v>11952500073</v>
      </c>
      <c r="C52" s="975">
        <f>1629256460+2186699573+3702189782+4336277236</f>
        <v>11854423051</v>
      </c>
      <c r="D52" s="975">
        <f>696826117+681568344+1104007939+774303216</f>
        <v>3256705616</v>
      </c>
      <c r="E52" s="975"/>
      <c r="F52" s="975"/>
      <c r="G52" s="975"/>
      <c r="H52" s="976">
        <f t="shared" si="20"/>
        <v>11952500073</v>
      </c>
      <c r="I52" s="975">
        <f t="shared" si="20"/>
        <v>11854423051</v>
      </c>
      <c r="J52" s="977">
        <f t="shared" si="20"/>
        <v>3256705616</v>
      </c>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row>
    <row r="53" spans="1:39">
      <c r="A53" s="990" t="s">
        <v>594</v>
      </c>
      <c r="B53" s="975">
        <v>25677808685</v>
      </c>
      <c r="C53" s="975">
        <f>6526579926+6277872677+6819058251+5130460222</f>
        <v>24753971076</v>
      </c>
      <c r="D53" s="975">
        <f>3127573636+2573570079+3240882902+2220743733</f>
        <v>11162770350</v>
      </c>
      <c r="E53" s="975"/>
      <c r="F53" s="975"/>
      <c r="G53" s="975"/>
      <c r="H53" s="976">
        <f>+B53+E53</f>
        <v>25677808685</v>
      </c>
      <c r="I53" s="975">
        <f t="shared" si="20"/>
        <v>24753971076</v>
      </c>
      <c r="J53" s="977">
        <f t="shared" si="20"/>
        <v>11162770350</v>
      </c>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row>
    <row r="54" spans="1:39">
      <c r="A54" s="990" t="s">
        <v>595</v>
      </c>
      <c r="B54" s="975">
        <v>6257171071</v>
      </c>
      <c r="C54" s="975">
        <f>115158800+1854132109+1392006834+1877233207</f>
        <v>5238530950</v>
      </c>
      <c r="D54" s="975">
        <f>1723977897+1252898123+1151032321</f>
        <v>4127908341</v>
      </c>
      <c r="E54" s="975"/>
      <c r="F54" s="975"/>
      <c r="G54" s="975"/>
      <c r="H54" s="976">
        <f t="shared" si="20"/>
        <v>6257171071</v>
      </c>
      <c r="I54" s="975">
        <f t="shared" si="20"/>
        <v>5238530950</v>
      </c>
      <c r="J54" s="977">
        <f t="shared" si="20"/>
        <v>4127908341</v>
      </c>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row>
    <row r="55" spans="1:39">
      <c r="A55" s="990" t="s">
        <v>596</v>
      </c>
      <c r="B55" s="975">
        <v>0</v>
      </c>
      <c r="C55" s="975">
        <v>0</v>
      </c>
      <c r="D55" s="975">
        <v>0</v>
      </c>
      <c r="E55" s="975">
        <v>3051800000</v>
      </c>
      <c r="F55" s="975">
        <v>2570172581</v>
      </c>
      <c r="G55" s="975">
        <v>1299271235</v>
      </c>
      <c r="H55" s="976"/>
      <c r="I55" s="975"/>
      <c r="J55" s="977"/>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row>
    <row r="56" spans="1:39">
      <c r="A56" s="988" t="s">
        <v>557</v>
      </c>
      <c r="B56" s="988">
        <f>+B57+B58+B59</f>
        <v>10667020632</v>
      </c>
      <c r="C56" s="988">
        <f>+C57+C58+C59</f>
        <v>10120192278</v>
      </c>
      <c r="D56" s="988">
        <f>+D57+D58+D59</f>
        <v>3227901741</v>
      </c>
      <c r="E56" s="988"/>
      <c r="F56" s="988"/>
      <c r="G56" s="988"/>
      <c r="H56" s="991">
        <f>+B56+E56</f>
        <v>10667020632</v>
      </c>
      <c r="I56" s="988">
        <f t="shared" si="20"/>
        <v>10120192278</v>
      </c>
      <c r="J56" s="992">
        <f t="shared" si="20"/>
        <v>3227901741</v>
      </c>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row>
    <row r="57" spans="1:39">
      <c r="A57" s="990" t="s">
        <v>597</v>
      </c>
      <c r="B57" s="975">
        <v>4142248907</v>
      </c>
      <c r="C57" s="975">
        <f>1545815787+774695167+1490208991+223543821</f>
        <v>4034263766</v>
      </c>
      <c r="D57" s="975">
        <f>249873123+238562440+614150369+20078345</f>
        <v>1122664277</v>
      </c>
      <c r="E57" s="975"/>
      <c r="F57" s="975"/>
      <c r="G57" s="975"/>
      <c r="H57" s="976">
        <f t="shared" si="20"/>
        <v>4142248907</v>
      </c>
      <c r="I57" s="975">
        <f t="shared" si="20"/>
        <v>4034263766</v>
      </c>
      <c r="J57" s="977">
        <f t="shared" si="20"/>
        <v>1122664277</v>
      </c>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row>
    <row r="58" spans="1:39" ht="22.5">
      <c r="A58" s="990" t="s">
        <v>598</v>
      </c>
      <c r="B58" s="975">
        <v>6479813174</v>
      </c>
      <c r="C58" s="975">
        <f>2440408241+1225954577+1238670816+1135936327</f>
        <v>6040969961</v>
      </c>
      <c r="D58" s="975">
        <f>1105097141+309259072+512443715+133478985</f>
        <v>2060278913</v>
      </c>
      <c r="E58" s="975"/>
      <c r="F58" s="975"/>
      <c r="G58" s="975"/>
      <c r="H58" s="976">
        <f t="shared" si="20"/>
        <v>6479813174</v>
      </c>
      <c r="I58" s="975">
        <f t="shared" si="20"/>
        <v>6040969961</v>
      </c>
      <c r="J58" s="977">
        <f t="shared" si="20"/>
        <v>2060278913</v>
      </c>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row>
    <row r="59" spans="1:39" ht="22.5">
      <c r="A59" s="990" t="s">
        <v>599</v>
      </c>
      <c r="B59" s="975">
        <v>44958551</v>
      </c>
      <c r="C59" s="975">
        <f>+B59</f>
        <v>44958551</v>
      </c>
      <c r="D59" s="975">
        <f>+C59</f>
        <v>44958551</v>
      </c>
      <c r="E59" s="975"/>
      <c r="F59" s="975"/>
      <c r="G59" s="975"/>
      <c r="H59" s="976">
        <f t="shared" si="20"/>
        <v>44958551</v>
      </c>
      <c r="I59" s="975">
        <f>+H59</f>
        <v>44958551</v>
      </c>
      <c r="J59" s="977">
        <v>0</v>
      </c>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row>
    <row r="60" spans="1:39">
      <c r="A60" s="988" t="s">
        <v>558</v>
      </c>
      <c r="B60" s="988">
        <f>SUM(B61:B63)</f>
        <v>15124778387</v>
      </c>
      <c r="C60" s="988">
        <f t="shared" ref="C60:D60" si="21">SUM(C61:C63)</f>
        <v>13698235411</v>
      </c>
      <c r="D60" s="988">
        <f t="shared" si="21"/>
        <v>4567287331</v>
      </c>
      <c r="E60" s="988">
        <f>+E64+E65</f>
        <v>4574086189</v>
      </c>
      <c r="F60" s="988">
        <f>+F64+F65</f>
        <v>4368819427</v>
      </c>
      <c r="G60" s="988">
        <f>+G64+G65</f>
        <v>893416196</v>
      </c>
      <c r="H60" s="988">
        <f>SUM(H61:H65)</f>
        <v>19698864576</v>
      </c>
      <c r="I60" s="988">
        <f>SUM(I61:I65)</f>
        <v>18067054838</v>
      </c>
      <c r="J60" s="988">
        <f>SUM(J61:J65)</f>
        <v>5460703527</v>
      </c>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row>
    <row r="61" spans="1:39">
      <c r="A61" s="990" t="s">
        <v>559</v>
      </c>
      <c r="B61" s="975">
        <v>7299205006</v>
      </c>
      <c r="C61" s="975">
        <f>1375604846+1186220476+781482420+5080894612</f>
        <v>8424202354</v>
      </c>
      <c r="D61" s="975">
        <f>195376366+297229146+305663136+814200112</f>
        <v>1612468760</v>
      </c>
      <c r="E61" s="975"/>
      <c r="F61" s="975"/>
      <c r="G61" s="975"/>
      <c r="H61" s="976">
        <f t="shared" si="20"/>
        <v>7299205006</v>
      </c>
      <c r="I61" s="975">
        <f t="shared" si="20"/>
        <v>8424202354</v>
      </c>
      <c r="J61" s="977">
        <f t="shared" si="20"/>
        <v>1612468760</v>
      </c>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row>
    <row r="62" spans="1:39">
      <c r="A62" s="990" t="s">
        <v>560</v>
      </c>
      <c r="B62" s="975">
        <v>1987481006</v>
      </c>
      <c r="C62" s="975">
        <f>394936060+813991537+499883299+123606170</f>
        <v>1832417066</v>
      </c>
      <c r="D62" s="975">
        <f>53076591+37608750+177021769</f>
        <v>267707110</v>
      </c>
      <c r="E62" s="975"/>
      <c r="F62" s="975"/>
      <c r="G62" s="975"/>
      <c r="H62" s="976">
        <f t="shared" si="20"/>
        <v>1987481006</v>
      </c>
      <c r="I62" s="975">
        <f t="shared" si="20"/>
        <v>1832417066</v>
      </c>
      <c r="J62" s="977">
        <f t="shared" si="20"/>
        <v>267707110</v>
      </c>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row>
    <row r="63" spans="1:39" ht="22.5">
      <c r="A63" s="990" t="s">
        <v>561</v>
      </c>
      <c r="B63" s="975">
        <f>1285798223+823741758+3728552394</f>
        <v>5838092375</v>
      </c>
      <c r="C63" s="975">
        <f>175120153+823741567+2442754271</f>
        <v>3441615991</v>
      </c>
      <c r="D63" s="975">
        <f>+'[7]GASTOS '!$D$39+69237037+2442754271</f>
        <v>2687111461</v>
      </c>
      <c r="E63" s="975"/>
      <c r="F63" s="975"/>
      <c r="G63" s="975"/>
      <c r="H63" s="976">
        <f t="shared" si="20"/>
        <v>5838092375</v>
      </c>
      <c r="I63" s="975">
        <f t="shared" si="20"/>
        <v>3441615991</v>
      </c>
      <c r="J63" s="977">
        <f t="shared" si="20"/>
        <v>2687111461</v>
      </c>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row>
    <row r="64" spans="1:39" ht="25.5">
      <c r="A64" s="993" t="s">
        <v>600</v>
      </c>
      <c r="B64" s="975">
        <v>0</v>
      </c>
      <c r="C64" s="975">
        <v>0</v>
      </c>
      <c r="D64" s="975">
        <v>0</v>
      </c>
      <c r="E64" s="975">
        <v>1074086189</v>
      </c>
      <c r="F64" s="975">
        <v>893416196</v>
      </c>
      <c r="G64" s="975">
        <f>+F64</f>
        <v>893416196</v>
      </c>
      <c r="H64" s="991">
        <f t="shared" si="20"/>
        <v>1074086189</v>
      </c>
      <c r="I64" s="988">
        <f t="shared" si="20"/>
        <v>893416196</v>
      </c>
      <c r="J64" s="992">
        <f t="shared" si="20"/>
        <v>893416196</v>
      </c>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row>
    <row r="65" spans="1:39" ht="63.75">
      <c r="A65" s="993" t="s">
        <v>601</v>
      </c>
      <c r="B65" s="975">
        <v>0</v>
      </c>
      <c r="C65" s="975">
        <v>0</v>
      </c>
      <c r="D65" s="975">
        <v>0</v>
      </c>
      <c r="E65" s="975">
        <v>3500000000</v>
      </c>
      <c r="F65" s="975">
        <v>3475403231</v>
      </c>
      <c r="G65" s="975">
        <v>0</v>
      </c>
      <c r="H65" s="991">
        <f t="shared" si="20"/>
        <v>3500000000</v>
      </c>
      <c r="I65" s="988">
        <f t="shared" si="20"/>
        <v>3475403231</v>
      </c>
      <c r="J65" s="992">
        <f t="shared" si="20"/>
        <v>0</v>
      </c>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row>
    <row r="66" spans="1:39">
      <c r="A66" s="988" t="s">
        <v>562</v>
      </c>
      <c r="B66" s="988">
        <f>+B67</f>
        <v>7941704833</v>
      </c>
      <c r="C66" s="988">
        <f>+C67</f>
        <v>7735620091</v>
      </c>
      <c r="D66" s="988">
        <f>+D67</f>
        <v>4225283110</v>
      </c>
      <c r="E66" s="988"/>
      <c r="F66" s="988"/>
      <c r="G66" s="988"/>
      <c r="H66" s="991">
        <f t="shared" si="20"/>
        <v>7941704833</v>
      </c>
      <c r="I66" s="988">
        <f t="shared" si="20"/>
        <v>7735620091</v>
      </c>
      <c r="J66" s="992">
        <f t="shared" si="20"/>
        <v>4225283110</v>
      </c>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row>
    <row r="67" spans="1:39">
      <c r="A67" s="990" t="s">
        <v>563</v>
      </c>
      <c r="B67" s="975">
        <v>7941704833</v>
      </c>
      <c r="C67" s="975">
        <f>1549328338+2462938495+2776544040+946809218</f>
        <v>7735620091</v>
      </c>
      <c r="D67" s="975">
        <f>758101379+1552383366+1625497345+289301020</f>
        <v>4225283110</v>
      </c>
      <c r="E67" s="975"/>
      <c r="F67" s="975"/>
      <c r="G67" s="975"/>
      <c r="H67" s="976">
        <f t="shared" si="20"/>
        <v>7941704833</v>
      </c>
      <c r="I67" s="975">
        <f t="shared" si="20"/>
        <v>7735620091</v>
      </c>
      <c r="J67" s="977">
        <f t="shared" si="20"/>
        <v>4225283110</v>
      </c>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row>
    <row r="68" spans="1:39">
      <c r="A68" s="988" t="s">
        <v>564</v>
      </c>
      <c r="B68" s="988">
        <f>+B69+B70+B71</f>
        <v>11865196332</v>
      </c>
      <c r="C68" s="988">
        <f>+C69+C70+C71</f>
        <v>10794716346</v>
      </c>
      <c r="D68" s="988">
        <f>+D69+D70+D71</f>
        <v>2718222018</v>
      </c>
      <c r="E68" s="988"/>
      <c r="F68" s="988"/>
      <c r="G68" s="988"/>
      <c r="H68" s="991">
        <f t="shared" si="20"/>
        <v>11865196332</v>
      </c>
      <c r="I68" s="988">
        <f t="shared" si="20"/>
        <v>10794716346</v>
      </c>
      <c r="J68" s="992">
        <f t="shared" si="20"/>
        <v>2718222018</v>
      </c>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row>
    <row r="69" spans="1:39">
      <c r="A69" s="990" t="s">
        <v>602</v>
      </c>
      <c r="B69" s="975">
        <v>2100692035</v>
      </c>
      <c r="C69" s="975">
        <f>470594866+717110126+506191530+321140379</f>
        <v>2015036901</v>
      </c>
      <c r="D69" s="975">
        <f>255473149+288692732+273680287+130959116</f>
        <v>948805284</v>
      </c>
      <c r="E69" s="975"/>
      <c r="F69" s="975"/>
      <c r="G69" s="975"/>
      <c r="H69" s="976">
        <f t="shared" si="20"/>
        <v>2100692035</v>
      </c>
      <c r="I69" s="975">
        <f t="shared" si="20"/>
        <v>2015036901</v>
      </c>
      <c r="J69" s="977">
        <f t="shared" si="20"/>
        <v>948805284</v>
      </c>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591"/>
      <c r="AJ69" s="591"/>
      <c r="AK69" s="591"/>
      <c r="AL69" s="591"/>
      <c r="AM69" s="591"/>
    </row>
    <row r="70" spans="1:39">
      <c r="A70" s="990" t="s">
        <v>603</v>
      </c>
      <c r="B70" s="975">
        <v>8987892962</v>
      </c>
      <c r="C70" s="975">
        <f>4087415465+1186214738+955528232+1778692334</f>
        <v>8007850769</v>
      </c>
      <c r="D70" s="975">
        <f>168856674+202036202+594059931+32635251</f>
        <v>997588058</v>
      </c>
      <c r="E70" s="975"/>
      <c r="F70" s="975"/>
      <c r="G70" s="975"/>
      <c r="H70" s="976">
        <f t="shared" si="20"/>
        <v>8987892962</v>
      </c>
      <c r="I70" s="975">
        <f t="shared" si="20"/>
        <v>8007850769</v>
      </c>
      <c r="J70" s="977">
        <f t="shared" si="20"/>
        <v>997588058</v>
      </c>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row>
    <row r="71" spans="1:39">
      <c r="A71" s="990" t="s">
        <v>604</v>
      </c>
      <c r="B71" s="975">
        <v>776611335</v>
      </c>
      <c r="C71" s="975">
        <v>771828676</v>
      </c>
      <c r="D71" s="975">
        <f>+C71</f>
        <v>771828676</v>
      </c>
      <c r="E71" s="975"/>
      <c r="F71" s="975"/>
      <c r="G71" s="975"/>
      <c r="H71" s="976"/>
      <c r="I71" s="975">
        <f t="shared" si="20"/>
        <v>771828676</v>
      </c>
      <c r="J71" s="977">
        <f t="shared" si="20"/>
        <v>771828676</v>
      </c>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row>
    <row r="72" spans="1:39">
      <c r="A72" s="988" t="s">
        <v>565</v>
      </c>
      <c r="B72" s="988">
        <f>+B73+B74</f>
        <v>12960025594</v>
      </c>
      <c r="C72" s="988">
        <f>+C73+C74</f>
        <v>12494925052</v>
      </c>
      <c r="D72" s="988">
        <f>+D73+D74</f>
        <v>3807778554</v>
      </c>
      <c r="E72" s="988"/>
      <c r="F72" s="988"/>
      <c r="G72" s="988"/>
      <c r="H72" s="991">
        <f t="shared" si="20"/>
        <v>12960025594</v>
      </c>
      <c r="I72" s="988">
        <f t="shared" si="20"/>
        <v>12494925052</v>
      </c>
      <c r="J72" s="992">
        <f t="shared" si="20"/>
        <v>3807778554</v>
      </c>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row>
    <row r="73" spans="1:39">
      <c r="A73" s="990" t="s">
        <v>605</v>
      </c>
      <c r="B73" s="975">
        <v>6682777979</v>
      </c>
      <c r="C73" s="975">
        <f>803934512+2169866016+1493044188+2173142971</f>
        <v>6639987687</v>
      </c>
      <c r="D73" s="975">
        <f>341911984+599534697+1053858524+199711814</f>
        <v>2195017019</v>
      </c>
      <c r="E73" s="975"/>
      <c r="F73" s="975"/>
      <c r="G73" s="975"/>
      <c r="H73" s="976">
        <f t="shared" si="20"/>
        <v>6682777979</v>
      </c>
      <c r="I73" s="975">
        <f t="shared" si="20"/>
        <v>6639987687</v>
      </c>
      <c r="J73" s="977">
        <f t="shared" si="20"/>
        <v>2195017019</v>
      </c>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row>
    <row r="74" spans="1:39">
      <c r="A74" s="990" t="s">
        <v>606</v>
      </c>
      <c r="B74" s="975">
        <v>6277247615</v>
      </c>
      <c r="C74" s="975">
        <f>1252689750+1889267261+1314601617+1398378737</f>
        <v>5854937365</v>
      </c>
      <c r="D74" s="975">
        <f>398275086+504974615+568754741+140757093</f>
        <v>1612761535</v>
      </c>
      <c r="E74" s="975"/>
      <c r="F74" s="975"/>
      <c r="G74" s="975"/>
      <c r="H74" s="976">
        <f t="shared" si="20"/>
        <v>6277247615</v>
      </c>
      <c r="I74" s="975">
        <f t="shared" si="20"/>
        <v>5854937365</v>
      </c>
      <c r="J74" s="977">
        <f t="shared" si="20"/>
        <v>1612761535</v>
      </c>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row>
    <row r="75" spans="1:39">
      <c r="A75" s="975"/>
      <c r="B75" s="975"/>
      <c r="C75" s="975"/>
      <c r="D75" s="975"/>
      <c r="E75" s="975"/>
      <c r="F75" s="975"/>
      <c r="G75" s="975"/>
      <c r="H75" s="976">
        <f t="shared" si="20"/>
        <v>0</v>
      </c>
      <c r="I75" s="975">
        <f t="shared" si="20"/>
        <v>0</v>
      </c>
      <c r="J75" s="977">
        <f t="shared" si="20"/>
        <v>0</v>
      </c>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row>
    <row r="76" spans="1:39" ht="13.5" thickBot="1">
      <c r="A76" s="994"/>
      <c r="B76" s="995"/>
      <c r="C76" s="996"/>
      <c r="D76" s="997"/>
      <c r="E76" s="995"/>
      <c r="F76" s="996"/>
      <c r="G76" s="997"/>
      <c r="H76" s="995">
        <f>+B76+E76</f>
        <v>0</v>
      </c>
      <c r="I76" s="996">
        <f>+C76+F76</f>
        <v>0</v>
      </c>
      <c r="J76" s="997">
        <f>+D76+G76</f>
        <v>0</v>
      </c>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row>
    <row r="77" spans="1:39" ht="13.5" thickBot="1">
      <c r="A77" s="944" t="s">
        <v>607</v>
      </c>
      <c r="B77" s="910">
        <f>+B26</f>
        <v>106355411521</v>
      </c>
      <c r="C77" s="910">
        <f>+C26</f>
        <v>100552405834</v>
      </c>
      <c r="D77" s="910">
        <f t="shared" ref="D77:J77" si="22">+D26</f>
        <v>39760697597.695992</v>
      </c>
      <c r="E77" s="910">
        <f t="shared" si="22"/>
        <v>10305886189</v>
      </c>
      <c r="F77" s="910">
        <f t="shared" si="22"/>
        <v>9574218418</v>
      </c>
      <c r="G77" s="910">
        <f t="shared" si="22"/>
        <v>3961815122</v>
      </c>
      <c r="H77" s="910">
        <f>+H26</f>
        <v>116661297710</v>
      </c>
      <c r="I77" s="910">
        <f t="shared" si="22"/>
        <v>110126624252</v>
      </c>
      <c r="J77" s="910">
        <f t="shared" si="22"/>
        <v>43722512719.695992</v>
      </c>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row>
    <row r="78" spans="1:39">
      <c r="B78" s="591" t="s">
        <v>247</v>
      </c>
      <c r="E78" s="591" t="s">
        <v>247</v>
      </c>
      <c r="H78" s="591" t="s">
        <v>247</v>
      </c>
      <c r="I78" s="591" t="s">
        <v>247</v>
      </c>
      <c r="J78" s="591" t="s">
        <v>553</v>
      </c>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row>
    <row r="79" spans="1:39">
      <c r="B79" s="591"/>
      <c r="C79" s="591"/>
      <c r="D79" s="591"/>
      <c r="E79" s="591"/>
      <c r="G79" s="591" t="s">
        <v>247</v>
      </c>
      <c r="H79" s="591"/>
      <c r="I79" s="591"/>
      <c r="J79" s="591"/>
    </row>
    <row r="80" spans="1:39">
      <c r="B80" s="591"/>
      <c r="C80" s="591"/>
      <c r="D80" s="591"/>
      <c r="E80" s="591"/>
      <c r="H80" s="998"/>
      <c r="J80" s="591"/>
    </row>
    <row r="81" spans="2:10">
      <c r="B81" s="591"/>
      <c r="C81" s="591"/>
      <c r="D81" s="591"/>
      <c r="E81" s="591"/>
      <c r="H81" s="591"/>
    </row>
    <row r="82" spans="2:10">
      <c r="B82" s="591"/>
      <c r="C82" s="591"/>
      <c r="D82" s="591"/>
      <c r="E82" s="591"/>
      <c r="H82" s="998"/>
      <c r="J82" s="587" t="s">
        <v>247</v>
      </c>
    </row>
    <row r="83" spans="2:10">
      <c r="B83" s="591"/>
      <c r="C83" s="591"/>
      <c r="D83" s="591"/>
      <c r="E83" s="591"/>
      <c r="H83" s="591"/>
    </row>
    <row r="84" spans="2:10">
      <c r="B84" s="591"/>
      <c r="C84" s="591"/>
      <c r="D84" s="591"/>
      <c r="E84" s="591"/>
    </row>
    <row r="85" spans="2:10">
      <c r="B85" s="591"/>
      <c r="C85" s="591"/>
      <c r="D85" s="591"/>
      <c r="E85" s="591"/>
    </row>
    <row r="86" spans="2:10">
      <c r="B86" s="591"/>
      <c r="C86" s="591"/>
      <c r="D86" s="591"/>
      <c r="E86" s="591"/>
    </row>
    <row r="87" spans="2:10">
      <c r="B87" s="591"/>
      <c r="C87" s="591"/>
      <c r="D87" s="591"/>
      <c r="E87" s="591"/>
    </row>
    <row r="88" spans="2:10">
      <c r="B88" s="591"/>
      <c r="C88" s="591"/>
      <c r="D88" s="591"/>
      <c r="E88" s="591"/>
    </row>
    <row r="89" spans="2:10">
      <c r="B89" s="591"/>
      <c r="C89" s="591"/>
      <c r="D89" s="591"/>
      <c r="E89" s="591"/>
    </row>
  </sheetData>
  <mergeCells count="8">
    <mergeCell ref="A1:I1"/>
    <mergeCell ref="A2:J2"/>
    <mergeCell ref="A3:J3"/>
    <mergeCell ref="B4:J4"/>
    <mergeCell ref="A5:A6"/>
    <mergeCell ref="B5:D5"/>
    <mergeCell ref="E5:G5"/>
    <mergeCell ref="H5:J5"/>
  </mergeCells>
  <pageMargins left="0.23622047244094491" right="0.23622047244094491" top="0.15748031496062992" bottom="0.15748031496062992" header="0.31496062992125984" footer="0.31496062992125984"/>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2.75"/>
  <cols>
    <col min="1" max="1" width="9.140625" style="577" customWidth="1"/>
    <col min="2" max="2" width="49" style="577" customWidth="1"/>
    <col min="3" max="4" width="20.5703125" style="577" customWidth="1"/>
    <col min="5" max="5" width="11.7109375" style="577" bestFit="1" customWidth="1"/>
    <col min="6" max="256" width="11.42578125" style="577"/>
    <col min="257" max="257" width="9.140625" style="577" customWidth="1"/>
    <col min="258" max="258" width="49" style="577" customWidth="1"/>
    <col min="259" max="260" width="20.5703125" style="577" customWidth="1"/>
    <col min="261" max="512" width="11.42578125" style="577"/>
    <col min="513" max="513" width="9.140625" style="577" customWidth="1"/>
    <col min="514" max="514" width="49" style="577" customWidth="1"/>
    <col min="515" max="516" width="20.5703125" style="577" customWidth="1"/>
    <col min="517" max="768" width="11.42578125" style="577"/>
    <col min="769" max="769" width="9.140625" style="577" customWidth="1"/>
    <col min="770" max="770" width="49" style="577" customWidth="1"/>
    <col min="771" max="772" width="20.5703125" style="577" customWidth="1"/>
    <col min="773" max="1024" width="11.42578125" style="577"/>
    <col min="1025" max="1025" width="9.140625" style="577" customWidth="1"/>
    <col min="1026" max="1026" width="49" style="577" customWidth="1"/>
    <col min="1027" max="1028" width="20.5703125" style="577" customWidth="1"/>
    <col min="1029" max="1280" width="11.42578125" style="577"/>
    <col min="1281" max="1281" width="9.140625" style="577" customWidth="1"/>
    <col min="1282" max="1282" width="49" style="577" customWidth="1"/>
    <col min="1283" max="1284" width="20.5703125" style="577" customWidth="1"/>
    <col min="1285" max="1536" width="11.42578125" style="577"/>
    <col min="1537" max="1537" width="9.140625" style="577" customWidth="1"/>
    <col min="1538" max="1538" width="49" style="577" customWidth="1"/>
    <col min="1539" max="1540" width="20.5703125" style="577" customWidth="1"/>
    <col min="1541" max="1792" width="11.42578125" style="577"/>
    <col min="1793" max="1793" width="9.140625" style="577" customWidth="1"/>
    <col min="1794" max="1794" width="49" style="577" customWidth="1"/>
    <col min="1795" max="1796" width="20.5703125" style="577" customWidth="1"/>
    <col min="1797" max="2048" width="11.42578125" style="577"/>
    <col min="2049" max="2049" width="9.140625" style="577" customWidth="1"/>
    <col min="2050" max="2050" width="49" style="577" customWidth="1"/>
    <col min="2051" max="2052" width="20.5703125" style="577" customWidth="1"/>
    <col min="2053" max="2304" width="11.42578125" style="577"/>
    <col min="2305" max="2305" width="9.140625" style="577" customWidth="1"/>
    <col min="2306" max="2306" width="49" style="577" customWidth="1"/>
    <col min="2307" max="2308" width="20.5703125" style="577" customWidth="1"/>
    <col min="2309" max="2560" width="11.42578125" style="577"/>
    <col min="2561" max="2561" width="9.140625" style="577" customWidth="1"/>
    <col min="2562" max="2562" width="49" style="577" customWidth="1"/>
    <col min="2563" max="2564" width="20.5703125" style="577" customWidth="1"/>
    <col min="2565" max="2816" width="11.42578125" style="577"/>
    <col min="2817" max="2817" width="9.140625" style="577" customWidth="1"/>
    <col min="2818" max="2818" width="49" style="577" customWidth="1"/>
    <col min="2819" max="2820" width="20.5703125" style="577" customWidth="1"/>
    <col min="2821" max="3072" width="11.42578125" style="577"/>
    <col min="3073" max="3073" width="9.140625" style="577" customWidth="1"/>
    <col min="3074" max="3074" width="49" style="577" customWidth="1"/>
    <col min="3075" max="3076" width="20.5703125" style="577" customWidth="1"/>
    <col min="3077" max="3328" width="11.42578125" style="577"/>
    <col min="3329" max="3329" width="9.140625" style="577" customWidth="1"/>
    <col min="3330" max="3330" width="49" style="577" customWidth="1"/>
    <col min="3331" max="3332" width="20.5703125" style="577" customWidth="1"/>
    <col min="3333" max="3584" width="11.42578125" style="577"/>
    <col min="3585" max="3585" width="9.140625" style="577" customWidth="1"/>
    <col min="3586" max="3586" width="49" style="577" customWidth="1"/>
    <col min="3587" max="3588" width="20.5703125" style="577" customWidth="1"/>
    <col min="3589" max="3840" width="11.42578125" style="577"/>
    <col min="3841" max="3841" width="9.140625" style="577" customWidth="1"/>
    <col min="3842" max="3842" width="49" style="577" customWidth="1"/>
    <col min="3843" max="3844" width="20.5703125" style="577" customWidth="1"/>
    <col min="3845" max="4096" width="11.42578125" style="577"/>
    <col min="4097" max="4097" width="9.140625" style="577" customWidth="1"/>
    <col min="4098" max="4098" width="49" style="577" customWidth="1"/>
    <col min="4099" max="4100" width="20.5703125" style="577" customWidth="1"/>
    <col min="4101" max="4352" width="11.42578125" style="577"/>
    <col min="4353" max="4353" width="9.140625" style="577" customWidth="1"/>
    <col min="4354" max="4354" width="49" style="577" customWidth="1"/>
    <col min="4355" max="4356" width="20.5703125" style="577" customWidth="1"/>
    <col min="4357" max="4608" width="11.42578125" style="577"/>
    <col min="4609" max="4609" width="9.140625" style="577" customWidth="1"/>
    <col min="4610" max="4610" width="49" style="577" customWidth="1"/>
    <col min="4611" max="4612" width="20.5703125" style="577" customWidth="1"/>
    <col min="4613" max="4864" width="11.42578125" style="577"/>
    <col min="4865" max="4865" width="9.140625" style="577" customWidth="1"/>
    <col min="4866" max="4866" width="49" style="577" customWidth="1"/>
    <col min="4867" max="4868" width="20.5703125" style="577" customWidth="1"/>
    <col min="4869" max="5120" width="11.42578125" style="577"/>
    <col min="5121" max="5121" width="9.140625" style="577" customWidth="1"/>
    <col min="5122" max="5122" width="49" style="577" customWidth="1"/>
    <col min="5123" max="5124" width="20.5703125" style="577" customWidth="1"/>
    <col min="5125" max="5376" width="11.42578125" style="577"/>
    <col min="5377" max="5377" width="9.140625" style="577" customWidth="1"/>
    <col min="5378" max="5378" width="49" style="577" customWidth="1"/>
    <col min="5379" max="5380" width="20.5703125" style="577" customWidth="1"/>
    <col min="5381" max="5632" width="11.42578125" style="577"/>
    <col min="5633" max="5633" width="9.140625" style="577" customWidth="1"/>
    <col min="5634" max="5634" width="49" style="577" customWidth="1"/>
    <col min="5635" max="5636" width="20.5703125" style="577" customWidth="1"/>
    <col min="5637" max="5888" width="11.42578125" style="577"/>
    <col min="5889" max="5889" width="9.140625" style="577" customWidth="1"/>
    <col min="5890" max="5890" width="49" style="577" customWidth="1"/>
    <col min="5891" max="5892" width="20.5703125" style="577" customWidth="1"/>
    <col min="5893" max="6144" width="11.42578125" style="577"/>
    <col min="6145" max="6145" width="9.140625" style="577" customWidth="1"/>
    <col min="6146" max="6146" width="49" style="577" customWidth="1"/>
    <col min="6147" max="6148" width="20.5703125" style="577" customWidth="1"/>
    <col min="6149" max="6400" width="11.42578125" style="577"/>
    <col min="6401" max="6401" width="9.140625" style="577" customWidth="1"/>
    <col min="6402" max="6402" width="49" style="577" customWidth="1"/>
    <col min="6403" max="6404" width="20.5703125" style="577" customWidth="1"/>
    <col min="6405" max="6656" width="11.42578125" style="577"/>
    <col min="6657" max="6657" width="9.140625" style="577" customWidth="1"/>
    <col min="6658" max="6658" width="49" style="577" customWidth="1"/>
    <col min="6659" max="6660" width="20.5703125" style="577" customWidth="1"/>
    <col min="6661" max="6912" width="11.42578125" style="577"/>
    <col min="6913" max="6913" width="9.140625" style="577" customWidth="1"/>
    <col min="6914" max="6914" width="49" style="577" customWidth="1"/>
    <col min="6915" max="6916" width="20.5703125" style="577" customWidth="1"/>
    <col min="6917" max="7168" width="11.42578125" style="577"/>
    <col min="7169" max="7169" width="9.140625" style="577" customWidth="1"/>
    <col min="7170" max="7170" width="49" style="577" customWidth="1"/>
    <col min="7171" max="7172" width="20.5703125" style="577" customWidth="1"/>
    <col min="7173" max="7424" width="11.42578125" style="577"/>
    <col min="7425" max="7425" width="9.140625" style="577" customWidth="1"/>
    <col min="7426" max="7426" width="49" style="577" customWidth="1"/>
    <col min="7427" max="7428" width="20.5703125" style="577" customWidth="1"/>
    <col min="7429" max="7680" width="11.42578125" style="577"/>
    <col min="7681" max="7681" width="9.140625" style="577" customWidth="1"/>
    <col min="7682" max="7682" width="49" style="577" customWidth="1"/>
    <col min="7683" max="7684" width="20.5703125" style="577" customWidth="1"/>
    <col min="7685" max="7936" width="11.42578125" style="577"/>
    <col min="7937" max="7937" width="9.140625" style="577" customWidth="1"/>
    <col min="7938" max="7938" width="49" style="577" customWidth="1"/>
    <col min="7939" max="7940" width="20.5703125" style="577" customWidth="1"/>
    <col min="7941" max="8192" width="11.42578125" style="577"/>
    <col min="8193" max="8193" width="9.140625" style="577" customWidth="1"/>
    <col min="8194" max="8194" width="49" style="577" customWidth="1"/>
    <col min="8195" max="8196" width="20.5703125" style="577" customWidth="1"/>
    <col min="8197" max="8448" width="11.42578125" style="577"/>
    <col min="8449" max="8449" width="9.140625" style="577" customWidth="1"/>
    <col min="8450" max="8450" width="49" style="577" customWidth="1"/>
    <col min="8451" max="8452" width="20.5703125" style="577" customWidth="1"/>
    <col min="8453" max="8704" width="11.42578125" style="577"/>
    <col min="8705" max="8705" width="9.140625" style="577" customWidth="1"/>
    <col min="8706" max="8706" width="49" style="577" customWidth="1"/>
    <col min="8707" max="8708" width="20.5703125" style="577" customWidth="1"/>
    <col min="8709" max="8960" width="11.42578125" style="577"/>
    <col min="8961" max="8961" width="9.140625" style="577" customWidth="1"/>
    <col min="8962" max="8962" width="49" style="577" customWidth="1"/>
    <col min="8963" max="8964" width="20.5703125" style="577" customWidth="1"/>
    <col min="8965" max="9216" width="11.42578125" style="577"/>
    <col min="9217" max="9217" width="9.140625" style="577" customWidth="1"/>
    <col min="9218" max="9218" width="49" style="577" customWidth="1"/>
    <col min="9219" max="9220" width="20.5703125" style="577" customWidth="1"/>
    <col min="9221" max="9472" width="11.42578125" style="577"/>
    <col min="9473" max="9473" width="9.140625" style="577" customWidth="1"/>
    <col min="9474" max="9474" width="49" style="577" customWidth="1"/>
    <col min="9475" max="9476" width="20.5703125" style="577" customWidth="1"/>
    <col min="9477" max="9728" width="11.42578125" style="577"/>
    <col min="9729" max="9729" width="9.140625" style="577" customWidth="1"/>
    <col min="9730" max="9730" width="49" style="577" customWidth="1"/>
    <col min="9731" max="9732" width="20.5703125" style="577" customWidth="1"/>
    <col min="9733" max="9984" width="11.42578125" style="577"/>
    <col min="9985" max="9985" width="9.140625" style="577" customWidth="1"/>
    <col min="9986" max="9986" width="49" style="577" customWidth="1"/>
    <col min="9987" max="9988" width="20.5703125" style="577" customWidth="1"/>
    <col min="9989" max="10240" width="11.42578125" style="577"/>
    <col min="10241" max="10241" width="9.140625" style="577" customWidth="1"/>
    <col min="10242" max="10242" width="49" style="577" customWidth="1"/>
    <col min="10243" max="10244" width="20.5703125" style="577" customWidth="1"/>
    <col min="10245" max="10496" width="11.42578125" style="577"/>
    <col min="10497" max="10497" width="9.140625" style="577" customWidth="1"/>
    <col min="10498" max="10498" width="49" style="577" customWidth="1"/>
    <col min="10499" max="10500" width="20.5703125" style="577" customWidth="1"/>
    <col min="10501" max="10752" width="11.42578125" style="577"/>
    <col min="10753" max="10753" width="9.140625" style="577" customWidth="1"/>
    <col min="10754" max="10754" width="49" style="577" customWidth="1"/>
    <col min="10755" max="10756" width="20.5703125" style="577" customWidth="1"/>
    <col min="10757" max="11008" width="11.42578125" style="577"/>
    <col min="11009" max="11009" width="9.140625" style="577" customWidth="1"/>
    <col min="11010" max="11010" width="49" style="577" customWidth="1"/>
    <col min="11011" max="11012" width="20.5703125" style="577" customWidth="1"/>
    <col min="11013" max="11264" width="11.42578125" style="577"/>
    <col min="11265" max="11265" width="9.140625" style="577" customWidth="1"/>
    <col min="11266" max="11266" width="49" style="577" customWidth="1"/>
    <col min="11267" max="11268" width="20.5703125" style="577" customWidth="1"/>
    <col min="11269" max="11520" width="11.42578125" style="577"/>
    <col min="11521" max="11521" width="9.140625" style="577" customWidth="1"/>
    <col min="11522" max="11522" width="49" style="577" customWidth="1"/>
    <col min="11523" max="11524" width="20.5703125" style="577" customWidth="1"/>
    <col min="11525" max="11776" width="11.42578125" style="577"/>
    <col min="11777" max="11777" width="9.140625" style="577" customWidth="1"/>
    <col min="11778" max="11778" width="49" style="577" customWidth="1"/>
    <col min="11779" max="11780" width="20.5703125" style="577" customWidth="1"/>
    <col min="11781" max="12032" width="11.42578125" style="577"/>
    <col min="12033" max="12033" width="9.140625" style="577" customWidth="1"/>
    <col min="12034" max="12034" width="49" style="577" customWidth="1"/>
    <col min="12035" max="12036" width="20.5703125" style="577" customWidth="1"/>
    <col min="12037" max="12288" width="11.42578125" style="577"/>
    <col min="12289" max="12289" width="9.140625" style="577" customWidth="1"/>
    <col min="12290" max="12290" width="49" style="577" customWidth="1"/>
    <col min="12291" max="12292" width="20.5703125" style="577" customWidth="1"/>
    <col min="12293" max="12544" width="11.42578125" style="577"/>
    <col min="12545" max="12545" width="9.140625" style="577" customWidth="1"/>
    <col min="12546" max="12546" width="49" style="577" customWidth="1"/>
    <col min="12547" max="12548" width="20.5703125" style="577" customWidth="1"/>
    <col min="12549" max="12800" width="11.42578125" style="577"/>
    <col min="12801" max="12801" width="9.140625" style="577" customWidth="1"/>
    <col min="12802" max="12802" width="49" style="577" customWidth="1"/>
    <col min="12803" max="12804" width="20.5703125" style="577" customWidth="1"/>
    <col min="12805" max="13056" width="11.42578125" style="577"/>
    <col min="13057" max="13057" width="9.140625" style="577" customWidth="1"/>
    <col min="13058" max="13058" width="49" style="577" customWidth="1"/>
    <col min="13059" max="13060" width="20.5703125" style="577" customWidth="1"/>
    <col min="13061" max="13312" width="11.42578125" style="577"/>
    <col min="13313" max="13313" width="9.140625" style="577" customWidth="1"/>
    <col min="13314" max="13314" width="49" style="577" customWidth="1"/>
    <col min="13315" max="13316" width="20.5703125" style="577" customWidth="1"/>
    <col min="13317" max="13568" width="11.42578125" style="577"/>
    <col min="13569" max="13569" width="9.140625" style="577" customWidth="1"/>
    <col min="13570" max="13570" width="49" style="577" customWidth="1"/>
    <col min="13571" max="13572" width="20.5703125" style="577" customWidth="1"/>
    <col min="13573" max="13824" width="11.42578125" style="577"/>
    <col min="13825" max="13825" width="9.140625" style="577" customWidth="1"/>
    <col min="13826" max="13826" width="49" style="577" customWidth="1"/>
    <col min="13827" max="13828" width="20.5703125" style="577" customWidth="1"/>
    <col min="13829" max="14080" width="11.42578125" style="577"/>
    <col min="14081" max="14081" width="9.140625" style="577" customWidth="1"/>
    <col min="14082" max="14082" width="49" style="577" customWidth="1"/>
    <col min="14083" max="14084" width="20.5703125" style="577" customWidth="1"/>
    <col min="14085" max="14336" width="11.42578125" style="577"/>
    <col min="14337" max="14337" width="9.140625" style="577" customWidth="1"/>
    <col min="14338" max="14338" width="49" style="577" customWidth="1"/>
    <col min="14339" max="14340" width="20.5703125" style="577" customWidth="1"/>
    <col min="14341" max="14592" width="11.42578125" style="577"/>
    <col min="14593" max="14593" width="9.140625" style="577" customWidth="1"/>
    <col min="14594" max="14594" width="49" style="577" customWidth="1"/>
    <col min="14595" max="14596" width="20.5703125" style="577" customWidth="1"/>
    <col min="14597" max="14848" width="11.42578125" style="577"/>
    <col min="14849" max="14849" width="9.140625" style="577" customWidth="1"/>
    <col min="14850" max="14850" width="49" style="577" customWidth="1"/>
    <col min="14851" max="14852" width="20.5703125" style="577" customWidth="1"/>
    <col min="14853" max="15104" width="11.42578125" style="577"/>
    <col min="15105" max="15105" width="9.140625" style="577" customWidth="1"/>
    <col min="15106" max="15106" width="49" style="577" customWidth="1"/>
    <col min="15107" max="15108" width="20.5703125" style="577" customWidth="1"/>
    <col min="15109" max="15360" width="11.42578125" style="577"/>
    <col min="15361" max="15361" width="9.140625" style="577" customWidth="1"/>
    <col min="15362" max="15362" width="49" style="577" customWidth="1"/>
    <col min="15363" max="15364" width="20.5703125" style="577" customWidth="1"/>
    <col min="15365" max="15616" width="11.42578125" style="577"/>
    <col min="15617" max="15617" width="9.140625" style="577" customWidth="1"/>
    <col min="15618" max="15618" width="49" style="577" customWidth="1"/>
    <col min="15619" max="15620" width="20.5703125" style="577" customWidth="1"/>
    <col min="15621" max="15872" width="11.42578125" style="577"/>
    <col min="15873" max="15873" width="9.140625" style="577" customWidth="1"/>
    <col min="15874" max="15874" width="49" style="577" customWidth="1"/>
    <col min="15875" max="15876" width="20.5703125" style="577" customWidth="1"/>
    <col min="15877" max="16128" width="11.42578125" style="577"/>
    <col min="16129" max="16129" width="9.140625" style="577" customWidth="1"/>
    <col min="16130" max="16130" width="49" style="577" customWidth="1"/>
    <col min="16131" max="16132" width="20.5703125" style="577" customWidth="1"/>
    <col min="16133" max="16384" width="11.42578125" style="577"/>
  </cols>
  <sheetData>
    <row r="1" spans="1:7" ht="130.5" customHeight="1">
      <c r="A1" s="576"/>
      <c r="B1" s="576"/>
      <c r="C1" s="576"/>
      <c r="D1" s="576"/>
    </row>
    <row r="2" spans="1:7" s="579" customFormat="1">
      <c r="A2" s="869" t="s">
        <v>552</v>
      </c>
      <c r="B2" s="869"/>
      <c r="C2" s="869"/>
      <c r="D2" s="869"/>
      <c r="E2" s="578"/>
      <c r="F2" s="578"/>
      <c r="G2" s="578"/>
    </row>
    <row r="3" spans="1:7" s="579" customFormat="1">
      <c r="A3" s="869" t="s">
        <v>198</v>
      </c>
      <c r="B3" s="869"/>
      <c r="C3" s="869"/>
      <c r="D3" s="869"/>
      <c r="E3" s="578"/>
      <c r="F3" s="578"/>
      <c r="G3" s="578"/>
    </row>
    <row r="4" spans="1:7" s="579" customFormat="1" ht="15.75" customHeight="1" thickBot="1">
      <c r="A4" s="870" t="s">
        <v>569</v>
      </c>
      <c r="B4" s="870"/>
      <c r="C4" s="580" t="s">
        <v>247</v>
      </c>
      <c r="D4" s="580"/>
      <c r="E4" s="581"/>
      <c r="F4" s="581"/>
      <c r="G4" s="581"/>
    </row>
    <row r="5" spans="1:7" s="582" customFormat="1" ht="21" customHeight="1">
      <c r="A5" s="625"/>
      <c r="B5" s="626" t="s">
        <v>199</v>
      </c>
      <c r="C5" s="626" t="s">
        <v>200</v>
      </c>
      <c r="D5" s="626" t="s">
        <v>201</v>
      </c>
    </row>
    <row r="6" spans="1:7" s="579" customFormat="1">
      <c r="A6" s="627">
        <v>3000</v>
      </c>
      <c r="B6" s="628" t="s">
        <v>202</v>
      </c>
      <c r="C6" s="629">
        <f>SUM(C7+C33)</f>
        <v>35335128053</v>
      </c>
      <c r="D6" s="629">
        <f>SUM(D7+D33)</f>
        <v>39872461333</v>
      </c>
      <c r="E6" s="583" t="s">
        <v>247</v>
      </c>
    </row>
    <row r="7" spans="1:7" s="579" customFormat="1">
      <c r="A7" s="630">
        <v>3100</v>
      </c>
      <c r="B7" s="631" t="s">
        <v>203</v>
      </c>
      <c r="C7" s="632">
        <f>SUM(C8+C12)</f>
        <v>20533460100</v>
      </c>
      <c r="D7" s="632">
        <f>SUM(D8+D12)</f>
        <v>24024090712</v>
      </c>
    </row>
    <row r="8" spans="1:7" s="579" customFormat="1">
      <c r="A8" s="633">
        <v>3110</v>
      </c>
      <c r="B8" s="634" t="s">
        <v>204</v>
      </c>
      <c r="C8" s="635">
        <f>SUM(C9:C11)</f>
        <v>9133016496</v>
      </c>
      <c r="D8" s="635">
        <f>SUM(D9:D11)</f>
        <v>9048801721</v>
      </c>
    </row>
    <row r="9" spans="1:7" s="584" customFormat="1" ht="11.25">
      <c r="A9" s="636"/>
      <c r="B9" s="637" t="s">
        <v>205</v>
      </c>
      <c r="C9" s="638"/>
      <c r="D9" s="638"/>
    </row>
    <row r="10" spans="1:7" s="584" customFormat="1" ht="11.25">
      <c r="A10" s="636"/>
      <c r="B10" s="637" t="s">
        <v>206</v>
      </c>
      <c r="C10" s="638">
        <f>+'[6]INGRESOS A '!$D$9</f>
        <v>9133016496</v>
      </c>
      <c r="D10" s="638">
        <v>9048801721</v>
      </c>
    </row>
    <row r="11" spans="1:7" s="584" customFormat="1" ht="11.25">
      <c r="A11" s="636"/>
      <c r="B11" s="637" t="s">
        <v>207</v>
      </c>
      <c r="C11" s="638"/>
      <c r="D11" s="638"/>
    </row>
    <row r="12" spans="1:7" s="579" customFormat="1">
      <c r="A12" s="633">
        <v>3120</v>
      </c>
      <c r="B12" s="634" t="s">
        <v>208</v>
      </c>
      <c r="C12" s="635">
        <f>SUM(C13+C17+C18+C19+C20+C25)</f>
        <v>11400443604</v>
      </c>
      <c r="D12" s="635">
        <f>SUM(D13+D17+D18+D19+D20+D25)</f>
        <v>14975288991</v>
      </c>
    </row>
    <row r="13" spans="1:7" s="585" customFormat="1" ht="12">
      <c r="A13" s="636">
        <v>3121</v>
      </c>
      <c r="B13" s="639" t="s">
        <v>209</v>
      </c>
      <c r="C13" s="640">
        <f>SUM(C14:C16)</f>
        <v>907653683</v>
      </c>
      <c r="D13" s="640">
        <f>SUM(D14:D16)</f>
        <v>1195494047</v>
      </c>
    </row>
    <row r="14" spans="1:7" s="584" customFormat="1" ht="11.25">
      <c r="A14" s="636"/>
      <c r="B14" s="637" t="s">
        <v>209</v>
      </c>
      <c r="C14" s="638">
        <v>0</v>
      </c>
      <c r="D14" s="638">
        <v>0</v>
      </c>
    </row>
    <row r="15" spans="1:7" s="584" customFormat="1" ht="11.25">
      <c r="A15" s="636"/>
      <c r="B15" s="637" t="s">
        <v>210</v>
      </c>
      <c r="C15" s="638">
        <f>+'[6]INGRESOS A '!$D$17</f>
        <v>907653683</v>
      </c>
      <c r="D15" s="638">
        <v>1195494047</v>
      </c>
    </row>
    <row r="16" spans="1:7" s="584" customFormat="1" ht="11.25">
      <c r="A16" s="636"/>
      <c r="B16" s="637" t="s">
        <v>211</v>
      </c>
      <c r="C16" s="638">
        <v>0</v>
      </c>
      <c r="D16" s="638">
        <v>0</v>
      </c>
    </row>
    <row r="17" spans="1:4" s="585" customFormat="1" ht="12">
      <c r="A17" s="636">
        <v>3123</v>
      </c>
      <c r="B17" s="639" t="s">
        <v>212</v>
      </c>
      <c r="C17" s="640">
        <v>0</v>
      </c>
      <c r="D17" s="640">
        <v>0</v>
      </c>
    </row>
    <row r="18" spans="1:4" s="585" customFormat="1" ht="12">
      <c r="A18" s="636">
        <v>3124</v>
      </c>
      <c r="B18" s="639" t="s">
        <v>213</v>
      </c>
      <c r="C18" s="640">
        <v>0</v>
      </c>
      <c r="D18" s="640">
        <v>0</v>
      </c>
    </row>
    <row r="19" spans="1:4" s="585" customFormat="1" ht="12">
      <c r="A19" s="636">
        <v>3125</v>
      </c>
      <c r="B19" s="639" t="s">
        <v>214</v>
      </c>
      <c r="C19" s="640">
        <v>0</v>
      </c>
      <c r="D19" s="640">
        <v>0</v>
      </c>
    </row>
    <row r="20" spans="1:4" s="585" customFormat="1" ht="12">
      <c r="A20" s="636">
        <v>3126</v>
      </c>
      <c r="B20" s="639" t="s">
        <v>215</v>
      </c>
      <c r="C20" s="640">
        <f>SUM(C21:C24)</f>
        <v>7636056872</v>
      </c>
      <c r="D20" s="640">
        <f>SUM(D21:D24)</f>
        <v>10347358335</v>
      </c>
    </row>
    <row r="21" spans="1:4" s="584" customFormat="1" ht="11.25">
      <c r="A21" s="636"/>
      <c r="B21" s="637" t="s">
        <v>216</v>
      </c>
      <c r="C21" s="638">
        <f>+'[6]INGRESOS A '!$D$18</f>
        <v>7195334584</v>
      </c>
      <c r="D21" s="638">
        <v>9853737859</v>
      </c>
    </row>
    <row r="22" spans="1:4" s="584" customFormat="1" ht="11.25">
      <c r="A22" s="636"/>
      <c r="B22" s="637" t="s">
        <v>217</v>
      </c>
      <c r="C22" s="638"/>
      <c r="D22" s="638"/>
    </row>
    <row r="23" spans="1:4" s="584" customFormat="1" ht="11.25">
      <c r="A23" s="636"/>
      <c r="B23" s="637" t="s">
        <v>218</v>
      </c>
      <c r="C23" s="638">
        <v>440722288</v>
      </c>
      <c r="D23" s="638">
        <v>493620476</v>
      </c>
    </row>
    <row r="24" spans="1:4" s="584" customFormat="1" ht="11.25">
      <c r="A24" s="636"/>
      <c r="B24" s="637" t="s">
        <v>219</v>
      </c>
      <c r="C24" s="638">
        <v>0</v>
      </c>
      <c r="D24" s="638">
        <v>0</v>
      </c>
    </row>
    <row r="25" spans="1:4" s="585" customFormat="1" ht="12">
      <c r="A25" s="636">
        <v>3128</v>
      </c>
      <c r="B25" s="639" t="s">
        <v>220</v>
      </c>
      <c r="C25" s="640">
        <f>SUM(C26:C32)</f>
        <v>2856733049</v>
      </c>
      <c r="D25" s="640">
        <f>SUM(D26:D32)</f>
        <v>3432436609</v>
      </c>
    </row>
    <row r="26" spans="1:4" s="584" customFormat="1" ht="11.25">
      <c r="A26" s="636"/>
      <c r="B26" s="637" t="s">
        <v>221</v>
      </c>
      <c r="C26" s="638">
        <f>+'[6]INGRESOS A '!$D$14</f>
        <v>1070506847</v>
      </c>
      <c r="D26" s="638">
        <v>1370111793</v>
      </c>
    </row>
    <row r="27" spans="1:4" s="584" customFormat="1" ht="11.25">
      <c r="A27" s="636"/>
      <c r="B27" s="637" t="s">
        <v>222</v>
      </c>
      <c r="C27" s="638"/>
      <c r="D27" s="638"/>
    </row>
    <row r="28" spans="1:4" s="584" customFormat="1" ht="11.25">
      <c r="A28" s="636"/>
      <c r="B28" s="637" t="s">
        <v>223</v>
      </c>
      <c r="C28" s="638">
        <f>+'[6]INGRESOS A '!$F$13</f>
        <v>1324022079</v>
      </c>
      <c r="D28" s="638">
        <v>1434972675</v>
      </c>
    </row>
    <row r="29" spans="1:4" s="584" customFormat="1" ht="11.25">
      <c r="A29" s="636"/>
      <c r="B29" s="637" t="s">
        <v>224</v>
      </c>
      <c r="C29" s="638">
        <f>+'[6]INGRESOS A '!$D$16</f>
        <v>253747000</v>
      </c>
      <c r="D29" s="638">
        <v>401208601</v>
      </c>
    </row>
    <row r="30" spans="1:4" s="584" customFormat="1" ht="11.25">
      <c r="A30" s="636"/>
      <c r="B30" s="637" t="s">
        <v>225</v>
      </c>
      <c r="C30" s="638"/>
      <c r="D30" s="638"/>
    </row>
    <row r="31" spans="1:4" s="584" customFormat="1" ht="11.25">
      <c r="A31" s="636"/>
      <c r="B31" s="637" t="s">
        <v>226</v>
      </c>
      <c r="C31" s="638">
        <f>+'[6]INGRESOS A '!$D$15</f>
        <v>151754308</v>
      </c>
      <c r="D31" s="638">
        <v>36672147</v>
      </c>
    </row>
    <row r="32" spans="1:4" s="584" customFormat="1" ht="11.25">
      <c r="A32" s="636"/>
      <c r="B32" s="637" t="s">
        <v>220</v>
      </c>
      <c r="C32" s="638">
        <f>+'[6]INGRESOS A '!$D$19</f>
        <v>56702815</v>
      </c>
      <c r="D32" s="638">
        <v>189471393</v>
      </c>
    </row>
    <row r="33" spans="1:4" s="579" customFormat="1">
      <c r="A33" s="630">
        <v>3200</v>
      </c>
      <c r="B33" s="631" t="s">
        <v>227</v>
      </c>
      <c r="C33" s="632">
        <f>SUM(C34+C37+C40+C41+C47+C48)</f>
        <v>14801667953</v>
      </c>
      <c r="D33" s="632">
        <f>SUM(D34+D37+D40+D41+D47+D48)</f>
        <v>15848370621</v>
      </c>
    </row>
    <row r="34" spans="1:4" s="585" customFormat="1" ht="12">
      <c r="A34" s="636">
        <v>3210</v>
      </c>
      <c r="B34" s="641" t="s">
        <v>228</v>
      </c>
      <c r="C34" s="642">
        <v>0</v>
      </c>
      <c r="D34" s="642">
        <v>0</v>
      </c>
    </row>
    <row r="35" spans="1:4" s="584" customFormat="1" ht="11.25">
      <c r="A35" s="643">
        <v>3211</v>
      </c>
      <c r="B35" s="637" t="s">
        <v>229</v>
      </c>
      <c r="C35" s="638">
        <v>0</v>
      </c>
      <c r="D35" s="638">
        <v>0</v>
      </c>
    </row>
    <row r="36" spans="1:4" s="584" customFormat="1" ht="11.25">
      <c r="A36" s="643">
        <v>3212</v>
      </c>
      <c r="B36" s="637" t="s">
        <v>230</v>
      </c>
      <c r="C36" s="638">
        <v>0</v>
      </c>
      <c r="D36" s="638">
        <v>0</v>
      </c>
    </row>
    <row r="37" spans="1:4" s="585" customFormat="1" ht="12">
      <c r="A37" s="636">
        <v>3220</v>
      </c>
      <c r="B37" s="641" t="s">
        <v>231</v>
      </c>
      <c r="C37" s="642">
        <v>0</v>
      </c>
      <c r="D37" s="642">
        <v>0</v>
      </c>
    </row>
    <row r="38" spans="1:4" s="584" customFormat="1" ht="11.25">
      <c r="A38" s="643">
        <v>3221</v>
      </c>
      <c r="B38" s="637" t="s">
        <v>229</v>
      </c>
      <c r="C38" s="638">
        <v>0</v>
      </c>
      <c r="D38" s="638">
        <v>0</v>
      </c>
    </row>
    <row r="39" spans="1:4" s="584" customFormat="1" ht="11.25">
      <c r="A39" s="643">
        <v>3222</v>
      </c>
      <c r="B39" s="637" t="s">
        <v>230</v>
      </c>
      <c r="C39" s="638">
        <v>0</v>
      </c>
      <c r="D39" s="638">
        <v>0</v>
      </c>
    </row>
    <row r="40" spans="1:4" s="585" customFormat="1" ht="12">
      <c r="A40" s="636">
        <v>3230</v>
      </c>
      <c r="B40" s="641" t="s">
        <v>232</v>
      </c>
      <c r="C40" s="644">
        <f>+'[6]INGRESOS A '!$D$32</f>
        <v>720000000</v>
      </c>
      <c r="D40" s="644">
        <v>645309163</v>
      </c>
    </row>
    <row r="41" spans="1:4" s="585" customFormat="1" ht="12">
      <c r="A41" s="636">
        <v>3250</v>
      </c>
      <c r="B41" s="641" t="s">
        <v>233</v>
      </c>
      <c r="C41" s="644">
        <f>SUM(C42:C46)</f>
        <v>14081667953</v>
      </c>
      <c r="D41" s="644">
        <f>SUM(D42:D46)</f>
        <v>15203061458</v>
      </c>
    </row>
    <row r="42" spans="1:4" s="584" customFormat="1" ht="11.25">
      <c r="A42" s="643">
        <v>3251</v>
      </c>
      <c r="B42" s="637" t="s">
        <v>234</v>
      </c>
      <c r="C42" s="638">
        <v>0</v>
      </c>
      <c r="D42" s="638">
        <v>0</v>
      </c>
    </row>
    <row r="43" spans="1:4" s="584" customFormat="1" ht="11.25">
      <c r="A43" s="643">
        <v>3252</v>
      </c>
      <c r="B43" s="637" t="s">
        <v>235</v>
      </c>
      <c r="C43" s="638">
        <f>+'[6]INGRESOS A '!$E$30-1</f>
        <v>5210149324</v>
      </c>
      <c r="D43" s="638">
        <f>+C43</f>
        <v>5210149324</v>
      </c>
    </row>
    <row r="44" spans="1:4" s="584" customFormat="1" ht="11.25">
      <c r="A44" s="643">
        <v>3253</v>
      </c>
      <c r="B44" s="637" t="s">
        <v>236</v>
      </c>
      <c r="C44" s="638">
        <f>+'[6]INGRESOS A '!$E$31</f>
        <v>4828952214</v>
      </c>
      <c r="D44" s="638">
        <f>+C44</f>
        <v>4828952214</v>
      </c>
    </row>
    <row r="45" spans="1:4" s="584" customFormat="1" ht="11.25">
      <c r="A45" s="643">
        <v>3254</v>
      </c>
      <c r="B45" s="637" t="s">
        <v>237</v>
      </c>
      <c r="C45" s="638">
        <f>+'[6]INGRESOS A '!$D$33</f>
        <v>4042566415</v>
      </c>
      <c r="D45" s="638">
        <v>5163959920</v>
      </c>
    </row>
    <row r="46" spans="1:4" s="584" customFormat="1" ht="11.25">
      <c r="A46" s="643">
        <v>3255</v>
      </c>
      <c r="B46" s="637" t="s">
        <v>238</v>
      </c>
      <c r="C46" s="638">
        <v>0</v>
      </c>
      <c r="D46" s="638">
        <v>0</v>
      </c>
    </row>
    <row r="47" spans="1:4" s="585" customFormat="1" ht="12">
      <c r="A47" s="636">
        <v>3260</v>
      </c>
      <c r="B47" s="641" t="s">
        <v>239</v>
      </c>
      <c r="C47" s="642">
        <v>0</v>
      </c>
      <c r="D47" s="642">
        <v>0</v>
      </c>
    </row>
    <row r="48" spans="1:4" s="579" customFormat="1">
      <c r="A48" s="630">
        <v>3500</v>
      </c>
      <c r="B48" s="631" t="s">
        <v>240</v>
      </c>
      <c r="C48" s="632">
        <v>0</v>
      </c>
      <c r="D48" s="632">
        <v>0</v>
      </c>
    </row>
    <row r="49" spans="1:5" s="579" customFormat="1">
      <c r="A49" s="627">
        <v>4000</v>
      </c>
      <c r="B49" s="645" t="s">
        <v>241</v>
      </c>
      <c r="C49" s="629">
        <f>SUM(C50:C53)</f>
        <v>6709696189</v>
      </c>
      <c r="D49" s="629">
        <f>SUM(D50:D53)</f>
        <v>1898941563</v>
      </c>
    </row>
    <row r="50" spans="1:5" s="585" customFormat="1" ht="12">
      <c r="A50" s="646">
        <v>4100</v>
      </c>
      <c r="B50" s="647" t="s">
        <v>242</v>
      </c>
      <c r="C50" s="648">
        <f>3209696189-1074086189</f>
        <v>2135610000</v>
      </c>
      <c r="D50" s="648">
        <v>1898941563</v>
      </c>
    </row>
    <row r="51" spans="1:5" s="585" customFormat="1" ht="12">
      <c r="A51" s="646">
        <v>4200</v>
      </c>
      <c r="B51" s="647" t="s">
        <v>243</v>
      </c>
      <c r="C51" s="649">
        <v>0</v>
      </c>
      <c r="D51" s="649">
        <v>0</v>
      </c>
    </row>
    <row r="52" spans="1:5" s="585" customFormat="1" ht="12">
      <c r="A52" s="646">
        <v>4300</v>
      </c>
      <c r="B52" s="647" t="s">
        <v>244</v>
      </c>
      <c r="C52" s="649">
        <v>4574086189</v>
      </c>
      <c r="D52" s="649">
        <v>0</v>
      </c>
      <c r="E52" s="585" t="s">
        <v>553</v>
      </c>
    </row>
    <row r="53" spans="1:5" s="579" customFormat="1">
      <c r="A53" s="646">
        <v>41001</v>
      </c>
      <c r="B53" s="647" t="s">
        <v>245</v>
      </c>
      <c r="C53" s="649">
        <v>0</v>
      </c>
      <c r="D53" s="649">
        <v>0</v>
      </c>
    </row>
    <row r="54" spans="1:5" ht="23.25" customHeight="1">
      <c r="A54" s="627"/>
      <c r="B54" s="627" t="s">
        <v>246</v>
      </c>
      <c r="C54" s="629">
        <f>SUM(C6+C49)</f>
        <v>42044824242</v>
      </c>
      <c r="D54" s="629">
        <f>SUM(D6+D49)</f>
        <v>41771402896</v>
      </c>
    </row>
    <row r="55" spans="1:5" ht="7.5" customHeight="1"/>
    <row r="56" spans="1:5">
      <c r="C56" s="586" t="s">
        <v>247</v>
      </c>
    </row>
    <row r="57" spans="1:5">
      <c r="C57" s="586" t="s">
        <v>247</v>
      </c>
    </row>
  </sheetData>
  <mergeCells count="3">
    <mergeCell ref="A2:D2"/>
    <mergeCell ref="A3:D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2" workbookViewId="0"/>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881"/>
      <c r="C1" s="881"/>
      <c r="D1" s="881"/>
      <c r="E1" s="881"/>
      <c r="F1" s="881"/>
      <c r="G1" s="881"/>
      <c r="H1" s="881"/>
      <c r="I1" s="881"/>
      <c r="J1" s="881"/>
      <c r="K1" s="881"/>
      <c r="L1" s="881"/>
      <c r="M1" s="882"/>
    </row>
    <row r="2" spans="1:14" ht="23.25">
      <c r="A2" s="21"/>
      <c r="B2" s="883"/>
      <c r="C2" s="883"/>
      <c r="D2" s="883"/>
      <c r="E2" s="883"/>
      <c r="F2" s="883"/>
      <c r="G2" s="883"/>
      <c r="H2" s="883"/>
      <c r="I2" s="883"/>
      <c r="J2" s="883"/>
      <c r="K2" s="883"/>
      <c r="L2" s="883"/>
      <c r="M2" s="884"/>
    </row>
    <row r="3" spans="1:14" ht="24" thickBot="1">
      <c r="A3" s="21"/>
      <c r="B3" s="883" t="s">
        <v>2</v>
      </c>
      <c r="C3" s="883"/>
      <c r="D3" s="883"/>
      <c r="E3" s="883"/>
      <c r="F3" s="883"/>
      <c r="G3" s="883"/>
      <c r="H3" s="883"/>
      <c r="I3" s="883"/>
      <c r="J3" s="883"/>
      <c r="K3" s="883"/>
      <c r="L3" s="883"/>
      <c r="M3" s="884"/>
    </row>
    <row r="4" spans="1:14" ht="24" hidden="1" thickBot="1">
      <c r="A4" s="21"/>
      <c r="B4" s="885" t="s">
        <v>161</v>
      </c>
      <c r="C4" s="885"/>
      <c r="D4" s="885"/>
      <c r="E4" s="885"/>
      <c r="F4" s="885"/>
      <c r="G4" s="885"/>
      <c r="H4" s="885"/>
      <c r="I4" s="885"/>
      <c r="J4" s="885"/>
      <c r="K4" s="885"/>
      <c r="L4" s="885"/>
      <c r="M4" s="886"/>
    </row>
    <row r="5" spans="1:14" ht="30.75" hidden="1" thickBot="1">
      <c r="A5" s="21"/>
      <c r="B5" s="17"/>
      <c r="C5" s="17"/>
      <c r="D5" s="17"/>
      <c r="E5" s="17"/>
      <c r="F5" s="17"/>
      <c r="G5" s="17"/>
      <c r="H5" s="17"/>
      <c r="I5" s="17"/>
      <c r="J5" s="17"/>
      <c r="K5" s="17"/>
      <c r="L5" s="17"/>
      <c r="M5" s="32"/>
    </row>
    <row r="6" spans="1:14" ht="20.25">
      <c r="A6" s="18"/>
      <c r="B6" s="19" t="s">
        <v>87</v>
      </c>
      <c r="C6" s="19" t="s">
        <v>88</v>
      </c>
      <c r="D6" s="19"/>
      <c r="E6" s="19" t="s">
        <v>87</v>
      </c>
      <c r="F6" s="19" t="s">
        <v>89</v>
      </c>
      <c r="G6" s="19" t="s">
        <v>90</v>
      </c>
      <c r="H6" s="19" t="s">
        <v>91</v>
      </c>
      <c r="I6" s="19" t="s">
        <v>92</v>
      </c>
      <c r="J6" s="19" t="s">
        <v>93</v>
      </c>
      <c r="K6" s="19" t="s">
        <v>94</v>
      </c>
      <c r="L6" s="19" t="s">
        <v>95</v>
      </c>
      <c r="M6" s="35" t="s">
        <v>164</v>
      </c>
    </row>
    <row r="7" spans="1:14" ht="126.75" customHeight="1">
      <c r="A7" s="52" t="s">
        <v>3</v>
      </c>
      <c r="B7" s="42" t="s">
        <v>4</v>
      </c>
      <c r="C7" s="22" t="s">
        <v>173</v>
      </c>
      <c r="D7" s="34" t="s">
        <v>174</v>
      </c>
      <c r="E7" s="34" t="s">
        <v>96</v>
      </c>
      <c r="F7" s="33" t="s">
        <v>153</v>
      </c>
      <c r="G7" s="33" t="s">
        <v>154</v>
      </c>
      <c r="H7" s="33" t="s">
        <v>155</v>
      </c>
      <c r="I7" s="33" t="s">
        <v>197</v>
      </c>
      <c r="J7" s="33" t="s">
        <v>156</v>
      </c>
      <c r="K7" s="33" t="s">
        <v>97</v>
      </c>
      <c r="L7" s="33" t="s">
        <v>98</v>
      </c>
      <c r="M7" s="26" t="s">
        <v>99</v>
      </c>
    </row>
    <row r="8" spans="1:14" ht="21.75" customHeight="1">
      <c r="A8" s="887" t="s">
        <v>17</v>
      </c>
      <c r="B8" s="888"/>
      <c r="C8" s="888"/>
      <c r="D8" s="888"/>
      <c r="E8" s="888"/>
      <c r="F8" s="888"/>
      <c r="G8" s="888"/>
      <c r="H8" s="888"/>
      <c r="I8" s="888"/>
      <c r="J8" s="888"/>
      <c r="K8" s="888"/>
      <c r="L8" s="888"/>
      <c r="M8" s="889"/>
    </row>
    <row r="9" spans="1:14" ht="129" customHeight="1">
      <c r="A9" s="39">
        <v>1</v>
      </c>
      <c r="B9" s="38" t="s">
        <v>100</v>
      </c>
      <c r="C9" s="40" t="s">
        <v>142</v>
      </c>
      <c r="D9" s="41">
        <v>106414</v>
      </c>
      <c r="E9" s="41" t="s">
        <v>126</v>
      </c>
      <c r="F9" s="41">
        <v>0</v>
      </c>
      <c r="G9" s="41">
        <v>56864</v>
      </c>
      <c r="H9" s="41">
        <v>50949</v>
      </c>
      <c r="I9" s="41">
        <v>3000</v>
      </c>
      <c r="J9" s="41">
        <f>AVERAGE(F9:I9)</f>
        <v>27703.25</v>
      </c>
      <c r="K9" s="42"/>
      <c r="L9" s="42"/>
      <c r="M9" s="43" t="s">
        <v>175</v>
      </c>
      <c r="N9" s="57"/>
    </row>
    <row r="10" spans="1:14" ht="51" customHeight="1">
      <c r="A10" s="39">
        <f>A9+1</f>
        <v>2</v>
      </c>
      <c r="B10" s="38" t="s">
        <v>101</v>
      </c>
      <c r="C10" s="40" t="s">
        <v>142</v>
      </c>
      <c r="D10" s="41">
        <f>+'[8]acumulado a dic 2014'!$C$8</f>
        <v>330314</v>
      </c>
      <c r="E10" s="41" t="s">
        <v>126</v>
      </c>
      <c r="F10" s="53">
        <v>330314</v>
      </c>
      <c r="G10" s="53">
        <v>330314</v>
      </c>
      <c r="H10" s="53">
        <v>330314</v>
      </c>
      <c r="I10" s="53">
        <v>300000</v>
      </c>
      <c r="J10" s="53">
        <f>AVERAGE(F10:I10)</f>
        <v>322735.5</v>
      </c>
      <c r="K10" s="44"/>
      <c r="L10" s="42"/>
      <c r="M10" s="45"/>
    </row>
    <row r="11" spans="1:14" ht="24.75" customHeight="1">
      <c r="A11" s="878" t="s">
        <v>143</v>
      </c>
      <c r="B11" s="879"/>
      <c r="C11" s="879"/>
      <c r="D11" s="879"/>
      <c r="E11" s="879"/>
      <c r="F11" s="879"/>
      <c r="G11" s="879"/>
      <c r="H11" s="879"/>
      <c r="I11" s="879"/>
      <c r="J11" s="879"/>
      <c r="K11" s="879"/>
      <c r="L11" s="879"/>
      <c r="M11" s="880"/>
    </row>
    <row r="12" spans="1:14" ht="106.5" customHeight="1">
      <c r="A12" s="39">
        <v>3</v>
      </c>
      <c r="B12" s="38" t="s">
        <v>102</v>
      </c>
      <c r="C12" s="40">
        <v>4.0999999999999996</v>
      </c>
      <c r="D12" s="41">
        <f>+'[8]acumulado a dic 2014'!$C$96</f>
        <v>100</v>
      </c>
      <c r="E12" s="24" t="s">
        <v>176</v>
      </c>
      <c r="F12" s="53">
        <v>0</v>
      </c>
      <c r="G12" s="53">
        <v>0</v>
      </c>
      <c r="H12" s="53">
        <v>20</v>
      </c>
      <c r="I12" s="53">
        <v>25</v>
      </c>
      <c r="J12" s="53">
        <f>AVERAGE(F12:I12)</f>
        <v>11.25</v>
      </c>
      <c r="K12" s="42"/>
      <c r="L12" s="42"/>
      <c r="M12" s="43" t="s">
        <v>195</v>
      </c>
    </row>
    <row r="13" spans="1:14" ht="35.25" customHeight="1">
      <c r="A13" s="39">
        <v>4</v>
      </c>
      <c r="B13" s="38" t="s">
        <v>145</v>
      </c>
      <c r="C13" s="40">
        <v>1.1000000000000001</v>
      </c>
      <c r="D13" s="41">
        <f>+'[8]acumulado a dic 2014'!$C$9</f>
        <v>120000</v>
      </c>
      <c r="E13" s="41" t="s">
        <v>126</v>
      </c>
      <c r="F13" s="53">
        <v>20000</v>
      </c>
      <c r="G13" s="53">
        <v>40000</v>
      </c>
      <c r="H13" s="53">
        <v>30000</v>
      </c>
      <c r="I13" s="53">
        <v>15000</v>
      </c>
      <c r="J13" s="53">
        <f>AVERAGE(F13:I13)</f>
        <v>26250</v>
      </c>
      <c r="K13" s="42"/>
      <c r="L13" s="42"/>
      <c r="M13" s="45"/>
    </row>
    <row r="14" spans="1:14" ht="54.75" customHeight="1">
      <c r="A14" s="39">
        <v>4</v>
      </c>
      <c r="B14" s="38" t="s">
        <v>146</v>
      </c>
      <c r="C14" s="40">
        <v>1.1000000000000001</v>
      </c>
      <c r="D14" s="41">
        <f>+'[8]acumulado a dic 2014'!$C$10</f>
        <v>4145</v>
      </c>
      <c r="E14" s="41" t="s">
        <v>126</v>
      </c>
      <c r="F14" s="53">
        <v>4145</v>
      </c>
      <c r="G14" s="53">
        <v>4145</v>
      </c>
      <c r="H14" s="53">
        <v>4145</v>
      </c>
      <c r="I14" s="53">
        <v>2000</v>
      </c>
      <c r="J14" s="53">
        <f>AVERAGE(F14:I14)</f>
        <v>3608.75</v>
      </c>
      <c r="K14" s="41"/>
      <c r="L14" s="42"/>
      <c r="M14" s="45"/>
    </row>
    <row r="15" spans="1:14" ht="60.75" customHeight="1">
      <c r="A15" s="39">
        <v>4</v>
      </c>
      <c r="B15" s="38" t="s">
        <v>147</v>
      </c>
      <c r="C15" s="40">
        <v>1.2</v>
      </c>
      <c r="D15" s="41">
        <f>+'[8]acumulado a dic 2014'!$C$20</f>
        <v>35356</v>
      </c>
      <c r="E15" s="41" t="s">
        <v>126</v>
      </c>
      <c r="F15" s="53">
        <v>35356</v>
      </c>
      <c r="G15" s="53">
        <v>35356</v>
      </c>
      <c r="H15" s="53">
        <v>35356</v>
      </c>
      <c r="I15" s="53">
        <v>35356</v>
      </c>
      <c r="J15" s="53">
        <f>AVERAGE(F15:I15)</f>
        <v>35356</v>
      </c>
      <c r="K15" s="42"/>
      <c r="L15" s="42"/>
      <c r="M15" s="43"/>
    </row>
    <row r="16" spans="1:14" ht="25.5" customHeight="1">
      <c r="A16" s="878" t="s">
        <v>18</v>
      </c>
      <c r="B16" s="879"/>
      <c r="C16" s="879"/>
      <c r="D16" s="879"/>
      <c r="E16" s="879"/>
      <c r="F16" s="879"/>
      <c r="G16" s="879"/>
      <c r="H16" s="879"/>
      <c r="I16" s="879"/>
      <c r="J16" s="879"/>
      <c r="K16" s="879"/>
      <c r="L16" s="879"/>
      <c r="M16" s="880"/>
    </row>
    <row r="17" spans="1:14" ht="54.75" customHeight="1">
      <c r="A17" s="39">
        <v>5</v>
      </c>
      <c r="B17" s="38" t="s">
        <v>103</v>
      </c>
      <c r="C17" s="40" t="s">
        <v>142</v>
      </c>
      <c r="D17" s="40">
        <v>3</v>
      </c>
      <c r="E17" s="41" t="s">
        <v>133</v>
      </c>
      <c r="F17" s="53">
        <v>3</v>
      </c>
      <c r="G17" s="53">
        <v>3</v>
      </c>
      <c r="H17" s="53">
        <v>3</v>
      </c>
      <c r="I17" s="53">
        <v>3</v>
      </c>
      <c r="J17" s="53">
        <f>AVERAGE(F17:I17)</f>
        <v>3</v>
      </c>
      <c r="K17" s="42"/>
      <c r="L17" s="42"/>
      <c r="M17" s="45"/>
    </row>
    <row r="18" spans="1:14" ht="25.5" customHeight="1">
      <c r="A18" s="878" t="s">
        <v>19</v>
      </c>
      <c r="B18" s="879"/>
      <c r="C18" s="879"/>
      <c r="D18" s="879"/>
      <c r="E18" s="879"/>
      <c r="F18" s="879"/>
      <c r="G18" s="879"/>
      <c r="H18" s="879"/>
      <c r="I18" s="879"/>
      <c r="J18" s="879"/>
      <c r="K18" s="879"/>
      <c r="L18" s="879"/>
      <c r="M18" s="880"/>
    </row>
    <row r="19" spans="1:14" ht="217.5" customHeight="1">
      <c r="A19" s="39">
        <v>6</v>
      </c>
      <c r="B19" s="38" t="s">
        <v>104</v>
      </c>
      <c r="C19" s="40" t="s">
        <v>157</v>
      </c>
      <c r="D19" s="41">
        <f>+'[8]acumulado a dic 2014'!$C$34</f>
        <v>2</v>
      </c>
      <c r="E19" s="41" t="s">
        <v>127</v>
      </c>
      <c r="F19" s="53">
        <v>0</v>
      </c>
      <c r="G19" s="53">
        <v>1</v>
      </c>
      <c r="H19" s="53">
        <v>1</v>
      </c>
      <c r="I19" s="53">
        <v>0</v>
      </c>
      <c r="J19" s="53">
        <f t="shared" ref="J19:J24" si="0">AVERAGE(F19:I19)</f>
        <v>0.5</v>
      </c>
      <c r="K19" s="42"/>
      <c r="L19" s="42"/>
      <c r="M19" s="43" t="s">
        <v>196</v>
      </c>
      <c r="N19" s="70"/>
    </row>
    <row r="20" spans="1:14" ht="51.75" customHeight="1">
      <c r="A20" s="39">
        <f>A19+1</f>
        <v>7</v>
      </c>
      <c r="B20" s="38" t="s">
        <v>105</v>
      </c>
      <c r="C20" s="40" t="s">
        <v>157</v>
      </c>
      <c r="D20" s="40">
        <v>6</v>
      </c>
      <c r="E20" s="41" t="s">
        <v>127</v>
      </c>
      <c r="F20" s="53">
        <v>6</v>
      </c>
      <c r="G20" s="53">
        <v>6</v>
      </c>
      <c r="H20" s="53">
        <v>6</v>
      </c>
      <c r="I20" s="53">
        <v>6</v>
      </c>
      <c r="J20" s="53">
        <f t="shared" si="0"/>
        <v>6</v>
      </c>
      <c r="K20" s="42"/>
      <c r="L20" s="42"/>
      <c r="M20" s="69"/>
    </row>
    <row r="21" spans="1:14" ht="51.75" customHeight="1">
      <c r="A21" s="39">
        <f>A20+1</f>
        <v>8</v>
      </c>
      <c r="B21" s="38" t="s">
        <v>158</v>
      </c>
      <c r="C21" s="40" t="s">
        <v>148</v>
      </c>
      <c r="D21" s="41">
        <f>+'[8]acumulado a dic 2014'!$C$38</f>
        <v>392</v>
      </c>
      <c r="E21" s="41" t="s">
        <v>126</v>
      </c>
      <c r="F21" s="53">
        <v>45</v>
      </c>
      <c r="G21" s="53">
        <v>160</v>
      </c>
      <c r="H21" s="53">
        <v>80</v>
      </c>
      <c r="I21" s="53">
        <v>0</v>
      </c>
      <c r="J21" s="53">
        <f t="shared" si="0"/>
        <v>71.25</v>
      </c>
      <c r="K21" s="42"/>
      <c r="L21" s="42"/>
      <c r="M21" s="45"/>
    </row>
    <row r="22" spans="1:14" ht="148.5" customHeight="1">
      <c r="A22" s="39"/>
      <c r="B22" s="38" t="s">
        <v>166</v>
      </c>
      <c r="C22" s="40" t="s">
        <v>148</v>
      </c>
      <c r="D22" s="41">
        <f>+'[8]acumulado a dic 2014'!$C$40</f>
        <v>2981</v>
      </c>
      <c r="E22" s="41" t="s">
        <v>126</v>
      </c>
      <c r="F22" s="53">
        <v>276</v>
      </c>
      <c r="G22" s="53">
        <v>1681</v>
      </c>
      <c r="H22" s="53">
        <v>6345</v>
      </c>
      <c r="I22" s="53">
        <v>0</v>
      </c>
      <c r="J22" s="53">
        <f t="shared" si="0"/>
        <v>2075.5</v>
      </c>
      <c r="K22" s="42"/>
      <c r="L22" s="42"/>
      <c r="M22" s="43" t="s">
        <v>177</v>
      </c>
    </row>
    <row r="23" spans="1:14" ht="59.25" customHeight="1">
      <c r="A23" s="39">
        <f>A21+1</f>
        <v>9</v>
      </c>
      <c r="B23" s="38" t="s">
        <v>159</v>
      </c>
      <c r="C23" s="40" t="s">
        <v>148</v>
      </c>
      <c r="D23" s="41">
        <f>+'[8]acumulado a dic 2014'!$C$39</f>
        <v>970</v>
      </c>
      <c r="E23" s="41" t="s">
        <v>126</v>
      </c>
      <c r="F23" s="53">
        <v>0</v>
      </c>
      <c r="G23" s="53">
        <v>147</v>
      </c>
      <c r="H23" s="53">
        <v>225</v>
      </c>
      <c r="I23" s="53">
        <v>0</v>
      </c>
      <c r="J23" s="53">
        <f t="shared" si="0"/>
        <v>93</v>
      </c>
      <c r="K23" s="42"/>
      <c r="L23" s="42"/>
      <c r="M23" s="45"/>
    </row>
    <row r="24" spans="1:14" ht="49.5" customHeight="1">
      <c r="A24" s="39"/>
      <c r="B24" s="38" t="s">
        <v>160</v>
      </c>
      <c r="C24" s="40" t="s">
        <v>148</v>
      </c>
      <c r="D24" s="41">
        <f>+'[8]acumulado a dic 2014'!$C$41</f>
        <v>3438</v>
      </c>
      <c r="E24" s="41" t="s">
        <v>126</v>
      </c>
      <c r="F24" s="53">
        <v>0</v>
      </c>
      <c r="G24" s="53">
        <v>1271</v>
      </c>
      <c r="H24" s="53">
        <v>829</v>
      </c>
      <c r="I24" s="53">
        <v>0</v>
      </c>
      <c r="J24" s="53">
        <f t="shared" si="0"/>
        <v>525</v>
      </c>
      <c r="K24" s="42"/>
      <c r="L24" s="42"/>
      <c r="M24" s="45"/>
    </row>
    <row r="25" spans="1:14" ht="200.25" customHeight="1">
      <c r="A25" s="39">
        <f>A23+1</f>
        <v>10</v>
      </c>
      <c r="B25" s="38" t="s">
        <v>106</v>
      </c>
      <c r="C25" s="40" t="s">
        <v>144</v>
      </c>
      <c r="D25" s="40"/>
      <c r="E25" s="41" t="s">
        <v>128</v>
      </c>
      <c r="F25" s="53">
        <v>0</v>
      </c>
      <c r="G25" s="53">
        <v>0</v>
      </c>
      <c r="H25" s="53">
        <v>0</v>
      </c>
      <c r="I25" s="53">
        <v>0</v>
      </c>
      <c r="J25" s="53">
        <f>+F25</f>
        <v>0</v>
      </c>
      <c r="K25" s="42"/>
      <c r="L25" s="42"/>
      <c r="M25" s="43" t="s">
        <v>178</v>
      </c>
    </row>
    <row r="26" spans="1:14" ht="21" customHeight="1">
      <c r="A26" s="878" t="s">
        <v>20</v>
      </c>
      <c r="B26" s="879"/>
      <c r="C26" s="879"/>
      <c r="D26" s="879"/>
      <c r="E26" s="879"/>
      <c r="F26" s="879"/>
      <c r="G26" s="879"/>
      <c r="H26" s="879"/>
      <c r="I26" s="879"/>
      <c r="J26" s="879"/>
      <c r="K26" s="879"/>
      <c r="L26" s="879"/>
      <c r="M26" s="880"/>
    </row>
    <row r="27" spans="1:14" ht="96.75" customHeight="1">
      <c r="A27" s="39">
        <v>11</v>
      </c>
      <c r="B27" s="38" t="s">
        <v>107</v>
      </c>
      <c r="C27" s="23" t="s">
        <v>144</v>
      </c>
      <c r="D27" s="23">
        <v>37</v>
      </c>
      <c r="E27" s="56" t="s">
        <v>167</v>
      </c>
      <c r="F27" s="54">
        <v>37</v>
      </c>
      <c r="G27" s="53">
        <v>37</v>
      </c>
      <c r="H27" s="53">
        <v>37</v>
      </c>
      <c r="I27" s="53">
        <v>0</v>
      </c>
      <c r="J27" s="53">
        <f>AVERAGE(F27:I27)</f>
        <v>27.75</v>
      </c>
      <c r="K27" s="42"/>
      <c r="L27" s="42"/>
      <c r="M27" s="43" t="s">
        <v>135</v>
      </c>
    </row>
    <row r="28" spans="1:14" ht="104.25" customHeight="1">
      <c r="A28" s="39">
        <v>12</v>
      </c>
      <c r="B28" s="38" t="s">
        <v>149</v>
      </c>
      <c r="C28" s="23" t="s">
        <v>150</v>
      </c>
      <c r="D28" s="24">
        <f>+'[8]acumulado a dic 2014'!$C$58</f>
        <v>13.75</v>
      </c>
      <c r="E28" s="24" t="s">
        <v>129</v>
      </c>
      <c r="F28" s="54">
        <v>13</v>
      </c>
      <c r="G28" s="53">
        <v>14</v>
      </c>
      <c r="H28" s="53">
        <v>14</v>
      </c>
      <c r="I28" s="53">
        <v>0</v>
      </c>
      <c r="J28" s="53">
        <f>AVERAGE(F28:I28)</f>
        <v>10.25</v>
      </c>
      <c r="K28" s="42"/>
      <c r="L28" s="42"/>
      <c r="M28" s="43" t="s">
        <v>172</v>
      </c>
    </row>
    <row r="29" spans="1:14" ht="102" customHeight="1">
      <c r="A29" s="39">
        <f>A27+1</f>
        <v>12</v>
      </c>
      <c r="B29" s="38" t="s">
        <v>134</v>
      </c>
      <c r="C29" s="23" t="s">
        <v>150</v>
      </c>
      <c r="D29" s="24">
        <f>+'[8]acumulado a dic 2014'!$C$59</f>
        <v>12.75</v>
      </c>
      <c r="E29" s="24" t="s">
        <v>129</v>
      </c>
      <c r="F29" s="54">
        <v>12</v>
      </c>
      <c r="G29" s="53">
        <v>13</v>
      </c>
      <c r="H29" s="53">
        <v>13</v>
      </c>
      <c r="I29" s="53">
        <v>0</v>
      </c>
      <c r="J29" s="53">
        <f>AVERAGE(F29:I29)</f>
        <v>9.5</v>
      </c>
      <c r="K29" s="42"/>
      <c r="L29" s="42"/>
      <c r="M29" s="43" t="s">
        <v>172</v>
      </c>
    </row>
    <row r="30" spans="1:14" ht="21.75" customHeight="1">
      <c r="A30" s="878" t="s">
        <v>23</v>
      </c>
      <c r="B30" s="879"/>
      <c r="C30" s="879"/>
      <c r="D30" s="879"/>
      <c r="E30" s="879"/>
      <c r="F30" s="879"/>
      <c r="G30" s="879"/>
      <c r="H30" s="879"/>
      <c r="I30" s="879"/>
      <c r="J30" s="879"/>
      <c r="K30" s="879"/>
      <c r="L30" s="879"/>
      <c r="M30" s="880"/>
    </row>
    <row r="31" spans="1:14" ht="111" customHeight="1">
      <c r="A31" s="39">
        <f>A29+1</f>
        <v>13</v>
      </c>
      <c r="B31" s="38" t="s">
        <v>108</v>
      </c>
      <c r="C31" s="23" t="s">
        <v>150</v>
      </c>
      <c r="D31" s="24">
        <f>+'[8]acumulado a dic 2014'!$C$60</f>
        <v>87</v>
      </c>
      <c r="E31" s="24" t="s">
        <v>129</v>
      </c>
      <c r="F31" s="54">
        <v>50</v>
      </c>
      <c r="G31" s="53">
        <v>71</v>
      </c>
      <c r="H31" s="53">
        <v>87</v>
      </c>
      <c r="I31" s="53">
        <v>45</v>
      </c>
      <c r="J31" s="53">
        <f>AVERAGE(F31:I31)</f>
        <v>63.25</v>
      </c>
      <c r="K31" s="46"/>
      <c r="L31" s="46"/>
      <c r="M31" s="43" t="s">
        <v>135</v>
      </c>
    </row>
    <row r="32" spans="1:14" ht="104.25" customHeight="1">
      <c r="A32" s="39">
        <f>A31+1</f>
        <v>14</v>
      </c>
      <c r="B32" s="38" t="s">
        <v>109</v>
      </c>
      <c r="C32" s="23" t="s">
        <v>144</v>
      </c>
      <c r="D32" s="24">
        <f>+'[8]acumulado a dic 2014'!$C$47</f>
        <v>68</v>
      </c>
      <c r="E32" s="24" t="s">
        <v>129</v>
      </c>
      <c r="F32" s="54">
        <v>44</v>
      </c>
      <c r="G32" s="53">
        <v>62</v>
      </c>
      <c r="H32" s="53">
        <v>62</v>
      </c>
      <c r="I32" s="53">
        <v>37</v>
      </c>
      <c r="J32" s="53">
        <f>AVERAGE(F32:I32)</f>
        <v>51.25</v>
      </c>
      <c r="K32" s="46"/>
      <c r="L32" s="46"/>
      <c r="M32" s="43" t="s">
        <v>135</v>
      </c>
    </row>
    <row r="33" spans="1:13" ht="21" customHeight="1">
      <c r="A33" s="878" t="s">
        <v>5</v>
      </c>
      <c r="B33" s="879"/>
      <c r="C33" s="879"/>
      <c r="D33" s="879"/>
      <c r="E33" s="879"/>
      <c r="F33" s="879"/>
      <c r="G33" s="879"/>
      <c r="H33" s="879"/>
      <c r="I33" s="879"/>
      <c r="J33" s="879"/>
      <c r="K33" s="879"/>
      <c r="L33" s="879"/>
      <c r="M33" s="880"/>
    </row>
    <row r="34" spans="1:13" ht="93" customHeight="1">
      <c r="A34" s="39">
        <f>A32+1</f>
        <v>15</v>
      </c>
      <c r="B34" s="38" t="s">
        <v>110</v>
      </c>
      <c r="C34" s="40" t="s">
        <v>152</v>
      </c>
      <c r="D34" s="41">
        <f>+'[8]acumulado a dic 2014'!$C$86</f>
        <v>1</v>
      </c>
      <c r="E34" s="40" t="s">
        <v>141</v>
      </c>
      <c r="F34" s="55">
        <v>1</v>
      </c>
      <c r="G34" s="53">
        <v>1</v>
      </c>
      <c r="H34" s="53">
        <v>1</v>
      </c>
      <c r="I34" s="53">
        <v>1</v>
      </c>
      <c r="J34" s="53">
        <f>AVERAGE(F34:I34)</f>
        <v>1</v>
      </c>
      <c r="K34" s="47"/>
      <c r="L34" s="47"/>
      <c r="M34" s="43"/>
    </row>
    <row r="35" spans="1:13" ht="108.75" customHeight="1">
      <c r="A35" s="39">
        <f>A34+1</f>
        <v>16</v>
      </c>
      <c r="B35" s="38" t="s">
        <v>111</v>
      </c>
      <c r="C35" s="40" t="s">
        <v>152</v>
      </c>
      <c r="D35" s="41">
        <f>+'[8]acumulado a dic 2014'!$C$82</f>
        <v>37</v>
      </c>
      <c r="E35" s="40" t="s">
        <v>131</v>
      </c>
      <c r="F35" s="55">
        <v>37</v>
      </c>
      <c r="G35" s="53">
        <v>37</v>
      </c>
      <c r="H35" s="53">
        <v>37</v>
      </c>
      <c r="I35" s="53">
        <v>37</v>
      </c>
      <c r="J35" s="53">
        <f>AVERAGE(F35:I35)</f>
        <v>37</v>
      </c>
      <c r="K35" s="47"/>
      <c r="L35" s="47"/>
      <c r="M35" s="43" t="s">
        <v>135</v>
      </c>
    </row>
    <row r="36" spans="1:13" ht="117" customHeight="1">
      <c r="A36" s="39">
        <f>A35+1</f>
        <v>17</v>
      </c>
      <c r="B36" s="38" t="s">
        <v>112</v>
      </c>
      <c r="C36" s="40" t="s">
        <v>152</v>
      </c>
      <c r="D36" s="41">
        <v>63</v>
      </c>
      <c r="E36" s="40" t="s">
        <v>129</v>
      </c>
      <c r="F36" s="55">
        <v>64</v>
      </c>
      <c r="G36" s="53">
        <v>72</v>
      </c>
      <c r="H36" s="53">
        <v>73</v>
      </c>
      <c r="I36" s="53">
        <v>0</v>
      </c>
      <c r="J36" s="53">
        <f>AVERAGE(F36:I36)</f>
        <v>52.25</v>
      </c>
      <c r="K36" s="47"/>
      <c r="L36" s="47"/>
      <c r="M36" s="43" t="s">
        <v>135</v>
      </c>
    </row>
    <row r="37" spans="1:13" ht="53.25" customHeight="1">
      <c r="A37" s="39">
        <f>A36+1</f>
        <v>18</v>
      </c>
      <c r="B37" s="38" t="s">
        <v>113</v>
      </c>
      <c r="C37" s="40" t="s">
        <v>152</v>
      </c>
      <c r="D37" s="41">
        <v>73</v>
      </c>
      <c r="E37" s="40" t="s">
        <v>1</v>
      </c>
      <c r="F37" s="55">
        <v>94</v>
      </c>
      <c r="G37" s="53">
        <v>120</v>
      </c>
      <c r="H37" s="53">
        <v>70</v>
      </c>
      <c r="I37" s="53">
        <v>20</v>
      </c>
      <c r="J37" s="53">
        <f>AVERAGE(F37:I37)</f>
        <v>76</v>
      </c>
      <c r="K37" s="47"/>
      <c r="L37" s="47"/>
      <c r="M37" s="48"/>
    </row>
    <row r="38" spans="1:13" ht="23.25" customHeight="1">
      <c r="A38" s="878" t="s">
        <v>21</v>
      </c>
      <c r="B38" s="879"/>
      <c r="C38" s="879"/>
      <c r="D38" s="879"/>
      <c r="E38" s="879"/>
      <c r="F38" s="879"/>
      <c r="G38" s="879"/>
      <c r="H38" s="879"/>
      <c r="I38" s="879"/>
      <c r="J38" s="879"/>
      <c r="K38" s="879"/>
      <c r="L38" s="879"/>
      <c r="M38" s="880"/>
    </row>
    <row r="39" spans="1:13" ht="72.75" customHeight="1">
      <c r="A39" s="39">
        <f>A37+1</f>
        <v>19</v>
      </c>
      <c r="B39" s="38" t="s">
        <v>114</v>
      </c>
      <c r="C39" s="40" t="s">
        <v>137</v>
      </c>
      <c r="D39" s="41">
        <f>+'[8]acumulado a dic 2014'!$C$25</f>
        <v>7</v>
      </c>
      <c r="E39" s="40" t="s">
        <v>136</v>
      </c>
      <c r="F39" s="55">
        <v>1</v>
      </c>
      <c r="G39" s="53">
        <v>2</v>
      </c>
      <c r="H39" s="53">
        <v>2</v>
      </c>
      <c r="I39" s="53">
        <v>2</v>
      </c>
      <c r="J39" s="53">
        <f>+F39+G39+H39+I39</f>
        <v>7</v>
      </c>
      <c r="K39" s="47"/>
      <c r="L39" s="47"/>
      <c r="M39" s="48"/>
    </row>
    <row r="40" spans="1:13" ht="55.5" customHeight="1">
      <c r="A40" s="39">
        <f>A39+1</f>
        <v>20</v>
      </c>
      <c r="B40" s="38" t="s">
        <v>115</v>
      </c>
      <c r="C40" s="40" t="s">
        <v>138</v>
      </c>
      <c r="D40" s="41">
        <f>+'[8]acumulado a dic 2014'!$C$136</f>
        <v>1.75</v>
      </c>
      <c r="E40" s="40" t="s">
        <v>130</v>
      </c>
      <c r="F40" s="55">
        <v>1</v>
      </c>
      <c r="G40" s="53">
        <v>2</v>
      </c>
      <c r="H40" s="53">
        <v>2</v>
      </c>
      <c r="I40" s="53">
        <v>2</v>
      </c>
      <c r="J40" s="53">
        <f>AVERAGE(F40:I40)</f>
        <v>1.75</v>
      </c>
      <c r="K40" s="47"/>
      <c r="L40" s="47"/>
      <c r="M40" s="48"/>
    </row>
    <row r="41" spans="1:13" ht="105.75" customHeight="1">
      <c r="A41" s="39">
        <f>A40+1</f>
        <v>21</v>
      </c>
      <c r="B41" s="38" t="s">
        <v>116</v>
      </c>
      <c r="C41" s="40" t="s">
        <v>138</v>
      </c>
      <c r="D41" s="41">
        <v>55</v>
      </c>
      <c r="E41" s="40" t="s">
        <v>129</v>
      </c>
      <c r="F41" s="55">
        <v>20</v>
      </c>
      <c r="G41" s="53">
        <v>40</v>
      </c>
      <c r="H41" s="53">
        <v>60</v>
      </c>
      <c r="I41" s="53">
        <v>30</v>
      </c>
      <c r="J41" s="53">
        <f>AVERAGE(F41:I41)</f>
        <v>37.5</v>
      </c>
      <c r="K41" s="47"/>
      <c r="L41" s="47"/>
      <c r="M41" s="43" t="s">
        <v>135</v>
      </c>
    </row>
    <row r="42" spans="1:13" ht="21.75" customHeight="1">
      <c r="A42" s="878" t="s">
        <v>22</v>
      </c>
      <c r="B42" s="879"/>
      <c r="C42" s="879"/>
      <c r="D42" s="879"/>
      <c r="E42" s="879"/>
      <c r="F42" s="879"/>
      <c r="G42" s="879"/>
      <c r="H42" s="879"/>
      <c r="I42" s="879"/>
      <c r="J42" s="879"/>
      <c r="K42" s="879"/>
      <c r="L42" s="879"/>
      <c r="M42" s="880"/>
    </row>
    <row r="43" spans="1:13" ht="54.75" customHeight="1">
      <c r="A43" s="39">
        <f>A41+1</f>
        <v>22</v>
      </c>
      <c r="B43" s="38" t="s">
        <v>117</v>
      </c>
      <c r="C43" s="40" t="s">
        <v>151</v>
      </c>
      <c r="D43" s="41">
        <f>+'[8]acumulado a dic 2014'!$C$66</f>
        <v>37</v>
      </c>
      <c r="E43" s="40" t="s">
        <v>131</v>
      </c>
      <c r="F43" s="55">
        <v>37</v>
      </c>
      <c r="G43" s="53">
        <v>37</v>
      </c>
      <c r="H43" s="53">
        <v>37</v>
      </c>
      <c r="I43" s="53">
        <v>17</v>
      </c>
      <c r="J43" s="53">
        <f>AVERAGE(F43:I43)</f>
        <v>32</v>
      </c>
      <c r="K43" s="47"/>
      <c r="L43" s="47"/>
      <c r="M43" s="48"/>
    </row>
    <row r="44" spans="1:13" ht="69.75" customHeight="1">
      <c r="A44" s="39">
        <f>A43+1</f>
        <v>23</v>
      </c>
      <c r="B44" s="38" t="s">
        <v>118</v>
      </c>
      <c r="C44" s="40" t="s">
        <v>139</v>
      </c>
      <c r="D44" s="41">
        <f>+'[8]acumulado a dic 2014'!$C$74</f>
        <v>37</v>
      </c>
      <c r="E44" s="40" t="s">
        <v>131</v>
      </c>
      <c r="F44" s="55">
        <v>37</v>
      </c>
      <c r="G44" s="53">
        <v>37</v>
      </c>
      <c r="H44" s="53">
        <v>37</v>
      </c>
      <c r="I44" s="53">
        <v>16</v>
      </c>
      <c r="J44" s="53">
        <f>AVERAGE(F44:I44)</f>
        <v>31.75</v>
      </c>
      <c r="K44" s="47"/>
      <c r="L44" s="47"/>
      <c r="M44" s="48"/>
    </row>
    <row r="45" spans="1:13" ht="21.75" customHeight="1">
      <c r="A45" s="878">
        <v>38</v>
      </c>
      <c r="B45" s="879"/>
      <c r="C45" s="879"/>
      <c r="D45" s="879"/>
      <c r="E45" s="879"/>
      <c r="F45" s="879"/>
      <c r="G45" s="879"/>
      <c r="H45" s="879"/>
      <c r="I45" s="879"/>
      <c r="J45" s="879"/>
      <c r="K45" s="879"/>
      <c r="L45" s="879"/>
      <c r="M45" s="880"/>
    </row>
    <row r="46" spans="1:13" ht="108.75" customHeight="1">
      <c r="A46" s="39">
        <f>A44+1</f>
        <v>24</v>
      </c>
      <c r="B46" s="38" t="s">
        <v>119</v>
      </c>
      <c r="C46" s="40" t="s">
        <v>152</v>
      </c>
      <c r="D46" s="41">
        <v>38</v>
      </c>
      <c r="E46" s="40" t="s">
        <v>129</v>
      </c>
      <c r="F46" s="55">
        <v>100</v>
      </c>
      <c r="G46" s="53">
        <v>100</v>
      </c>
      <c r="H46" s="53">
        <v>75</v>
      </c>
      <c r="I46" s="53">
        <v>32</v>
      </c>
      <c r="J46" s="53">
        <f>AVERAGE(F46:I46)</f>
        <v>76.75</v>
      </c>
      <c r="K46" s="47"/>
      <c r="L46" s="47"/>
      <c r="M46" s="43" t="s">
        <v>135</v>
      </c>
    </row>
    <row r="47" spans="1:13" ht="69" customHeight="1" thickBot="1">
      <c r="A47" s="49">
        <f>A46+1</f>
        <v>25</v>
      </c>
      <c r="B47" s="50" t="s">
        <v>120</v>
      </c>
      <c r="C47" s="51" t="s">
        <v>140</v>
      </c>
      <c r="D47" s="41">
        <v>60</v>
      </c>
      <c r="E47" s="40" t="s">
        <v>132</v>
      </c>
      <c r="F47" s="55">
        <v>35</v>
      </c>
      <c r="G47" s="53">
        <v>60</v>
      </c>
      <c r="H47" s="53">
        <v>60</v>
      </c>
      <c r="I47" s="53">
        <v>60</v>
      </c>
      <c r="J47" s="53">
        <f>AVERAGE(F47:I47)</f>
        <v>53.75</v>
      </c>
      <c r="K47" s="47"/>
      <c r="L47" s="47"/>
      <c r="M47" s="47"/>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heetViews>
  <sheetFormatPr baseColWidth="10" defaultRowHeight="12.75"/>
  <cols>
    <col min="1" max="1" width="41.42578125" style="77" customWidth="1"/>
    <col min="2" max="2" width="21.140625" style="77" customWidth="1"/>
    <col min="3" max="3" width="17.85546875" style="77" customWidth="1"/>
    <col min="4" max="4" width="16.7109375" style="77" customWidth="1"/>
    <col min="5" max="6" width="18.5703125" style="77" customWidth="1"/>
    <col min="7" max="7" width="18.140625" style="77" customWidth="1"/>
    <col min="8" max="8" width="16.85546875" style="77" bestFit="1" customWidth="1"/>
    <col min="9" max="16384" width="11.42578125" style="77"/>
  </cols>
  <sheetData>
    <row r="1" spans="1:8" ht="16.5" customHeight="1">
      <c r="A1" s="76"/>
      <c r="B1" s="76"/>
      <c r="C1" s="76"/>
      <c r="D1" s="76"/>
      <c r="E1" s="76"/>
      <c r="F1" s="76"/>
      <c r="G1" s="76"/>
    </row>
    <row r="2" spans="1:8">
      <c r="A2" s="76"/>
      <c r="B2" s="76"/>
      <c r="C2" s="76"/>
      <c r="D2" s="76"/>
      <c r="E2" s="76"/>
      <c r="F2" s="76"/>
      <c r="G2" s="76"/>
    </row>
    <row r="3" spans="1:8">
      <c r="A3" s="78" t="s">
        <v>248</v>
      </c>
      <c r="B3" s="78"/>
      <c r="C3" s="78"/>
      <c r="D3" s="78"/>
      <c r="E3" s="78"/>
      <c r="F3" s="78"/>
      <c r="G3" s="78"/>
    </row>
    <row r="4" spans="1:8">
      <c r="A4" s="79" t="s">
        <v>249</v>
      </c>
      <c r="B4" s="79"/>
      <c r="C4" s="79"/>
      <c r="D4" s="79"/>
      <c r="E4" s="79"/>
      <c r="F4" s="79"/>
      <c r="G4" s="79"/>
    </row>
    <row r="5" spans="1:8">
      <c r="A5" s="79" t="s">
        <v>250</v>
      </c>
      <c r="B5" s="79"/>
      <c r="C5" s="79"/>
      <c r="D5" s="79"/>
      <c r="E5" s="79"/>
      <c r="F5" s="79"/>
      <c r="G5" s="79"/>
    </row>
    <row r="6" spans="1:8" ht="17.25" customHeight="1" thickBot="1">
      <c r="A6" s="80" t="s">
        <v>251</v>
      </c>
      <c r="B6" s="81"/>
      <c r="C6" s="81"/>
      <c r="D6" s="81"/>
      <c r="E6" s="81"/>
      <c r="F6" s="81"/>
      <c r="G6" s="81"/>
    </row>
    <row r="7" spans="1:8" ht="33" customHeight="1">
      <c r="A7" s="890" t="s">
        <v>252</v>
      </c>
      <c r="B7" s="892" t="s">
        <v>253</v>
      </c>
      <c r="C7" s="893"/>
      <c r="D7" s="892" t="s">
        <v>254</v>
      </c>
      <c r="E7" s="893"/>
      <c r="F7" s="892" t="s">
        <v>255</v>
      </c>
      <c r="G7" s="894"/>
    </row>
    <row r="8" spans="1:8" ht="21.75" customHeight="1">
      <c r="A8" s="891"/>
      <c r="B8" s="82" t="s">
        <v>256</v>
      </c>
      <c r="C8" s="82" t="s">
        <v>257</v>
      </c>
      <c r="D8" s="82" t="s">
        <v>256</v>
      </c>
      <c r="E8" s="82" t="s">
        <v>257</v>
      </c>
      <c r="F8" s="82" t="s">
        <v>256</v>
      </c>
      <c r="G8" s="83" t="s">
        <v>257</v>
      </c>
    </row>
    <row r="9" spans="1:8">
      <c r="A9" s="84" t="s">
        <v>258</v>
      </c>
      <c r="B9" s="85">
        <v>2005872393</v>
      </c>
      <c r="C9" s="85">
        <v>844359454</v>
      </c>
      <c r="D9" s="85">
        <v>1708062000</v>
      </c>
      <c r="E9" s="85">
        <v>957550419</v>
      </c>
      <c r="F9" s="85">
        <f>+B9+D9</f>
        <v>3713934393</v>
      </c>
      <c r="G9" s="86">
        <f>+C9+E9</f>
        <v>1801909873</v>
      </c>
      <c r="H9" s="87" t="s">
        <v>247</v>
      </c>
    </row>
    <row r="10" spans="1:8">
      <c r="A10" s="84" t="s">
        <v>259</v>
      </c>
      <c r="B10" s="85">
        <f t="shared" ref="B10:G10" si="0">+B11+B12+B13</f>
        <v>1757668695</v>
      </c>
      <c r="C10" s="85">
        <f t="shared" si="0"/>
        <v>656590451</v>
      </c>
      <c r="D10" s="85">
        <f t="shared" si="0"/>
        <v>22374000</v>
      </c>
      <c r="E10" s="85">
        <f t="shared" si="0"/>
        <v>21140000</v>
      </c>
      <c r="F10" s="85">
        <f t="shared" si="0"/>
        <v>1780042695</v>
      </c>
      <c r="G10" s="86">
        <f t="shared" si="0"/>
        <v>677730451</v>
      </c>
    </row>
    <row r="11" spans="1:8">
      <c r="A11" s="88" t="s">
        <v>260</v>
      </c>
      <c r="B11" s="89">
        <v>535384974</v>
      </c>
      <c r="C11" s="89">
        <v>192326440</v>
      </c>
      <c r="D11" s="89">
        <v>0</v>
      </c>
      <c r="E11" s="89"/>
      <c r="F11" s="89">
        <f t="shared" ref="F11:G13" si="1">+B11+D11</f>
        <v>535384974</v>
      </c>
      <c r="G11" s="90">
        <f t="shared" si="1"/>
        <v>192326440</v>
      </c>
    </row>
    <row r="12" spans="1:8">
      <c r="A12" s="88" t="s">
        <v>261</v>
      </c>
      <c r="B12" s="89">
        <v>1175742721</v>
      </c>
      <c r="C12" s="89">
        <v>424028731</v>
      </c>
      <c r="D12" s="89">
        <v>21140000</v>
      </c>
      <c r="E12" s="89">
        <v>21140000</v>
      </c>
      <c r="F12" s="89">
        <f t="shared" si="1"/>
        <v>1196882721</v>
      </c>
      <c r="G12" s="90">
        <f t="shared" si="1"/>
        <v>445168731</v>
      </c>
    </row>
    <row r="13" spans="1:8">
      <c r="A13" s="88" t="s">
        <v>262</v>
      </c>
      <c r="B13" s="89">
        <v>46541000</v>
      </c>
      <c r="C13" s="89">
        <v>40235280</v>
      </c>
      <c r="D13" s="89">
        <v>1234000</v>
      </c>
      <c r="E13" s="89">
        <v>0</v>
      </c>
      <c r="F13" s="89">
        <f t="shared" si="1"/>
        <v>47775000</v>
      </c>
      <c r="G13" s="90">
        <f t="shared" si="1"/>
        <v>40235280</v>
      </c>
    </row>
    <row r="14" spans="1:8">
      <c r="A14" s="84" t="s">
        <v>263</v>
      </c>
      <c r="B14" s="85">
        <f t="shared" ref="B14:G14" si="2">+B15</f>
        <v>1333533655</v>
      </c>
      <c r="C14" s="85">
        <f t="shared" si="2"/>
        <v>484265261</v>
      </c>
      <c r="D14" s="85">
        <f t="shared" si="2"/>
        <v>9866000</v>
      </c>
      <c r="E14" s="85">
        <f t="shared" si="2"/>
        <v>0</v>
      </c>
      <c r="F14" s="85">
        <f t="shared" si="2"/>
        <v>1343399655</v>
      </c>
      <c r="G14" s="86">
        <f t="shared" si="2"/>
        <v>484265261</v>
      </c>
    </row>
    <row r="15" spans="1:8">
      <c r="A15" s="84" t="s">
        <v>264</v>
      </c>
      <c r="B15" s="85">
        <f t="shared" ref="B15:G15" si="3">+B16+B17+B18</f>
        <v>1333533655</v>
      </c>
      <c r="C15" s="85">
        <f t="shared" si="3"/>
        <v>484265261</v>
      </c>
      <c r="D15" s="85">
        <f t="shared" si="3"/>
        <v>9866000</v>
      </c>
      <c r="E15" s="85">
        <f t="shared" si="3"/>
        <v>0</v>
      </c>
      <c r="F15" s="85">
        <f t="shared" si="3"/>
        <v>1343399655</v>
      </c>
      <c r="G15" s="86">
        <f t="shared" si="3"/>
        <v>484265261</v>
      </c>
    </row>
    <row r="16" spans="1:8">
      <c r="A16" s="88" t="s">
        <v>265</v>
      </c>
      <c r="B16" s="89">
        <v>20134000</v>
      </c>
      <c r="C16" s="89">
        <v>0</v>
      </c>
      <c r="D16" s="89">
        <v>9866000</v>
      </c>
      <c r="E16" s="89">
        <f>+[9]FUNCIONAMIENTO!$T$64</f>
        <v>0</v>
      </c>
      <c r="F16" s="89">
        <f t="shared" ref="F16:G18" si="4">+B16+D16</f>
        <v>30000000</v>
      </c>
      <c r="G16" s="90">
        <f t="shared" si="4"/>
        <v>0</v>
      </c>
    </row>
    <row r="17" spans="1:8">
      <c r="A17" s="88" t="s">
        <v>266</v>
      </c>
      <c r="B17" s="89">
        <v>1290399655</v>
      </c>
      <c r="C17" s="89">
        <v>462256104</v>
      </c>
      <c r="D17" s="89"/>
      <c r="E17" s="89"/>
      <c r="F17" s="89">
        <f t="shared" si="4"/>
        <v>1290399655</v>
      </c>
      <c r="G17" s="90">
        <f t="shared" si="4"/>
        <v>462256104</v>
      </c>
    </row>
    <row r="18" spans="1:8">
      <c r="A18" s="88" t="s">
        <v>207</v>
      </c>
      <c r="B18" s="89">
        <f>+[9]FUNCIONAMIENTO!$I$30</f>
        <v>23000000</v>
      </c>
      <c r="C18" s="89">
        <v>22009157</v>
      </c>
      <c r="D18" s="89"/>
      <c r="E18" s="89"/>
      <c r="F18" s="89">
        <f t="shared" si="4"/>
        <v>23000000</v>
      </c>
      <c r="G18" s="90">
        <f t="shared" si="4"/>
        <v>22009157</v>
      </c>
    </row>
    <row r="19" spans="1:8">
      <c r="A19" s="84" t="s">
        <v>267</v>
      </c>
      <c r="B19" s="85">
        <f t="shared" ref="B19:G19" si="5">+B20+B21</f>
        <v>0</v>
      </c>
      <c r="C19" s="85">
        <f t="shared" si="5"/>
        <v>0</v>
      </c>
      <c r="D19" s="85">
        <f t="shared" si="5"/>
        <v>0</v>
      </c>
      <c r="E19" s="85">
        <f t="shared" si="5"/>
        <v>0</v>
      </c>
      <c r="F19" s="85">
        <f t="shared" si="5"/>
        <v>0</v>
      </c>
      <c r="G19" s="86">
        <f t="shared" si="5"/>
        <v>0</v>
      </c>
    </row>
    <row r="20" spans="1:8">
      <c r="A20" s="88" t="s">
        <v>268</v>
      </c>
      <c r="B20" s="89"/>
      <c r="C20" s="89"/>
      <c r="D20" s="89"/>
      <c r="E20" s="89"/>
      <c r="F20" s="89">
        <f>+B20+D20</f>
        <v>0</v>
      </c>
      <c r="G20" s="90">
        <f>+C20+E20</f>
        <v>0</v>
      </c>
    </row>
    <row r="21" spans="1:8">
      <c r="A21" s="88" t="s">
        <v>269</v>
      </c>
      <c r="B21" s="89"/>
      <c r="C21" s="89"/>
      <c r="D21" s="89"/>
      <c r="E21" s="89"/>
      <c r="F21" s="89">
        <f>+B21+D21</f>
        <v>0</v>
      </c>
      <c r="G21" s="90">
        <f>+C21+E21</f>
        <v>0</v>
      </c>
    </row>
    <row r="22" spans="1:8">
      <c r="A22" s="84" t="s">
        <v>270</v>
      </c>
      <c r="B22" s="85">
        <v>0</v>
      </c>
      <c r="C22" s="85">
        <v>0</v>
      </c>
      <c r="D22" s="85">
        <v>0</v>
      </c>
      <c r="E22" s="85">
        <v>0</v>
      </c>
      <c r="F22" s="85">
        <v>0</v>
      </c>
      <c r="G22" s="86">
        <v>0</v>
      </c>
    </row>
    <row r="23" spans="1:8">
      <c r="A23" s="84" t="s">
        <v>271</v>
      </c>
      <c r="B23" s="85">
        <f t="shared" ref="B23:G23" si="6">+B24</f>
        <v>310000000</v>
      </c>
      <c r="C23" s="85">
        <f t="shared" si="6"/>
        <v>58580659</v>
      </c>
      <c r="D23" s="85">
        <f t="shared" si="6"/>
        <v>0</v>
      </c>
      <c r="E23" s="85">
        <f t="shared" si="6"/>
        <v>0</v>
      </c>
      <c r="F23" s="85">
        <f t="shared" si="6"/>
        <v>310000000</v>
      </c>
      <c r="G23" s="86">
        <f t="shared" si="6"/>
        <v>58580659</v>
      </c>
    </row>
    <row r="24" spans="1:8">
      <c r="A24" s="88" t="s">
        <v>272</v>
      </c>
      <c r="B24" s="89">
        <v>310000000</v>
      </c>
      <c r="C24" s="89">
        <v>58580659</v>
      </c>
      <c r="D24" s="89"/>
      <c r="E24" s="89"/>
      <c r="F24" s="89">
        <f>+B24+D24</f>
        <v>310000000</v>
      </c>
      <c r="G24" s="90">
        <f>+C24+E24</f>
        <v>58580659</v>
      </c>
    </row>
    <row r="25" spans="1:8">
      <c r="A25" s="84" t="s">
        <v>273</v>
      </c>
      <c r="B25" s="85">
        <v>0</v>
      </c>
      <c r="C25" s="85">
        <v>0</v>
      </c>
      <c r="D25" s="85">
        <v>0</v>
      </c>
      <c r="E25" s="85">
        <v>0</v>
      </c>
      <c r="F25" s="85">
        <v>0</v>
      </c>
      <c r="G25" s="86">
        <v>0</v>
      </c>
    </row>
    <row r="26" spans="1:8">
      <c r="A26" s="84" t="s">
        <v>274</v>
      </c>
      <c r="B26" s="85">
        <f>+B9+B10+B14+B19+B22+B23+B25</f>
        <v>5407074743</v>
      </c>
      <c r="C26" s="85">
        <f>+C9+C10+C14+C19+C22+C23+C25</f>
        <v>2043795825</v>
      </c>
      <c r="D26" s="85">
        <f>+D9+D10+D14+D19+D22+D23+D25</f>
        <v>1740302000</v>
      </c>
      <c r="E26" s="85">
        <f>+E9+E10+E14+E19+E22+E23+E25</f>
        <v>978690419</v>
      </c>
      <c r="F26" s="85">
        <f>+F9+F10+F14+F19+F22+F23+F25</f>
        <v>7147376743</v>
      </c>
      <c r="G26" s="90">
        <f t="shared" ref="G26:G53" si="7">+C26+E26</f>
        <v>3022486244</v>
      </c>
      <c r="H26" s="91" t="s">
        <v>247</v>
      </c>
    </row>
    <row r="27" spans="1:8" ht="13.5" thickBot="1">
      <c r="A27" s="92" t="s">
        <v>247</v>
      </c>
      <c r="B27" s="93" t="s">
        <v>247</v>
      </c>
      <c r="C27" s="93" t="s">
        <v>247</v>
      </c>
      <c r="D27" s="93" t="s">
        <v>247</v>
      </c>
      <c r="E27" s="93"/>
      <c r="F27" s="94"/>
      <c r="G27" s="95" t="s">
        <v>247</v>
      </c>
    </row>
    <row r="28" spans="1:8">
      <c r="A28" s="96" t="s">
        <v>275</v>
      </c>
      <c r="B28" s="97">
        <f>+B29+B34+B40+B44+B47+B49</f>
        <v>22346335128</v>
      </c>
      <c r="C28" s="97">
        <f>+C29+C34+C40+C44+C47+C49</f>
        <v>9448616230</v>
      </c>
      <c r="D28" s="97">
        <f>+D29+D34+D40+D44+D47+D49</f>
        <v>1540000000</v>
      </c>
      <c r="E28" s="97">
        <f>+E29+E34+E40+E44+E47+E49</f>
        <v>786270865</v>
      </c>
      <c r="F28" s="97">
        <f t="shared" ref="F28:F53" si="8">+B28+D28</f>
        <v>23886335128</v>
      </c>
      <c r="G28" s="98">
        <f t="shared" si="7"/>
        <v>10234887095</v>
      </c>
      <c r="H28" s="77" t="s">
        <v>247</v>
      </c>
    </row>
    <row r="29" spans="1:8">
      <c r="A29" s="99" t="s">
        <v>276</v>
      </c>
      <c r="B29" s="100">
        <f>+B31+B32+B33</f>
        <v>2439541574</v>
      </c>
      <c r="C29" s="100">
        <f>+C31+C32+C33</f>
        <v>1241009471</v>
      </c>
      <c r="D29" s="100">
        <f>+D31+D32+D33</f>
        <v>0</v>
      </c>
      <c r="E29" s="100">
        <f>+E31+E32+E33</f>
        <v>0</v>
      </c>
      <c r="F29" s="100">
        <f>+F31+F32+F33</f>
        <v>2439541574</v>
      </c>
      <c r="G29" s="86">
        <f t="shared" si="7"/>
        <v>1241009471</v>
      </c>
    </row>
    <row r="30" spans="1:8" ht="39" customHeight="1" thickBot="1">
      <c r="A30" s="101" t="s">
        <v>277</v>
      </c>
      <c r="B30" s="100"/>
      <c r="C30" s="100"/>
      <c r="D30" s="100"/>
      <c r="E30" s="100"/>
      <c r="F30" s="85">
        <f t="shared" si="8"/>
        <v>0</v>
      </c>
      <c r="G30" s="86">
        <f t="shared" si="7"/>
        <v>0</v>
      </c>
    </row>
    <row r="31" spans="1:8" ht="24.75" customHeight="1">
      <c r="A31" s="102" t="s">
        <v>278</v>
      </c>
      <c r="B31" s="103">
        <v>1864541574</v>
      </c>
      <c r="C31" s="103">
        <v>1113376773</v>
      </c>
      <c r="D31" s="103"/>
      <c r="E31" s="103"/>
      <c r="F31" s="89">
        <f t="shared" si="8"/>
        <v>1864541574</v>
      </c>
      <c r="G31" s="90">
        <f t="shared" si="7"/>
        <v>1113376773</v>
      </c>
    </row>
    <row r="32" spans="1:8" ht="21">
      <c r="A32" s="102" t="s">
        <v>279</v>
      </c>
      <c r="B32" s="103">
        <v>350000000</v>
      </c>
      <c r="C32" s="103">
        <v>95715832</v>
      </c>
      <c r="D32" s="103"/>
      <c r="E32" s="103"/>
      <c r="F32" s="89">
        <f t="shared" si="8"/>
        <v>350000000</v>
      </c>
      <c r="G32" s="90">
        <f t="shared" si="7"/>
        <v>95715832</v>
      </c>
    </row>
    <row r="33" spans="1:8">
      <c r="A33" s="102" t="s">
        <v>280</v>
      </c>
      <c r="B33" s="103">
        <v>225000000</v>
      </c>
      <c r="C33" s="104">
        <v>31916866</v>
      </c>
      <c r="D33" s="103"/>
      <c r="E33" s="103"/>
      <c r="F33" s="89">
        <f t="shared" si="8"/>
        <v>225000000</v>
      </c>
      <c r="G33" s="90">
        <f t="shared" si="7"/>
        <v>31916866</v>
      </c>
    </row>
    <row r="34" spans="1:8">
      <c r="A34" s="99" t="s">
        <v>281</v>
      </c>
      <c r="B34" s="100">
        <f t="shared" ref="B34:G34" si="9">+B36+B37+B38+B39</f>
        <v>8072344572</v>
      </c>
      <c r="C34" s="100">
        <f t="shared" si="9"/>
        <v>3760932435</v>
      </c>
      <c r="D34" s="100">
        <f t="shared" si="9"/>
        <v>1540000000</v>
      </c>
      <c r="E34" s="100">
        <f t="shared" si="9"/>
        <v>786270865</v>
      </c>
      <c r="F34" s="100">
        <f t="shared" si="9"/>
        <v>9612344572</v>
      </c>
      <c r="G34" s="105">
        <f t="shared" si="9"/>
        <v>4547203300</v>
      </c>
    </row>
    <row r="35" spans="1:8" ht="24.75" thickBot="1">
      <c r="A35" s="101" t="s">
        <v>282</v>
      </c>
      <c r="B35" s="100"/>
      <c r="C35" s="100"/>
      <c r="D35" s="100"/>
      <c r="E35" s="100"/>
      <c r="F35" s="89">
        <f t="shared" si="8"/>
        <v>0</v>
      </c>
      <c r="G35" s="90">
        <f t="shared" si="7"/>
        <v>0</v>
      </c>
    </row>
    <row r="36" spans="1:8" ht="21">
      <c r="A36" s="102" t="s">
        <v>283</v>
      </c>
      <c r="B36" s="103">
        <v>2713871379</v>
      </c>
      <c r="C36" s="103">
        <v>2134860420</v>
      </c>
      <c r="D36" s="103">
        <v>0</v>
      </c>
      <c r="E36" s="103">
        <v>0</v>
      </c>
      <c r="F36" s="89">
        <f t="shared" si="8"/>
        <v>2713871379</v>
      </c>
      <c r="G36" s="90">
        <f t="shared" si="7"/>
        <v>2134860420</v>
      </c>
    </row>
    <row r="37" spans="1:8" ht="27" customHeight="1">
      <c r="A37" s="102" t="s">
        <v>284</v>
      </c>
      <c r="B37" s="103">
        <v>2103012723</v>
      </c>
      <c r="C37" s="103">
        <v>643283684</v>
      </c>
      <c r="D37" s="103">
        <v>1540000000</v>
      </c>
      <c r="E37" s="103">
        <v>786270865</v>
      </c>
      <c r="F37" s="89">
        <f t="shared" si="8"/>
        <v>3643012723</v>
      </c>
      <c r="G37" s="90">
        <f t="shared" si="7"/>
        <v>1429554549</v>
      </c>
      <c r="H37" s="77" t="s">
        <v>247</v>
      </c>
    </row>
    <row r="38" spans="1:8" ht="21">
      <c r="A38" s="102" t="s">
        <v>285</v>
      </c>
      <c r="B38" s="103">
        <v>2211505468</v>
      </c>
      <c r="C38" s="103">
        <v>373546701</v>
      </c>
      <c r="D38" s="103"/>
      <c r="E38" s="103"/>
      <c r="F38" s="89">
        <f t="shared" si="8"/>
        <v>2211505468</v>
      </c>
      <c r="G38" s="90">
        <f t="shared" si="7"/>
        <v>373546701</v>
      </c>
    </row>
    <row r="39" spans="1:8" ht="21">
      <c r="A39" s="102" t="s">
        <v>286</v>
      </c>
      <c r="B39" s="103">
        <v>1043955002</v>
      </c>
      <c r="C39" s="103">
        <v>609241630</v>
      </c>
      <c r="D39" s="103"/>
      <c r="E39" s="103"/>
      <c r="F39" s="89">
        <f t="shared" si="8"/>
        <v>1043955002</v>
      </c>
      <c r="G39" s="90">
        <f t="shared" si="7"/>
        <v>609241630</v>
      </c>
    </row>
    <row r="40" spans="1:8">
      <c r="A40" s="99" t="s">
        <v>287</v>
      </c>
      <c r="B40" s="100">
        <f t="shared" ref="B40:G40" si="10">+B42+B43</f>
        <v>2015527581</v>
      </c>
      <c r="C40" s="100">
        <f t="shared" si="10"/>
        <v>1256815079</v>
      </c>
      <c r="D40" s="100">
        <f t="shared" si="10"/>
        <v>0</v>
      </c>
      <c r="E40" s="100">
        <f t="shared" si="10"/>
        <v>0</v>
      </c>
      <c r="F40" s="100">
        <f t="shared" si="10"/>
        <v>2015527581</v>
      </c>
      <c r="G40" s="105">
        <f t="shared" si="10"/>
        <v>1256815079</v>
      </c>
    </row>
    <row r="41" spans="1:8" ht="54" customHeight="1" thickBot="1">
      <c r="A41" s="101" t="s">
        <v>288</v>
      </c>
      <c r="B41" s="100"/>
      <c r="C41" s="100"/>
      <c r="D41" s="100"/>
      <c r="E41" s="100"/>
      <c r="F41" s="89">
        <f t="shared" si="8"/>
        <v>0</v>
      </c>
      <c r="G41" s="90">
        <f t="shared" si="7"/>
        <v>0</v>
      </c>
    </row>
    <row r="42" spans="1:8">
      <c r="A42" s="102" t="s">
        <v>289</v>
      </c>
      <c r="B42" s="103">
        <v>320000000</v>
      </c>
      <c r="C42" s="103">
        <v>221420184</v>
      </c>
      <c r="D42" s="103"/>
      <c r="E42" s="103"/>
      <c r="F42" s="89">
        <f t="shared" si="8"/>
        <v>320000000</v>
      </c>
      <c r="G42" s="90">
        <f t="shared" si="7"/>
        <v>221420184</v>
      </c>
    </row>
    <row r="43" spans="1:8">
      <c r="A43" s="102" t="s">
        <v>290</v>
      </c>
      <c r="B43" s="103">
        <v>1695527581</v>
      </c>
      <c r="C43" s="103">
        <v>1035394895</v>
      </c>
      <c r="D43" s="103"/>
      <c r="E43" s="103"/>
      <c r="F43" s="89">
        <f t="shared" si="8"/>
        <v>1695527581</v>
      </c>
      <c r="G43" s="90">
        <f t="shared" si="7"/>
        <v>1035394895</v>
      </c>
    </row>
    <row r="44" spans="1:8" ht="36" customHeight="1" thickBot="1">
      <c r="A44" s="101" t="s">
        <v>291</v>
      </c>
      <c r="B44" s="106">
        <f t="shared" ref="B44:G44" si="11">+B45+B46</f>
        <v>5266813192</v>
      </c>
      <c r="C44" s="106">
        <f t="shared" si="11"/>
        <v>1652307925</v>
      </c>
      <c r="D44" s="106">
        <f t="shared" si="11"/>
        <v>0</v>
      </c>
      <c r="E44" s="106">
        <f t="shared" si="11"/>
        <v>0</v>
      </c>
      <c r="F44" s="106">
        <f t="shared" si="11"/>
        <v>5266813192</v>
      </c>
      <c r="G44" s="107">
        <f t="shared" si="11"/>
        <v>1652307925</v>
      </c>
    </row>
    <row r="45" spans="1:8" ht="23.25" customHeight="1">
      <c r="A45" s="102" t="s">
        <v>292</v>
      </c>
      <c r="B45" s="103">
        <v>3711050806</v>
      </c>
      <c r="C45" s="103">
        <v>1403140857</v>
      </c>
      <c r="D45" s="103"/>
      <c r="E45" s="103"/>
      <c r="F45" s="89">
        <f t="shared" si="8"/>
        <v>3711050806</v>
      </c>
      <c r="G45" s="90">
        <f t="shared" si="7"/>
        <v>1403140857</v>
      </c>
    </row>
    <row r="46" spans="1:8" ht="30" customHeight="1">
      <c r="A46" s="102" t="s">
        <v>293</v>
      </c>
      <c r="B46" s="103">
        <v>1555762386</v>
      </c>
      <c r="C46" s="103">
        <v>249167068</v>
      </c>
      <c r="D46" s="103"/>
      <c r="E46" s="103"/>
      <c r="F46" s="89">
        <f t="shared" si="8"/>
        <v>1555762386</v>
      </c>
      <c r="G46" s="90">
        <f t="shared" si="7"/>
        <v>249167068</v>
      </c>
    </row>
    <row r="47" spans="1:8" ht="36.75" customHeight="1" thickBot="1">
      <c r="A47" s="101" t="s">
        <v>294</v>
      </c>
      <c r="B47" s="106">
        <f t="shared" ref="B47:G47" si="12">+B48</f>
        <v>410231113</v>
      </c>
      <c r="C47" s="106">
        <f t="shared" si="12"/>
        <v>38867961</v>
      </c>
      <c r="D47" s="106">
        <f t="shared" si="12"/>
        <v>0</v>
      </c>
      <c r="E47" s="106">
        <f t="shared" si="12"/>
        <v>0</v>
      </c>
      <c r="F47" s="106">
        <f t="shared" si="12"/>
        <v>410231113</v>
      </c>
      <c r="G47" s="107">
        <f t="shared" si="12"/>
        <v>38867961</v>
      </c>
    </row>
    <row r="48" spans="1:8" ht="21">
      <c r="A48" s="108" t="s">
        <v>295</v>
      </c>
      <c r="B48" s="103">
        <v>410231113</v>
      </c>
      <c r="C48" s="103">
        <v>38867961</v>
      </c>
      <c r="D48" s="103"/>
      <c r="E48" s="103"/>
      <c r="F48" s="89">
        <f t="shared" si="8"/>
        <v>410231113</v>
      </c>
      <c r="G48" s="90">
        <f t="shared" si="7"/>
        <v>38867961</v>
      </c>
    </row>
    <row r="49" spans="1:7" ht="27" customHeight="1" thickBot="1">
      <c r="A49" s="101" t="s">
        <v>296</v>
      </c>
      <c r="B49" s="100">
        <f t="shared" ref="B49:G49" si="13">+B50+B51</f>
        <v>4141877096</v>
      </c>
      <c r="C49" s="100">
        <f t="shared" si="13"/>
        <v>1498683359</v>
      </c>
      <c r="D49" s="100">
        <f t="shared" si="13"/>
        <v>0</v>
      </c>
      <c r="E49" s="100">
        <f t="shared" si="13"/>
        <v>0</v>
      </c>
      <c r="F49" s="100">
        <f t="shared" si="13"/>
        <v>4141877096</v>
      </c>
      <c r="G49" s="105">
        <f t="shared" si="13"/>
        <v>1498683359</v>
      </c>
    </row>
    <row r="50" spans="1:7" ht="21">
      <c r="A50" s="109" t="s">
        <v>297</v>
      </c>
      <c r="B50" s="103">
        <v>1266511705</v>
      </c>
      <c r="C50" s="103">
        <v>173510984</v>
      </c>
      <c r="D50" s="103"/>
      <c r="E50" s="103"/>
      <c r="F50" s="89">
        <f t="shared" si="8"/>
        <v>1266511705</v>
      </c>
      <c r="G50" s="90">
        <f t="shared" si="7"/>
        <v>173510984</v>
      </c>
    </row>
    <row r="51" spans="1:7">
      <c r="A51" s="109" t="s">
        <v>298</v>
      </c>
      <c r="B51" s="103">
        <v>2875365391</v>
      </c>
      <c r="C51" s="103">
        <v>1325172375</v>
      </c>
      <c r="D51" s="103"/>
      <c r="E51" s="103"/>
      <c r="F51" s="89">
        <f t="shared" si="8"/>
        <v>2875365391</v>
      </c>
      <c r="G51" s="90">
        <f t="shared" si="7"/>
        <v>1325172375</v>
      </c>
    </row>
    <row r="52" spans="1:7">
      <c r="A52" s="99" t="s">
        <v>247</v>
      </c>
      <c r="B52" s="100">
        <v>0</v>
      </c>
      <c r="C52" s="100">
        <v>0</v>
      </c>
      <c r="D52" s="100">
        <v>0</v>
      </c>
      <c r="E52" s="100">
        <v>0</v>
      </c>
      <c r="F52" s="89">
        <f t="shared" si="8"/>
        <v>0</v>
      </c>
      <c r="G52" s="90">
        <f t="shared" si="7"/>
        <v>0</v>
      </c>
    </row>
    <row r="53" spans="1:7">
      <c r="A53" s="110" t="s">
        <v>299</v>
      </c>
      <c r="B53" s="85">
        <v>0</v>
      </c>
      <c r="C53" s="85">
        <v>0</v>
      </c>
      <c r="D53" s="85">
        <v>0</v>
      </c>
      <c r="E53" s="85">
        <v>0</v>
      </c>
      <c r="F53" s="89">
        <f t="shared" si="8"/>
        <v>0</v>
      </c>
      <c r="G53" s="90">
        <f t="shared" si="7"/>
        <v>0</v>
      </c>
    </row>
    <row r="54" spans="1:7">
      <c r="A54" s="111">
        <v>0</v>
      </c>
      <c r="B54" s="112">
        <v>0</v>
      </c>
      <c r="C54" s="112"/>
      <c r="D54" s="112"/>
      <c r="E54" s="112"/>
      <c r="F54" s="85"/>
      <c r="G54" s="86"/>
    </row>
    <row r="55" spans="1:7" ht="13.5" thickBot="1">
      <c r="A55" s="113" t="s">
        <v>300</v>
      </c>
      <c r="B55" s="114">
        <f t="shared" ref="B55:G55" si="14">+B26+B28+B53</f>
        <v>27753409871</v>
      </c>
      <c r="C55" s="114">
        <f t="shared" si="14"/>
        <v>11492412055</v>
      </c>
      <c r="D55" s="114">
        <f t="shared" si="14"/>
        <v>3280302000</v>
      </c>
      <c r="E55" s="114">
        <f t="shared" si="14"/>
        <v>1764961284</v>
      </c>
      <c r="F55" s="114">
        <f t="shared" si="14"/>
        <v>31033711871</v>
      </c>
      <c r="G55" s="115">
        <f t="shared" si="14"/>
        <v>13257373339</v>
      </c>
    </row>
    <row r="56" spans="1:7" ht="27.75" customHeight="1">
      <c r="A56" s="116"/>
      <c r="B56" s="117" t="s">
        <v>247</v>
      </c>
      <c r="C56" s="118" t="s">
        <v>247</v>
      </c>
      <c r="D56" s="117"/>
      <c r="E56" s="117" t="s">
        <v>247</v>
      </c>
      <c r="F56" s="117"/>
      <c r="G56" s="117" t="s">
        <v>247</v>
      </c>
    </row>
    <row r="57" spans="1:7" ht="32.25" customHeight="1">
      <c r="A57" s="119"/>
      <c r="B57" s="119" t="s">
        <v>247</v>
      </c>
      <c r="C57" s="119"/>
      <c r="D57" s="119" t="s">
        <v>247</v>
      </c>
      <c r="E57" s="119"/>
      <c r="F57" s="119"/>
      <c r="G57" s="119"/>
    </row>
    <row r="58" spans="1:7">
      <c r="A58" s="120"/>
      <c r="B58" s="121" t="s">
        <v>247</v>
      </c>
      <c r="C58" s="122"/>
      <c r="D58" s="122"/>
      <c r="E58" s="121" t="s">
        <v>247</v>
      </c>
      <c r="F58" s="121">
        <f>+F55-[10]Hoja1!$F$37</f>
        <v>0</v>
      </c>
      <c r="G58" s="121" t="s">
        <v>247</v>
      </c>
    </row>
    <row r="59" spans="1:7">
      <c r="A59" s="120"/>
      <c r="B59" s="123" t="s">
        <v>247</v>
      </c>
      <c r="C59" s="122"/>
      <c r="D59" s="122"/>
      <c r="E59" s="122"/>
      <c r="F59" s="121" t="e">
        <f>+[10]Hoja1!$J$207</f>
        <v>#REF!</v>
      </c>
      <c r="G59" s="121" t="s">
        <v>247</v>
      </c>
    </row>
    <row r="60" spans="1:7">
      <c r="A60" s="120"/>
      <c r="B60" s="122"/>
      <c r="C60" s="122"/>
      <c r="D60" s="122"/>
      <c r="E60" s="122"/>
      <c r="F60" s="121" t="e">
        <f>+F58-F59</f>
        <v>#REF!</v>
      </c>
      <c r="G60" s="122"/>
    </row>
    <row r="61" spans="1:7">
      <c r="A61" s="124"/>
    </row>
    <row r="62" spans="1:7">
      <c r="A62" s="125"/>
    </row>
    <row r="63" spans="1:7">
      <c r="A63" s="125"/>
    </row>
    <row r="64" spans="1:7">
      <c r="A64" s="125"/>
    </row>
    <row r="65" spans="1:1">
      <c r="A65" s="126"/>
    </row>
    <row r="66" spans="1:1" ht="15.75" customHeight="1">
      <c r="A66" s="126"/>
    </row>
    <row r="67" spans="1:1">
      <c r="A67" s="126"/>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MATRIZ GENERAL CONSOLIDADA</vt:lpstr>
      <vt:lpstr>Anexo 1 Matriz SINA Inf Gestión</vt:lpstr>
      <vt:lpstr>Anexo 2 Matriz Inf. Ejecución</vt:lpstr>
      <vt:lpstr>CUATRENIO</vt:lpstr>
      <vt:lpstr>INGRESOS </vt:lpstr>
      <vt:lpstr>GASTOS </vt:lpstr>
      <vt:lpstr>ANEXO 5.1 ING</vt:lpstr>
      <vt:lpstr>Anexo 3 Matriz Ind Min Jun</vt:lpstr>
      <vt:lpstr>Anexo 5-2 Gastos</vt:lpstr>
      <vt:lpstr>Anexo 2 Protocolo Inf Gestión</vt:lpstr>
      <vt:lpstr>Anexo 4 ProtocoloMatrizINdica</vt:lpstr>
      <vt:lpstr>Hoja1</vt:lpstr>
      <vt:lpstr>Hoja2</vt:lpstr>
      <vt:lpstr>'Anexo 1 Matriz SINA Inf Gestión'!Área_de_impresión</vt:lpstr>
      <vt:lpstr>'Anexo 2 Matriz Inf. Ejecución'!Área_de_impresión</vt:lpstr>
      <vt:lpstr>'Anexo 2 Protocolo Inf Gestión'!Área_de_impresión</vt:lpstr>
      <vt:lpstr>'Anexo 4 ProtocoloMatrizINdica'!Área_de_impresión</vt:lpstr>
      <vt:lpstr>'Anexo 5-2 Gastos'!Área_de_impresión</vt:lpstr>
      <vt:lpstr>'Anexo 1 Matriz SINA Inf Gestión'!Títulos_a_imprimir</vt:lpstr>
      <vt:lpstr>'Anexo 2 Matriz Inf. Ejecución'!Títulos_a_imprimir</vt:lpstr>
      <vt:lpstr>'Anexo 3 Matriz Ind Min Jun'!Títulos_a_imprimir</vt:lpstr>
      <vt:lpstr>'Anexo 5-2 Gastos'!Títulos_a_imprimir</vt:lpstr>
      <vt:lpstr>'MATRIZ GENERAL CONSOLIDADA'!Títulos_a_imprimir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Ronal Estith Dussan Quiacha</cp:lastModifiedBy>
  <cp:lastPrinted>2020-01-13T16:21:43Z</cp:lastPrinted>
  <dcterms:created xsi:type="dcterms:W3CDTF">2004-01-28T22:51:19Z</dcterms:created>
  <dcterms:modified xsi:type="dcterms:W3CDTF">2020-01-14T15:47:18Z</dcterms:modified>
</cp:coreProperties>
</file>