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Hoja1" sheetId="2" state="hidden" r:id="rId2"/>
    <sheet name="Hoja2" sheetId="3" state="hidden" r:id="rId3"/>
    <sheet name="INVERSION" sheetId="4" r:id="rId4"/>
    <sheet name="Hoja3" sheetId="5" state="hidden" r:id="rId5"/>
  </sheets>
  <externalReferences>
    <externalReference r:id="rId8"/>
    <externalReference r:id="rId9"/>
  </externalReferences>
  <definedNames>
    <definedName name="_xlnm.Print_Area" localSheetId="3">'INVERSION'!$A$1:$J$22</definedName>
  </definedNames>
  <calcPr fullCalcOnLoad="1"/>
</workbook>
</file>

<file path=xl/sharedStrings.xml><?xml version="1.0" encoding="utf-8"?>
<sst xmlns="http://schemas.openxmlformats.org/spreadsheetml/2006/main" count="446" uniqueCount="168">
  <si>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</si>
  <si>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</si>
  <si>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</si>
  <si>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</si>
  <si>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</si>
  <si>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</si>
  <si>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</si>
  <si>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</si>
  <si>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</si>
  <si>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</si>
  <si>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</si>
  <si>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</si>
  <si>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</si>
  <si>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</si>
  <si>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</si>
  <si>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</si>
  <si>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</si>
  <si>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</si>
  <si>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</si>
  <si>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</si>
  <si>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</si>
  <si>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</si>
  <si>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</si>
  <si>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</si>
  <si>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</si>
  <si>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</si>
  <si>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</si>
  <si>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</si>
  <si>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</si>
  <si>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</si>
  <si>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</si>
  <si>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</si>
  <si>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</si>
  <si>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</si>
  <si>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</si>
  <si>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</si>
  <si>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</si>
  <si>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</si>
  <si>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</si>
  <si>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</si>
  <si>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</si>
  <si>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</si>
  <si>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</si>
  <si>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</si>
  <si>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</si>
  <si>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</si>
  <si>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</si>
  <si>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</si>
  <si>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</si>
  <si>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</si>
  <si>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</si>
  <si>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</si>
  <si>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</si>
  <si>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</si>
  <si>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</si>
  <si>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</si>
  <si>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</si>
  <si>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</si>
  <si>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</si>
  <si>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</si>
  <si>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</si>
  <si>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</si>
  <si>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</si>
  <si>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</si>
  <si>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</si>
  <si>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</si>
  <si>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</si>
  <si>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</si>
  <si>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</si>
  <si>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</si>
  <si>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</si>
  <si>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</si>
  <si>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</si>
  <si>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</si>
  <si>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% DE EJEUCION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</si>
  <si>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</si>
  <si>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</si>
  <si>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</si>
  <si>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</si>
  <si>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</si>
  <si>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</si>
  <si>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</si>
  <si>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</si>
  <si>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</si>
  <si>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</si>
  <si>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</si>
  <si>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</si>
  <si>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</si>
  <si>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</si>
  <si>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</si>
  <si>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</si>
  <si>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</si>
  <si>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</si>
  <si>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</si>
  <si>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</si>
  <si>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</si>
  <si>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</si>
  <si>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</si>
  <si>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</si>
  <si>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</si>
  <si>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</si>
  <si>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</si>
  <si>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</si>
  <si>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</si>
  <si>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</si>
  <si>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</si>
  <si>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</si>
  <si>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</si>
  <si>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</si>
  <si>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</si>
  <si>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</si>
  <si>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</si>
  <si>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</si>
  <si>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</si>
  <si>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</si>
  <si>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</si>
  <si>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</si>
  <si>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</si>
  <si>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</si>
  <si>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</si>
  <si>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</si>
  <si>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</si>
  <si>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</si>
  <si>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</si>
  <si>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</si>
  <si>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</si>
  <si>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</si>
  <si>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</si>
  <si>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</si>
  <si>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</si>
  <si>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</si>
  <si>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</si>
  <si>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</si>
  <si>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</si>
  <si>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</si>
  <si>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</si>
  <si>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</si>
  <si>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</si>
  <si>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</si>
  <si>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</si>
  <si>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</si>
  <si>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</si>
  <si>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</si>
  <si>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</si>
  <si>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</si>
  <si>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</si>
  <si>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</si>
  <si>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</si>
  <si>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</si>
  <si>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01-01-900-01 Ordenamiento y Admon RH y Cuencas Hidrograficas</t>
  </si>
  <si>
    <t>01-01-900-02 Recuperacion de Cuencas Hidrograficas</t>
  </si>
  <si>
    <t>01-01-900-03 descontaminacion de Fuentes Hidricas</t>
  </si>
  <si>
    <t>02-02-900-01 Conocimiento y Planificacion de Ecosistemas Estrategicos</t>
  </si>
  <si>
    <t>02-02-900-02 Conservacion y Recuperacion de Ecosistemas Estrategicos y su Biodiversidad</t>
  </si>
  <si>
    <t>03-03-900-01 Crecimiento Verde de Sectores Productivos</t>
  </si>
  <si>
    <t>03-03-900-02 Areas  Urbanas Sostenibles y Resilientes</t>
  </si>
  <si>
    <t>04-04-900-01 Control y vigilancia Ambiental</t>
  </si>
  <si>
    <t>05-05-900-01 Planificacion Ambiental Territorial</t>
  </si>
  <si>
    <t>05-05-900-02 Gestion d eRiesgo de Desastres</t>
  </si>
  <si>
    <t>06-06-900-01 Modelo de Gestion Corporativa</t>
  </si>
  <si>
    <t>06-06-900-02 Educacion Ambiental Opirta de Corazon</t>
  </si>
  <si>
    <t>Transferencias fonam</t>
  </si>
  <si>
    <t>SALDO POR EJECUTAR</t>
  </si>
  <si>
    <t>SALDO POR</t>
  </si>
  <si>
    <t>02-02-900-03 Conservacion y Recuperacion de Ecosistemas Estrategicos y su Biodiversidad-pasivos vigencias expiradas</t>
  </si>
  <si>
    <t>03-03-900-03 Crecimiento Verde de Sectores Productivos-pasivos vigencias expiradas</t>
  </si>
  <si>
    <t>EJECUCION PRESUPUESTAL A SEPTIEMBRE 30 DE 2019</t>
  </si>
  <si>
    <t>EJECUCION PRESUPUESTAL GASTOS DE INVERSION RECURSOS PROPIOS A SEPTIEMBRE 30 DE  2019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</si>
</sst>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;[Red]0.00"/>
    <numFmt numFmtId="189" formatCode="#,##0.00;[Red]#,##0.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4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wrapText="1"/>
      <protection locked="0"/>
    </xf>
    <xf numFmtId="3" fontId="0" fillId="0" borderId="1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" fontId="4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196" fontId="0" fillId="0" borderId="10" xfId="49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wrapText="1"/>
      <protection locked="0"/>
    </xf>
    <xf numFmtId="3" fontId="27" fillId="0" borderId="10" xfId="49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4" fontId="0" fillId="0" borderId="22" xfId="0" applyNumberForma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/>
    </xf>
    <xf numFmtId="4" fontId="0" fillId="0" borderId="25" xfId="0" applyNumberFormat="1" applyFill="1" applyBorder="1" applyAlignment="1">
      <alignment horizontal="center" vertical="center"/>
    </xf>
    <xf numFmtId="3" fontId="3" fillId="0" borderId="22" xfId="0" applyNumberFormat="1" applyFont="1" applyFill="1" applyBorder="1" applyAlignment="1" applyProtection="1">
      <alignment vertical="center"/>
      <protection/>
    </xf>
    <xf numFmtId="3" fontId="3" fillId="0" borderId="25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JECUIONINGRESOSSEPTIEMBR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INGRESOS 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7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56" customWidth="1"/>
    <col min="9" max="9" width="19.7109375" style="144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9" width="15.140625" style="0" hidden="1" customWidth="1"/>
    <col min="20" max="20" width="16.00390625" style="56" customWidth="1"/>
    <col min="21" max="21" width="16.00390625" style="0" hidden="1" customWidth="1"/>
    <col min="22" max="22" width="16.00390625" style="0" customWidth="1"/>
    <col min="23" max="23" width="18.8515625" style="0" customWidth="1"/>
    <col min="24" max="24" width="0" style="0" hidden="1" customWidth="1"/>
    <col min="25" max="25" width="18.57421875" style="0" customWidth="1"/>
    <col min="26" max="26" width="12.7109375" style="0" bestFit="1" customWidth="1"/>
  </cols>
  <sheetData>
    <row r="1" spans="1:45" ht="12.7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</row>
    <row r="2" spans="1:45" ht="12.75">
      <c r="A2" s="146" t="s">
        <v>166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</row>
    <row r="3" spans="1:45" ht="12.75">
      <c r="A3" s="146" t="s">
        <v>77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</row>
    <row r="4" spans="1:45" ht="12.75">
      <c r="A4" s="2"/>
      <c r="B4" s="2"/>
      <c r="C4" s="2"/>
      <c r="D4" s="2"/>
      <c r="E4" s="2"/>
      <c r="F4" s="2"/>
      <c r="G4" s="2"/>
      <c r="H4" s="12"/>
      <c r="I4" s="129"/>
      <c r="J4" s="2"/>
      <c r="K4" s="2"/>
      <c r="L4" s="2"/>
      <c r="M4" s="28"/>
      <c r="N4" s="28"/>
      <c r="O4" s="2"/>
      <c r="P4" s="2"/>
      <c r="Q4" s="2"/>
      <c r="R4" s="2"/>
      <c r="S4" s="2"/>
      <c r="T4" s="12"/>
      <c r="U4" s="2"/>
      <c r="V4" s="2"/>
      <c r="W4" s="2"/>
      <c r="X4" s="2"/>
      <c r="Y4" s="2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45" ht="12.75">
      <c r="A5" s="3"/>
      <c r="B5" s="18" t="s">
        <v>6</v>
      </c>
      <c r="C5" s="3"/>
      <c r="D5" s="3" t="s">
        <v>7</v>
      </c>
      <c r="E5" s="3"/>
      <c r="F5" s="8"/>
      <c r="G5" s="18" t="s">
        <v>3</v>
      </c>
      <c r="H5" s="10" t="s">
        <v>2</v>
      </c>
      <c r="I5" s="130" t="s">
        <v>3</v>
      </c>
      <c r="J5" s="76" t="s">
        <v>75</v>
      </c>
      <c r="K5" s="76" t="s">
        <v>35</v>
      </c>
      <c r="L5" s="14" t="s">
        <v>36</v>
      </c>
      <c r="M5" s="27" t="s">
        <v>47</v>
      </c>
      <c r="N5" s="66" t="s">
        <v>76</v>
      </c>
      <c r="O5" s="2"/>
      <c r="P5" s="2"/>
      <c r="Q5" s="2"/>
      <c r="R5" s="2"/>
      <c r="S5" s="18" t="s">
        <v>75</v>
      </c>
      <c r="T5" s="10" t="s">
        <v>35</v>
      </c>
      <c r="U5" s="18" t="s">
        <v>82</v>
      </c>
      <c r="V5" s="18" t="s">
        <v>82</v>
      </c>
      <c r="W5" s="18" t="s">
        <v>78</v>
      </c>
      <c r="X5" s="18"/>
      <c r="Y5" s="18" t="s">
        <v>74</v>
      </c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ht="12.75">
      <c r="A6" s="3"/>
      <c r="B6" s="3"/>
      <c r="C6" s="3"/>
      <c r="D6" s="3" t="s">
        <v>8</v>
      </c>
      <c r="E6" s="3"/>
      <c r="F6" s="18" t="s">
        <v>9</v>
      </c>
      <c r="G6" s="18" t="s">
        <v>4</v>
      </c>
      <c r="H6" s="10" t="s">
        <v>10</v>
      </c>
      <c r="I6" s="130" t="s">
        <v>5</v>
      </c>
      <c r="J6" s="10" t="s">
        <v>1</v>
      </c>
      <c r="K6" s="26"/>
      <c r="L6" s="14" t="s">
        <v>40</v>
      </c>
      <c r="M6" s="67" t="s">
        <v>75</v>
      </c>
      <c r="N6" s="66" t="s">
        <v>35</v>
      </c>
      <c r="O6" s="2"/>
      <c r="P6" s="2"/>
      <c r="Q6" s="2"/>
      <c r="R6" s="2"/>
      <c r="S6" s="2"/>
      <c r="T6" s="10"/>
      <c r="U6" s="18"/>
      <c r="V6" s="18"/>
      <c r="W6" s="18" t="s">
        <v>79</v>
      </c>
      <c r="X6" s="18"/>
      <c r="Y6" s="18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ht="12.75">
      <c r="A7" s="3"/>
      <c r="B7" s="3"/>
      <c r="C7" s="3"/>
      <c r="D7" s="3" t="s">
        <v>11</v>
      </c>
      <c r="E7" s="3"/>
      <c r="F7" s="8"/>
      <c r="G7" s="18" t="s">
        <v>1</v>
      </c>
      <c r="H7" s="14" t="s">
        <v>26</v>
      </c>
      <c r="I7" s="131" t="s">
        <v>1</v>
      </c>
      <c r="J7" s="27" t="s">
        <v>1</v>
      </c>
      <c r="K7" s="27"/>
      <c r="L7" s="15"/>
      <c r="M7" s="28"/>
      <c r="N7" s="28"/>
      <c r="O7" s="2"/>
      <c r="P7" s="2"/>
      <c r="Q7" s="2"/>
      <c r="R7" s="2"/>
      <c r="S7" s="2"/>
      <c r="T7" s="13" t="s">
        <v>1</v>
      </c>
      <c r="U7" s="2"/>
      <c r="V7" s="4" t="s">
        <v>1</v>
      </c>
      <c r="W7" s="2"/>
      <c r="X7" s="2"/>
      <c r="Y7" s="2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5" ht="12.75">
      <c r="A8" s="8"/>
      <c r="B8" s="8"/>
      <c r="C8" s="8"/>
      <c r="D8" s="8"/>
      <c r="E8" s="8"/>
      <c r="F8" s="8"/>
      <c r="G8" s="9" t="s">
        <v>1</v>
      </c>
      <c r="H8" s="16" t="s">
        <v>1</v>
      </c>
      <c r="I8" s="132" t="s">
        <v>1</v>
      </c>
      <c r="J8" s="19" t="s">
        <v>1</v>
      </c>
      <c r="K8" s="19" t="s">
        <v>1</v>
      </c>
      <c r="L8" s="77"/>
      <c r="M8" s="28"/>
      <c r="N8" s="28"/>
      <c r="O8" s="2"/>
      <c r="P8" s="2"/>
      <c r="Q8" s="2"/>
      <c r="R8" s="2"/>
      <c r="S8" s="2"/>
      <c r="T8" s="16" t="s">
        <v>1</v>
      </c>
      <c r="U8" s="9"/>
      <c r="V8" s="9" t="s">
        <v>1</v>
      </c>
      <c r="W8" s="2" t="s">
        <v>1</v>
      </c>
      <c r="X8" s="2"/>
      <c r="Y8" s="28" t="s">
        <v>26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7923778909</v>
      </c>
      <c r="H9" s="13">
        <f>SUM(H10+H23+H27)</f>
        <v>208000000</v>
      </c>
      <c r="I9" s="132">
        <f>+G9+H9</f>
        <v>8131778909</v>
      </c>
      <c r="J9" s="20">
        <f>SUM(J10+J23+J27)</f>
        <v>2514035997</v>
      </c>
      <c r="K9" s="20">
        <f>SUM(K10+K23+K27)</f>
        <v>2514035997</v>
      </c>
      <c r="L9" s="77">
        <f aca="true" t="shared" si="0" ref="L9:L32">+I9-J9</f>
        <v>5617742912</v>
      </c>
      <c r="M9" s="28">
        <f aca="true" t="shared" si="1" ref="M9:M32">+J9/I9*100</f>
        <v>30.91618728366487</v>
      </c>
      <c r="N9" s="28">
        <f>+K9/I9*100</f>
        <v>30.91618728366487</v>
      </c>
      <c r="O9" s="2"/>
      <c r="P9" s="2"/>
      <c r="Q9" s="2"/>
      <c r="R9" s="2"/>
      <c r="S9" s="4">
        <f>SUM(S10+S23+S27)</f>
        <v>3228996405</v>
      </c>
      <c r="T9" s="13">
        <f>SUM(T10+T23+T27)</f>
        <v>3947005055</v>
      </c>
      <c r="U9" s="4">
        <f>SUM(U10+U23+U27)</f>
        <v>2851608536</v>
      </c>
      <c r="V9" s="4">
        <f>SUM(V10+V23+V27)</f>
        <v>3352481034</v>
      </c>
      <c r="W9" s="32">
        <f aca="true" t="shared" si="2" ref="W9:W32">+I9-T9</f>
        <v>4184773854</v>
      </c>
      <c r="X9" s="2"/>
      <c r="Y9" s="28">
        <f aca="true" t="shared" si="3" ref="Y9:Y14">+T9/I9*100</f>
        <v>48.538027154569804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1:45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2691035097</v>
      </c>
      <c r="H10" s="13">
        <f>SUM(H11+H18+H19+H20+H21+H22)</f>
        <v>165000000</v>
      </c>
      <c r="I10" s="4">
        <f>SUM(I11+I18+I19+I20+I21+I22)</f>
        <v>2856035097</v>
      </c>
      <c r="J10" s="20">
        <f>SUM(J11+J18+J19+J20+J21+J22)</f>
        <v>874418338</v>
      </c>
      <c r="K10" s="20">
        <f>SUM(K11+K18+K19+K20+K21+K22)</f>
        <v>874418338</v>
      </c>
      <c r="L10" s="77">
        <f t="shared" si="0"/>
        <v>1981616759</v>
      </c>
      <c r="M10" s="28">
        <f t="shared" si="1"/>
        <v>30.616512343230497</v>
      </c>
      <c r="N10" s="28">
        <f aca="true" t="shared" si="4" ref="N10:N32">+K10/I10*100</f>
        <v>30.616512343230497</v>
      </c>
      <c r="O10" s="2"/>
      <c r="P10" s="2"/>
      <c r="Q10" s="2"/>
      <c r="R10" s="2"/>
      <c r="S10" s="4">
        <f>SUM(S11+S18+S19+S20+S21+S22)</f>
        <v>1282797323</v>
      </c>
      <c r="T10" s="13">
        <f>SUM(T11+T18+T19+T20+T21+T22)</f>
        <v>1329316000</v>
      </c>
      <c r="U10" s="4">
        <f>SUM(U11+U18+U19+U20+U21+U22)</f>
        <v>781620069</v>
      </c>
      <c r="V10" s="4">
        <f>SUM(V11+V18+V19+V20+V21+V22)</f>
        <v>1018589393</v>
      </c>
      <c r="W10" s="32">
        <f t="shared" si="2"/>
        <v>1526719097</v>
      </c>
      <c r="X10" s="2"/>
      <c r="Y10" s="28">
        <f t="shared" si="3"/>
        <v>46.54410589688912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</row>
    <row r="11" spans="1:45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1261690823</v>
      </c>
      <c r="H11" s="4">
        <f>SUM(H12:H17)</f>
        <v>55000000</v>
      </c>
      <c r="I11" s="133">
        <f>SUM(I12:I17)</f>
        <v>1316690823</v>
      </c>
      <c r="J11" s="20">
        <f>SUM(J12:J17)</f>
        <v>463627287</v>
      </c>
      <c r="K11" s="20">
        <f>SUM(K12:K17)</f>
        <v>463627287</v>
      </c>
      <c r="L11" s="77">
        <f t="shared" si="0"/>
        <v>853063536</v>
      </c>
      <c r="M11" s="28">
        <f t="shared" si="1"/>
        <v>35.21155300100394</v>
      </c>
      <c r="N11" s="28">
        <f t="shared" si="4"/>
        <v>35.21155300100394</v>
      </c>
      <c r="O11" s="2"/>
      <c r="P11" s="2"/>
      <c r="Q11" s="2"/>
      <c r="R11" s="2"/>
      <c r="S11" s="4">
        <f>SUM(S12:S17)</f>
        <v>462143059</v>
      </c>
      <c r="T11" s="13">
        <f>SUM(T12:T17)</f>
        <v>316706744</v>
      </c>
      <c r="U11" s="4">
        <f>SUM(U12:U17)</f>
        <v>241660880</v>
      </c>
      <c r="V11" s="4">
        <f>SUM(V12:V17)</f>
        <v>316706744</v>
      </c>
      <c r="W11" s="32">
        <f t="shared" si="2"/>
        <v>999984079</v>
      </c>
      <c r="X11" s="2"/>
      <c r="Y11" s="28">
        <f t="shared" si="3"/>
        <v>24.053235464830152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</row>
    <row r="12" spans="1:45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736745683</v>
      </c>
      <c r="H12" s="13">
        <v>0</v>
      </c>
      <c r="I12" s="132">
        <f aca="true" t="shared" si="5" ref="I12:I32">+G12+H12</f>
        <v>736745683</v>
      </c>
      <c r="J12" s="20">
        <v>280609080</v>
      </c>
      <c r="K12" s="20">
        <v>280609080</v>
      </c>
      <c r="L12" s="77">
        <f t="shared" si="0"/>
        <v>456136603</v>
      </c>
      <c r="M12" s="28">
        <f t="shared" si="1"/>
        <v>38.08764496011305</v>
      </c>
      <c r="N12" s="28">
        <f t="shared" si="4"/>
        <v>38.08764496011305</v>
      </c>
      <c r="O12" s="2"/>
      <c r="P12" s="2"/>
      <c r="Q12" s="2"/>
      <c r="R12" s="2"/>
      <c r="S12" s="4">
        <v>177733386</v>
      </c>
      <c r="T12" s="13">
        <v>21440954</v>
      </c>
      <c r="U12" s="4">
        <f>+T12</f>
        <v>21440954</v>
      </c>
      <c r="V12" s="4">
        <f>+T12</f>
        <v>21440954</v>
      </c>
      <c r="W12" s="32">
        <f>+I12-T12</f>
        <v>715304729</v>
      </c>
      <c r="X12" s="2"/>
      <c r="Y12" s="28">
        <f t="shared" si="3"/>
        <v>2.9102245855982845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</row>
    <row r="13" spans="1:45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156788029</v>
      </c>
      <c r="H13" s="13">
        <v>0</v>
      </c>
      <c r="I13" s="132">
        <f t="shared" si="5"/>
        <v>156788029</v>
      </c>
      <c r="J13" s="20">
        <v>41107639</v>
      </c>
      <c r="K13" s="20">
        <v>41107639</v>
      </c>
      <c r="L13" s="77">
        <f t="shared" si="0"/>
        <v>115680390</v>
      </c>
      <c r="M13" s="28">
        <f t="shared" si="1"/>
        <v>26.2186081821336</v>
      </c>
      <c r="N13" s="28">
        <f t="shared" si="4"/>
        <v>26.2186081821336</v>
      </c>
      <c r="O13" s="2"/>
      <c r="P13" s="2"/>
      <c r="Q13" s="2"/>
      <c r="R13" s="2"/>
      <c r="S13" s="4">
        <v>78846525</v>
      </c>
      <c r="T13" s="13">
        <v>86681831</v>
      </c>
      <c r="U13" s="4">
        <f>+T13</f>
        <v>86681831</v>
      </c>
      <c r="V13" s="4">
        <f>+T13</f>
        <v>86681831</v>
      </c>
      <c r="W13" s="32">
        <f t="shared" si="2"/>
        <v>70106198</v>
      </c>
      <c r="X13" s="2"/>
      <c r="Y13" s="28">
        <f t="shared" si="3"/>
        <v>55.28600082089176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</row>
    <row r="14" spans="1:45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10040000</v>
      </c>
      <c r="H14" s="13">
        <f>35000000+20000000</f>
        <v>55000000</v>
      </c>
      <c r="I14" s="132">
        <f t="shared" si="5"/>
        <v>65040000</v>
      </c>
      <c r="J14" s="20">
        <v>27219355</v>
      </c>
      <c r="K14" s="20">
        <v>27219355</v>
      </c>
      <c r="L14" s="77">
        <f t="shared" si="0"/>
        <v>37820645</v>
      </c>
      <c r="M14" s="28">
        <f t="shared" si="1"/>
        <v>41.85017681426814</v>
      </c>
      <c r="N14" s="28">
        <f t="shared" si="4"/>
        <v>41.85017681426814</v>
      </c>
      <c r="O14" s="2"/>
      <c r="P14" s="2"/>
      <c r="Q14" s="2"/>
      <c r="R14" s="2"/>
      <c r="S14" s="4">
        <v>31783291</v>
      </c>
      <c r="T14" s="13">
        <f>8593160+35000000+4563706</f>
        <v>48156866</v>
      </c>
      <c r="U14" s="4">
        <f>+T14</f>
        <v>48156866</v>
      </c>
      <c r="V14" s="4">
        <f>+T14</f>
        <v>48156866</v>
      </c>
      <c r="W14" s="32">
        <f t="shared" si="2"/>
        <v>16883134</v>
      </c>
      <c r="X14" s="2"/>
      <c r="Y14" s="28">
        <f t="shared" si="3"/>
        <v>74.04192189421894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ht="12.75" hidden="1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81</v>
      </c>
      <c r="G15" s="4">
        <v>0</v>
      </c>
      <c r="H15" s="13">
        <v>0</v>
      </c>
      <c r="I15" s="132">
        <f t="shared" si="5"/>
        <v>0</v>
      </c>
      <c r="J15" s="20"/>
      <c r="K15" s="20"/>
      <c r="L15" s="77"/>
      <c r="M15" s="28"/>
      <c r="N15" s="28"/>
      <c r="O15" s="2"/>
      <c r="P15" s="2"/>
      <c r="Q15" s="2"/>
      <c r="R15" s="2"/>
      <c r="S15" s="4">
        <v>0</v>
      </c>
      <c r="T15" s="13">
        <v>0</v>
      </c>
      <c r="U15" s="4">
        <v>0</v>
      </c>
      <c r="V15" s="4">
        <v>0</v>
      </c>
      <c r="W15" s="32">
        <f t="shared" si="2"/>
        <v>0</v>
      </c>
      <c r="X15" s="2"/>
      <c r="Y15" s="28">
        <v>0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79760337</v>
      </c>
      <c r="H16" s="13">
        <v>0</v>
      </c>
      <c r="I16" s="132">
        <f t="shared" si="5"/>
        <v>79760337</v>
      </c>
      <c r="J16" s="20">
        <v>27788267</v>
      </c>
      <c r="K16" s="20">
        <v>27788267</v>
      </c>
      <c r="L16" s="77">
        <f t="shared" si="0"/>
        <v>51972070</v>
      </c>
      <c r="M16" s="28">
        <f t="shared" si="1"/>
        <v>34.8397061060562</v>
      </c>
      <c r="N16" s="28">
        <f t="shared" si="4"/>
        <v>34.8397061060562</v>
      </c>
      <c r="O16" s="2"/>
      <c r="P16" s="2"/>
      <c r="Q16" s="2"/>
      <c r="R16" s="2"/>
      <c r="S16" s="4">
        <v>22501709</v>
      </c>
      <c r="T16" s="13">
        <v>10008365</v>
      </c>
      <c r="U16" s="4">
        <f>+T16</f>
        <v>10008365</v>
      </c>
      <c r="V16" s="4">
        <f>+T16</f>
        <v>10008365</v>
      </c>
      <c r="W16" s="32">
        <f t="shared" si="2"/>
        <v>69751972</v>
      </c>
      <c r="X16" s="2"/>
      <c r="Y16" s="28">
        <f aca="true" t="shared" si="6" ref="Y16:Y32">+T16/I16*100</f>
        <v>12.548047533951618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f>7934124+7409640+30790640+64247093+80108694+54198108+21044906+12623568+1</f>
        <v>278356774</v>
      </c>
      <c r="H17" s="13">
        <v>0</v>
      </c>
      <c r="I17" s="132">
        <f t="shared" si="5"/>
        <v>278356774</v>
      </c>
      <c r="J17" s="20">
        <f>27426668+5021569+4212743+4351738+8459317+29105125+3195198+5130588</f>
        <v>86902946</v>
      </c>
      <c r="K17" s="20">
        <f>27426668+5021569+4212743+4351738+8459317+29105125+3195198+5130588</f>
        <v>86902946</v>
      </c>
      <c r="L17" s="77">
        <f t="shared" si="0"/>
        <v>191453828</v>
      </c>
      <c r="M17" s="28">
        <f t="shared" si="1"/>
        <v>31.2199860456782</v>
      </c>
      <c r="N17" s="28">
        <f t="shared" si="4"/>
        <v>31.2199860456782</v>
      </c>
      <c r="O17" s="28"/>
      <c r="P17" s="2"/>
      <c r="Q17" s="2"/>
      <c r="R17" s="2"/>
      <c r="S17" s="4">
        <f>40740946+9020349+4795124+4354946+19078981+56559356+7733197+8995249</f>
        <v>151278148</v>
      </c>
      <c r="T17" s="13">
        <f>5086069+5123289+26161295+43253274+9659011+40066511+12026578+9042701</f>
        <v>150418728</v>
      </c>
      <c r="U17" s="4">
        <f>25111629+5550438+3050430+2763525+3442123+27188939+3132962+5132818</f>
        <v>75372864</v>
      </c>
      <c r="V17" s="4">
        <f>+T17</f>
        <v>150418728</v>
      </c>
      <c r="W17" s="32">
        <f>+I17-T17</f>
        <v>127938046</v>
      </c>
      <c r="X17" s="2"/>
      <c r="Y17" s="28">
        <f t="shared" si="6"/>
        <v>54.038105787215365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v>833498073</v>
      </c>
      <c r="H18" s="13">
        <f>125000000-30000000</f>
        <v>95000000</v>
      </c>
      <c r="I18" s="132">
        <f>+G18+H18</f>
        <v>928498073</v>
      </c>
      <c r="J18" s="20">
        <f>1057231+8089692+296851321</f>
        <v>305998244</v>
      </c>
      <c r="K18" s="20">
        <f>1057231+8089692+296851321</f>
        <v>305998244</v>
      </c>
      <c r="L18" s="77">
        <f t="shared" si="0"/>
        <v>622499829</v>
      </c>
      <c r="M18" s="28">
        <f t="shared" si="1"/>
        <v>32.956260534963974</v>
      </c>
      <c r="N18" s="28">
        <f t="shared" si="4"/>
        <v>32.956260534963974</v>
      </c>
      <c r="O18" s="9" t="s">
        <v>1</v>
      </c>
      <c r="P18" s="2"/>
      <c r="Q18" s="2"/>
      <c r="R18" s="2"/>
      <c r="S18" s="4">
        <f>543331358+11874352+54257070</f>
        <v>609462780</v>
      </c>
      <c r="T18" s="13">
        <v>657908495</v>
      </c>
      <c r="U18" s="4">
        <f>139038852-12099496+11827031+46492041</f>
        <v>185258428</v>
      </c>
      <c r="V18" s="4">
        <f>340170768+7011720-600</f>
        <v>347181888</v>
      </c>
      <c r="W18" s="32">
        <f t="shared" si="2"/>
        <v>270589578</v>
      </c>
      <c r="X18" s="2"/>
      <c r="Y18" s="28">
        <f t="shared" si="6"/>
        <v>70.85728168226365</v>
      </c>
      <c r="Z18" s="34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f>63751816+124564060+100482616</f>
        <v>288798492</v>
      </c>
      <c r="H19" s="13">
        <v>0</v>
      </c>
      <c r="I19" s="132">
        <f t="shared" si="5"/>
        <v>288798492</v>
      </c>
      <c r="J19" s="20">
        <v>14234485</v>
      </c>
      <c r="K19" s="20">
        <v>14234485</v>
      </c>
      <c r="L19" s="77">
        <f t="shared" si="0"/>
        <v>274564007</v>
      </c>
      <c r="M19" s="28">
        <f t="shared" si="1"/>
        <v>4.928864032988094</v>
      </c>
      <c r="N19" s="28">
        <f t="shared" si="4"/>
        <v>4.928864032988094</v>
      </c>
      <c r="O19" s="28"/>
      <c r="P19" s="2"/>
      <c r="Q19" s="2"/>
      <c r="R19" s="2"/>
      <c r="S19" s="4">
        <v>139595008</v>
      </c>
      <c r="T19" s="13">
        <f>39180934+73063786+61106671</f>
        <v>173351391</v>
      </c>
      <c r="U19" s="4">
        <f>+T19</f>
        <v>173351391</v>
      </c>
      <c r="V19" s="4">
        <f>+T19</f>
        <v>173351391</v>
      </c>
      <c r="W19" s="32">
        <f>+I19-T19</f>
        <v>115447101</v>
      </c>
      <c r="X19" s="2"/>
      <c r="Y19" s="28">
        <f t="shared" si="6"/>
        <v>60.02503330245921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f>118033519+64906148+26207104+16135667</f>
        <v>225282438</v>
      </c>
      <c r="H20" s="13">
        <v>15000000</v>
      </c>
      <c r="I20" s="132">
        <f t="shared" si="5"/>
        <v>240282438</v>
      </c>
      <c r="J20" s="20">
        <v>58847998</v>
      </c>
      <c r="K20" s="20">
        <v>58847998</v>
      </c>
      <c r="L20" s="77">
        <f t="shared" si="0"/>
        <v>181434440</v>
      </c>
      <c r="M20" s="28">
        <f t="shared" si="1"/>
        <v>24.49117733689717</v>
      </c>
      <c r="N20" s="28">
        <f t="shared" si="4"/>
        <v>24.49117733689717</v>
      </c>
      <c r="O20" s="28"/>
      <c r="P20" s="2"/>
      <c r="Q20" s="2"/>
      <c r="R20" s="2"/>
      <c r="S20" s="4">
        <v>48681682</v>
      </c>
      <c r="T20" s="13">
        <f>33003437+56102246+21400830+14617000+7241814</f>
        <v>132365327</v>
      </c>
      <c r="U20" s="4">
        <f>+T20</f>
        <v>132365327</v>
      </c>
      <c r="V20" s="4">
        <f>+T20</f>
        <v>132365327</v>
      </c>
      <c r="W20" s="32">
        <f t="shared" si="2"/>
        <v>107917111</v>
      </c>
      <c r="X20" s="2"/>
      <c r="Y20" s="28">
        <f t="shared" si="6"/>
        <v>55.0873913639914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54692356</v>
      </c>
      <c r="H21" s="13">
        <v>0</v>
      </c>
      <c r="I21" s="132">
        <f t="shared" si="5"/>
        <v>54692356</v>
      </c>
      <c r="J21" s="20">
        <v>15733377</v>
      </c>
      <c r="K21" s="20">
        <v>15733377</v>
      </c>
      <c r="L21" s="77">
        <f t="shared" si="0"/>
        <v>38958979</v>
      </c>
      <c r="M21" s="28">
        <f t="shared" si="1"/>
        <v>28.767049274673777</v>
      </c>
      <c r="N21" s="28">
        <f t="shared" si="4"/>
        <v>28.767049274673777</v>
      </c>
      <c r="O21" s="28"/>
      <c r="P21" s="2"/>
      <c r="Q21" s="2"/>
      <c r="R21" s="2"/>
      <c r="S21" s="4">
        <v>18954215</v>
      </c>
      <c r="T21" s="13">
        <v>29387626</v>
      </c>
      <c r="U21" s="4">
        <f>+T21</f>
        <v>29387626</v>
      </c>
      <c r="V21" s="4">
        <f>+T21</f>
        <v>29387626</v>
      </c>
      <c r="W21" s="32">
        <f t="shared" si="2"/>
        <v>25304730</v>
      </c>
      <c r="X21" s="2"/>
      <c r="Y21" s="28">
        <f t="shared" si="6"/>
        <v>53.73260204771577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27072915</v>
      </c>
      <c r="H22" s="13">
        <v>0</v>
      </c>
      <c r="I22" s="132">
        <f t="shared" si="5"/>
        <v>27072915</v>
      </c>
      <c r="J22" s="20">
        <v>15976947</v>
      </c>
      <c r="K22" s="20">
        <v>15976947</v>
      </c>
      <c r="L22" s="77">
        <f t="shared" si="0"/>
        <v>11095968</v>
      </c>
      <c r="M22" s="28">
        <f t="shared" si="1"/>
        <v>59.01450582621044</v>
      </c>
      <c r="N22" s="28">
        <f t="shared" si="4"/>
        <v>59.01450582621044</v>
      </c>
      <c r="O22" s="28"/>
      <c r="P22" s="2"/>
      <c r="Q22" s="2"/>
      <c r="R22" s="2"/>
      <c r="S22" s="4">
        <v>3960579</v>
      </c>
      <c r="T22" s="13">
        <v>19596417</v>
      </c>
      <c r="U22" s="4">
        <f>+T22</f>
        <v>19596417</v>
      </c>
      <c r="V22" s="4">
        <f>+T22</f>
        <v>19596417</v>
      </c>
      <c r="W22" s="32">
        <f t="shared" si="2"/>
        <v>7476498</v>
      </c>
      <c r="X22" s="2"/>
      <c r="Y22" s="28">
        <f t="shared" si="6"/>
        <v>72.38384562578504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1472262364</v>
      </c>
      <c r="H23" s="13">
        <f>+H24+H25+H26</f>
        <v>43000000</v>
      </c>
      <c r="I23" s="132">
        <f>+G23+H23</f>
        <v>1515262364</v>
      </c>
      <c r="J23" s="20">
        <f>SUM(J24:J26)</f>
        <v>837471929</v>
      </c>
      <c r="K23" s="20">
        <f>SUM(K24:K26)</f>
        <v>837471929</v>
      </c>
      <c r="L23" s="77">
        <f t="shared" si="0"/>
        <v>677790435</v>
      </c>
      <c r="M23" s="28">
        <f t="shared" si="1"/>
        <v>55.26910381310045</v>
      </c>
      <c r="N23" s="28">
        <f t="shared" si="4"/>
        <v>55.26910381310045</v>
      </c>
      <c r="O23" s="28"/>
      <c r="P23" s="2"/>
      <c r="Q23" s="2"/>
      <c r="R23" s="2"/>
      <c r="S23" s="4">
        <f>SUM(S24:S26)</f>
        <v>680793888</v>
      </c>
      <c r="T23" s="13">
        <f>SUM(T24:T26)</f>
        <v>1070807704</v>
      </c>
      <c r="U23" s="4">
        <f>SUM(U24:U26)</f>
        <v>523207848</v>
      </c>
      <c r="V23" s="4">
        <f>SUM(V24:V26)</f>
        <v>793263165</v>
      </c>
      <c r="W23" s="32">
        <f t="shared" si="2"/>
        <v>444454660</v>
      </c>
      <c r="X23" s="2"/>
      <c r="Y23" s="28">
        <f t="shared" si="6"/>
        <v>70.66813836603679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1:45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f>60240000+202535683</f>
        <v>262775683</v>
      </c>
      <c r="H24" s="13">
        <f>-35000000+55000000-40000000</f>
        <v>-20000000</v>
      </c>
      <c r="I24" s="132">
        <f t="shared" si="5"/>
        <v>242775683</v>
      </c>
      <c r="J24" s="20">
        <f>134064120+89932764</f>
        <v>223996884</v>
      </c>
      <c r="K24" s="20">
        <f>134064120+89932764</f>
        <v>223996884</v>
      </c>
      <c r="L24" s="77">
        <f t="shared" si="0"/>
        <v>18778799</v>
      </c>
      <c r="M24" s="28">
        <f t="shared" si="1"/>
        <v>92.26495884268607</v>
      </c>
      <c r="N24" s="28">
        <f t="shared" si="4"/>
        <v>92.26495884268607</v>
      </c>
      <c r="O24" s="28"/>
      <c r="P24" s="2"/>
      <c r="Q24" s="2"/>
      <c r="R24" s="2"/>
      <c r="S24" s="4">
        <v>90516630</v>
      </c>
      <c r="T24" s="13">
        <f>20776469+172852344</f>
        <v>193628813</v>
      </c>
      <c r="U24" s="4">
        <v>71539421</v>
      </c>
      <c r="V24" s="4">
        <f>+(20776469+61452635)*1.004</f>
        <v>82558020.416</v>
      </c>
      <c r="W24" s="32">
        <f t="shared" si="2"/>
        <v>49146870</v>
      </c>
      <c r="X24" s="2"/>
      <c r="Y24" s="28">
        <f t="shared" si="6"/>
        <v>79.75626331571272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</row>
    <row r="25" spans="1:45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v>1150756681</v>
      </c>
      <c r="H25" s="13">
        <f>28000000+35000000</f>
        <v>63000000</v>
      </c>
      <c r="I25" s="132">
        <f t="shared" si="5"/>
        <v>1213756681</v>
      </c>
      <c r="J25" s="19">
        <f>161733438+78749875+21372007+10000000+69921141+34446675+101350157+88741110+4349508</f>
        <v>570663911</v>
      </c>
      <c r="K25" s="19">
        <f>161733438+78749875+21372007+10000000+69921141+34446675+101350157+88741110+4349508</f>
        <v>570663911</v>
      </c>
      <c r="L25" s="77">
        <f t="shared" si="0"/>
        <v>643092770</v>
      </c>
      <c r="M25" s="28">
        <f t="shared" si="1"/>
        <v>47.016335311113316</v>
      </c>
      <c r="N25" s="28">
        <f t="shared" si="4"/>
        <v>47.016335311113316</v>
      </c>
      <c r="O25" s="28"/>
      <c r="P25" s="2"/>
      <c r="Q25" s="2"/>
      <c r="R25" s="2"/>
      <c r="S25" s="4">
        <f>177530145+48822952+12932524+101159449+50929093+34887478+95118421+602400+22704858</f>
        <v>544687320</v>
      </c>
      <c r="T25" s="13">
        <f>1035928445-T24-12944880</f>
        <v>829354752</v>
      </c>
      <c r="U25" s="4">
        <f>105788413+23427623+12881000+100724267+49185142+19962215+84084828+602400+7938400-750000</f>
        <v>403844288</v>
      </c>
      <c r="V25" s="126">
        <f>695821042-V24+49617984</f>
        <v>662881005.584</v>
      </c>
      <c r="W25" s="32">
        <f t="shared" si="2"/>
        <v>384401929</v>
      </c>
      <c r="X25" s="2"/>
      <c r="Y25" s="28">
        <f t="shared" si="6"/>
        <v>68.32957255623131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ht="13.5" thickBot="1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29" t="s">
        <v>22</v>
      </c>
      <c r="G26" s="13">
        <v>58730000</v>
      </c>
      <c r="H26" s="13">
        <v>0</v>
      </c>
      <c r="I26" s="132">
        <f t="shared" si="5"/>
        <v>58730000</v>
      </c>
      <c r="J26" s="20">
        <v>42811134</v>
      </c>
      <c r="K26" s="20">
        <v>42811134</v>
      </c>
      <c r="L26" s="77">
        <f t="shared" si="0"/>
        <v>15918866</v>
      </c>
      <c r="M26" s="28">
        <f t="shared" si="1"/>
        <v>72.89483058062319</v>
      </c>
      <c r="N26" s="28">
        <f t="shared" si="4"/>
        <v>72.89483058062319</v>
      </c>
      <c r="O26" s="28"/>
      <c r="P26" s="2"/>
      <c r="Q26" s="2"/>
      <c r="R26" s="2"/>
      <c r="S26" s="13">
        <v>45589938</v>
      </c>
      <c r="T26" s="13">
        <f>46734803+1089336</f>
        <v>47824139</v>
      </c>
      <c r="U26" s="13">
        <f>+T26</f>
        <v>47824139</v>
      </c>
      <c r="V26" s="127">
        <f>+T26</f>
        <v>47824139</v>
      </c>
      <c r="W26" s="32">
        <f t="shared" si="2"/>
        <v>10905861</v>
      </c>
      <c r="X26" s="2"/>
      <c r="Y26" s="28">
        <f t="shared" si="6"/>
        <v>81.43051081219139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5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SUM(G28:G32)</f>
        <v>3760481448</v>
      </c>
      <c r="H27" s="13">
        <f>+H28+H29+H31+H32</f>
        <v>0</v>
      </c>
      <c r="I27" s="132">
        <f t="shared" si="5"/>
        <v>3760481448</v>
      </c>
      <c r="J27" s="20">
        <f>SUM(J28:J32)</f>
        <v>802145730</v>
      </c>
      <c r="K27" s="20">
        <f>SUM(K28:K32)</f>
        <v>802145730</v>
      </c>
      <c r="L27" s="77">
        <f t="shared" si="0"/>
        <v>2958335718</v>
      </c>
      <c r="M27" s="28">
        <f t="shared" si="1"/>
        <v>21.330931719570607</v>
      </c>
      <c r="N27" s="28">
        <f t="shared" si="4"/>
        <v>21.330931719570607</v>
      </c>
      <c r="O27" s="28"/>
      <c r="P27" s="2"/>
      <c r="Q27" s="2"/>
      <c r="R27" s="2"/>
      <c r="S27" s="4">
        <f>SUM(S28:S32)</f>
        <v>1265405194</v>
      </c>
      <c r="T27" s="13">
        <f>SUM(T28:T32)</f>
        <v>1546881351</v>
      </c>
      <c r="U27" s="4">
        <f>SUM(U28:U32)</f>
        <v>1546780619</v>
      </c>
      <c r="V27" s="4">
        <f>SUM(V28:V32)</f>
        <v>1540628476</v>
      </c>
      <c r="W27" s="32">
        <f t="shared" si="2"/>
        <v>2213600097</v>
      </c>
      <c r="X27" s="2"/>
      <c r="Y27" s="28">
        <f t="shared" si="6"/>
        <v>41.13519431993751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</row>
    <row r="28" spans="1:45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39146000</v>
      </c>
      <c r="H28" s="13">
        <v>0</v>
      </c>
      <c r="I28" s="132">
        <f t="shared" si="5"/>
        <v>39146000</v>
      </c>
      <c r="J28" s="20">
        <v>16797214</v>
      </c>
      <c r="K28" s="20">
        <v>16797214</v>
      </c>
      <c r="L28" s="77">
        <f t="shared" si="0"/>
        <v>22348786</v>
      </c>
      <c r="M28" s="28">
        <f t="shared" si="1"/>
        <v>42.90914525111123</v>
      </c>
      <c r="N28" s="28">
        <f t="shared" si="4"/>
        <v>42.90914525111123</v>
      </c>
      <c r="O28" s="28"/>
      <c r="P28" s="2"/>
      <c r="Q28" s="2"/>
      <c r="R28" s="2"/>
      <c r="S28" s="4">
        <v>0</v>
      </c>
      <c r="T28" s="13">
        <v>100732</v>
      </c>
      <c r="U28" s="4">
        <v>0</v>
      </c>
      <c r="V28" s="4">
        <v>10331</v>
      </c>
      <c r="W28" s="32">
        <f t="shared" si="2"/>
        <v>39045268</v>
      </c>
      <c r="X28" s="2"/>
      <c r="Y28" s="28">
        <f t="shared" si="6"/>
        <v>0.2573238645072294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</row>
    <row r="29" spans="1:45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3004266970</v>
      </c>
      <c r="H29" s="13">
        <v>0</v>
      </c>
      <c r="I29" s="132">
        <f t="shared" si="5"/>
        <v>3004266970</v>
      </c>
      <c r="J29" s="20">
        <v>740995272</v>
      </c>
      <c r="K29" s="20">
        <v>740995272</v>
      </c>
      <c r="L29" s="77">
        <f t="shared" si="0"/>
        <v>2263271698</v>
      </c>
      <c r="M29" s="28">
        <f t="shared" si="1"/>
        <v>24.664761134726984</v>
      </c>
      <c r="N29" s="28">
        <f t="shared" si="4"/>
        <v>24.664761134726984</v>
      </c>
      <c r="O29" s="28"/>
      <c r="P29" s="2"/>
      <c r="Q29" s="2"/>
      <c r="R29" s="2"/>
      <c r="S29" s="4">
        <v>951099213</v>
      </c>
      <c r="T29" s="13">
        <v>1514741817</v>
      </c>
      <c r="U29" s="4">
        <f>+T29</f>
        <v>1514741817</v>
      </c>
      <c r="V29" s="4">
        <v>1508706988</v>
      </c>
      <c r="W29" s="32">
        <f t="shared" si="2"/>
        <v>1489525153</v>
      </c>
      <c r="X29" s="2"/>
      <c r="Y29" s="28">
        <f t="shared" si="6"/>
        <v>50.41968081152255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1:45" ht="12.75">
      <c r="A30" s="8" t="s">
        <v>12</v>
      </c>
      <c r="B30" s="8">
        <v>3</v>
      </c>
      <c r="C30" s="8">
        <v>2</v>
      </c>
      <c r="D30" s="8">
        <v>1</v>
      </c>
      <c r="E30" s="8">
        <v>4</v>
      </c>
      <c r="F30" s="8" t="s">
        <v>161</v>
      </c>
      <c r="G30" s="4">
        <v>485029676</v>
      </c>
      <c r="H30" s="13"/>
      <c r="I30" s="132">
        <f>+G30</f>
        <v>485029676</v>
      </c>
      <c r="J30" s="20"/>
      <c r="K30" s="20"/>
      <c r="L30" s="77"/>
      <c r="M30" s="28"/>
      <c r="N30" s="28"/>
      <c r="O30" s="28"/>
      <c r="P30" s="2"/>
      <c r="Q30" s="2"/>
      <c r="R30" s="2"/>
      <c r="S30" s="4"/>
      <c r="T30" s="13"/>
      <c r="U30" s="4"/>
      <c r="V30" s="4"/>
      <c r="W30" s="32">
        <f>+I30-T30</f>
        <v>485029676</v>
      </c>
      <c r="X30" s="2"/>
      <c r="Y30" s="28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</row>
    <row r="31" spans="1:45" ht="12.75">
      <c r="A31" s="8" t="s">
        <v>12</v>
      </c>
      <c r="B31" s="8">
        <v>3</v>
      </c>
      <c r="C31" s="8">
        <v>2</v>
      </c>
      <c r="D31" s="8">
        <v>1</v>
      </c>
      <c r="E31" s="8">
        <v>3</v>
      </c>
      <c r="F31" s="8" t="s">
        <v>33</v>
      </c>
      <c r="G31" s="4">
        <v>32038802</v>
      </c>
      <c r="H31" s="13">
        <v>0</v>
      </c>
      <c r="I31" s="132">
        <f t="shared" si="5"/>
        <v>32038802</v>
      </c>
      <c r="J31" s="20">
        <v>21590305</v>
      </c>
      <c r="K31" s="20">
        <v>21590305</v>
      </c>
      <c r="L31" s="77">
        <f t="shared" si="0"/>
        <v>10448497</v>
      </c>
      <c r="M31" s="28">
        <f t="shared" si="1"/>
        <v>67.38799097419435</v>
      </c>
      <c r="N31" s="28">
        <f t="shared" si="4"/>
        <v>67.38799097419435</v>
      </c>
      <c r="O31" s="28"/>
      <c r="P31" s="2"/>
      <c r="Q31" s="2"/>
      <c r="R31" s="2"/>
      <c r="S31" s="4">
        <v>22814692</v>
      </c>
      <c r="T31" s="13">
        <v>32038802</v>
      </c>
      <c r="U31" s="4">
        <f>+T31</f>
        <v>32038802</v>
      </c>
      <c r="V31" s="4">
        <v>31911157</v>
      </c>
      <c r="W31" s="32">
        <f t="shared" si="2"/>
        <v>0</v>
      </c>
      <c r="X31" s="2"/>
      <c r="Y31" s="28">
        <f t="shared" si="6"/>
        <v>100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ht="12.75">
      <c r="A32" s="8" t="s">
        <v>12</v>
      </c>
      <c r="B32" s="8">
        <v>3</v>
      </c>
      <c r="C32" s="8">
        <v>6</v>
      </c>
      <c r="D32" s="8">
        <v>1</v>
      </c>
      <c r="E32" s="8">
        <v>1</v>
      </c>
      <c r="F32" s="8" t="s">
        <v>34</v>
      </c>
      <c r="G32" s="13">
        <v>200000000</v>
      </c>
      <c r="H32" s="13">
        <v>0</v>
      </c>
      <c r="I32" s="132">
        <f t="shared" si="5"/>
        <v>200000000</v>
      </c>
      <c r="J32" s="20">
        <v>22762939</v>
      </c>
      <c r="K32" s="20">
        <v>22762939</v>
      </c>
      <c r="L32" s="77">
        <f t="shared" si="0"/>
        <v>177237061</v>
      </c>
      <c r="M32" s="28">
        <f t="shared" si="1"/>
        <v>11.3814695</v>
      </c>
      <c r="N32" s="28">
        <f t="shared" si="4"/>
        <v>11.3814695</v>
      </c>
      <c r="O32" s="28"/>
      <c r="P32" s="2"/>
      <c r="Q32" s="2"/>
      <c r="R32" s="2"/>
      <c r="S32" s="13">
        <v>291491289</v>
      </c>
      <c r="T32" s="13">
        <v>0</v>
      </c>
      <c r="U32" s="13">
        <f>+T32</f>
        <v>0</v>
      </c>
      <c r="V32" s="13">
        <f>+T32</f>
        <v>0</v>
      </c>
      <c r="W32" s="32">
        <f t="shared" si="2"/>
        <v>200000000</v>
      </c>
      <c r="X32" s="2"/>
      <c r="Y32" s="28">
        <f t="shared" si="6"/>
        <v>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5" ht="12.75">
      <c r="A33" s="2"/>
      <c r="B33" s="2"/>
      <c r="C33" s="2"/>
      <c r="D33" s="2"/>
      <c r="E33" s="2"/>
      <c r="F33" s="3"/>
      <c r="G33" s="9" t="s">
        <v>1</v>
      </c>
      <c r="H33" s="12"/>
      <c r="I33" s="132" t="s">
        <v>1</v>
      </c>
      <c r="J33" s="78"/>
      <c r="K33" s="78"/>
      <c r="L33" s="19" t="s">
        <v>1</v>
      </c>
      <c r="M33" s="9" t="s">
        <v>1</v>
      </c>
      <c r="N33" s="28"/>
      <c r="O33" s="28"/>
      <c r="P33" s="2"/>
      <c r="Q33" s="2"/>
      <c r="R33" s="2"/>
      <c r="S33" s="2"/>
      <c r="T33" s="12"/>
      <c r="U33" s="2"/>
      <c r="V33" s="8" t="s">
        <v>1</v>
      </c>
      <c r="W33" s="2"/>
      <c r="X33" s="2"/>
      <c r="Y33" s="28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5" ht="12.75">
      <c r="A34" s="8"/>
      <c r="B34" s="8"/>
      <c r="C34" s="8"/>
      <c r="D34" s="8"/>
      <c r="E34" s="8"/>
      <c r="F34" s="8" t="s">
        <v>1</v>
      </c>
      <c r="G34" s="4" t="s">
        <v>1</v>
      </c>
      <c r="H34" s="13" t="s">
        <v>1</v>
      </c>
      <c r="I34" s="132" t="s">
        <v>1</v>
      </c>
      <c r="J34" s="20" t="s">
        <v>1</v>
      </c>
      <c r="K34" s="20"/>
      <c r="L34" s="19" t="s">
        <v>1</v>
      </c>
      <c r="M34" s="9" t="s">
        <v>1</v>
      </c>
      <c r="N34" s="28"/>
      <c r="O34" s="28"/>
      <c r="P34" s="2"/>
      <c r="Q34" s="2"/>
      <c r="R34" s="2"/>
      <c r="S34" s="2"/>
      <c r="T34" s="12"/>
      <c r="U34" s="2"/>
      <c r="V34" s="2"/>
      <c r="W34" s="2"/>
      <c r="X34" s="2"/>
      <c r="Y34" s="28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5" ht="12.75">
      <c r="A35" s="75"/>
      <c r="B35" s="75"/>
      <c r="C35" s="75"/>
      <c r="D35" s="75"/>
      <c r="E35" s="75"/>
      <c r="F35" s="75"/>
      <c r="G35" s="85"/>
      <c r="H35" s="72"/>
      <c r="I35" s="134" t="s">
        <v>1</v>
      </c>
      <c r="J35" s="107"/>
      <c r="K35" s="107"/>
      <c r="L35" s="106"/>
      <c r="M35" s="35"/>
      <c r="N35" s="55"/>
      <c r="O35" s="55"/>
      <c r="P35" s="68"/>
      <c r="Q35" s="68"/>
      <c r="R35" s="68"/>
      <c r="S35" s="68"/>
      <c r="T35" s="106" t="s">
        <v>1</v>
      </c>
      <c r="U35" s="68"/>
      <c r="V35" s="106" t="s">
        <v>26</v>
      </c>
      <c r="W35" s="68" t="s">
        <v>1</v>
      </c>
      <c r="X35" s="68"/>
      <c r="Y35" s="5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5" ht="12.75">
      <c r="A36" s="75"/>
      <c r="B36" s="75"/>
      <c r="C36" s="75"/>
      <c r="D36" s="75"/>
      <c r="E36" s="75"/>
      <c r="F36" s="75"/>
      <c r="G36" s="85"/>
      <c r="H36" s="72"/>
      <c r="I36" s="134"/>
      <c r="J36" s="107"/>
      <c r="K36" s="107"/>
      <c r="L36" s="106"/>
      <c r="M36" s="35"/>
      <c r="N36" s="55"/>
      <c r="O36" s="55"/>
      <c r="P36" s="68"/>
      <c r="Q36" s="68"/>
      <c r="R36" s="68"/>
      <c r="S36" s="68"/>
      <c r="T36" s="145" t="s">
        <v>1</v>
      </c>
      <c r="U36" s="68"/>
      <c r="V36" s="68"/>
      <c r="W36" s="111" t="s">
        <v>26</v>
      </c>
      <c r="X36" s="68"/>
      <c r="Y36" s="5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7:45" ht="12.75">
      <c r="G37" s="52" t="s">
        <v>1</v>
      </c>
      <c r="H37" s="83" t="s">
        <v>1</v>
      </c>
      <c r="I37" s="135" t="s">
        <v>1</v>
      </c>
      <c r="M37" s="108"/>
      <c r="N37" s="1"/>
      <c r="O37" s="1"/>
      <c r="S37" s="52" t="s">
        <v>1</v>
      </c>
      <c r="T37" s="56" t="s">
        <v>1</v>
      </c>
      <c r="Y37" s="1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ht="12.75">
      <c r="A38" s="146" t="s">
        <v>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5" ht="12.75">
      <c r="A39" s="146" t="s">
        <v>166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ht="12.75">
      <c r="A40" s="146" t="s">
        <v>80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ht="12.75">
      <c r="A41" s="2"/>
      <c r="B41" s="2"/>
      <c r="C41" s="2"/>
      <c r="D41" s="2"/>
      <c r="E41" s="2"/>
      <c r="F41" s="3"/>
      <c r="G41" s="2"/>
      <c r="H41" s="12"/>
      <c r="I41" s="129" t="s">
        <v>1</v>
      </c>
      <c r="J41" s="2"/>
      <c r="K41" s="2"/>
      <c r="L41" s="2"/>
      <c r="M41" s="28"/>
      <c r="N41" s="28"/>
      <c r="O41" s="28"/>
      <c r="P41" s="2"/>
      <c r="Q41" s="2"/>
      <c r="R41" s="2"/>
      <c r="S41" s="2"/>
      <c r="T41" s="12"/>
      <c r="U41" s="2"/>
      <c r="V41" s="2"/>
      <c r="W41" s="2"/>
      <c r="X41" s="2"/>
      <c r="Y41" s="28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5" ht="12.75">
      <c r="A42" s="18" t="s">
        <v>48</v>
      </c>
      <c r="B42" s="18" t="s">
        <v>49</v>
      </c>
      <c r="C42" s="3" t="s">
        <v>50</v>
      </c>
      <c r="D42" s="3" t="s">
        <v>51</v>
      </c>
      <c r="E42" s="3" t="s">
        <v>52</v>
      </c>
      <c r="F42" s="2"/>
      <c r="G42" s="2"/>
      <c r="H42" s="109" t="s">
        <v>1</v>
      </c>
      <c r="I42" s="129"/>
      <c r="J42" s="18" t="s">
        <v>1</v>
      </c>
      <c r="K42" s="18"/>
      <c r="L42" s="14" t="s">
        <v>36</v>
      </c>
      <c r="M42" s="27" t="s">
        <v>47</v>
      </c>
      <c r="N42" s="66" t="s">
        <v>76</v>
      </c>
      <c r="O42" s="28"/>
      <c r="P42" s="2"/>
      <c r="Q42" s="2"/>
      <c r="R42" s="2"/>
      <c r="S42" s="2"/>
      <c r="T42" s="12"/>
      <c r="U42" s="2"/>
      <c r="V42" s="2"/>
      <c r="W42" s="2"/>
      <c r="X42" s="2"/>
      <c r="Y42" s="28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ht="12.75">
      <c r="A43" s="3"/>
      <c r="B43" s="18" t="s">
        <v>6</v>
      </c>
      <c r="C43" s="3"/>
      <c r="D43" s="3" t="s">
        <v>7</v>
      </c>
      <c r="E43" s="3"/>
      <c r="F43" s="2"/>
      <c r="G43" s="18" t="s">
        <v>3</v>
      </c>
      <c r="H43" s="10" t="s">
        <v>2</v>
      </c>
      <c r="I43" s="130" t="s">
        <v>3</v>
      </c>
      <c r="J43" s="10" t="s">
        <v>75</v>
      </c>
      <c r="K43" s="76" t="s">
        <v>35</v>
      </c>
      <c r="L43" s="14" t="s">
        <v>40</v>
      </c>
      <c r="M43" s="67" t="s">
        <v>75</v>
      </c>
      <c r="N43" s="66" t="s">
        <v>35</v>
      </c>
      <c r="O43" s="110"/>
      <c r="P43" s="2"/>
      <c r="Q43" s="2"/>
      <c r="R43" s="2"/>
      <c r="S43" s="18" t="s">
        <v>75</v>
      </c>
      <c r="T43" s="10" t="s">
        <v>35</v>
      </c>
      <c r="U43" s="18" t="s">
        <v>82</v>
      </c>
      <c r="V43" s="18" t="s">
        <v>82</v>
      </c>
      <c r="W43" s="18" t="s">
        <v>163</v>
      </c>
      <c r="X43" s="18"/>
      <c r="Y43" s="67" t="s">
        <v>74</v>
      </c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:45" ht="12.75">
      <c r="A44" s="3"/>
      <c r="B44" s="3"/>
      <c r="C44" s="3"/>
      <c r="D44" s="3" t="s">
        <v>8</v>
      </c>
      <c r="E44" s="3"/>
      <c r="F44" s="18" t="s">
        <v>9</v>
      </c>
      <c r="G44" s="18" t="s">
        <v>4</v>
      </c>
      <c r="H44" s="10" t="s">
        <v>10</v>
      </c>
      <c r="I44" s="130" t="s">
        <v>5</v>
      </c>
      <c r="J44" s="10" t="s">
        <v>1</v>
      </c>
      <c r="K44" s="26"/>
      <c r="L44" s="12"/>
      <c r="M44" s="15"/>
      <c r="N44" s="16"/>
      <c r="O44" s="16"/>
      <c r="P44" s="2"/>
      <c r="Q44" s="2"/>
      <c r="R44" s="2"/>
      <c r="S44" s="2"/>
      <c r="T44" s="10"/>
      <c r="U44" s="18"/>
      <c r="V44" s="18"/>
      <c r="W44" s="18" t="s">
        <v>79</v>
      </c>
      <c r="X44" s="18"/>
      <c r="Y44" s="67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</row>
    <row r="45" spans="1:45" ht="12.75">
      <c r="A45" s="3"/>
      <c r="B45" s="3"/>
      <c r="C45" s="3"/>
      <c r="D45" s="3" t="s">
        <v>11</v>
      </c>
      <c r="E45" s="3"/>
      <c r="F45" s="2"/>
      <c r="G45" s="18" t="s">
        <v>1</v>
      </c>
      <c r="H45" s="10" t="s">
        <v>1</v>
      </c>
      <c r="I45" s="131" t="s">
        <v>1</v>
      </c>
      <c r="J45" s="14" t="s">
        <v>1</v>
      </c>
      <c r="K45" s="14" t="s">
        <v>1</v>
      </c>
      <c r="L45" s="12"/>
      <c r="M45" s="16"/>
      <c r="N45" s="16"/>
      <c r="O45" s="16"/>
      <c r="P45" s="2"/>
      <c r="Q45" s="2"/>
      <c r="R45" s="2"/>
      <c r="S45" s="2"/>
      <c r="T45" s="13" t="s">
        <v>1</v>
      </c>
      <c r="U45" s="2"/>
      <c r="V45" s="2"/>
      <c r="W45" s="2"/>
      <c r="X45" s="2"/>
      <c r="Y45" s="28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</row>
    <row r="46" spans="1:45" ht="12.75">
      <c r="A46" s="2"/>
      <c r="B46" s="2"/>
      <c r="C46" s="2"/>
      <c r="D46" s="2"/>
      <c r="E46" s="2"/>
      <c r="F46" s="2"/>
      <c r="G46" s="9" t="s">
        <v>1</v>
      </c>
      <c r="H46" s="16" t="s">
        <v>1</v>
      </c>
      <c r="I46" s="136" t="s">
        <v>1</v>
      </c>
      <c r="J46" s="15" t="s">
        <v>1</v>
      </c>
      <c r="K46" s="16" t="s">
        <v>1</v>
      </c>
      <c r="L46" s="12"/>
      <c r="M46" s="16"/>
      <c r="N46" s="16"/>
      <c r="O46" s="15"/>
      <c r="P46" s="2"/>
      <c r="Q46" s="2"/>
      <c r="R46" s="2"/>
      <c r="S46" s="2"/>
      <c r="T46" s="13" t="s">
        <v>1</v>
      </c>
      <c r="U46" s="2"/>
      <c r="V46" s="4" t="s">
        <v>1</v>
      </c>
      <c r="W46" s="2"/>
      <c r="X46" s="2"/>
      <c r="Y46" s="28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</row>
    <row r="47" spans="1:45" ht="12.75">
      <c r="A47" s="2" t="s">
        <v>12</v>
      </c>
      <c r="B47" s="2"/>
      <c r="C47" s="2"/>
      <c r="D47" s="2"/>
      <c r="E47" s="2"/>
      <c r="F47" s="3" t="s">
        <v>53</v>
      </c>
      <c r="G47" s="30">
        <f>+G48+G58+G61</f>
        <v>2185304000</v>
      </c>
      <c r="H47" s="31">
        <f>SUM(H48+H58+H61)</f>
        <v>0</v>
      </c>
      <c r="I47" s="137">
        <f>+G47+H47</f>
        <v>2185304000</v>
      </c>
      <c r="J47" s="31">
        <f>SUM(J48+J58+J61)</f>
        <v>1374287113</v>
      </c>
      <c r="K47" s="31">
        <f>SUM(K48+K58+K61)</f>
        <v>1374287113</v>
      </c>
      <c r="L47" s="11">
        <f aca="true" t="shared" si="7" ref="L47:L62">+I47-J47</f>
        <v>811016887</v>
      </c>
      <c r="M47" s="33">
        <f aca="true" t="shared" si="8" ref="M47:M62">+J47/I47*100</f>
        <v>62.88768578650842</v>
      </c>
      <c r="N47" s="33">
        <f>+K47/I47*100</f>
        <v>62.88768578650842</v>
      </c>
      <c r="O47" s="33"/>
      <c r="P47" s="2"/>
      <c r="Q47" s="2"/>
      <c r="R47" s="2"/>
      <c r="S47" s="30">
        <f>+S48+S58+S61</f>
        <v>1795325302</v>
      </c>
      <c r="T47" s="31">
        <f>SUM(T48+T58+T61)</f>
        <v>1990051936</v>
      </c>
      <c r="U47" s="30">
        <f>SUM(U48+U58+U61)</f>
        <v>1990051936</v>
      </c>
      <c r="V47" s="30">
        <f>SUM(V48+V58+V61)</f>
        <v>1990051936</v>
      </c>
      <c r="W47" s="32">
        <f aca="true" t="shared" si="9" ref="W47:W62">+I47-T47</f>
        <v>195252064</v>
      </c>
      <c r="X47" s="2"/>
      <c r="Y47" s="28">
        <f aca="true" t="shared" si="10" ref="Y47:Y59">+T47/I47*100</f>
        <v>91.06522186386883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</row>
    <row r="48" spans="1:45" ht="12.75">
      <c r="A48" s="2" t="s">
        <v>12</v>
      </c>
      <c r="B48" s="2">
        <v>1</v>
      </c>
      <c r="C48" s="2">
        <v>1</v>
      </c>
      <c r="D48" s="2">
        <v>0</v>
      </c>
      <c r="E48" s="2">
        <v>0</v>
      </c>
      <c r="F48" s="3" t="s">
        <v>13</v>
      </c>
      <c r="G48" s="30">
        <f>+G49+G54+G55+G56+G57</f>
        <v>2150339000</v>
      </c>
      <c r="H48" s="31">
        <f>+H49+H54+H55+H56+H57</f>
        <v>0</v>
      </c>
      <c r="I48" s="137">
        <f>+I49+I54+I55+I56+I57</f>
        <v>2150339000</v>
      </c>
      <c r="J48" s="30">
        <f>+J49+J54+J55+J56+J57</f>
        <v>1350176113</v>
      </c>
      <c r="K48" s="30">
        <f>+K49+K54+K55+K56+K57</f>
        <v>1350176113</v>
      </c>
      <c r="L48" s="11">
        <f t="shared" si="7"/>
        <v>800162887</v>
      </c>
      <c r="M48" s="33">
        <f t="shared" si="8"/>
        <v>62.78898875944676</v>
      </c>
      <c r="N48" s="33">
        <f aca="true" t="shared" si="11" ref="N48:N62">+K48/I48*100</f>
        <v>62.78898875944676</v>
      </c>
      <c r="O48" s="33"/>
      <c r="P48" s="2"/>
      <c r="Q48" s="2"/>
      <c r="R48" s="2"/>
      <c r="S48" s="30">
        <f>+S49+S54+S55+S56+S57</f>
        <v>1771214302</v>
      </c>
      <c r="T48" s="31">
        <f>+T49+T54+T55+T56+T57</f>
        <v>1975597076</v>
      </c>
      <c r="U48" s="30">
        <f>+U49+U54+U55+U56+U57</f>
        <v>1975597076</v>
      </c>
      <c r="V48" s="31">
        <f>+V49+V54+V55+V56+V57</f>
        <v>1975597076</v>
      </c>
      <c r="W48" s="32">
        <f t="shared" si="9"/>
        <v>174741924</v>
      </c>
      <c r="X48" s="2"/>
      <c r="Y48" s="28">
        <f t="shared" si="10"/>
        <v>91.8737499529144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</row>
    <row r="49" spans="1:45" ht="12.75">
      <c r="A49" s="2" t="s">
        <v>12</v>
      </c>
      <c r="B49" s="2">
        <v>1</v>
      </c>
      <c r="C49" s="2">
        <v>1</v>
      </c>
      <c r="D49" s="2">
        <v>1</v>
      </c>
      <c r="E49" s="2">
        <v>0</v>
      </c>
      <c r="F49" s="8" t="s">
        <v>14</v>
      </c>
      <c r="G49" s="32">
        <f>SUM(G50:G53)</f>
        <v>1802540000</v>
      </c>
      <c r="H49" s="11">
        <f>SUM(H50:H53)</f>
        <v>0</v>
      </c>
      <c r="I49" s="138">
        <f>SUM(I50:I53)</f>
        <v>1802540000</v>
      </c>
      <c r="J49" s="11">
        <f>SUM(J50:J53)</f>
        <v>1097699750</v>
      </c>
      <c r="K49" s="11">
        <f>SUM(K50:K53)</f>
        <v>1097699750</v>
      </c>
      <c r="L49" s="11">
        <f t="shared" si="7"/>
        <v>704840250</v>
      </c>
      <c r="M49" s="33">
        <f t="shared" si="8"/>
        <v>60.89738646576498</v>
      </c>
      <c r="N49" s="33">
        <f t="shared" si="11"/>
        <v>60.89738646576498</v>
      </c>
      <c r="O49" s="15"/>
      <c r="P49" s="2"/>
      <c r="Q49" s="2"/>
      <c r="R49" s="2"/>
      <c r="S49" s="32">
        <f>SUM(S50:S53)</f>
        <v>1423415302</v>
      </c>
      <c r="T49" s="11">
        <f>SUM(T50:T53)</f>
        <v>1669644492</v>
      </c>
      <c r="U49" s="32">
        <f>+T49</f>
        <v>1669644492</v>
      </c>
      <c r="V49" s="11">
        <f>SUM(V50:V53)</f>
        <v>1669644492</v>
      </c>
      <c r="W49" s="32">
        <f t="shared" si="9"/>
        <v>132895508</v>
      </c>
      <c r="X49" s="2"/>
      <c r="Y49" s="28">
        <f t="shared" si="10"/>
        <v>92.62731989303981</v>
      </c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</row>
    <row r="50" spans="1:45" ht="12.75">
      <c r="A50" s="2" t="s">
        <v>12</v>
      </c>
      <c r="B50" s="2">
        <v>1</v>
      </c>
      <c r="C50" s="2">
        <v>1</v>
      </c>
      <c r="D50" s="2">
        <v>1</v>
      </c>
      <c r="E50" s="2">
        <v>1</v>
      </c>
      <c r="F50" s="2" t="s">
        <v>15</v>
      </c>
      <c r="G50" s="32">
        <v>1408264790</v>
      </c>
      <c r="H50" s="11">
        <v>0</v>
      </c>
      <c r="I50" s="138">
        <f>+G50+H50</f>
        <v>1408264790</v>
      </c>
      <c r="J50" s="31">
        <v>910042416</v>
      </c>
      <c r="K50" s="31">
        <v>910042416</v>
      </c>
      <c r="L50" s="11">
        <f t="shared" si="7"/>
        <v>498222374</v>
      </c>
      <c r="M50" s="33">
        <f t="shared" si="8"/>
        <v>64.62154152132142</v>
      </c>
      <c r="N50" s="33">
        <f t="shared" si="11"/>
        <v>64.62154152132142</v>
      </c>
      <c r="O50" s="15"/>
      <c r="P50" s="2"/>
      <c r="Q50" s="2"/>
      <c r="R50" s="2"/>
      <c r="S50" s="32">
        <v>1186166487</v>
      </c>
      <c r="T50" s="11">
        <f>+I50</f>
        <v>1408264790</v>
      </c>
      <c r="U50" s="32">
        <f aca="true" t="shared" si="12" ref="U50:U57">+T50</f>
        <v>1408264790</v>
      </c>
      <c r="V50" s="32">
        <f>+T50</f>
        <v>1408264790</v>
      </c>
      <c r="W50" s="32">
        <f t="shared" si="9"/>
        <v>0</v>
      </c>
      <c r="X50" s="2"/>
      <c r="Y50" s="28">
        <f t="shared" si="10"/>
        <v>100</v>
      </c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</row>
    <row r="51" spans="1:45" ht="12.75">
      <c r="A51" s="2" t="s">
        <v>12</v>
      </c>
      <c r="B51" s="2">
        <v>1</v>
      </c>
      <c r="C51" s="2">
        <v>1</v>
      </c>
      <c r="D51" s="2">
        <v>9</v>
      </c>
      <c r="E51" s="2">
        <v>1</v>
      </c>
      <c r="F51" s="2" t="s">
        <v>54</v>
      </c>
      <c r="G51" s="32">
        <v>1749970</v>
      </c>
      <c r="H51" s="11">
        <v>0</v>
      </c>
      <c r="I51" s="138">
        <f aca="true" t="shared" si="13" ref="I51:I58">+G51+H51</f>
        <v>1749970</v>
      </c>
      <c r="J51" s="31">
        <v>805455</v>
      </c>
      <c r="K51" s="31">
        <v>805455</v>
      </c>
      <c r="L51" s="11">
        <f t="shared" si="7"/>
        <v>944515</v>
      </c>
      <c r="M51" s="33">
        <f t="shared" si="8"/>
        <v>46.02678903066909</v>
      </c>
      <c r="N51" s="33">
        <f t="shared" si="11"/>
        <v>46.02678903066909</v>
      </c>
      <c r="O51" s="15"/>
      <c r="P51" s="2"/>
      <c r="Q51" s="2"/>
      <c r="R51" s="2"/>
      <c r="S51" s="32">
        <v>1068815</v>
      </c>
      <c r="T51" s="11">
        <v>1352223</v>
      </c>
      <c r="U51" s="32">
        <f t="shared" si="12"/>
        <v>1352223</v>
      </c>
      <c r="V51" s="32">
        <f aca="true" t="shared" si="14" ref="V51:V57">+T51</f>
        <v>1352223</v>
      </c>
      <c r="W51" s="32">
        <f t="shared" si="9"/>
        <v>397747</v>
      </c>
      <c r="X51" s="2"/>
      <c r="Y51" s="28">
        <f t="shared" si="10"/>
        <v>77.27121036360623</v>
      </c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</row>
    <row r="52" spans="1:45" ht="12.75">
      <c r="A52" s="2" t="s">
        <v>12</v>
      </c>
      <c r="B52" s="2">
        <v>1</v>
      </c>
      <c r="C52" s="2">
        <v>1</v>
      </c>
      <c r="D52" s="2">
        <v>4</v>
      </c>
      <c r="E52" s="2">
        <v>2</v>
      </c>
      <c r="F52" s="2" t="s">
        <v>16</v>
      </c>
      <c r="G52" s="32">
        <v>140102000</v>
      </c>
      <c r="H52" s="11">
        <v>0</v>
      </c>
      <c r="I52" s="138">
        <f t="shared" si="13"/>
        <v>140102000</v>
      </c>
      <c r="J52" s="31">
        <v>97076221</v>
      </c>
      <c r="K52" s="31">
        <v>97076221</v>
      </c>
      <c r="L52" s="11">
        <f t="shared" si="7"/>
        <v>43025779</v>
      </c>
      <c r="M52" s="33">
        <f t="shared" si="8"/>
        <v>69.28967537936647</v>
      </c>
      <c r="N52" s="33">
        <f t="shared" si="11"/>
        <v>69.28967537936647</v>
      </c>
      <c r="O52" s="15"/>
      <c r="P52" s="2"/>
      <c r="Q52" s="2"/>
      <c r="R52" s="2"/>
      <c r="S52" s="79">
        <f>+I52</f>
        <v>140102000</v>
      </c>
      <c r="T52" s="11">
        <f>+I52</f>
        <v>140102000</v>
      </c>
      <c r="U52" s="32">
        <f t="shared" si="12"/>
        <v>140102000</v>
      </c>
      <c r="V52" s="32">
        <f>+T52</f>
        <v>140102000</v>
      </c>
      <c r="W52" s="32">
        <f t="shared" si="9"/>
        <v>0</v>
      </c>
      <c r="X52" s="2"/>
      <c r="Y52" s="28">
        <f t="shared" si="10"/>
        <v>100</v>
      </c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</row>
    <row r="53" spans="1:45" ht="12.75">
      <c r="A53" s="2" t="s">
        <v>12</v>
      </c>
      <c r="B53" s="2">
        <v>1</v>
      </c>
      <c r="C53" s="2">
        <v>1</v>
      </c>
      <c r="D53" s="2">
        <v>5</v>
      </c>
      <c r="E53" s="2">
        <v>0</v>
      </c>
      <c r="F53" s="2" t="s">
        <v>17</v>
      </c>
      <c r="G53" s="32">
        <f>67372300+38005970+132918520+14126450</f>
        <v>252423240</v>
      </c>
      <c r="H53" s="11">
        <v>0</v>
      </c>
      <c r="I53" s="138">
        <f t="shared" si="13"/>
        <v>252423240</v>
      </c>
      <c r="J53" s="31">
        <f>11820000+57319500+18076500+2559658</f>
        <v>89775658</v>
      </c>
      <c r="K53" s="31">
        <f>11820000+57319500+18076500+2559658</f>
        <v>89775658</v>
      </c>
      <c r="L53" s="11">
        <f t="shared" si="7"/>
        <v>162647582</v>
      </c>
      <c r="M53" s="33">
        <f t="shared" si="8"/>
        <v>35.56552796010383</v>
      </c>
      <c r="N53" s="33">
        <f t="shared" si="11"/>
        <v>35.56552796010383</v>
      </c>
      <c r="O53" s="15"/>
      <c r="P53" s="2"/>
      <c r="Q53" s="2"/>
      <c r="R53" s="2"/>
      <c r="S53" s="32">
        <f>13000000+62000000+21078000</f>
        <v>96078000</v>
      </c>
      <c r="T53" s="11">
        <f>67372300+38005970+456801+14090408</f>
        <v>119925479</v>
      </c>
      <c r="U53" s="32">
        <f t="shared" si="12"/>
        <v>119925479</v>
      </c>
      <c r="V53" s="32">
        <f>+T53</f>
        <v>119925479</v>
      </c>
      <c r="W53" s="32">
        <f t="shared" si="9"/>
        <v>132497761</v>
      </c>
      <c r="X53" s="2"/>
      <c r="Y53" s="28">
        <f t="shared" si="10"/>
        <v>47.50968215129478</v>
      </c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</row>
    <row r="54" spans="1:45" ht="12.75">
      <c r="A54" s="2" t="s">
        <v>12</v>
      </c>
      <c r="B54" s="2">
        <v>1</v>
      </c>
      <c r="C54" s="2">
        <v>5</v>
      </c>
      <c r="D54" s="2">
        <v>0</v>
      </c>
      <c r="E54" s="2">
        <v>1</v>
      </c>
      <c r="F54" s="2" t="s">
        <v>18</v>
      </c>
      <c r="G54" s="32">
        <f>46725950+44476360</f>
        <v>91202310</v>
      </c>
      <c r="H54" s="11">
        <v>0</v>
      </c>
      <c r="I54" s="138">
        <f t="shared" si="13"/>
        <v>91202310</v>
      </c>
      <c r="J54" s="31">
        <f>+I54</f>
        <v>91202310</v>
      </c>
      <c r="K54" s="31">
        <f>+J54</f>
        <v>91202310</v>
      </c>
      <c r="L54" s="11">
        <f t="shared" si="7"/>
        <v>0</v>
      </c>
      <c r="M54" s="33">
        <f t="shared" si="8"/>
        <v>100</v>
      </c>
      <c r="N54" s="33">
        <f t="shared" si="11"/>
        <v>100</v>
      </c>
      <c r="O54" s="15"/>
      <c r="P54" s="2"/>
      <c r="Q54" s="2"/>
      <c r="R54" s="2"/>
      <c r="S54" s="32">
        <f>+I54</f>
        <v>91202310</v>
      </c>
      <c r="T54" s="11">
        <f>32769700+44114602</f>
        <v>76884302</v>
      </c>
      <c r="U54" s="32">
        <f>+T54</f>
        <v>76884302</v>
      </c>
      <c r="V54" s="32">
        <f>+T54</f>
        <v>76884302</v>
      </c>
      <c r="W54" s="32">
        <f t="shared" si="9"/>
        <v>14318008</v>
      </c>
      <c r="X54" s="2"/>
      <c r="Y54" s="28">
        <f t="shared" si="10"/>
        <v>84.30082746807619</v>
      </c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</row>
    <row r="55" spans="1:45" ht="12.75">
      <c r="A55" s="2" t="s">
        <v>12</v>
      </c>
      <c r="B55" s="2">
        <v>1</v>
      </c>
      <c r="C55" s="2">
        <v>5</v>
      </c>
      <c r="D55" s="2">
        <v>0</v>
      </c>
      <c r="E55" s="2">
        <v>2</v>
      </c>
      <c r="F55" s="2" t="s">
        <v>19</v>
      </c>
      <c r="G55" s="4">
        <f>112745963+72583244+14935547</f>
        <v>200264754</v>
      </c>
      <c r="H55" s="11">
        <v>0</v>
      </c>
      <c r="I55" s="138">
        <f t="shared" si="13"/>
        <v>200264754</v>
      </c>
      <c r="J55" s="31">
        <v>121440353</v>
      </c>
      <c r="K55" s="31">
        <v>121440353</v>
      </c>
      <c r="L55" s="11">
        <f t="shared" si="7"/>
        <v>78824401</v>
      </c>
      <c r="M55" s="33">
        <f t="shared" si="8"/>
        <v>60.63990321532066</v>
      </c>
      <c r="N55" s="33">
        <f t="shared" si="11"/>
        <v>60.63990321532066</v>
      </c>
      <c r="O55" s="15"/>
      <c r="P55" s="2"/>
      <c r="Q55" s="2"/>
      <c r="R55" s="2"/>
      <c r="S55" s="4">
        <f>+I55</f>
        <v>200264754</v>
      </c>
      <c r="T55" s="11">
        <f>112745963+64110017+11241502</f>
        <v>188097482</v>
      </c>
      <c r="U55" s="32">
        <f t="shared" si="12"/>
        <v>188097482</v>
      </c>
      <c r="V55" s="32">
        <f>+T55</f>
        <v>188097482</v>
      </c>
      <c r="W55" s="32">
        <f t="shared" si="9"/>
        <v>12167272</v>
      </c>
      <c r="X55" s="2"/>
      <c r="Y55" s="28">
        <f t="shared" si="10"/>
        <v>93.92440668815841</v>
      </c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</row>
    <row r="56" spans="1:45" ht="12.75">
      <c r="A56" s="2" t="s">
        <v>12</v>
      </c>
      <c r="B56" s="2">
        <v>1</v>
      </c>
      <c r="C56" s="2">
        <v>5</v>
      </c>
      <c r="D56" s="2">
        <v>0</v>
      </c>
      <c r="E56" s="2">
        <v>6</v>
      </c>
      <c r="F56" s="2" t="s">
        <v>37</v>
      </c>
      <c r="G56" s="32">
        <v>28165968</v>
      </c>
      <c r="H56" s="11">
        <v>0</v>
      </c>
      <c r="I56" s="138">
        <f t="shared" si="13"/>
        <v>28165968</v>
      </c>
      <c r="J56" s="31">
        <v>22149500</v>
      </c>
      <c r="K56" s="31">
        <v>22149500</v>
      </c>
      <c r="L56" s="11">
        <f t="shared" si="7"/>
        <v>6016468</v>
      </c>
      <c r="M56" s="33">
        <f t="shared" si="8"/>
        <v>78.63922873163813</v>
      </c>
      <c r="N56" s="33">
        <f t="shared" si="11"/>
        <v>78.63922873163813</v>
      </c>
      <c r="O56" s="15"/>
      <c r="P56" s="2"/>
      <c r="Q56" s="2"/>
      <c r="R56" s="2"/>
      <c r="S56" s="32">
        <f>+I56</f>
        <v>28165968</v>
      </c>
      <c r="T56" s="11">
        <v>24578400</v>
      </c>
      <c r="U56" s="32">
        <f t="shared" si="12"/>
        <v>24578400</v>
      </c>
      <c r="V56" s="32">
        <f t="shared" si="14"/>
        <v>24578400</v>
      </c>
      <c r="W56" s="32">
        <f t="shared" si="9"/>
        <v>3587568</v>
      </c>
      <c r="X56" s="2"/>
      <c r="Y56" s="28">
        <f t="shared" si="10"/>
        <v>87.26275624540935</v>
      </c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</row>
    <row r="57" spans="1:45" ht="12.75">
      <c r="A57" s="2" t="s">
        <v>12</v>
      </c>
      <c r="B57" s="2">
        <v>1</v>
      </c>
      <c r="C57" s="2">
        <v>5</v>
      </c>
      <c r="D57" s="2">
        <v>0</v>
      </c>
      <c r="E57" s="2">
        <v>7</v>
      </c>
      <c r="F57" s="2" t="s">
        <v>38</v>
      </c>
      <c r="G57" s="32">
        <f>+G56</f>
        <v>28165968</v>
      </c>
      <c r="H57" s="11">
        <v>0</v>
      </c>
      <c r="I57" s="138">
        <f t="shared" si="13"/>
        <v>28165968</v>
      </c>
      <c r="J57" s="31">
        <v>17684200</v>
      </c>
      <c r="K57" s="31">
        <v>17684200</v>
      </c>
      <c r="L57" s="11">
        <f t="shared" si="7"/>
        <v>10481768</v>
      </c>
      <c r="M57" s="33">
        <f t="shared" si="8"/>
        <v>62.78569939438972</v>
      </c>
      <c r="N57" s="33">
        <f t="shared" si="11"/>
        <v>62.78569939438972</v>
      </c>
      <c r="O57" s="15"/>
      <c r="P57" s="2"/>
      <c r="Q57" s="2"/>
      <c r="R57" s="2"/>
      <c r="S57" s="32">
        <f>+I57</f>
        <v>28165968</v>
      </c>
      <c r="T57" s="11">
        <v>16392400</v>
      </c>
      <c r="U57" s="32">
        <f t="shared" si="12"/>
        <v>16392400</v>
      </c>
      <c r="V57" s="32">
        <f t="shared" si="14"/>
        <v>16392400</v>
      </c>
      <c r="W57" s="32">
        <f t="shared" si="9"/>
        <v>11773568</v>
      </c>
      <c r="X57" s="2"/>
      <c r="Y57" s="28">
        <f t="shared" si="10"/>
        <v>58.19931344095826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</row>
    <row r="58" spans="1:45" ht="12.75">
      <c r="A58" s="2" t="s">
        <v>12</v>
      </c>
      <c r="B58" s="2">
        <v>2</v>
      </c>
      <c r="C58" s="2">
        <v>0</v>
      </c>
      <c r="D58" s="2">
        <v>0</v>
      </c>
      <c r="E58" s="2">
        <v>0</v>
      </c>
      <c r="F58" s="3" t="s">
        <v>20</v>
      </c>
      <c r="G58" s="30">
        <f>SUM(G59:G60)</f>
        <v>24111000</v>
      </c>
      <c r="H58" s="31">
        <f>SUM(H59:H60)</f>
        <v>0</v>
      </c>
      <c r="I58" s="137">
        <f t="shared" si="13"/>
        <v>24111000</v>
      </c>
      <c r="J58" s="31">
        <f>+J59+J60</f>
        <v>24111000</v>
      </c>
      <c r="K58" s="31">
        <f>+K59+K60</f>
        <v>24111000</v>
      </c>
      <c r="L58" s="11">
        <f t="shared" si="7"/>
        <v>0</v>
      </c>
      <c r="M58" s="33">
        <f t="shared" si="8"/>
        <v>100</v>
      </c>
      <c r="N58" s="33">
        <f t="shared" si="11"/>
        <v>100</v>
      </c>
      <c r="O58" s="33"/>
      <c r="P58" s="2"/>
      <c r="Q58" s="2"/>
      <c r="R58" s="2"/>
      <c r="S58" s="30">
        <f>SUM(S59:S60)</f>
        <v>24111000</v>
      </c>
      <c r="T58" s="31">
        <f>SUM(T59:T60)</f>
        <v>14454860</v>
      </c>
      <c r="U58" s="30">
        <f>SUM(U59:U60)</f>
        <v>14454860</v>
      </c>
      <c r="V58" s="30">
        <f>SUM(V59:V60)</f>
        <v>14454860</v>
      </c>
      <c r="W58" s="32">
        <f t="shared" si="9"/>
        <v>9656140</v>
      </c>
      <c r="X58" s="2"/>
      <c r="Y58" s="28">
        <f t="shared" si="10"/>
        <v>59.95130853137572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</row>
    <row r="59" spans="1:45" ht="12.75">
      <c r="A59" s="2" t="s">
        <v>12</v>
      </c>
      <c r="B59" s="2">
        <v>2</v>
      </c>
      <c r="C59" s="2">
        <v>0</v>
      </c>
      <c r="D59" s="2">
        <v>4</v>
      </c>
      <c r="E59" s="2">
        <v>0</v>
      </c>
      <c r="F59" s="2" t="s">
        <v>21</v>
      </c>
      <c r="G59" s="32">
        <v>22601000</v>
      </c>
      <c r="H59" s="11">
        <v>0</v>
      </c>
      <c r="I59" s="138">
        <f>+G59+H59</f>
        <v>22601000</v>
      </c>
      <c r="J59" s="31">
        <f>+I59</f>
        <v>22601000</v>
      </c>
      <c r="K59" s="31">
        <f>+J59</f>
        <v>22601000</v>
      </c>
      <c r="L59" s="11">
        <f t="shared" si="7"/>
        <v>0</v>
      </c>
      <c r="M59" s="33">
        <f t="shared" si="8"/>
        <v>100</v>
      </c>
      <c r="N59" s="33">
        <f t="shared" si="11"/>
        <v>100</v>
      </c>
      <c r="O59" s="15"/>
      <c r="P59" s="2"/>
      <c r="Q59" s="2"/>
      <c r="R59" s="2"/>
      <c r="S59" s="32">
        <f>+I59</f>
        <v>22601000</v>
      </c>
      <c r="T59" s="11">
        <v>12944880</v>
      </c>
      <c r="U59" s="32">
        <f>+T59</f>
        <v>12944880</v>
      </c>
      <c r="V59" s="32">
        <f>+T59</f>
        <v>12944880</v>
      </c>
      <c r="W59" s="32">
        <f t="shared" si="9"/>
        <v>9656120</v>
      </c>
      <c r="X59" s="2"/>
      <c r="Y59" s="28">
        <f t="shared" si="10"/>
        <v>57.27569576567409</v>
      </c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</row>
    <row r="60" spans="1:45" ht="12.75">
      <c r="A60" s="2" t="s">
        <v>12</v>
      </c>
      <c r="B60" s="2">
        <v>2</v>
      </c>
      <c r="C60" s="2">
        <v>0</v>
      </c>
      <c r="D60" s="2">
        <v>3</v>
      </c>
      <c r="E60" s="2">
        <v>50</v>
      </c>
      <c r="F60" s="2" t="s">
        <v>22</v>
      </c>
      <c r="G60" s="32">
        <v>1510000</v>
      </c>
      <c r="H60" s="11">
        <v>0</v>
      </c>
      <c r="I60" s="138">
        <f>+G60+H60</f>
        <v>1510000</v>
      </c>
      <c r="J60" s="31">
        <f>+I60</f>
        <v>1510000</v>
      </c>
      <c r="K60" s="31">
        <f>+J60</f>
        <v>1510000</v>
      </c>
      <c r="L60" s="11">
        <f t="shared" si="7"/>
        <v>0</v>
      </c>
      <c r="M60" s="33">
        <f t="shared" si="8"/>
        <v>100</v>
      </c>
      <c r="N60" s="33">
        <f t="shared" si="11"/>
        <v>100</v>
      </c>
      <c r="O60" s="15"/>
      <c r="P60" s="2"/>
      <c r="Q60" s="2"/>
      <c r="R60" s="2"/>
      <c r="S60" s="32">
        <f>+I60</f>
        <v>1510000</v>
      </c>
      <c r="T60" s="11">
        <v>1509980</v>
      </c>
      <c r="U60" s="32">
        <f>+T60</f>
        <v>1509980</v>
      </c>
      <c r="V60" s="32">
        <f>+T60</f>
        <v>1509980</v>
      </c>
      <c r="W60" s="32">
        <f t="shared" si="9"/>
        <v>20</v>
      </c>
      <c r="X60" s="2"/>
      <c r="Y60" s="28">
        <v>0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</row>
    <row r="61" spans="1:45" ht="12.75">
      <c r="A61" s="2" t="s">
        <v>12</v>
      </c>
      <c r="B61" s="2">
        <v>3</v>
      </c>
      <c r="C61" s="2">
        <v>2</v>
      </c>
      <c r="D61" s="2">
        <v>1</v>
      </c>
      <c r="E61" s="2">
        <v>1</v>
      </c>
      <c r="F61" s="2" t="s">
        <v>23</v>
      </c>
      <c r="G61" s="32">
        <f>+G62</f>
        <v>10854000</v>
      </c>
      <c r="H61" s="11">
        <f>+H62</f>
        <v>0</v>
      </c>
      <c r="I61" s="138">
        <f>+G61+H61</f>
        <v>10854000</v>
      </c>
      <c r="J61" s="31">
        <f>+J62</f>
        <v>0</v>
      </c>
      <c r="K61" s="31">
        <f>+K62</f>
        <v>0</v>
      </c>
      <c r="L61" s="11">
        <f t="shared" si="7"/>
        <v>10854000</v>
      </c>
      <c r="M61" s="33">
        <f t="shared" si="8"/>
        <v>0</v>
      </c>
      <c r="N61" s="33">
        <f t="shared" si="11"/>
        <v>0</v>
      </c>
      <c r="O61" s="15"/>
      <c r="P61" s="2"/>
      <c r="Q61" s="2"/>
      <c r="R61" s="2"/>
      <c r="S61" s="32">
        <f>+S62</f>
        <v>0</v>
      </c>
      <c r="T61" s="11">
        <f>+T62</f>
        <v>0</v>
      </c>
      <c r="U61" s="32">
        <f>+U62</f>
        <v>0</v>
      </c>
      <c r="V61" s="32">
        <f>+V62</f>
        <v>0</v>
      </c>
      <c r="W61" s="32">
        <f t="shared" si="9"/>
        <v>10854000</v>
      </c>
      <c r="X61" s="2"/>
      <c r="Y61" s="28">
        <v>0</v>
      </c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</row>
    <row r="62" spans="1:45" ht="12.75">
      <c r="A62" s="2" t="s">
        <v>12</v>
      </c>
      <c r="B62" s="2">
        <v>3</v>
      </c>
      <c r="C62" s="2">
        <v>2</v>
      </c>
      <c r="D62" s="2">
        <v>1</v>
      </c>
      <c r="E62" s="2">
        <v>1</v>
      </c>
      <c r="F62" s="2" t="s">
        <v>23</v>
      </c>
      <c r="G62" s="32">
        <v>10854000</v>
      </c>
      <c r="H62" s="11">
        <v>0</v>
      </c>
      <c r="I62" s="138">
        <f>+G62+H62</f>
        <v>10854000</v>
      </c>
      <c r="J62" s="31">
        <v>0</v>
      </c>
      <c r="K62" s="31">
        <v>0</v>
      </c>
      <c r="L62" s="11">
        <f t="shared" si="7"/>
        <v>10854000</v>
      </c>
      <c r="M62" s="33">
        <f t="shared" si="8"/>
        <v>0</v>
      </c>
      <c r="N62" s="33">
        <f t="shared" si="11"/>
        <v>0</v>
      </c>
      <c r="O62" s="15"/>
      <c r="P62" s="2"/>
      <c r="Q62" s="2"/>
      <c r="R62" s="2"/>
      <c r="S62" s="32">
        <v>0</v>
      </c>
      <c r="T62" s="11">
        <v>0</v>
      </c>
      <c r="U62" s="32">
        <v>0</v>
      </c>
      <c r="V62" s="32">
        <f>+T62</f>
        <v>0</v>
      </c>
      <c r="W62" s="32">
        <f t="shared" si="9"/>
        <v>10854000</v>
      </c>
      <c r="X62" s="2"/>
      <c r="Y62" s="28">
        <v>0</v>
      </c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</row>
    <row r="63" spans="1:45" ht="12.75">
      <c r="A63" s="8" t="s">
        <v>1</v>
      </c>
      <c r="B63" s="8" t="s">
        <v>1</v>
      </c>
      <c r="C63" s="8" t="s">
        <v>1</v>
      </c>
      <c r="D63" s="8" t="s">
        <v>1</v>
      </c>
      <c r="E63" s="8" t="s">
        <v>1</v>
      </c>
      <c r="F63" s="8" t="s">
        <v>26</v>
      </c>
      <c r="G63" s="4" t="s">
        <v>1</v>
      </c>
      <c r="H63" s="13" t="s">
        <v>1</v>
      </c>
      <c r="I63" s="26" t="s">
        <v>1</v>
      </c>
      <c r="J63" s="31" t="s">
        <v>1</v>
      </c>
      <c r="K63" s="31"/>
      <c r="L63" s="12"/>
      <c r="M63" s="33" t="s">
        <v>1</v>
      </c>
      <c r="N63" s="15"/>
      <c r="O63" s="15"/>
      <c r="P63" s="2"/>
      <c r="Q63" s="2"/>
      <c r="R63" s="2"/>
      <c r="S63" s="2"/>
      <c r="T63" s="12"/>
      <c r="U63" s="2"/>
      <c r="V63" s="2"/>
      <c r="W63" s="2"/>
      <c r="X63" s="2"/>
      <c r="Y63" s="28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7:45" ht="12.75">
      <c r="G64" s="34"/>
      <c r="H64" s="69"/>
      <c r="I64" s="139"/>
      <c r="T64" s="69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7:45" ht="12.75">
      <c r="G65" s="34"/>
      <c r="H65" s="72"/>
      <c r="I65" s="140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72"/>
      <c r="U65" s="75"/>
      <c r="V65" s="85"/>
      <c r="W65" s="8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</row>
    <row r="66" spans="7:45" ht="15">
      <c r="G66" s="7"/>
      <c r="H66" s="74"/>
      <c r="I66" s="141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74"/>
      <c r="U66" s="55"/>
      <c r="V66" s="55"/>
      <c r="W66" s="55"/>
      <c r="X66" s="1"/>
      <c r="Y66" s="1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7:45" ht="12.75">
      <c r="G67" s="7"/>
      <c r="H67" s="74"/>
      <c r="I67" s="140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74"/>
      <c r="U67" s="55"/>
      <c r="V67" s="55"/>
      <c r="W67" s="55"/>
      <c r="X67" s="1"/>
      <c r="Y67" s="1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7:45" ht="12.75">
      <c r="G68" s="25"/>
      <c r="H68" s="74"/>
      <c r="I68" s="142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74"/>
      <c r="U68" s="55"/>
      <c r="V68" s="55"/>
      <c r="W68" s="55"/>
      <c r="X68" s="1"/>
      <c r="Y68" s="1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  <row r="69" spans="7:45" ht="12.75">
      <c r="G69" s="7"/>
      <c r="H69" s="74"/>
      <c r="I69" s="142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74"/>
      <c r="U69" s="55"/>
      <c r="V69" s="55"/>
      <c r="W69" s="55"/>
      <c r="X69" s="1"/>
      <c r="Y69" s="1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</row>
    <row r="70" spans="7:45" ht="12.75">
      <c r="G70" s="1"/>
      <c r="H70" s="74"/>
      <c r="I70" s="142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74"/>
      <c r="U70" s="74"/>
      <c r="V70" s="74"/>
      <c r="W70" s="55"/>
      <c r="X70" s="1"/>
      <c r="Y70" s="1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</row>
    <row r="71" spans="7:45" ht="12.75">
      <c r="G71" s="1"/>
      <c r="H71" s="74"/>
      <c r="I71" s="142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74"/>
      <c r="U71" s="74"/>
      <c r="V71" s="74"/>
      <c r="W71" s="55"/>
      <c r="X71" s="1"/>
      <c r="Y71" s="1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</row>
    <row r="72" spans="7:45" ht="12.75">
      <c r="G72" s="1"/>
      <c r="H72" s="74"/>
      <c r="I72" s="140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74"/>
      <c r="U72" s="74"/>
      <c r="V72" s="74"/>
      <c r="W72" s="55"/>
      <c r="X72" s="1"/>
      <c r="Y72" s="1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</row>
    <row r="73" spans="7:45" ht="12.75">
      <c r="G73" s="1"/>
      <c r="H73" s="74"/>
      <c r="I73" s="140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74"/>
      <c r="U73" s="74"/>
      <c r="V73" s="74"/>
      <c r="W73" s="55"/>
      <c r="X73" s="1"/>
      <c r="Y73" s="1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</row>
    <row r="74" spans="7:45" ht="12.75">
      <c r="G74" s="1"/>
      <c r="H74" s="74"/>
      <c r="I74" s="140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73"/>
      <c r="U74" s="73"/>
      <c r="V74" s="73"/>
      <c r="W74" s="55"/>
      <c r="X74" s="1"/>
      <c r="Y74" s="1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</row>
    <row r="75" spans="7:45" ht="12.75">
      <c r="G75" s="1"/>
      <c r="H75" s="74"/>
      <c r="I75" s="142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74"/>
      <c r="U75" s="55"/>
      <c r="V75" s="55"/>
      <c r="W75" s="55"/>
      <c r="X75" s="1"/>
      <c r="Y75" s="1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7:45" ht="12.75">
      <c r="G76" s="1"/>
      <c r="H76" s="74"/>
      <c r="I76" s="142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74"/>
      <c r="U76" s="55"/>
      <c r="V76" s="55"/>
      <c r="W76" s="55"/>
      <c r="X76" s="1"/>
      <c r="Y76" s="1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</row>
    <row r="77" spans="7:45" ht="12.75">
      <c r="G77" s="1"/>
      <c r="H77" s="74"/>
      <c r="I77" s="142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74"/>
      <c r="U77" s="55"/>
      <c r="V77" s="55"/>
      <c r="W77" s="55"/>
      <c r="X77" s="1"/>
      <c r="Y77" s="1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</row>
    <row r="78" spans="7:45" ht="12.75">
      <c r="G78" s="1"/>
      <c r="H78" s="74"/>
      <c r="I78" s="140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73"/>
      <c r="U78" s="55"/>
      <c r="V78" s="55"/>
      <c r="W78" s="55"/>
      <c r="X78" s="1"/>
      <c r="Y78" s="1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</row>
    <row r="79" spans="7:45" ht="12.75">
      <c r="G79" s="1"/>
      <c r="H79" s="74"/>
      <c r="I79" s="142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74"/>
      <c r="U79" s="55"/>
      <c r="V79" s="55"/>
      <c r="W79" s="55"/>
      <c r="X79" s="1"/>
      <c r="Y79" s="1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</row>
    <row r="80" spans="7:45" ht="12.75">
      <c r="G80" s="1"/>
      <c r="H80" s="86"/>
      <c r="I80" s="143"/>
      <c r="J80" s="1"/>
      <c r="K80" s="1"/>
      <c r="L80" s="1"/>
      <c r="M80" s="1"/>
      <c r="N80" s="1"/>
      <c r="O80" s="1"/>
      <c r="P80" s="1"/>
      <c r="Q80" s="1"/>
      <c r="R80" s="1"/>
      <c r="S80" s="1"/>
      <c r="T80" s="86"/>
      <c r="U80" s="1"/>
      <c r="V80" s="1"/>
      <c r="W80" s="1"/>
      <c r="X80" s="1"/>
      <c r="Y80" s="1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</row>
    <row r="81" spans="7:45" ht="12.75">
      <c r="G81" s="1"/>
      <c r="H81" s="86"/>
      <c r="I81" s="143"/>
      <c r="J81" s="1"/>
      <c r="K81" s="1"/>
      <c r="L81" s="1"/>
      <c r="M81" s="1"/>
      <c r="N81" s="1"/>
      <c r="O81" s="1"/>
      <c r="P81" s="1"/>
      <c r="Q81" s="1"/>
      <c r="R81" s="1"/>
      <c r="S81" s="1"/>
      <c r="T81" s="86"/>
      <c r="U81" s="1"/>
      <c r="V81" s="1"/>
      <c r="W81" s="1"/>
      <c r="X81" s="1"/>
      <c r="Y81" s="1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</row>
    <row r="82" spans="7:45" ht="12.75">
      <c r="G82" s="1"/>
      <c r="H82" s="86"/>
      <c r="I82" s="143"/>
      <c r="J82" s="1"/>
      <c r="K82" s="1"/>
      <c r="L82" s="1"/>
      <c r="M82" s="1"/>
      <c r="N82" s="1"/>
      <c r="O82" s="1"/>
      <c r="P82" s="1"/>
      <c r="Q82" s="1"/>
      <c r="R82" s="1"/>
      <c r="S82" s="1"/>
      <c r="T82" s="86"/>
      <c r="U82" s="1"/>
      <c r="V82" s="1"/>
      <c r="W82" s="1"/>
      <c r="X82" s="1"/>
      <c r="Y82" s="1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</row>
    <row r="83" spans="7:45" ht="12.75">
      <c r="G83" s="1"/>
      <c r="H83" s="86"/>
      <c r="I83" s="143"/>
      <c r="J83" s="1"/>
      <c r="K83" s="1"/>
      <c r="L83" s="1"/>
      <c r="M83" s="1"/>
      <c r="N83" s="1"/>
      <c r="O83" s="1"/>
      <c r="P83" s="1"/>
      <c r="Q83" s="1"/>
      <c r="R83" s="1"/>
      <c r="S83" s="1"/>
      <c r="T83" s="86"/>
      <c r="U83" s="1"/>
      <c r="V83" s="1"/>
      <c r="W83" s="1"/>
      <c r="X83" s="1"/>
      <c r="Y83" s="1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</row>
    <row r="84" spans="7:45" ht="12.75">
      <c r="G84" s="1"/>
      <c r="H84" s="86"/>
      <c r="I84" s="143"/>
      <c r="J84" s="1"/>
      <c r="K84" s="1"/>
      <c r="L84" s="1"/>
      <c r="M84" s="1"/>
      <c r="N84" s="1"/>
      <c r="O84" s="1"/>
      <c r="P84" s="1"/>
      <c r="Q84" s="1"/>
      <c r="R84" s="1"/>
      <c r="S84" s="1"/>
      <c r="T84" s="86"/>
      <c r="U84" s="1"/>
      <c r="V84" s="1"/>
      <c r="W84" s="1"/>
      <c r="X84" s="1"/>
      <c r="Y84" s="1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</row>
    <row r="85" spans="7:45" ht="12.75">
      <c r="G85" s="1"/>
      <c r="H85" s="86"/>
      <c r="I85" s="143"/>
      <c r="J85" s="1"/>
      <c r="K85" s="1"/>
      <c r="L85" s="1"/>
      <c r="M85" s="1"/>
      <c r="N85" s="1"/>
      <c r="O85" s="1"/>
      <c r="P85" s="1"/>
      <c r="Q85" s="1"/>
      <c r="R85" s="1"/>
      <c r="S85" s="1"/>
      <c r="T85" s="86"/>
      <c r="U85" s="1"/>
      <c r="V85" s="1"/>
      <c r="W85" s="1"/>
      <c r="X85" s="1"/>
      <c r="Y85" s="1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</row>
    <row r="86" spans="7:45" ht="12.75">
      <c r="G86" s="1"/>
      <c r="H86" s="86"/>
      <c r="I86" s="143"/>
      <c r="J86" s="1"/>
      <c r="K86" s="1"/>
      <c r="L86" s="1"/>
      <c r="M86" s="1"/>
      <c r="N86" s="1"/>
      <c r="O86" s="1"/>
      <c r="P86" s="1"/>
      <c r="Q86" s="1"/>
      <c r="R86" s="1"/>
      <c r="S86" s="1"/>
      <c r="T86" s="86"/>
      <c r="U86" s="1"/>
      <c r="V86" s="1"/>
      <c r="W86" s="1"/>
      <c r="X86" s="1"/>
      <c r="Y86" s="1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</row>
    <row r="87" spans="7:45" ht="12.75">
      <c r="G87" s="1"/>
      <c r="H87" s="8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86"/>
      <c r="U87" s="1"/>
      <c r="V87" s="1"/>
      <c r="W87" s="1"/>
      <c r="X87" s="1"/>
      <c r="Y87" s="1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</row>
    <row r="88" spans="7:45" ht="12.75">
      <c r="G88" s="1"/>
      <c r="H88" s="86"/>
      <c r="I88" s="143"/>
      <c r="J88" s="1"/>
      <c r="K88" s="1"/>
      <c r="L88" s="1"/>
      <c r="M88" s="1"/>
      <c r="N88" s="1"/>
      <c r="O88" s="1"/>
      <c r="P88" s="1"/>
      <c r="Q88" s="1"/>
      <c r="R88" s="1"/>
      <c r="S88" s="1"/>
      <c r="T88" s="86"/>
      <c r="U88" s="1"/>
      <c r="V88" s="1"/>
      <c r="W88" s="1"/>
      <c r="X88" s="1"/>
      <c r="Y88" s="1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</row>
    <row r="89" spans="7:45" ht="12.75">
      <c r="G89" s="1"/>
      <c r="H89" s="86"/>
      <c r="I89" s="143"/>
      <c r="J89" s="1"/>
      <c r="K89" s="1"/>
      <c r="L89" s="1"/>
      <c r="M89" s="1"/>
      <c r="N89" s="1"/>
      <c r="O89" s="1"/>
      <c r="P89" s="1"/>
      <c r="Q89" s="1"/>
      <c r="R89" s="1"/>
      <c r="S89" s="1"/>
      <c r="T89" s="86"/>
      <c r="U89" s="1"/>
      <c r="V89" s="1"/>
      <c r="W89" s="1"/>
      <c r="X89" s="1"/>
      <c r="Y89" s="1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</row>
    <row r="90" spans="7:45" ht="12.75">
      <c r="G90" s="1"/>
      <c r="H90" s="86"/>
      <c r="I90" s="143"/>
      <c r="J90" s="1"/>
      <c r="K90" s="1"/>
      <c r="L90" s="1"/>
      <c r="M90" s="1"/>
      <c r="N90" s="1"/>
      <c r="O90" s="1"/>
      <c r="P90" s="1"/>
      <c r="Q90" s="1"/>
      <c r="R90" s="1"/>
      <c r="S90" s="1"/>
      <c r="T90" s="86"/>
      <c r="U90" s="1"/>
      <c r="V90" s="1"/>
      <c r="W90" s="1"/>
      <c r="X90" s="1"/>
      <c r="Y90" s="1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</row>
    <row r="91" spans="7:45" ht="12.75">
      <c r="G91" s="1"/>
      <c r="H91" s="86"/>
      <c r="I91" s="143"/>
      <c r="J91" s="1"/>
      <c r="K91" s="1"/>
      <c r="L91" s="1"/>
      <c r="M91" s="1"/>
      <c r="N91" s="1"/>
      <c r="O91" s="1"/>
      <c r="P91" s="1"/>
      <c r="Q91" s="1"/>
      <c r="R91" s="1"/>
      <c r="S91" s="1"/>
      <c r="T91" s="86"/>
      <c r="U91" s="1"/>
      <c r="V91" s="1"/>
      <c r="W91" s="1"/>
      <c r="X91" s="1"/>
      <c r="Y91" s="1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</row>
    <row r="92" spans="7:45" ht="12.75">
      <c r="G92" s="1"/>
      <c r="H92" s="86"/>
      <c r="I92" s="143"/>
      <c r="J92" s="1"/>
      <c r="K92" s="1"/>
      <c r="L92" s="1"/>
      <c r="M92" s="1"/>
      <c r="N92" s="1"/>
      <c r="O92" s="1"/>
      <c r="P92" s="1"/>
      <c r="Q92" s="1"/>
      <c r="R92" s="1"/>
      <c r="S92" s="1"/>
      <c r="T92" s="86"/>
      <c r="U92" s="1"/>
      <c r="V92" s="1"/>
      <c r="W92" s="1"/>
      <c r="X92" s="1"/>
      <c r="Y92" s="1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</row>
    <row r="93" spans="7:45" ht="12.75">
      <c r="G93" s="1"/>
      <c r="H93" s="86"/>
      <c r="I93" s="143"/>
      <c r="J93" s="1"/>
      <c r="K93" s="1"/>
      <c r="L93" s="1"/>
      <c r="M93" s="1"/>
      <c r="N93" s="1"/>
      <c r="O93" s="1"/>
      <c r="P93" s="1"/>
      <c r="Q93" s="1"/>
      <c r="R93" s="1"/>
      <c r="S93" s="1"/>
      <c r="T93" s="86"/>
      <c r="U93" s="1"/>
      <c r="V93" s="1"/>
      <c r="W93" s="1"/>
      <c r="X93" s="1"/>
      <c r="Y93" s="1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</row>
    <row r="94" spans="7:45" ht="12.75">
      <c r="G94" s="1"/>
      <c r="H94" s="86"/>
      <c r="I94" s="143"/>
      <c r="J94" s="1"/>
      <c r="K94" s="1"/>
      <c r="L94" s="1"/>
      <c r="M94" s="1"/>
      <c r="N94" s="1"/>
      <c r="O94" s="1"/>
      <c r="P94" s="1"/>
      <c r="Q94" s="1"/>
      <c r="R94" s="1"/>
      <c r="S94" s="1"/>
      <c r="T94" s="86"/>
      <c r="U94" s="1"/>
      <c r="V94" s="1"/>
      <c r="W94" s="1"/>
      <c r="X94" s="1"/>
      <c r="Y94" s="1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</row>
    <row r="95" spans="7:45" ht="12.75">
      <c r="G95" s="1"/>
      <c r="H95" s="86"/>
      <c r="I95" s="143"/>
      <c r="J95" s="1"/>
      <c r="K95" s="1"/>
      <c r="L95" s="1"/>
      <c r="M95" s="1"/>
      <c r="N95" s="1"/>
      <c r="O95" s="1"/>
      <c r="P95" s="1"/>
      <c r="Q95" s="1"/>
      <c r="R95" s="1"/>
      <c r="S95" s="1"/>
      <c r="T95" s="86"/>
      <c r="U95" s="1"/>
      <c r="V95" s="1"/>
      <c r="W95" s="1"/>
      <c r="X95" s="1"/>
      <c r="Y95" s="1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</row>
    <row r="96" spans="7:45" ht="12.75">
      <c r="G96" s="1"/>
      <c r="H96" s="86"/>
      <c r="I96" s="143"/>
      <c r="J96" s="1"/>
      <c r="K96" s="1"/>
      <c r="L96" s="1"/>
      <c r="M96" s="1"/>
      <c r="N96" s="1"/>
      <c r="O96" s="1"/>
      <c r="P96" s="1"/>
      <c r="Q96" s="1"/>
      <c r="R96" s="1"/>
      <c r="S96" s="1"/>
      <c r="T96" s="86"/>
      <c r="U96" s="1"/>
      <c r="V96" s="1"/>
      <c r="W96" s="1"/>
      <c r="X96" s="1"/>
      <c r="Y96" s="1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</row>
    <row r="97" spans="7:45" ht="12.75">
      <c r="G97" s="1"/>
      <c r="H97" s="86"/>
      <c r="I97" s="143"/>
      <c r="J97" s="1"/>
      <c r="K97" s="1"/>
      <c r="L97" s="1"/>
      <c r="M97" s="1"/>
      <c r="N97" s="1"/>
      <c r="O97" s="1"/>
      <c r="P97" s="1"/>
      <c r="Q97" s="1"/>
      <c r="R97" s="1"/>
      <c r="S97" s="1"/>
      <c r="T97" s="86"/>
      <c r="U97" s="1"/>
      <c r="V97" s="1"/>
      <c r="W97" s="1"/>
      <c r="X97" s="1"/>
      <c r="Y97" s="1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</row>
    <row r="98" spans="7:45" ht="12.75">
      <c r="G98" s="1"/>
      <c r="H98" s="86"/>
      <c r="I98" s="143"/>
      <c r="J98" s="1"/>
      <c r="K98" s="1"/>
      <c r="L98" s="1"/>
      <c r="M98" s="1"/>
      <c r="N98" s="1"/>
      <c r="O98" s="1"/>
      <c r="P98" s="1"/>
      <c r="Q98" s="1"/>
      <c r="R98" s="1"/>
      <c r="S98" s="1"/>
      <c r="T98" s="86"/>
      <c r="U98" s="1"/>
      <c r="V98" s="1"/>
      <c r="W98" s="1"/>
      <c r="X98" s="1"/>
      <c r="Y98" s="1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</row>
    <row r="99" spans="7:45" ht="12.75">
      <c r="G99" s="1"/>
      <c r="H99" s="86"/>
      <c r="I99" s="143"/>
      <c r="J99" s="1"/>
      <c r="K99" s="1"/>
      <c r="L99" s="1"/>
      <c r="M99" s="1"/>
      <c r="N99" s="1"/>
      <c r="O99" s="1"/>
      <c r="P99" s="1"/>
      <c r="Q99" s="1"/>
      <c r="R99" s="1"/>
      <c r="S99" s="1"/>
      <c r="T99" s="86"/>
      <c r="U99" s="1"/>
      <c r="V99" s="1"/>
      <c r="W99" s="1"/>
      <c r="X99" s="1"/>
      <c r="Y99" s="1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</row>
    <row r="100" spans="7:45" ht="12.75">
      <c r="G100" s="1"/>
      <c r="H100" s="86"/>
      <c r="I100" s="14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86"/>
      <c r="U100" s="1"/>
      <c r="V100" s="1"/>
      <c r="W100" s="1"/>
      <c r="X100" s="1"/>
      <c r="Y100" s="1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</row>
    <row r="101" spans="7:45" ht="12.75">
      <c r="G101" s="1"/>
      <c r="H101" s="86"/>
      <c r="I101" s="14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86"/>
      <c r="U101" s="1"/>
      <c r="V101" s="1"/>
      <c r="W101" s="1"/>
      <c r="X101" s="1"/>
      <c r="Y101" s="1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</row>
    <row r="102" spans="7:45" ht="12.75">
      <c r="G102" s="1"/>
      <c r="H102" s="86"/>
      <c r="I102" s="14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86"/>
      <c r="U102" s="1"/>
      <c r="V102" s="1"/>
      <c r="W102" s="1"/>
      <c r="X102" s="1"/>
      <c r="Y102" s="1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</row>
    <row r="103" spans="7:45" ht="12.75">
      <c r="G103" s="1"/>
      <c r="H103" s="86"/>
      <c r="I103" s="14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86"/>
      <c r="U103" s="1"/>
      <c r="V103" s="1"/>
      <c r="W103" s="1"/>
      <c r="X103" s="1"/>
      <c r="Y103" s="1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</row>
    <row r="104" spans="7:45" ht="12.75">
      <c r="G104" s="1"/>
      <c r="H104" s="86"/>
      <c r="I104" s="14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86"/>
      <c r="U104" s="1"/>
      <c r="V104" s="1"/>
      <c r="W104" s="1"/>
      <c r="X104" s="1"/>
      <c r="Y104" s="1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</row>
    <row r="105" spans="7:45" ht="12.75">
      <c r="G105" s="1"/>
      <c r="H105" s="86"/>
      <c r="I105" s="14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86"/>
      <c r="U105" s="1"/>
      <c r="V105" s="1"/>
      <c r="W105" s="1"/>
      <c r="X105" s="1"/>
      <c r="Y105" s="1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</row>
    <row r="106" spans="7:45" ht="12.75">
      <c r="G106" s="1"/>
      <c r="H106" s="86"/>
      <c r="I106" s="14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86"/>
      <c r="U106" s="1"/>
      <c r="V106" s="1"/>
      <c r="W106" s="1"/>
      <c r="X106" s="1"/>
      <c r="Y106" s="1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</row>
    <row r="107" spans="7:45" ht="12.75">
      <c r="G107" s="1"/>
      <c r="H107" s="86"/>
      <c r="I107" s="14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86"/>
      <c r="U107" s="1"/>
      <c r="V107" s="1"/>
      <c r="W107" s="1"/>
      <c r="X107" s="1"/>
      <c r="Y107" s="1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</row>
    <row r="108" spans="7:25" ht="12.75">
      <c r="G108" s="1"/>
      <c r="H108" s="86"/>
      <c r="I108" s="14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86"/>
      <c r="U108" s="1"/>
      <c r="V108" s="1"/>
      <c r="W108" s="1"/>
      <c r="X108" s="1"/>
      <c r="Y108" s="1"/>
    </row>
    <row r="109" spans="7:25" ht="12.75">
      <c r="G109" s="1"/>
      <c r="H109" s="86"/>
      <c r="I109" s="14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86"/>
      <c r="U109" s="1"/>
      <c r="V109" s="1"/>
      <c r="W109" s="1"/>
      <c r="X109" s="1"/>
      <c r="Y109" s="1"/>
    </row>
    <row r="110" spans="7:25" ht="12.75">
      <c r="G110" s="1"/>
      <c r="H110" s="86"/>
      <c r="I110" s="14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86"/>
      <c r="U110" s="1"/>
      <c r="V110" s="1"/>
      <c r="W110" s="1"/>
      <c r="X110" s="1"/>
      <c r="Y110" s="1"/>
    </row>
    <row r="111" spans="7:25" ht="12.75">
      <c r="G111" s="1"/>
      <c r="H111" s="86"/>
      <c r="I111" s="14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86"/>
      <c r="U111" s="1"/>
      <c r="V111" s="1"/>
      <c r="W111" s="1"/>
      <c r="X111" s="1"/>
      <c r="Y111" s="1"/>
    </row>
    <row r="112" spans="7:25" ht="12.75">
      <c r="G112" s="1"/>
      <c r="H112" s="86"/>
      <c r="I112" s="14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86"/>
      <c r="U112" s="1"/>
      <c r="V112" s="1"/>
      <c r="W112" s="1"/>
      <c r="X112" s="1"/>
      <c r="Y112" s="1"/>
    </row>
    <row r="113" spans="7:25" ht="12.75">
      <c r="G113" s="1"/>
      <c r="H113" s="86"/>
      <c r="I113" s="14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86"/>
      <c r="U113" s="1"/>
      <c r="V113" s="1"/>
      <c r="W113" s="1"/>
      <c r="X113" s="1"/>
      <c r="Y113" s="1"/>
    </row>
    <row r="114" spans="7:25" ht="12.75">
      <c r="G114" s="1"/>
      <c r="H114" s="86"/>
      <c r="I114" s="14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86"/>
      <c r="U114" s="1"/>
      <c r="V114" s="1"/>
      <c r="W114" s="1"/>
      <c r="X114" s="1"/>
      <c r="Y114" s="1"/>
    </row>
    <row r="115" spans="7:25" ht="12.75">
      <c r="G115" s="1"/>
      <c r="H115" s="86"/>
      <c r="I115" s="14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86"/>
      <c r="U115" s="1"/>
      <c r="V115" s="1"/>
      <c r="W115" s="1"/>
      <c r="X115" s="1"/>
      <c r="Y115" s="1"/>
    </row>
    <row r="116" spans="7:25" ht="12.75">
      <c r="G116" s="1"/>
      <c r="H116" s="86"/>
      <c r="I116" s="14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86"/>
      <c r="U116" s="1"/>
      <c r="V116" s="1"/>
      <c r="W116" s="1"/>
      <c r="X116" s="1"/>
      <c r="Y116" s="1"/>
    </row>
    <row r="117" spans="7:25" ht="12.75">
      <c r="G117" s="1"/>
      <c r="H117" s="86"/>
      <c r="I117" s="14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86"/>
      <c r="U117" s="1"/>
      <c r="V117" s="1"/>
      <c r="W117" s="1"/>
      <c r="X117" s="1"/>
      <c r="Y117" s="1"/>
    </row>
  </sheetData>
  <sheetProtection/>
  <mergeCells count="6">
    <mergeCell ref="A40:Y40"/>
    <mergeCell ref="A1:Y1"/>
    <mergeCell ref="A2:Y2"/>
    <mergeCell ref="A3:Y3"/>
    <mergeCell ref="A39:Y39"/>
    <mergeCell ref="A38:Y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52" t="s">
        <v>126</v>
      </c>
      <c r="H2" s="52" t="s">
        <v>127</v>
      </c>
    </row>
    <row r="3" spans="1:12" ht="12.75">
      <c r="A3" t="s">
        <v>98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7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7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99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100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101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102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103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104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105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106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52" t="s">
        <v>107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52" t="s">
        <v>108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52" t="s">
        <v>109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52" t="s">
        <v>110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7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7" t="s">
        <v>1</v>
      </c>
      <c r="G21" s="1"/>
      <c r="H21" s="1"/>
      <c r="I21" s="1"/>
      <c r="J21" s="1"/>
      <c r="K21" s="1"/>
      <c r="L21" s="1"/>
    </row>
    <row r="22" spans="1:12" ht="12.75">
      <c r="A22" s="52" t="s">
        <v>115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52" t="s">
        <v>111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7" t="s">
        <v>1</v>
      </c>
      <c r="E25" s="1"/>
      <c r="F25" s="7" t="s">
        <v>1</v>
      </c>
      <c r="G25" s="1"/>
      <c r="H25" s="1"/>
      <c r="I25" s="1"/>
      <c r="J25" s="1"/>
      <c r="K25" s="1"/>
      <c r="L25" s="1"/>
    </row>
    <row r="26" spans="1:12" ht="12.75">
      <c r="A26" s="52" t="s">
        <v>112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52" t="s">
        <v>113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7" t="s">
        <v>1</v>
      </c>
      <c r="E28" s="1"/>
      <c r="F28" s="7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52" t="s">
        <v>114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52" t="s">
        <v>116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52" t="s">
        <v>117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52" t="s">
        <v>118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52" t="s">
        <v>119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52" t="s">
        <v>120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52" t="s">
        <v>121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52" t="s">
        <v>122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52" t="s">
        <v>123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52" t="s">
        <v>124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52" t="s">
        <v>125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7"/>
  <sheetViews>
    <sheetView zoomScaleSheetLayoutView="100" zoomScalePageLayoutView="0" workbookViewId="0" topLeftCell="A1">
      <selection activeCell="Z25" sqref="Z25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1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5" width="16.7109375" style="0" hidden="1" customWidth="1"/>
    <col min="26" max="27" width="17.8515625" style="0" customWidth="1"/>
    <col min="28" max="28" width="16.140625" style="0" customWidth="1"/>
    <col min="29" max="29" width="16.28125" style="0" hidden="1" customWidth="1"/>
    <col min="30" max="30" width="16.7109375" style="0" customWidth="1"/>
    <col min="31" max="31" width="14.28125" style="0" bestFit="1" customWidth="1"/>
  </cols>
  <sheetData>
    <row r="1" spans="1:30" ht="12.75">
      <c r="A1" s="112"/>
      <c r="B1" s="113"/>
      <c r="C1" s="114" t="s">
        <v>1</v>
      </c>
      <c r="D1" s="115" t="s">
        <v>1</v>
      </c>
      <c r="E1" s="147" t="s">
        <v>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9"/>
      <c r="AD1" s="116"/>
    </row>
    <row r="2" spans="1:30" ht="12.75">
      <c r="A2" s="117"/>
      <c r="B2" s="2"/>
      <c r="C2" s="46" t="s">
        <v>1</v>
      </c>
      <c r="D2" s="47" t="s">
        <v>1</v>
      </c>
      <c r="E2" s="150" t="s">
        <v>167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2"/>
      <c r="AD2" s="118"/>
    </row>
    <row r="3" spans="1:30" ht="12.75">
      <c r="A3" s="117"/>
      <c r="B3" s="2"/>
      <c r="C3" s="2"/>
      <c r="D3" s="2"/>
      <c r="E3" s="47"/>
      <c r="F3" s="47"/>
      <c r="G3" s="47" t="s">
        <v>1</v>
      </c>
      <c r="H3" s="9" t="s">
        <v>1</v>
      </c>
      <c r="I3" s="48" t="s">
        <v>1</v>
      </c>
      <c r="J3" s="12"/>
      <c r="K3" s="12"/>
      <c r="L3" s="12"/>
      <c r="M3" s="12"/>
      <c r="N3" s="12"/>
      <c r="O3" s="48"/>
      <c r="P3" s="48"/>
      <c r="Q3" s="48"/>
      <c r="R3" s="48"/>
      <c r="S3" s="48"/>
      <c r="T3" s="48"/>
      <c r="U3" s="13" t="s">
        <v>1</v>
      </c>
      <c r="V3" s="15"/>
      <c r="W3" s="15"/>
      <c r="X3" s="2"/>
      <c r="Y3" s="2"/>
      <c r="Z3" s="2"/>
      <c r="AA3" s="2"/>
      <c r="AB3" s="2"/>
      <c r="AC3" s="2"/>
      <c r="AD3" s="118"/>
    </row>
    <row r="4" spans="1:30" ht="12.75">
      <c r="A4" s="117"/>
      <c r="B4" s="2"/>
      <c r="C4" s="2"/>
      <c r="D4" s="2"/>
      <c r="E4" s="47"/>
      <c r="F4" s="2"/>
      <c r="G4" s="8" t="s">
        <v>1</v>
      </c>
      <c r="H4" s="9" t="s">
        <v>1</v>
      </c>
      <c r="I4" s="49" t="s">
        <v>1</v>
      </c>
      <c r="J4" s="12"/>
      <c r="K4" s="12"/>
      <c r="L4" s="12"/>
      <c r="M4" s="12"/>
      <c r="N4" s="12"/>
      <c r="O4" s="50"/>
      <c r="P4" s="50"/>
      <c r="Q4" s="50"/>
      <c r="R4" s="50"/>
      <c r="S4" s="50"/>
      <c r="T4" s="50"/>
      <c r="U4" s="11" t="s">
        <v>1</v>
      </c>
      <c r="V4" s="15"/>
      <c r="W4" s="15"/>
      <c r="X4" s="2"/>
      <c r="Y4" s="2"/>
      <c r="Z4" s="2"/>
      <c r="AA4" s="2"/>
      <c r="AB4" s="4" t="s">
        <v>1</v>
      </c>
      <c r="AC4" s="2"/>
      <c r="AD4" s="118"/>
    </row>
    <row r="5" spans="1:30" ht="38.25" customHeight="1">
      <c r="A5" s="119"/>
      <c r="B5" s="36"/>
      <c r="C5" s="37"/>
      <c r="D5" s="37"/>
      <c r="E5" s="38" t="s">
        <v>25</v>
      </c>
      <c r="F5" s="39" t="s">
        <v>70</v>
      </c>
      <c r="G5" s="40" t="s">
        <v>2</v>
      </c>
      <c r="H5" s="40" t="s">
        <v>71</v>
      </c>
      <c r="I5" s="41"/>
      <c r="J5" s="23"/>
      <c r="K5" s="41"/>
      <c r="L5" s="41"/>
      <c r="M5" s="41"/>
      <c r="N5" s="41" t="s">
        <v>1</v>
      </c>
      <c r="O5" s="41"/>
      <c r="P5" s="42"/>
      <c r="Q5" s="41"/>
      <c r="R5" s="41"/>
      <c r="S5" s="41"/>
      <c r="T5" s="41"/>
      <c r="U5" s="41" t="s">
        <v>1</v>
      </c>
      <c r="V5" s="41"/>
      <c r="W5" s="43"/>
      <c r="X5" s="44" t="s">
        <v>72</v>
      </c>
      <c r="Y5" s="44" t="s">
        <v>75</v>
      </c>
      <c r="Z5" s="45" t="s">
        <v>35</v>
      </c>
      <c r="AA5" s="45" t="s">
        <v>82</v>
      </c>
      <c r="AB5" s="45" t="s">
        <v>162</v>
      </c>
      <c r="AC5" s="45" t="s">
        <v>73</v>
      </c>
      <c r="AD5" s="120" t="s">
        <v>47</v>
      </c>
    </row>
    <row r="6" spans="1:30" ht="38.25" customHeight="1">
      <c r="A6" s="119"/>
      <c r="B6" s="36"/>
      <c r="C6" s="37"/>
      <c r="D6" s="37"/>
      <c r="E6" s="104"/>
      <c r="F6" s="39"/>
      <c r="G6" s="40"/>
      <c r="H6" s="40" t="s">
        <v>1</v>
      </c>
      <c r="I6" s="41"/>
      <c r="J6" s="23"/>
      <c r="K6" s="41"/>
      <c r="L6" s="41"/>
      <c r="M6" s="41"/>
      <c r="N6" s="41"/>
      <c r="O6" s="41"/>
      <c r="P6" s="42"/>
      <c r="Q6" s="41"/>
      <c r="R6" s="41"/>
      <c r="S6" s="41"/>
      <c r="T6" s="41"/>
      <c r="U6" s="41"/>
      <c r="V6" s="41"/>
      <c r="W6" s="43"/>
      <c r="X6" s="44"/>
      <c r="Y6" s="44"/>
      <c r="Z6" s="45"/>
      <c r="AA6" s="45"/>
      <c r="AB6" s="45"/>
      <c r="AC6" s="45"/>
      <c r="AD6" s="120"/>
    </row>
    <row r="7" spans="1:30" ht="22.5" customHeight="1">
      <c r="A7" s="57" t="s">
        <v>24</v>
      </c>
      <c r="B7" s="5"/>
      <c r="C7" s="17"/>
      <c r="D7" s="6"/>
      <c r="E7" s="97" t="s">
        <v>149</v>
      </c>
      <c r="F7" s="84">
        <v>1414333482</v>
      </c>
      <c r="G7" s="84">
        <f>1727333482-F7</f>
        <v>313000000</v>
      </c>
      <c r="H7" s="24">
        <f>+F7+G7</f>
        <v>1727333482</v>
      </c>
      <c r="I7" s="21"/>
      <c r="J7" s="23"/>
      <c r="K7" s="21"/>
      <c r="L7" s="21"/>
      <c r="M7" s="21"/>
      <c r="N7" s="21"/>
      <c r="O7" s="21"/>
      <c r="P7" s="22"/>
      <c r="Q7" s="21"/>
      <c r="R7" s="21"/>
      <c r="S7" s="21"/>
      <c r="T7" s="21"/>
      <c r="U7" s="22"/>
      <c r="V7" s="21"/>
      <c r="W7" s="24"/>
      <c r="X7" s="82"/>
      <c r="Y7" s="82">
        <v>3214239602</v>
      </c>
      <c r="Z7" s="105">
        <v>1376035461</v>
      </c>
      <c r="AA7" s="105">
        <v>568285823</v>
      </c>
      <c r="AB7" s="70">
        <f>+H7-Z7</f>
        <v>351298021</v>
      </c>
      <c r="AC7" s="71">
        <f aca="true" t="shared" si="0" ref="AC7:AC20">+X7/H7*100</f>
        <v>0</v>
      </c>
      <c r="AD7" s="121">
        <f aca="true" t="shared" si="1" ref="AD7:AD18">+Z7/H7*100</f>
        <v>79.6624088712014</v>
      </c>
    </row>
    <row r="8" spans="1:31" ht="22.5" customHeight="1">
      <c r="A8" s="57" t="s">
        <v>24</v>
      </c>
      <c r="B8" s="5"/>
      <c r="C8" s="17"/>
      <c r="D8" s="6"/>
      <c r="E8" s="97" t="s">
        <v>150</v>
      </c>
      <c r="F8" s="84">
        <v>6672762694</v>
      </c>
      <c r="G8" s="84">
        <f>7399918418-F8+50499117</f>
        <v>777654841</v>
      </c>
      <c r="H8" s="24">
        <f aca="true" t="shared" si="2" ref="H8:H20">+F8+G8</f>
        <v>7450417535</v>
      </c>
      <c r="I8" s="21"/>
      <c r="J8" s="23"/>
      <c r="K8" s="21"/>
      <c r="L8" s="21"/>
      <c r="M8" s="21"/>
      <c r="N8" s="21"/>
      <c r="O8" s="21"/>
      <c r="P8" s="22"/>
      <c r="Q8" s="21"/>
      <c r="R8" s="21"/>
      <c r="S8" s="21"/>
      <c r="T8" s="21"/>
      <c r="U8" s="22"/>
      <c r="V8" s="21"/>
      <c r="W8" s="24"/>
      <c r="X8" s="82"/>
      <c r="Y8" s="82">
        <v>4419101489</v>
      </c>
      <c r="Z8" s="105">
        <v>5414819053</v>
      </c>
      <c r="AA8" s="105">
        <v>3031649428</v>
      </c>
      <c r="AB8" s="70">
        <f aca="true" t="shared" si="3" ref="AB7:AB20">+H8-Z8</f>
        <v>2035598482</v>
      </c>
      <c r="AC8" s="71">
        <f t="shared" si="0"/>
        <v>0</v>
      </c>
      <c r="AD8" s="121">
        <f t="shared" si="1"/>
        <v>72.6780617000682</v>
      </c>
      <c r="AE8" s="1" t="s">
        <v>1</v>
      </c>
    </row>
    <row r="9" spans="1:30" ht="22.5" customHeight="1">
      <c r="A9" s="57" t="s">
        <v>24</v>
      </c>
      <c r="B9" s="5"/>
      <c r="C9" s="17"/>
      <c r="D9" s="6"/>
      <c r="E9" s="97" t="s">
        <v>151</v>
      </c>
      <c r="F9" s="84">
        <v>1036845934</v>
      </c>
      <c r="G9" s="84">
        <f>1133798921-F9</f>
        <v>96952987</v>
      </c>
      <c r="H9" s="24">
        <f t="shared" si="2"/>
        <v>1133798921</v>
      </c>
      <c r="I9" s="21"/>
      <c r="J9" s="23"/>
      <c r="K9" s="21"/>
      <c r="L9" s="21"/>
      <c r="M9" s="21"/>
      <c r="N9" s="21"/>
      <c r="O9" s="21"/>
      <c r="P9" s="22"/>
      <c r="Q9" s="21"/>
      <c r="R9" s="21"/>
      <c r="S9" s="21"/>
      <c r="T9" s="21"/>
      <c r="U9" s="22"/>
      <c r="V9" s="21"/>
      <c r="W9" s="24"/>
      <c r="X9" s="82"/>
      <c r="Y9" s="82">
        <v>1177233207</v>
      </c>
      <c r="Z9" s="105">
        <v>115158800</v>
      </c>
      <c r="AA9" s="105">
        <v>0</v>
      </c>
      <c r="AB9" s="70">
        <f t="shared" si="3"/>
        <v>1018640121</v>
      </c>
      <c r="AC9" s="71">
        <f t="shared" si="0"/>
        <v>0</v>
      </c>
      <c r="AD9" s="121">
        <f t="shared" si="1"/>
        <v>10.15689800607951</v>
      </c>
    </row>
    <row r="10" spans="1:31" ht="22.5" customHeight="1">
      <c r="A10" s="57" t="s">
        <v>24</v>
      </c>
      <c r="B10" s="5"/>
      <c r="C10" s="17"/>
      <c r="D10" s="6"/>
      <c r="E10" s="97" t="s">
        <v>152</v>
      </c>
      <c r="F10" s="84">
        <v>1395195000</v>
      </c>
      <c r="G10" s="84">
        <f>1662195000-F10+9677928</f>
        <v>276677928</v>
      </c>
      <c r="H10" s="24">
        <f t="shared" si="2"/>
        <v>1671872928</v>
      </c>
      <c r="I10" s="21"/>
      <c r="J10" s="23"/>
      <c r="K10" s="21"/>
      <c r="L10" s="21"/>
      <c r="M10" s="21"/>
      <c r="N10" s="21"/>
      <c r="O10" s="21"/>
      <c r="P10" s="22"/>
      <c r="Q10" s="21"/>
      <c r="R10" s="21"/>
      <c r="S10" s="21"/>
      <c r="T10" s="21"/>
      <c r="U10" s="22"/>
      <c r="V10" s="21"/>
      <c r="W10" s="24"/>
      <c r="X10" s="82"/>
      <c r="Y10" s="82">
        <v>105456683</v>
      </c>
      <c r="Z10" s="105">
        <v>941360989</v>
      </c>
      <c r="AA10" s="105">
        <v>23700000</v>
      </c>
      <c r="AB10" s="70">
        <f t="shared" si="3"/>
        <v>730511939</v>
      </c>
      <c r="AC10" s="71">
        <f t="shared" si="0"/>
        <v>0</v>
      </c>
      <c r="AD10" s="121">
        <f t="shared" si="1"/>
        <v>56.30577379622478</v>
      </c>
      <c r="AE10" s="1" t="s">
        <v>1</v>
      </c>
    </row>
    <row r="11" spans="1:31" ht="22.5" customHeight="1">
      <c r="A11" s="57" t="s">
        <v>24</v>
      </c>
      <c r="B11" s="5"/>
      <c r="C11" s="17"/>
      <c r="D11" s="6"/>
      <c r="E11" s="97" t="s">
        <v>153</v>
      </c>
      <c r="F11" s="84">
        <v>2560519571</v>
      </c>
      <c r="G11" s="84">
        <f>2791400876-F11+87850578</f>
        <v>318731883</v>
      </c>
      <c r="H11" s="24">
        <f t="shared" si="2"/>
        <v>2879251454</v>
      </c>
      <c r="I11" s="21"/>
      <c r="J11" s="23"/>
      <c r="K11" s="21"/>
      <c r="L11" s="21"/>
      <c r="M11" s="21"/>
      <c r="N11" s="21"/>
      <c r="O11" s="21"/>
      <c r="P11" s="22"/>
      <c r="Q11" s="21"/>
      <c r="R11" s="21"/>
      <c r="S11" s="21"/>
      <c r="T11" s="21"/>
      <c r="U11" s="22"/>
      <c r="V11" s="21"/>
      <c r="W11" s="24"/>
      <c r="X11" s="82"/>
      <c r="Y11" s="82">
        <v>589361612</v>
      </c>
      <c r="Z11" s="105">
        <v>2194775762</v>
      </c>
      <c r="AA11" s="105">
        <v>770744341</v>
      </c>
      <c r="AB11" s="70">
        <f t="shared" si="3"/>
        <v>684475692</v>
      </c>
      <c r="AC11" s="71">
        <f t="shared" si="0"/>
        <v>0</v>
      </c>
      <c r="AD11" s="121">
        <f t="shared" si="1"/>
        <v>76.22730411235558</v>
      </c>
      <c r="AE11" s="1" t="s">
        <v>1</v>
      </c>
    </row>
    <row r="12" spans="1:30" ht="43.5" customHeight="1">
      <c r="A12" s="57" t="s">
        <v>24</v>
      </c>
      <c r="B12" s="5"/>
      <c r="C12" s="17"/>
      <c r="D12" s="6"/>
      <c r="E12" s="97" t="s">
        <v>164</v>
      </c>
      <c r="F12" s="84">
        <v>0</v>
      </c>
      <c r="G12" s="84">
        <v>44958551</v>
      </c>
      <c r="H12" s="24">
        <f>+F12+G12</f>
        <v>44958551</v>
      </c>
      <c r="I12" s="21"/>
      <c r="J12" s="23"/>
      <c r="K12" s="21"/>
      <c r="L12" s="21"/>
      <c r="M12" s="21"/>
      <c r="N12" s="21"/>
      <c r="O12" s="21"/>
      <c r="P12" s="22"/>
      <c r="Q12" s="21"/>
      <c r="R12" s="21"/>
      <c r="S12" s="21"/>
      <c r="T12" s="21"/>
      <c r="U12" s="22"/>
      <c r="V12" s="21"/>
      <c r="W12" s="24"/>
      <c r="X12" s="82"/>
      <c r="Y12" s="82"/>
      <c r="Z12" s="105">
        <f>+G12</f>
        <v>44958551</v>
      </c>
      <c r="AA12" s="105">
        <f>+Z12</f>
        <v>44958551</v>
      </c>
      <c r="AB12" s="70">
        <f>+H12-Z12</f>
        <v>0</v>
      </c>
      <c r="AC12" s="71">
        <f t="shared" si="0"/>
        <v>0</v>
      </c>
      <c r="AD12" s="121">
        <v>100</v>
      </c>
    </row>
    <row r="13" spans="1:31" ht="22.5" customHeight="1">
      <c r="A13" s="57" t="s">
        <v>24</v>
      </c>
      <c r="B13" s="5"/>
      <c r="C13" s="17"/>
      <c r="D13" s="6"/>
      <c r="E13" s="97" t="s">
        <v>154</v>
      </c>
      <c r="F13" s="84">
        <v>890452410</v>
      </c>
      <c r="G13" s="84">
        <f>1402452410-F13+154751126</f>
        <v>666751126</v>
      </c>
      <c r="H13" s="24">
        <f t="shared" si="2"/>
        <v>1557203536</v>
      </c>
      <c r="I13" s="21"/>
      <c r="J13" s="23"/>
      <c r="K13" s="21"/>
      <c r="L13" s="21"/>
      <c r="M13" s="21"/>
      <c r="N13" s="21"/>
      <c r="O13" s="21"/>
      <c r="P13" s="22"/>
      <c r="Q13" s="21"/>
      <c r="R13" s="21"/>
      <c r="S13" s="21"/>
      <c r="T13" s="21"/>
      <c r="U13" s="22"/>
      <c r="V13" s="21"/>
      <c r="W13" s="24"/>
      <c r="X13" s="82"/>
      <c r="Y13" s="82">
        <v>4620016737</v>
      </c>
      <c r="Z13" s="105">
        <v>1244082882</v>
      </c>
      <c r="AA13" s="105">
        <v>92691998</v>
      </c>
      <c r="AB13" s="70">
        <f t="shared" si="3"/>
        <v>313120654</v>
      </c>
      <c r="AC13" s="71">
        <f t="shared" si="0"/>
        <v>0</v>
      </c>
      <c r="AD13" s="121">
        <f t="shared" si="1"/>
        <v>79.89211771222179</v>
      </c>
      <c r="AE13" s="1">
        <f>+H13-1557203536</f>
        <v>0</v>
      </c>
    </row>
    <row r="14" spans="1:30" ht="22.5" customHeight="1">
      <c r="A14" s="57" t="s">
        <v>24</v>
      </c>
      <c r="B14" s="5"/>
      <c r="C14" s="17"/>
      <c r="D14" s="6"/>
      <c r="E14" s="97" t="s">
        <v>155</v>
      </c>
      <c r="F14" s="84">
        <f>500000000+0</f>
        <v>500000000</v>
      </c>
      <c r="G14" s="84">
        <v>50000000</v>
      </c>
      <c r="H14" s="24">
        <f t="shared" si="2"/>
        <v>550000000</v>
      </c>
      <c r="I14" s="21"/>
      <c r="J14" s="23"/>
      <c r="K14" s="21"/>
      <c r="L14" s="21"/>
      <c r="M14" s="21"/>
      <c r="N14" s="21"/>
      <c r="O14" s="21"/>
      <c r="P14" s="22"/>
      <c r="Q14" s="21"/>
      <c r="R14" s="21"/>
      <c r="S14" s="21"/>
      <c r="T14" s="21"/>
      <c r="U14" s="22"/>
      <c r="V14" s="21"/>
      <c r="W14" s="24"/>
      <c r="X14" s="82"/>
      <c r="Y14" s="82">
        <v>850659482</v>
      </c>
      <c r="Z14" s="105">
        <v>394936060</v>
      </c>
      <c r="AA14" s="105">
        <v>6709284</v>
      </c>
      <c r="AB14" s="70">
        <f t="shared" si="3"/>
        <v>155063940</v>
      </c>
      <c r="AC14" s="71">
        <f t="shared" si="0"/>
        <v>0</v>
      </c>
      <c r="AD14" s="121">
        <f t="shared" si="1"/>
        <v>71.80655636363636</v>
      </c>
    </row>
    <row r="15" spans="1:30" ht="44.25" customHeight="1">
      <c r="A15" s="57" t="s">
        <v>24</v>
      </c>
      <c r="B15" s="5"/>
      <c r="C15" s="17"/>
      <c r="D15" s="6"/>
      <c r="E15" s="97" t="s">
        <v>165</v>
      </c>
      <c r="F15" s="84">
        <v>0</v>
      </c>
      <c r="G15" s="84">
        <v>1285798223</v>
      </c>
      <c r="H15" s="24">
        <f>+F15+G15</f>
        <v>1285798223</v>
      </c>
      <c r="I15" s="21"/>
      <c r="J15" s="23"/>
      <c r="K15" s="21"/>
      <c r="L15" s="21"/>
      <c r="M15" s="21"/>
      <c r="N15" s="21"/>
      <c r="O15" s="21"/>
      <c r="P15" s="22"/>
      <c r="Q15" s="21"/>
      <c r="R15" s="21"/>
      <c r="S15" s="21"/>
      <c r="T15" s="21"/>
      <c r="U15" s="22"/>
      <c r="V15" s="21"/>
      <c r="W15" s="24"/>
      <c r="X15" s="82"/>
      <c r="Y15" s="82"/>
      <c r="Z15" s="105">
        <v>175120153</v>
      </c>
      <c r="AA15" s="105">
        <f>+Z15</f>
        <v>175120153</v>
      </c>
      <c r="AB15" s="70">
        <f t="shared" si="3"/>
        <v>1110678070</v>
      </c>
      <c r="AC15" s="71">
        <f t="shared" si="0"/>
        <v>0</v>
      </c>
      <c r="AD15" s="121">
        <f t="shared" si="1"/>
        <v>13.619567197053126</v>
      </c>
    </row>
    <row r="16" spans="1:30" ht="22.5" customHeight="1">
      <c r="A16" s="57" t="s">
        <v>24</v>
      </c>
      <c r="B16" s="5"/>
      <c r="C16" s="17"/>
      <c r="D16" s="6"/>
      <c r="E16" s="97" t="s">
        <v>156</v>
      </c>
      <c r="F16" s="84">
        <v>1617130415</v>
      </c>
      <c r="G16" s="84">
        <f>1768739350-F16</f>
        <v>151608935</v>
      </c>
      <c r="H16" s="24">
        <f t="shared" si="2"/>
        <v>1768739350</v>
      </c>
      <c r="I16" s="21"/>
      <c r="J16" s="23"/>
      <c r="K16" s="21"/>
      <c r="L16" s="21"/>
      <c r="M16" s="21"/>
      <c r="N16" s="21"/>
      <c r="O16" s="21"/>
      <c r="P16" s="22"/>
      <c r="Q16" s="21"/>
      <c r="R16" s="21"/>
      <c r="S16" s="21"/>
      <c r="T16" s="21"/>
      <c r="U16" s="22"/>
      <c r="V16" s="21"/>
      <c r="W16" s="24"/>
      <c r="X16" s="82"/>
      <c r="Y16" s="82">
        <v>169389594</v>
      </c>
      <c r="Z16" s="105">
        <v>1425541447</v>
      </c>
      <c r="AA16" s="128">
        <v>543944330</v>
      </c>
      <c r="AB16" s="70">
        <f t="shared" si="3"/>
        <v>343197903</v>
      </c>
      <c r="AC16" s="71">
        <f t="shared" si="0"/>
        <v>0</v>
      </c>
      <c r="AD16" s="121">
        <f t="shared" si="1"/>
        <v>80.59646815682594</v>
      </c>
    </row>
    <row r="17" spans="1:30" ht="22.5" customHeight="1">
      <c r="A17" s="57" t="s">
        <v>24</v>
      </c>
      <c r="B17" s="5"/>
      <c r="C17" s="17"/>
      <c r="D17" s="6"/>
      <c r="E17" s="97" t="s">
        <v>157</v>
      </c>
      <c r="F17" s="84">
        <v>356250000</v>
      </c>
      <c r="G17" s="84">
        <v>200000000</v>
      </c>
      <c r="H17" s="24">
        <f t="shared" si="2"/>
        <v>556250000</v>
      </c>
      <c r="I17" s="21"/>
      <c r="J17" s="23"/>
      <c r="K17" s="21"/>
      <c r="L17" s="21"/>
      <c r="M17" s="21"/>
      <c r="N17" s="21"/>
      <c r="O17" s="21"/>
      <c r="P17" s="22"/>
      <c r="Q17" s="21"/>
      <c r="R17" s="21"/>
      <c r="S17" s="21"/>
      <c r="T17" s="21"/>
      <c r="U17" s="22"/>
      <c r="V17" s="21"/>
      <c r="W17" s="24"/>
      <c r="X17" s="82"/>
      <c r="Y17" s="82">
        <v>218654899</v>
      </c>
      <c r="Z17" s="105">
        <v>433572228</v>
      </c>
      <c r="AA17" s="105">
        <v>183972874</v>
      </c>
      <c r="AB17" s="70">
        <f t="shared" si="3"/>
        <v>122677772</v>
      </c>
      <c r="AC17" s="71">
        <f t="shared" si="0"/>
        <v>0</v>
      </c>
      <c r="AD17" s="121">
        <f t="shared" si="1"/>
        <v>77.94556907865169</v>
      </c>
    </row>
    <row r="18" spans="1:31" ht="22.5" customHeight="1">
      <c r="A18" s="57" t="s">
        <v>24</v>
      </c>
      <c r="B18" s="5"/>
      <c r="C18" s="17"/>
      <c r="D18" s="6"/>
      <c r="E18" s="97" t="s">
        <v>158</v>
      </c>
      <c r="F18" s="84">
        <v>1900000000</v>
      </c>
      <c r="G18" s="84">
        <f>5067457658-F18</f>
        <v>3167457658</v>
      </c>
      <c r="H18" s="24">
        <f t="shared" si="2"/>
        <v>5067457658</v>
      </c>
      <c r="I18" s="21"/>
      <c r="J18" s="23"/>
      <c r="K18" s="21"/>
      <c r="L18" s="21"/>
      <c r="M18" s="21"/>
      <c r="N18" s="21"/>
      <c r="O18" s="21"/>
      <c r="P18" s="22"/>
      <c r="Q18" s="21"/>
      <c r="R18" s="21"/>
      <c r="S18" s="21"/>
      <c r="T18" s="21"/>
      <c r="U18" s="22"/>
      <c r="V18" s="21"/>
      <c r="W18" s="24"/>
      <c r="X18" s="82"/>
      <c r="Y18" s="82">
        <v>1180795963</v>
      </c>
      <c r="Z18" s="105">
        <v>4087415465</v>
      </c>
      <c r="AA18" s="105">
        <v>128596149</v>
      </c>
      <c r="AB18" s="70">
        <f t="shared" si="3"/>
        <v>980042193</v>
      </c>
      <c r="AC18" s="71">
        <f t="shared" si="0"/>
        <v>0</v>
      </c>
      <c r="AD18" s="121">
        <f t="shared" si="1"/>
        <v>80.66008126475795</v>
      </c>
      <c r="AE18" s="1" t="s">
        <v>1</v>
      </c>
    </row>
    <row r="19" spans="1:30" ht="22.5" customHeight="1">
      <c r="A19" s="57" t="s">
        <v>24</v>
      </c>
      <c r="B19" s="5"/>
      <c r="C19" s="17"/>
      <c r="D19" s="6"/>
      <c r="E19" s="97" t="s">
        <v>159</v>
      </c>
      <c r="F19" s="84">
        <f>574484846</f>
        <v>574484846</v>
      </c>
      <c r="G19" s="84">
        <f>846724804-F19</f>
        <v>272239958</v>
      </c>
      <c r="H19" s="24">
        <f t="shared" si="2"/>
        <v>846724804</v>
      </c>
      <c r="I19" s="21"/>
      <c r="J19" s="23"/>
      <c r="K19" s="21"/>
      <c r="L19" s="21"/>
      <c r="M19" s="21"/>
      <c r="N19" s="21"/>
      <c r="O19" s="21"/>
      <c r="P19" s="22"/>
      <c r="Q19" s="21"/>
      <c r="R19" s="21"/>
      <c r="S19" s="21"/>
      <c r="T19" s="21"/>
      <c r="U19" s="22"/>
      <c r="V19" s="21"/>
      <c r="W19" s="24"/>
      <c r="X19" s="82"/>
      <c r="Y19" s="82"/>
      <c r="Z19" s="105">
        <v>642554676</v>
      </c>
      <c r="AA19" s="105">
        <v>222990679</v>
      </c>
      <c r="AB19" s="70">
        <f t="shared" si="3"/>
        <v>204170128</v>
      </c>
      <c r="AC19" s="71">
        <f t="shared" si="0"/>
        <v>0</v>
      </c>
      <c r="AD19" s="122" t="s">
        <v>1</v>
      </c>
    </row>
    <row r="20" spans="1:30" ht="22.5" customHeight="1">
      <c r="A20" s="57" t="s">
        <v>24</v>
      </c>
      <c r="B20" s="5"/>
      <c r="C20" s="17"/>
      <c r="D20" s="6"/>
      <c r="E20" s="97" t="s">
        <v>160</v>
      </c>
      <c r="F20" s="84">
        <v>1500000000</v>
      </c>
      <c r="G20" s="84">
        <v>175000000</v>
      </c>
      <c r="H20" s="24">
        <f t="shared" si="2"/>
        <v>1675000000</v>
      </c>
      <c r="I20" s="58">
        <f aca="true" t="shared" si="4" ref="I20:Y20">SUM(I7:I19)</f>
        <v>0</v>
      </c>
      <c r="J20" s="58">
        <f t="shared" si="4"/>
        <v>0</v>
      </c>
      <c r="K20" s="58">
        <f t="shared" si="4"/>
        <v>0</v>
      </c>
      <c r="L20" s="58">
        <f t="shared" si="4"/>
        <v>0</v>
      </c>
      <c r="M20" s="58">
        <f t="shared" si="4"/>
        <v>0</v>
      </c>
      <c r="N20" s="58">
        <f t="shared" si="4"/>
        <v>0</v>
      </c>
      <c r="O20" s="58">
        <f t="shared" si="4"/>
        <v>0</v>
      </c>
      <c r="P20" s="58">
        <f t="shared" si="4"/>
        <v>0</v>
      </c>
      <c r="Q20" s="58">
        <f t="shared" si="4"/>
        <v>0</v>
      </c>
      <c r="R20" s="58">
        <f t="shared" si="4"/>
        <v>0</v>
      </c>
      <c r="S20" s="58">
        <f t="shared" si="4"/>
        <v>0</v>
      </c>
      <c r="T20" s="58">
        <f t="shared" si="4"/>
        <v>0</v>
      </c>
      <c r="U20" s="58">
        <f t="shared" si="4"/>
        <v>0</v>
      </c>
      <c r="V20" s="58">
        <f t="shared" si="4"/>
        <v>0</v>
      </c>
      <c r="W20" s="58">
        <f t="shared" si="4"/>
        <v>0</v>
      </c>
      <c r="X20" s="58">
        <f t="shared" si="4"/>
        <v>0</v>
      </c>
      <c r="Y20" s="58">
        <f t="shared" si="4"/>
        <v>16544909268</v>
      </c>
      <c r="Z20" s="105">
        <v>1137566079</v>
      </c>
      <c r="AA20" s="105">
        <v>169490746</v>
      </c>
      <c r="AB20" s="70">
        <f t="shared" si="3"/>
        <v>537433921</v>
      </c>
      <c r="AC20" s="71">
        <f t="shared" si="0"/>
        <v>0</v>
      </c>
      <c r="AD20" s="121">
        <f>+Z20/H20*100</f>
        <v>67.9143927761194</v>
      </c>
    </row>
    <row r="21" spans="1:30" ht="22.5" customHeight="1">
      <c r="A21" s="57" t="s">
        <v>1</v>
      </c>
      <c r="B21" s="5"/>
      <c r="C21" s="17"/>
      <c r="D21" s="6"/>
      <c r="E21" s="59"/>
      <c r="F21" s="58"/>
      <c r="G21" s="54" t="s">
        <v>1</v>
      </c>
      <c r="H21" s="24" t="s">
        <v>1</v>
      </c>
      <c r="I21" s="21"/>
      <c r="J21" s="23"/>
      <c r="K21" s="21"/>
      <c r="L21" s="21"/>
      <c r="M21" s="21"/>
      <c r="N21" s="21"/>
      <c r="O21" s="21"/>
      <c r="P21" s="22"/>
      <c r="Q21" s="21"/>
      <c r="R21" s="21"/>
      <c r="S21" s="21"/>
      <c r="T21" s="21"/>
      <c r="U21" s="21"/>
      <c r="V21" s="21"/>
      <c r="W21" s="24"/>
      <c r="X21" s="11"/>
      <c r="Y21" s="11"/>
      <c r="Z21" s="11"/>
      <c r="AA21" s="11"/>
      <c r="AB21" s="70" t="s">
        <v>1</v>
      </c>
      <c r="AC21" s="16" t="s">
        <v>1</v>
      </c>
      <c r="AD21" s="122" t="s">
        <v>1</v>
      </c>
    </row>
    <row r="22" spans="1:30" ht="22.5" customHeight="1" thickBot="1">
      <c r="A22" s="60"/>
      <c r="B22" s="61"/>
      <c r="C22" s="62"/>
      <c r="D22" s="63"/>
      <c r="E22" s="64" t="s">
        <v>69</v>
      </c>
      <c r="F22" s="65">
        <f>SUM(F7:F20)+1</f>
        <v>20417974353</v>
      </c>
      <c r="G22" s="65">
        <f>SUM(G7:G20)</f>
        <v>7796832090</v>
      </c>
      <c r="H22" s="65">
        <f>SUM(H7:H20)</f>
        <v>28214806442</v>
      </c>
      <c r="I22" s="65" t="e">
        <f>+I20+#REF!</f>
        <v>#REF!</v>
      </c>
      <c r="J22" s="65" t="e">
        <f>+J20+#REF!</f>
        <v>#REF!</v>
      </c>
      <c r="K22" s="65" t="e">
        <f>+K20+#REF!</f>
        <v>#REF!</v>
      </c>
      <c r="L22" s="65" t="e">
        <f>+L20+#REF!</f>
        <v>#REF!</v>
      </c>
      <c r="M22" s="65" t="e">
        <f>+M20+#REF!</f>
        <v>#REF!</v>
      </c>
      <c r="N22" s="65" t="e">
        <f>+N20+#REF!</f>
        <v>#REF!</v>
      </c>
      <c r="O22" s="65" t="e">
        <f>+O20+#REF!</f>
        <v>#REF!</v>
      </c>
      <c r="P22" s="65" t="e">
        <f>+P20+#REF!</f>
        <v>#REF!</v>
      </c>
      <c r="Q22" s="65" t="e">
        <f>+Q20+#REF!</f>
        <v>#REF!</v>
      </c>
      <c r="R22" s="65" t="e">
        <f>+R20+#REF!</f>
        <v>#REF!</v>
      </c>
      <c r="S22" s="65" t="e">
        <f>+S20+#REF!</f>
        <v>#REF!</v>
      </c>
      <c r="T22" s="65" t="e">
        <f>+T20+#REF!</f>
        <v>#REF!</v>
      </c>
      <c r="U22" s="65" t="e">
        <f>+U20+#REF!</f>
        <v>#REF!</v>
      </c>
      <c r="V22" s="65" t="e">
        <f>+V20+#REF!</f>
        <v>#REF!</v>
      </c>
      <c r="W22" s="65" t="e">
        <f>+W20+#REF!</f>
        <v>#REF!</v>
      </c>
      <c r="X22" s="65" t="e">
        <f>+X20+#REF!</f>
        <v>#REF!</v>
      </c>
      <c r="Y22" s="65" t="e">
        <f>+Y20+#REF!</f>
        <v>#REF!</v>
      </c>
      <c r="Z22" s="65">
        <f>SUM(Z7:Z20)</f>
        <v>19627897606</v>
      </c>
      <c r="AA22" s="65">
        <f>SUM(AA7:AA20)</f>
        <v>5962854356</v>
      </c>
      <c r="AB22" s="123">
        <f>+H22-Z22</f>
        <v>8586908836</v>
      </c>
      <c r="AC22" s="124" t="e">
        <f>+X22/H22*100</f>
        <v>#REF!</v>
      </c>
      <c r="AD22" s="125">
        <f>+Z22/H22*100</f>
        <v>69.56594810015177</v>
      </c>
    </row>
    <row r="23" spans="6:30" ht="12.75">
      <c r="F23" s="34" t="s">
        <v>1</v>
      </c>
      <c r="G23" s="34"/>
      <c r="H23" s="7"/>
      <c r="Z23" s="34"/>
      <c r="AA23" s="34" t="s">
        <v>1</v>
      </c>
      <c r="AB23" s="34" t="s">
        <v>1</v>
      </c>
      <c r="AC23" s="51"/>
      <c r="AD23" s="51" t="s">
        <v>1</v>
      </c>
    </row>
    <row r="24" spans="8:27" ht="12.75">
      <c r="H24" s="1" t="s">
        <v>26</v>
      </c>
      <c r="Z24" s="25" t="s">
        <v>1</v>
      </c>
      <c r="AA24" s="25" t="s">
        <v>26</v>
      </c>
    </row>
    <row r="25" spans="8:27" ht="12.75">
      <c r="H25" s="1" t="s">
        <v>26</v>
      </c>
      <c r="AA25" t="s">
        <v>1</v>
      </c>
    </row>
    <row r="26" spans="8:27" ht="12.75">
      <c r="H26" s="1" t="s">
        <v>1</v>
      </c>
      <c r="AA26" s="25" t="s">
        <v>26</v>
      </c>
    </row>
    <row r="27" ht="12.75">
      <c r="H27" s="1" t="s">
        <v>1</v>
      </c>
    </row>
  </sheetData>
  <sheetProtection/>
  <mergeCells count="2">
    <mergeCell ref="E1:AC1"/>
    <mergeCell ref="E2:AC2"/>
  </mergeCells>
  <printOptions/>
  <pageMargins left="0.7874015748031497" right="0.7480314960629921" top="0.984251968503937" bottom="0.984251968503937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56"/>
      <c r="B3" s="12"/>
      <c r="C3" s="12"/>
      <c r="D3" s="12"/>
      <c r="E3" s="12"/>
      <c r="F3" s="29" t="s">
        <v>128</v>
      </c>
      <c r="G3" s="29" t="s">
        <v>129</v>
      </c>
      <c r="H3" s="29" t="str">
        <f>+G3</f>
        <v>CONTRACREDITO</v>
      </c>
      <c r="I3" s="29" t="str">
        <f>+H3</f>
        <v>CONTRACREDITO</v>
      </c>
      <c r="J3" s="29" t="s">
        <v>130</v>
      </c>
      <c r="K3" s="29" t="str">
        <f>+J3</f>
        <v>ADICIONES</v>
      </c>
      <c r="L3" s="29" t="s">
        <v>131</v>
      </c>
      <c r="M3" s="12" t="str">
        <f>+L3</f>
        <v>CREDITOS</v>
      </c>
      <c r="N3" s="12" t="str">
        <f>+M3</f>
        <v>CREDITOS</v>
      </c>
      <c r="O3" s="94" t="s">
        <v>71</v>
      </c>
      <c r="R3" t="s">
        <v>134</v>
      </c>
      <c r="S3" t="s">
        <v>130</v>
      </c>
      <c r="T3" t="s">
        <v>131</v>
      </c>
      <c r="U3" t="s">
        <v>135</v>
      </c>
      <c r="V3" t="s">
        <v>69</v>
      </c>
      <c r="W3" s="52" t="s">
        <v>148</v>
      </c>
    </row>
    <row r="4" spans="1:23" ht="63.75">
      <c r="A4" s="92" t="s">
        <v>24</v>
      </c>
      <c r="B4" s="87" t="s">
        <v>41</v>
      </c>
      <c r="C4" s="88">
        <v>900</v>
      </c>
      <c r="D4" s="89">
        <v>1</v>
      </c>
      <c r="E4" s="90" t="s">
        <v>55</v>
      </c>
      <c r="F4" s="80">
        <f>1350000000</f>
        <v>1350000000</v>
      </c>
      <c r="G4" s="101">
        <v>-2572702</v>
      </c>
      <c r="H4" s="102">
        <v>-920388624</v>
      </c>
      <c r="I4" s="15"/>
      <c r="J4" s="15"/>
      <c r="K4" s="15"/>
      <c r="L4" s="15"/>
      <c r="M4" s="15"/>
      <c r="N4" s="15"/>
      <c r="O4" s="15">
        <f aca="true" t="shared" si="0" ref="O4:O17">SUM(F4:N4)</f>
        <v>427038674</v>
      </c>
      <c r="P4" t="s">
        <v>132</v>
      </c>
      <c r="Q4" t="s">
        <v>133</v>
      </c>
      <c r="R4" s="25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25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92" t="s">
        <v>24</v>
      </c>
      <c r="B5" s="87" t="s">
        <v>41</v>
      </c>
      <c r="C5" s="88">
        <f>+C4</f>
        <v>900</v>
      </c>
      <c r="D5" s="89">
        <v>2</v>
      </c>
      <c r="E5" s="90" t="s">
        <v>56</v>
      </c>
      <c r="F5" s="54">
        <f>350000000</f>
        <v>350000000</v>
      </c>
      <c r="G5" s="103">
        <v>-23894914</v>
      </c>
      <c r="H5" s="100">
        <v>-169213677</v>
      </c>
      <c r="I5" s="15"/>
      <c r="J5" s="15"/>
      <c r="K5" s="15"/>
      <c r="L5" s="15"/>
      <c r="M5" s="15"/>
      <c r="N5" s="15"/>
      <c r="O5" s="15">
        <f t="shared" si="0"/>
        <v>156891409</v>
      </c>
      <c r="P5" t="s">
        <v>136</v>
      </c>
      <c r="Q5" t="s">
        <v>137</v>
      </c>
      <c r="R5" s="25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25">
        <f t="shared" si="1"/>
        <v>2184254031</v>
      </c>
      <c r="W5" s="1">
        <f>408966674+156891409+198574475+223543821+1135936327</f>
        <v>2123912706</v>
      </c>
    </row>
    <row r="6" spans="1:23" ht="42.75">
      <c r="A6" s="92" t="s">
        <v>24</v>
      </c>
      <c r="B6" s="87" t="s">
        <v>41</v>
      </c>
      <c r="C6" s="88">
        <v>900</v>
      </c>
      <c r="D6" s="89">
        <v>3</v>
      </c>
      <c r="E6" s="90" t="s">
        <v>68</v>
      </c>
      <c r="F6" s="54">
        <v>300000000</v>
      </c>
      <c r="G6" s="103">
        <v>0</v>
      </c>
      <c r="H6" s="100">
        <v>-600906843</v>
      </c>
      <c r="I6" s="15">
        <v>-518682</v>
      </c>
      <c r="J6" s="98">
        <v>500000000</v>
      </c>
      <c r="K6" s="15"/>
      <c r="L6" s="15"/>
      <c r="M6" s="15"/>
      <c r="N6" s="15"/>
      <c r="O6" s="15">
        <f t="shared" si="0"/>
        <v>198574475</v>
      </c>
      <c r="P6" t="s">
        <v>138</v>
      </c>
      <c r="Q6" t="s">
        <v>139</v>
      </c>
      <c r="R6" s="25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25">
        <f t="shared" si="1"/>
        <v>1877233369</v>
      </c>
      <c r="W6" s="1">
        <v>1877233207</v>
      </c>
    </row>
    <row r="7" spans="1:23" ht="32.25">
      <c r="A7" s="92" t="s">
        <v>24</v>
      </c>
      <c r="B7" s="87" t="s">
        <v>42</v>
      </c>
      <c r="C7" s="88">
        <v>900</v>
      </c>
      <c r="D7" s="89">
        <v>1</v>
      </c>
      <c r="E7" s="90" t="s">
        <v>57</v>
      </c>
      <c r="F7" s="54">
        <v>3677074400</v>
      </c>
      <c r="G7" s="53">
        <v>0</v>
      </c>
      <c r="H7" s="100">
        <v>-4595103399</v>
      </c>
      <c r="I7" s="15"/>
      <c r="J7" s="98">
        <v>918028999</v>
      </c>
      <c r="K7" s="15"/>
      <c r="L7" s="15"/>
      <c r="M7" s="15"/>
      <c r="N7" s="15"/>
      <c r="O7" s="15">
        <f t="shared" si="0"/>
        <v>0</v>
      </c>
      <c r="P7" t="s">
        <v>140</v>
      </c>
      <c r="Q7" t="s">
        <v>141</v>
      </c>
      <c r="R7" s="25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25">
        <f t="shared" si="1"/>
        <v>2562562737</v>
      </c>
      <c r="W7" s="1">
        <f>319998529+2173142971</f>
        <v>2493141500</v>
      </c>
    </row>
    <row r="8" spans="1:23" ht="32.25">
      <c r="A8" s="92" t="s">
        <v>24</v>
      </c>
      <c r="B8" s="87" t="s">
        <v>42</v>
      </c>
      <c r="C8" s="88">
        <v>900</v>
      </c>
      <c r="D8" s="89">
        <v>2</v>
      </c>
      <c r="E8" s="90" t="s">
        <v>58</v>
      </c>
      <c r="F8" s="54">
        <v>1199818416</v>
      </c>
      <c r="G8" s="54">
        <v>0</v>
      </c>
      <c r="H8" s="100">
        <v>-2566309866</v>
      </c>
      <c r="I8" s="15"/>
      <c r="J8" s="98">
        <v>1393598524</v>
      </c>
      <c r="K8" s="15"/>
      <c r="L8" s="15"/>
      <c r="M8" s="15"/>
      <c r="N8" s="15"/>
      <c r="O8" s="15">
        <f t="shared" si="0"/>
        <v>27107074</v>
      </c>
      <c r="P8" t="s">
        <v>142</v>
      </c>
      <c r="Q8" t="s">
        <v>143</v>
      </c>
      <c r="R8" s="25">
        <f>+F15</f>
        <v>700000000</v>
      </c>
      <c r="S8" s="1">
        <f>+J15</f>
        <v>900000000</v>
      </c>
      <c r="T8" s="1">
        <f>+L32</f>
        <v>1445581568</v>
      </c>
      <c r="U8" s="25">
        <f>+G15</f>
        <v>-1435581568</v>
      </c>
      <c r="V8" s="25">
        <f t="shared" si="1"/>
        <v>1610000000</v>
      </c>
      <c r="W8" s="1">
        <f>164418432+1398378737</f>
        <v>1562797169</v>
      </c>
    </row>
    <row r="9" spans="1:23" ht="42.75">
      <c r="A9" s="92" t="s">
        <v>24</v>
      </c>
      <c r="B9" s="87" t="s">
        <v>42</v>
      </c>
      <c r="C9" s="88">
        <v>900</v>
      </c>
      <c r="D9" s="89">
        <v>3</v>
      </c>
      <c r="E9" s="90" t="s">
        <v>59</v>
      </c>
      <c r="F9" s="54">
        <v>1528730952</v>
      </c>
      <c r="G9" s="54">
        <v>0</v>
      </c>
      <c r="H9" s="100">
        <v>-2648057344</v>
      </c>
      <c r="I9" s="15"/>
      <c r="J9" s="98">
        <v>1553352672</v>
      </c>
      <c r="K9" s="15"/>
      <c r="L9" s="15"/>
      <c r="M9" s="15"/>
      <c r="N9" s="15"/>
      <c r="O9" s="15">
        <f t="shared" si="0"/>
        <v>434026280</v>
      </c>
      <c r="P9" t="s">
        <v>144</v>
      </c>
      <c r="Q9" t="s">
        <v>145</v>
      </c>
      <c r="R9" s="25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25">
        <f t="shared" si="1"/>
        <v>432039134</v>
      </c>
      <c r="W9" s="1">
        <f>63924612+321140379</f>
        <v>385064991</v>
      </c>
    </row>
    <row r="10" spans="1:23" ht="42.75">
      <c r="A10" s="92" t="s">
        <v>24</v>
      </c>
      <c r="B10" s="87" t="s">
        <v>42</v>
      </c>
      <c r="C10" s="88">
        <v>900</v>
      </c>
      <c r="D10" s="89">
        <v>4</v>
      </c>
      <c r="E10" s="90" t="s">
        <v>60</v>
      </c>
      <c r="F10" s="54">
        <v>1073210483</v>
      </c>
      <c r="G10" s="54">
        <v>0</v>
      </c>
      <c r="H10" s="100">
        <v>-1877233369</v>
      </c>
      <c r="I10" s="15"/>
      <c r="J10" s="98">
        <v>804022886</v>
      </c>
      <c r="K10" s="15"/>
      <c r="L10" s="15"/>
      <c r="M10" s="15"/>
      <c r="N10" s="15"/>
      <c r="O10" s="15">
        <f t="shared" si="0"/>
        <v>0</v>
      </c>
      <c r="P10" t="s">
        <v>146</v>
      </c>
      <c r="Q10" t="s">
        <v>98</v>
      </c>
      <c r="R10" s="25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25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92" t="s">
        <v>24</v>
      </c>
      <c r="B11" s="87" t="s">
        <v>43</v>
      </c>
      <c r="C11" s="88">
        <v>900</v>
      </c>
      <c r="D11" s="89">
        <v>1</v>
      </c>
      <c r="E11" s="90" t="s">
        <v>61</v>
      </c>
      <c r="F11" s="54">
        <v>289000000</v>
      </c>
      <c r="G11" s="103">
        <v>-320465303</v>
      </c>
      <c r="H11" s="100">
        <v>-4610085</v>
      </c>
      <c r="I11" s="15"/>
      <c r="J11" s="98">
        <v>100000000</v>
      </c>
      <c r="K11" s="15"/>
      <c r="L11" s="15"/>
      <c r="M11" s="15"/>
      <c r="N11" s="15"/>
      <c r="O11" s="15">
        <f t="shared" si="0"/>
        <v>63924612</v>
      </c>
      <c r="Q11" t="s">
        <v>147</v>
      </c>
      <c r="R11" s="25">
        <f>SUM(R4:R10)</f>
        <v>17250332312</v>
      </c>
      <c r="S11" s="25">
        <f>SUM(S4:S10)</f>
        <v>14633268424</v>
      </c>
      <c r="T11" s="25">
        <f>SUM(T4:T10)</f>
        <v>25367251582</v>
      </c>
      <c r="U11" s="25">
        <f>SUM(U4:U10)</f>
        <v>-25367251582</v>
      </c>
      <c r="V11" s="25">
        <f t="shared" si="1"/>
        <v>31883600736</v>
      </c>
      <c r="W11" s="25">
        <f>SUM(W4:W10)</f>
        <v>31023133223</v>
      </c>
    </row>
    <row r="12" spans="1:23" ht="21.75">
      <c r="A12" s="92" t="s">
        <v>24</v>
      </c>
      <c r="B12" s="87" t="s">
        <v>43</v>
      </c>
      <c r="C12" s="88">
        <v>900</v>
      </c>
      <c r="D12" s="89">
        <v>2</v>
      </c>
      <c r="E12" s="90" t="s">
        <v>62</v>
      </c>
      <c r="F12" s="54">
        <v>1000000000</v>
      </c>
      <c r="G12" s="54">
        <v>-1948357768</v>
      </c>
      <c r="H12" s="81">
        <v>-2855109</v>
      </c>
      <c r="I12" s="15"/>
      <c r="J12" s="98">
        <v>1000000000</v>
      </c>
      <c r="K12" s="15"/>
      <c r="L12" s="15"/>
      <c r="M12" s="15"/>
      <c r="N12" s="15"/>
      <c r="O12" s="15">
        <f t="shared" si="0"/>
        <v>48787123</v>
      </c>
      <c r="T12" s="1"/>
      <c r="U12" s="25"/>
      <c r="V12" s="25"/>
      <c r="W12" s="7" t="s">
        <v>1</v>
      </c>
    </row>
    <row r="13" spans="1:23" ht="32.25">
      <c r="A13" s="92" t="s">
        <v>24</v>
      </c>
      <c r="B13" s="87" t="s">
        <v>44</v>
      </c>
      <c r="C13" s="88">
        <v>900</v>
      </c>
      <c r="D13" s="89">
        <v>1</v>
      </c>
      <c r="E13" s="90" t="s">
        <v>63</v>
      </c>
      <c r="F13" s="54">
        <v>2132498061</v>
      </c>
      <c r="G13" s="54">
        <v>-1310392615</v>
      </c>
      <c r="H13" s="81">
        <v>-5190697</v>
      </c>
      <c r="I13" s="15"/>
      <c r="J13" s="98">
        <v>300000000</v>
      </c>
      <c r="K13" s="15"/>
      <c r="L13" s="15"/>
      <c r="M13" s="15"/>
      <c r="N13" s="15"/>
      <c r="O13" s="15">
        <f t="shared" si="0"/>
        <v>1116914749</v>
      </c>
      <c r="T13" s="25"/>
      <c r="V13" s="25"/>
      <c r="W13" s="1" t="e">
        <f>+W12-W11</f>
        <v>#VALUE!</v>
      </c>
    </row>
    <row r="14" spans="1:23" ht="53.25">
      <c r="A14" s="92" t="s">
        <v>24</v>
      </c>
      <c r="B14" s="87" t="s">
        <v>44</v>
      </c>
      <c r="C14" s="88">
        <v>900</v>
      </c>
      <c r="D14" s="89">
        <v>2</v>
      </c>
      <c r="E14" s="90" t="s">
        <v>64</v>
      </c>
      <c r="F14" s="54">
        <v>520000000</v>
      </c>
      <c r="G14" s="103">
        <v>-2114195091</v>
      </c>
      <c r="H14" s="100">
        <v>-469117</v>
      </c>
      <c r="I14" s="15"/>
      <c r="J14" s="98">
        <v>1914662737</v>
      </c>
      <c r="K14" s="15"/>
      <c r="L14" s="15"/>
      <c r="M14" s="15"/>
      <c r="N14" s="15"/>
      <c r="O14" s="15">
        <f t="shared" si="0"/>
        <v>319998529</v>
      </c>
      <c r="V14" s="25"/>
      <c r="W14" s="1"/>
    </row>
    <row r="15" spans="1:23" ht="42.75">
      <c r="A15" s="92" t="s">
        <v>24</v>
      </c>
      <c r="B15" s="87" t="s">
        <v>45</v>
      </c>
      <c r="C15" s="88">
        <v>900</v>
      </c>
      <c r="D15" s="89">
        <v>1</v>
      </c>
      <c r="E15" s="90" t="s">
        <v>65</v>
      </c>
      <c r="F15" s="54">
        <v>700000000</v>
      </c>
      <c r="G15" s="103">
        <v>-1435581568</v>
      </c>
      <c r="H15" s="81">
        <v>0</v>
      </c>
      <c r="I15" s="15"/>
      <c r="J15" s="98">
        <v>900000000</v>
      </c>
      <c r="K15" s="15"/>
      <c r="L15" s="15"/>
      <c r="M15" s="15"/>
      <c r="N15" s="15"/>
      <c r="O15" s="15">
        <f t="shared" si="0"/>
        <v>164418432</v>
      </c>
      <c r="V15" s="25"/>
      <c r="W15" s="1"/>
    </row>
    <row r="16" spans="1:23" ht="53.25">
      <c r="A16" s="92" t="s">
        <v>24</v>
      </c>
      <c r="B16" s="87" t="s">
        <v>46</v>
      </c>
      <c r="C16" s="88">
        <v>900</v>
      </c>
      <c r="D16" s="89">
        <v>1</v>
      </c>
      <c r="E16" s="91" t="s">
        <v>66</v>
      </c>
      <c r="F16" s="54">
        <f>+'[1]Gastos 2016'!$B$16</f>
        <v>250000000</v>
      </c>
      <c r="G16" s="54">
        <v>-573306</v>
      </c>
      <c r="H16" s="81">
        <v>-141124746</v>
      </c>
      <c r="I16" s="15"/>
      <c r="J16" s="15"/>
      <c r="K16" s="15"/>
      <c r="L16" s="15"/>
      <c r="M16" s="15"/>
      <c r="N16" s="15"/>
      <c r="O16" s="15">
        <f t="shared" si="0"/>
        <v>108301948</v>
      </c>
      <c r="V16" s="25"/>
      <c r="W16" s="1"/>
    </row>
    <row r="17" spans="1:23" ht="32.25">
      <c r="A17" s="92" t="s">
        <v>24</v>
      </c>
      <c r="B17" s="87" t="s">
        <v>46</v>
      </c>
      <c r="C17" s="88">
        <v>900</v>
      </c>
      <c r="D17" s="89">
        <v>2</v>
      </c>
      <c r="E17" s="91" t="s">
        <v>67</v>
      </c>
      <c r="F17" s="54">
        <v>200000000</v>
      </c>
      <c r="G17" s="54">
        <v>-3856237256</v>
      </c>
      <c r="H17" s="81">
        <v>-1050578</v>
      </c>
      <c r="I17" s="15"/>
      <c r="J17" s="98">
        <v>3728574777</v>
      </c>
      <c r="K17" s="15">
        <v>771935666</v>
      </c>
      <c r="L17" s="15"/>
      <c r="M17" s="15"/>
      <c r="N17" s="15"/>
      <c r="O17" s="15">
        <f t="shared" si="0"/>
        <v>843222609</v>
      </c>
      <c r="V17" s="25"/>
      <c r="W17" s="1"/>
    </row>
    <row r="18" spans="1:23" ht="21.75">
      <c r="A18" s="92"/>
      <c r="B18" s="87"/>
      <c r="C18" s="88"/>
      <c r="D18" s="89"/>
      <c r="E18" s="91" t="s">
        <v>97</v>
      </c>
      <c r="F18" s="54">
        <f aca="true" t="shared" si="2" ref="F18:O18">SUM(F4:F17)</f>
        <v>14570332312</v>
      </c>
      <c r="G18" s="54">
        <f t="shared" si="2"/>
        <v>-11012270523</v>
      </c>
      <c r="H18" s="54">
        <f t="shared" si="2"/>
        <v>-13532513454</v>
      </c>
      <c r="I18" s="54">
        <f t="shared" si="2"/>
        <v>-518682</v>
      </c>
      <c r="J18" s="54">
        <f t="shared" si="2"/>
        <v>13112240595</v>
      </c>
      <c r="K18" s="54">
        <f t="shared" si="2"/>
        <v>771935666</v>
      </c>
      <c r="L18" s="54">
        <f t="shared" si="2"/>
        <v>0</v>
      </c>
      <c r="M18" s="54">
        <f t="shared" si="2"/>
        <v>0</v>
      </c>
      <c r="N18" s="54">
        <f t="shared" si="2"/>
        <v>0</v>
      </c>
      <c r="O18" s="54">
        <f t="shared" si="2"/>
        <v>3909205914</v>
      </c>
      <c r="V18" s="25"/>
      <c r="W18" s="1"/>
    </row>
    <row r="19" spans="1:23" ht="12.75">
      <c r="A19" s="92"/>
      <c r="B19" s="87"/>
      <c r="C19" s="88"/>
      <c r="D19" s="89"/>
      <c r="E19" s="91"/>
      <c r="F19" s="54"/>
      <c r="G19" s="54"/>
      <c r="H19" s="24"/>
      <c r="I19" s="15"/>
      <c r="J19" s="15"/>
      <c r="K19" s="15"/>
      <c r="L19" s="15"/>
      <c r="M19" s="15"/>
      <c r="N19" s="15"/>
      <c r="O19" s="15">
        <f aca="true" t="shared" si="3" ref="O19:O33">SUM(F19:N19)</f>
        <v>0</v>
      </c>
      <c r="V19" s="25"/>
      <c r="W19" s="1"/>
    </row>
    <row r="20" spans="1:22" ht="22.5">
      <c r="A20" s="92"/>
      <c r="B20" s="87"/>
      <c r="C20" s="88"/>
      <c r="D20" s="89"/>
      <c r="E20" s="95" t="s">
        <v>93</v>
      </c>
      <c r="F20" s="96" t="s">
        <v>1</v>
      </c>
      <c r="G20" s="96" t="s">
        <v>1</v>
      </c>
      <c r="H20" s="96" t="s">
        <v>1</v>
      </c>
      <c r="I20" s="16" t="s">
        <v>1</v>
      </c>
      <c r="J20" s="15"/>
      <c r="K20" s="15"/>
      <c r="L20" s="15"/>
      <c r="M20" s="15"/>
      <c r="N20" s="15"/>
      <c r="O20" s="15">
        <f t="shared" si="3"/>
        <v>0</v>
      </c>
      <c r="V20" s="25"/>
    </row>
    <row r="21" spans="1:15" ht="33.75">
      <c r="A21" s="92" t="s">
        <v>24</v>
      </c>
      <c r="B21" s="87" t="s">
        <v>41</v>
      </c>
      <c r="C21" s="88">
        <v>1</v>
      </c>
      <c r="D21" s="89"/>
      <c r="E21" s="97" t="s">
        <v>83</v>
      </c>
      <c r="F21" s="54">
        <v>0</v>
      </c>
      <c r="G21" s="54">
        <v>0</v>
      </c>
      <c r="H21" s="24">
        <v>0</v>
      </c>
      <c r="I21" s="15">
        <v>-452579556</v>
      </c>
      <c r="J21" s="15"/>
      <c r="K21" s="15"/>
      <c r="L21" s="98">
        <v>4670486343</v>
      </c>
      <c r="M21" s="98">
        <v>350000000</v>
      </c>
      <c r="N21" s="15"/>
      <c r="O21" s="15">
        <f t="shared" si="3"/>
        <v>4567906787</v>
      </c>
    </row>
    <row r="22" spans="1:15" ht="22.5">
      <c r="A22" s="92" t="s">
        <v>24</v>
      </c>
      <c r="B22" s="87" t="s">
        <v>41</v>
      </c>
      <c r="C22" s="88">
        <v>2</v>
      </c>
      <c r="D22" s="89"/>
      <c r="E22" s="97" t="s">
        <v>84</v>
      </c>
      <c r="F22" s="54">
        <v>0</v>
      </c>
      <c r="G22" s="54">
        <v>0</v>
      </c>
      <c r="H22" s="24">
        <v>0</v>
      </c>
      <c r="I22" s="15"/>
      <c r="J22" s="15"/>
      <c r="K22" s="15"/>
      <c r="L22" s="98">
        <v>5138984266</v>
      </c>
      <c r="M22" s="98">
        <v>39000000</v>
      </c>
      <c r="N22" s="15"/>
      <c r="O22" s="15">
        <f t="shared" si="3"/>
        <v>5177984266</v>
      </c>
    </row>
    <row r="23" spans="1:15" ht="22.5">
      <c r="A23" s="92" t="s">
        <v>24</v>
      </c>
      <c r="B23" s="87" t="s">
        <v>41</v>
      </c>
      <c r="C23" s="88">
        <v>3</v>
      </c>
      <c r="D23" s="89"/>
      <c r="E23" s="97" t="s">
        <v>85</v>
      </c>
      <c r="F23" s="54">
        <v>0</v>
      </c>
      <c r="G23" s="54">
        <v>0</v>
      </c>
      <c r="H23" s="24">
        <v>0</v>
      </c>
      <c r="I23" s="15"/>
      <c r="J23" s="15"/>
      <c r="K23" s="15"/>
      <c r="L23" s="98">
        <v>1877233369</v>
      </c>
      <c r="M23" s="15"/>
      <c r="N23" s="15"/>
      <c r="O23" s="15">
        <f t="shared" si="3"/>
        <v>1877233369</v>
      </c>
    </row>
    <row r="24" spans="1:15" ht="45">
      <c r="A24" s="92" t="s">
        <v>24</v>
      </c>
      <c r="B24" s="87" t="s">
        <v>42</v>
      </c>
      <c r="C24" s="88">
        <v>1</v>
      </c>
      <c r="D24" s="89"/>
      <c r="E24" s="97" t="s">
        <v>86</v>
      </c>
      <c r="F24" s="54">
        <v>0</v>
      </c>
      <c r="G24" s="54">
        <v>0</v>
      </c>
      <c r="H24" s="24">
        <v>0</v>
      </c>
      <c r="I24" s="15">
        <v>0</v>
      </c>
      <c r="J24" s="15"/>
      <c r="K24" s="15"/>
      <c r="L24" s="98">
        <v>97010786</v>
      </c>
      <c r="M24" s="98">
        <v>128863196</v>
      </c>
      <c r="N24" s="98">
        <v>2572702</v>
      </c>
      <c r="O24" s="15">
        <f t="shared" si="3"/>
        <v>228446684</v>
      </c>
    </row>
    <row r="25" spans="1:15" ht="56.25">
      <c r="A25" s="92" t="s">
        <v>24</v>
      </c>
      <c r="B25" s="87" t="s">
        <v>42</v>
      </c>
      <c r="C25" s="88">
        <v>2</v>
      </c>
      <c r="D25" s="89"/>
      <c r="E25" s="97" t="s">
        <v>87</v>
      </c>
      <c r="F25" s="54">
        <v>0</v>
      </c>
      <c r="G25" s="54">
        <v>0</v>
      </c>
      <c r="H25" s="24">
        <v>0</v>
      </c>
      <c r="I25" s="15">
        <v>0</v>
      </c>
      <c r="J25" s="15"/>
      <c r="K25" s="15"/>
      <c r="L25" s="98">
        <v>960739105</v>
      </c>
      <c r="M25" s="98">
        <v>188668770</v>
      </c>
      <c r="N25" s="98">
        <v>23894914</v>
      </c>
      <c r="O25" s="15">
        <f t="shared" si="3"/>
        <v>1173302789</v>
      </c>
    </row>
    <row r="26" spans="1:15" ht="22.5">
      <c r="A26" s="92" t="s">
        <v>24</v>
      </c>
      <c r="B26" s="87" t="s">
        <v>43</v>
      </c>
      <c r="C26" s="88">
        <v>1</v>
      </c>
      <c r="D26" s="89"/>
      <c r="E26" s="97" t="s">
        <v>88</v>
      </c>
      <c r="F26" s="54">
        <v>0</v>
      </c>
      <c r="G26" s="84">
        <v>0</v>
      </c>
      <c r="H26" s="24">
        <v>0</v>
      </c>
      <c r="I26" s="15"/>
      <c r="J26" s="98">
        <v>749092163</v>
      </c>
      <c r="K26" s="15"/>
      <c r="L26" s="98">
        <v>4539266111</v>
      </c>
      <c r="M26" s="98">
        <v>2142566</v>
      </c>
      <c r="N26" s="98">
        <v>19369367</v>
      </c>
      <c r="O26" s="15">
        <f t="shared" si="3"/>
        <v>5309870207</v>
      </c>
    </row>
    <row r="27" spans="1:15" ht="33.75">
      <c r="A27" s="92" t="s">
        <v>24</v>
      </c>
      <c r="B27" s="87" t="s">
        <v>43</v>
      </c>
      <c r="C27" s="88">
        <v>2</v>
      </c>
      <c r="D27" s="89"/>
      <c r="E27" s="97" t="s">
        <v>89</v>
      </c>
      <c r="F27" s="54">
        <v>0</v>
      </c>
      <c r="G27" s="54">
        <v>-19369367</v>
      </c>
      <c r="H27" s="24">
        <v>0</v>
      </c>
      <c r="I27" s="15"/>
      <c r="J27" s="15"/>
      <c r="K27" s="15"/>
      <c r="L27" s="98">
        <v>166163600</v>
      </c>
      <c r="M27" s="98"/>
      <c r="N27" s="98"/>
      <c r="O27" s="15">
        <f t="shared" si="3"/>
        <v>146794233</v>
      </c>
    </row>
    <row r="28" spans="1:15" ht="22.5">
      <c r="A28" s="92" t="s">
        <v>24</v>
      </c>
      <c r="B28" s="87" t="s">
        <v>44</v>
      </c>
      <c r="C28" s="88">
        <v>1</v>
      </c>
      <c r="D28" s="89"/>
      <c r="E28" s="97" t="s">
        <v>90</v>
      </c>
      <c r="F28" s="54">
        <v>0</v>
      </c>
      <c r="G28" s="54">
        <v>0</v>
      </c>
      <c r="H28" s="24">
        <f>+F28+G28</f>
        <v>0</v>
      </c>
      <c r="I28" s="15"/>
      <c r="J28" s="15"/>
      <c r="K28" s="15"/>
      <c r="L28" s="98">
        <v>5190697</v>
      </c>
      <c r="M28" s="98">
        <v>963947415</v>
      </c>
      <c r="N28" s="98"/>
      <c r="O28" s="15">
        <f t="shared" si="3"/>
        <v>969138112</v>
      </c>
    </row>
    <row r="29" spans="1:15" ht="22.5">
      <c r="A29" s="92" t="s">
        <v>24</v>
      </c>
      <c r="B29" s="87" t="s">
        <v>45</v>
      </c>
      <c r="C29" s="88">
        <v>1</v>
      </c>
      <c r="D29" s="89"/>
      <c r="E29" s="97" t="s">
        <v>91</v>
      </c>
      <c r="F29" s="54">
        <v>0</v>
      </c>
      <c r="G29" s="54">
        <v>0</v>
      </c>
      <c r="H29" s="24">
        <v>0</v>
      </c>
      <c r="I29" s="15"/>
      <c r="J29" s="15"/>
      <c r="K29" s="15"/>
      <c r="L29" s="98">
        <v>4610085</v>
      </c>
      <c r="M29" s="98">
        <v>363504437</v>
      </c>
      <c r="N29" s="15"/>
      <c r="O29" s="15">
        <f t="shared" si="3"/>
        <v>368114522</v>
      </c>
    </row>
    <row r="30" spans="1:15" ht="22.5">
      <c r="A30" s="92" t="s">
        <v>24</v>
      </c>
      <c r="B30" s="87" t="s">
        <v>45</v>
      </c>
      <c r="C30" s="88">
        <v>2</v>
      </c>
      <c r="D30" s="89"/>
      <c r="E30" s="97" t="s">
        <v>95</v>
      </c>
      <c r="F30" s="54">
        <v>0</v>
      </c>
      <c r="G30" s="54">
        <v>-350000000</v>
      </c>
      <c r="H30" s="24">
        <v>0</v>
      </c>
      <c r="I30" s="15"/>
      <c r="J30" s="15"/>
      <c r="K30" s="15"/>
      <c r="L30" s="98">
        <v>2134602968</v>
      </c>
      <c r="M30" s="98">
        <v>2855109</v>
      </c>
      <c r="N30" s="15"/>
      <c r="O30" s="15">
        <f t="shared" si="3"/>
        <v>1787458077</v>
      </c>
    </row>
    <row r="31" spans="1:15" ht="22.5">
      <c r="A31" s="92" t="s">
        <v>24</v>
      </c>
      <c r="B31" s="87" t="s">
        <v>46</v>
      </c>
      <c r="C31" s="88">
        <v>1</v>
      </c>
      <c r="D31" s="89"/>
      <c r="E31" s="97" t="s">
        <v>92</v>
      </c>
      <c r="F31" s="54">
        <v>0</v>
      </c>
      <c r="G31" s="54">
        <v>0</v>
      </c>
      <c r="H31" s="24">
        <v>0</v>
      </c>
      <c r="I31" s="15"/>
      <c r="J31" s="15"/>
      <c r="K31" s="15"/>
      <c r="L31" s="99">
        <v>469117</v>
      </c>
      <c r="M31" s="98">
        <v>127900000</v>
      </c>
      <c r="N31" s="98">
        <v>2114195091</v>
      </c>
      <c r="O31" s="15">
        <f t="shared" si="3"/>
        <v>2242564208</v>
      </c>
    </row>
    <row r="32" spans="1:15" ht="22.5">
      <c r="A32" s="92" t="s">
        <v>24</v>
      </c>
      <c r="B32" s="87" t="s">
        <v>46</v>
      </c>
      <c r="C32" s="88">
        <v>2</v>
      </c>
      <c r="D32" s="89"/>
      <c r="E32" s="97" t="s">
        <v>94</v>
      </c>
      <c r="F32" s="54">
        <v>0</v>
      </c>
      <c r="G32" s="54">
        <v>0</v>
      </c>
      <c r="H32" s="24">
        <v>0</v>
      </c>
      <c r="I32" s="15"/>
      <c r="J32" s="15"/>
      <c r="K32" s="15"/>
      <c r="L32" s="98">
        <v>1445581568</v>
      </c>
      <c r="M32" s="15"/>
      <c r="N32" s="15"/>
      <c r="O32" s="15">
        <f t="shared" si="3"/>
        <v>1445581568</v>
      </c>
    </row>
    <row r="33" spans="1:15" ht="12.75">
      <c r="A33" s="92"/>
      <c r="B33" s="87"/>
      <c r="C33" s="88"/>
      <c r="D33" s="89"/>
      <c r="E33" s="91"/>
      <c r="F33" s="54"/>
      <c r="G33" s="54"/>
      <c r="H33" s="24"/>
      <c r="I33" s="15"/>
      <c r="J33" s="15"/>
      <c r="K33" s="15"/>
      <c r="L33" s="15"/>
      <c r="M33" s="15"/>
      <c r="N33" s="15"/>
      <c r="O33" s="15">
        <f t="shared" si="3"/>
        <v>0</v>
      </c>
    </row>
    <row r="34" spans="1:15" ht="21.75">
      <c r="A34" s="92"/>
      <c r="B34" s="87"/>
      <c r="C34" s="88"/>
      <c r="D34" s="89"/>
      <c r="E34" s="91" t="s">
        <v>96</v>
      </c>
      <c r="F34" s="54">
        <f>SUM(F21:F33)</f>
        <v>0</v>
      </c>
      <c r="G34" s="54">
        <f aca="true" t="shared" si="4" ref="G34:O34">SUM(G21:G33)</f>
        <v>-369369367</v>
      </c>
      <c r="H34" s="54">
        <f t="shared" si="4"/>
        <v>0</v>
      </c>
      <c r="I34" s="54">
        <f t="shared" si="4"/>
        <v>-452579556</v>
      </c>
      <c r="J34" s="54">
        <f t="shared" si="4"/>
        <v>749092163</v>
      </c>
      <c r="K34" s="54">
        <f t="shared" si="4"/>
        <v>0</v>
      </c>
      <c r="L34" s="54">
        <f t="shared" si="4"/>
        <v>21040338015</v>
      </c>
      <c r="M34" s="54">
        <f t="shared" si="4"/>
        <v>2166881493</v>
      </c>
      <c r="N34" s="54">
        <f t="shared" si="4"/>
        <v>2160032074</v>
      </c>
      <c r="O34" s="54">
        <f t="shared" si="4"/>
        <v>25294394822</v>
      </c>
    </row>
    <row r="35" spans="1:15" ht="12.75">
      <c r="A35" s="92" t="s">
        <v>1</v>
      </c>
      <c r="B35" s="87"/>
      <c r="C35" s="88"/>
      <c r="D35" s="89"/>
      <c r="E35" s="59"/>
      <c r="F35" s="54"/>
      <c r="G35" s="54" t="s">
        <v>1</v>
      </c>
      <c r="H35" s="24" t="s">
        <v>1</v>
      </c>
      <c r="I35" s="15"/>
      <c r="J35" s="15"/>
      <c r="K35" s="15"/>
      <c r="L35" s="15"/>
      <c r="M35" s="15"/>
      <c r="N35" s="15"/>
      <c r="O35" s="15">
        <f>SUM(F35:N35)</f>
        <v>0</v>
      </c>
    </row>
    <row r="36" spans="1:15" ht="13.5" thickBot="1">
      <c r="A36" s="93"/>
      <c r="B36" s="87"/>
      <c r="C36" s="88"/>
      <c r="D36" s="89"/>
      <c r="E36" s="59" t="s">
        <v>69</v>
      </c>
      <c r="F36" s="54">
        <f>+F18+F34</f>
        <v>14570332312</v>
      </c>
      <c r="G36" s="54">
        <f aca="true" t="shared" si="5" ref="G36:O36">+G18+G34</f>
        <v>-11381639890</v>
      </c>
      <c r="H36" s="54">
        <f t="shared" si="5"/>
        <v>-13532513454</v>
      </c>
      <c r="I36" s="54">
        <f t="shared" si="5"/>
        <v>-453098238</v>
      </c>
      <c r="J36" s="54">
        <f t="shared" si="5"/>
        <v>13861332758</v>
      </c>
      <c r="K36" s="54">
        <f t="shared" si="5"/>
        <v>771935666</v>
      </c>
      <c r="L36" s="54">
        <f t="shared" si="5"/>
        <v>21040338015</v>
      </c>
      <c r="M36" s="54">
        <f t="shared" si="5"/>
        <v>2166881493</v>
      </c>
      <c r="N36" s="54">
        <f t="shared" si="5"/>
        <v>2160032074</v>
      </c>
      <c r="O36" s="54">
        <f t="shared" si="5"/>
        <v>29203600736</v>
      </c>
    </row>
    <row r="37" spans="1:15" ht="12.75">
      <c r="A37" s="56"/>
      <c r="B37" s="12"/>
      <c r="C37" s="12"/>
      <c r="D37" s="12"/>
      <c r="E37" s="12"/>
      <c r="F37" s="11">
        <f>+F36</f>
        <v>14570332312</v>
      </c>
      <c r="G37" s="11">
        <f>+G36+H36+I36</f>
        <v>-25367251582</v>
      </c>
      <c r="H37" s="12"/>
      <c r="I37" s="15"/>
      <c r="J37" s="15">
        <f>+J36+K36</f>
        <v>14633268424</v>
      </c>
      <c r="K37" s="15"/>
      <c r="L37" s="15">
        <f>+L36+M36+N36</f>
        <v>25367251582</v>
      </c>
      <c r="M37" s="15"/>
      <c r="N37" s="15"/>
      <c r="O37" s="15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2019-01-22T00:12:29Z</cp:lastPrinted>
  <dcterms:created xsi:type="dcterms:W3CDTF">2007-01-13T18:42:48Z</dcterms:created>
  <dcterms:modified xsi:type="dcterms:W3CDTF">2019-11-12T16:07:28Z</dcterms:modified>
  <cp:category/>
  <cp:version/>
  <cp:contentType/>
  <cp:contentStatus/>
</cp:coreProperties>
</file>