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3">'INVERSION'!$A$1:$J$22</definedName>
  </definedNames>
  <calcPr fullCalcOnLoad="1"/>
</workbook>
</file>

<file path=xl/sharedStrings.xml><?xml version="1.0" encoding="utf-8"?>
<sst xmlns="http://schemas.openxmlformats.org/spreadsheetml/2006/main" count="452" uniqueCount="171">
  <si>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</si>
  <si>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</si>
  <si>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</si>
  <si>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</si>
  <si>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</si>
  <si>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</si>
  <si>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</si>
  <si>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</si>
  <si>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</si>
  <si>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</si>
  <si>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</si>
  <si>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</si>
  <si>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</si>
  <si>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</si>
  <si>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</si>
  <si>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</si>
  <si>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</si>
  <si>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</si>
  <si>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</si>
  <si>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</si>
  <si>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</si>
  <si>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</si>
  <si>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</si>
  <si>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</si>
  <si>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</si>
  <si>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</si>
  <si>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</si>
  <si>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</si>
  <si>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</si>
  <si>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</si>
  <si>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</si>
  <si>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</si>
  <si>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</si>
  <si>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</si>
  <si>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</si>
  <si>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</si>
  <si>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</si>
  <si>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</si>
  <si>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</si>
  <si>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</si>
  <si>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</si>
  <si>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</si>
  <si>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</si>
  <si>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</si>
  <si>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</si>
  <si>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</si>
  <si>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</si>
  <si>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</si>
  <si>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</si>
  <si>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</si>
  <si>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</si>
  <si>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</si>
  <si>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</si>
  <si>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</si>
  <si>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</si>
  <si>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</si>
  <si>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</si>
  <si>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</si>
  <si>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</si>
  <si>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</si>
  <si>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</si>
  <si>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</si>
  <si>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</si>
  <si>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</si>
  <si>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</si>
  <si>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</si>
  <si>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</si>
  <si>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</si>
  <si>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</si>
  <si>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</si>
  <si>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</si>
  <si>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</si>
  <si>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</si>
  <si>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</si>
  <si>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</si>
  <si>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</si>
  <si>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</si>
  <si>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</si>
  <si>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</si>
  <si>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</si>
  <si>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</si>
  <si>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</si>
  <si>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</si>
  <si>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</si>
  <si>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</si>
  <si>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</si>
  <si>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</si>
  <si>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</si>
  <si>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</si>
  <si>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</si>
  <si>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</si>
  <si>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</si>
  <si>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</si>
  <si>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</si>
  <si>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</si>
  <si>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</si>
  <si>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</si>
  <si>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</si>
  <si>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</si>
  <si>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</si>
  <si>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</si>
  <si>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</si>
  <si>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</si>
  <si>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</si>
  <si>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</si>
  <si>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</si>
  <si>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</si>
  <si>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</si>
  <si>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</si>
  <si>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</si>
  <si>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</si>
  <si>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</si>
  <si>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</si>
  <si>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</si>
  <si>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</si>
  <si>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</si>
  <si>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</si>
  <si>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</si>
  <si>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</si>
  <si>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</si>
  <si>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</si>
  <si>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</si>
  <si>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</si>
  <si>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</si>
  <si>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</si>
  <si>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</si>
  <si>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</si>
  <si>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</si>
  <si>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</si>
  <si>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</si>
  <si>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</si>
  <si>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</si>
  <si>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</si>
  <si>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</si>
  <si>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</si>
  <si>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</si>
  <si>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</si>
  <si>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</si>
  <si>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</si>
  <si>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</si>
  <si>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</si>
  <si>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</si>
  <si>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</si>
  <si>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</si>
  <si>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</si>
  <si>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</si>
  <si>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</si>
  <si>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</si>
  <si>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</si>
  <si>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</si>
  <si>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</si>
  <si>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</si>
  <si>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</si>
  <si>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</si>
  <si>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</si>
  <si>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</si>
  <si>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</si>
  <si>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</si>
  <si>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</si>
  <si>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</si>
  <si>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03-03-900-01 Crecimiento Verde de Sectores Productivos-vigencias expiradas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</si>
  <si>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</si>
  <si>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</si>
  <si>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</si>
  <si>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</si>
  <si>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</si>
  <si>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</si>
  <si>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EJECUCION PRESUPUESTAL A DICIEMBRE 31 DE  2017</t>
  </si>
  <si>
    <t>EJECUCION PRESUPUESTAL GASTOS DE INVERSION RECURSOS PROPIOS A DICIEMBRE 31 DE 2017</t>
  </si>
  <si>
    <t>EJECUCION PRESUPUESTAL GASTOS DE INVERSION RECURSOS NACION  A DICIEMBRE 31 DE 2017</t>
  </si>
  <si>
    <t>05-05-900-03 Gestion d eRiesgo de Desastres-vigencias expiradas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</si>
</sst>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190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28" xfId="0" applyNumberFormat="1" applyFill="1" applyBorder="1" applyAlignment="1">
      <alignment horizontal="center" vertical="center"/>
    </xf>
    <xf numFmtId="190" fontId="27" fillId="0" borderId="29" xfId="55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7\ejeuciones\DICIEMBRE\EJECUCION%20PRESUPUESTALDEINGRESOSDICIEMBRE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2">
          <cell r="F32">
            <v>36247587156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6"/>
  <sheetViews>
    <sheetView tabSelected="1" zoomScalePageLayoutView="0" workbookViewId="0" topLeftCell="A1">
      <selection activeCell="G64" sqref="G64:H74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9" customWidth="1"/>
    <col min="9" max="9" width="19.7109375" style="5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2" width="18.8515625" style="0" customWidth="1"/>
    <col min="23" max="23" width="0" style="0" hidden="1" customWidth="1"/>
    <col min="24" max="24" width="18.57421875" style="0" customWidth="1"/>
  </cols>
  <sheetData>
    <row r="1" spans="1:51" ht="12.7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51" ht="12.75">
      <c r="A2" s="145" t="s">
        <v>167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</row>
    <row r="3" spans="1:51" ht="12.75">
      <c r="A3" s="145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ht="12.75">
      <c r="A4" s="2"/>
      <c r="B4" s="2"/>
      <c r="C4" s="2"/>
      <c r="D4" s="2"/>
      <c r="E4" s="2"/>
      <c r="F4" s="2"/>
      <c r="G4" s="2"/>
      <c r="H4" s="12"/>
      <c r="I4" s="12"/>
      <c r="J4" s="2"/>
      <c r="K4" s="2"/>
      <c r="L4" s="2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</row>
    <row r="5" spans="1:51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0" t="s">
        <v>3</v>
      </c>
      <c r="J5" s="86" t="s">
        <v>76</v>
      </c>
      <c r="K5" s="86" t="s">
        <v>35</v>
      </c>
      <c r="L5" s="14" t="s">
        <v>36</v>
      </c>
      <c r="M5" s="27" t="s">
        <v>47</v>
      </c>
      <c r="N5" s="75" t="s">
        <v>77</v>
      </c>
      <c r="O5" s="2"/>
      <c r="P5" s="2"/>
      <c r="Q5" s="2"/>
      <c r="R5" s="2"/>
      <c r="S5" s="18" t="s">
        <v>76</v>
      </c>
      <c r="T5" s="18" t="s">
        <v>35</v>
      </c>
      <c r="U5" s="18" t="s">
        <v>86</v>
      </c>
      <c r="V5" s="18" t="s">
        <v>79</v>
      </c>
      <c r="W5" s="18"/>
      <c r="X5" s="18" t="s">
        <v>74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0" t="s">
        <v>5</v>
      </c>
      <c r="J6" s="10" t="s">
        <v>1</v>
      </c>
      <c r="K6" s="26"/>
      <c r="L6" s="14" t="s">
        <v>40</v>
      </c>
      <c r="M6" s="76" t="s">
        <v>76</v>
      </c>
      <c r="N6" s="75" t="s">
        <v>35</v>
      </c>
      <c r="O6" s="2"/>
      <c r="P6" s="2"/>
      <c r="Q6" s="2"/>
      <c r="R6" s="2"/>
      <c r="S6" s="2"/>
      <c r="T6" s="18"/>
      <c r="U6" s="18"/>
      <c r="V6" s="18" t="s">
        <v>80</v>
      </c>
      <c r="W6" s="18"/>
      <c r="X6" s="18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27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2"/>
      <c r="U7" s="2"/>
      <c r="V7" s="2"/>
      <c r="W7" s="2"/>
      <c r="X7" s="2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</row>
    <row r="8" spans="1:51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9" t="s">
        <v>26</v>
      </c>
      <c r="J8" s="19" t="s">
        <v>1</v>
      </c>
      <c r="K8" s="19" t="s">
        <v>1</v>
      </c>
      <c r="L8" s="87"/>
      <c r="M8" s="28"/>
      <c r="N8" s="28"/>
      <c r="O8" s="2"/>
      <c r="P8" s="2"/>
      <c r="Q8" s="2"/>
      <c r="R8" s="2"/>
      <c r="S8" s="2"/>
      <c r="T8" s="9" t="s">
        <v>1</v>
      </c>
      <c r="U8" s="9"/>
      <c r="V8" s="2"/>
      <c r="W8" s="2"/>
      <c r="X8" s="2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5900093948</v>
      </c>
      <c r="H9" s="13">
        <f>SUM(H10+H23+H27)</f>
        <v>406720636</v>
      </c>
      <c r="I9" s="19">
        <f>+G9+H9</f>
        <v>6306814584</v>
      </c>
      <c r="J9" s="20">
        <f>SUM(J10+J23+J27)</f>
        <v>2514035997</v>
      </c>
      <c r="K9" s="20">
        <f>SUM(K10+K23+K27)</f>
        <v>2514035997</v>
      </c>
      <c r="L9" s="87">
        <f aca="true" t="shared" si="0" ref="L9:L31">+I9-J9</f>
        <v>3792778587</v>
      </c>
      <c r="M9" s="28">
        <f aca="true" t="shared" si="1" ref="M9:M31">+J9/I9*100</f>
        <v>39.86221512485803</v>
      </c>
      <c r="N9" s="28">
        <f>+K9/I9*100</f>
        <v>39.86221512485803</v>
      </c>
      <c r="O9" s="2"/>
      <c r="P9" s="2"/>
      <c r="Q9" s="2"/>
      <c r="R9" s="2"/>
      <c r="S9" s="4">
        <f>SUM(S10+S23+S27)</f>
        <v>3228996405</v>
      </c>
      <c r="T9" s="4">
        <f>SUM(T10+T23+T27)</f>
        <v>5632915302</v>
      </c>
      <c r="U9" s="4">
        <f>SUM(U10+U23+U27)</f>
        <v>4565713582</v>
      </c>
      <c r="V9" s="32">
        <f aca="true" t="shared" si="2" ref="V9:V31">+I9-T9</f>
        <v>673899282</v>
      </c>
      <c r="W9" s="2"/>
      <c r="X9" s="28">
        <f aca="true" t="shared" si="3" ref="X9:X14">+T9/I9*100</f>
        <v>89.31474402768013</v>
      </c>
      <c r="Y9" s="34" t="s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2288497053</v>
      </c>
      <c r="H10" s="13">
        <f>SUM(H11+H18+H19+H20+H21+H22)</f>
        <v>75000000</v>
      </c>
      <c r="I10" s="19">
        <f>+G10+H10</f>
        <v>2363497053</v>
      </c>
      <c r="J10" s="20">
        <f>SUM(J11+J18+J19+J20+J21+J22)</f>
        <v>874418338</v>
      </c>
      <c r="K10" s="20">
        <f>SUM(K11+K18+K19+K20+K21+K22)</f>
        <v>874418338</v>
      </c>
      <c r="L10" s="87">
        <f t="shared" si="0"/>
        <v>1489078715</v>
      </c>
      <c r="M10" s="28">
        <f t="shared" si="1"/>
        <v>36.996802551122116</v>
      </c>
      <c r="N10" s="28">
        <f aca="true" t="shared" si="4" ref="N10:N31">+K10/I10*100</f>
        <v>36.996802551122116</v>
      </c>
      <c r="O10" s="2"/>
      <c r="P10" s="2"/>
      <c r="Q10" s="2"/>
      <c r="R10" s="2"/>
      <c r="S10" s="4">
        <f>SUM(S11+S18+S19+S20+S21+S22)</f>
        <v>1282797323</v>
      </c>
      <c r="T10" s="4">
        <f>SUM(T11+T18+T19+T20+T21+T22)</f>
        <v>2131038208</v>
      </c>
      <c r="U10" s="4">
        <f>SUM(U11+U18+U19+U20+U21+U22)</f>
        <v>1648073175</v>
      </c>
      <c r="V10" s="32">
        <f t="shared" si="2"/>
        <v>232458845</v>
      </c>
      <c r="W10" s="2"/>
      <c r="X10" s="28">
        <f t="shared" si="3"/>
        <v>90.16462302311997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1075024899</v>
      </c>
      <c r="H11" s="4">
        <f>SUM(H12:H17)</f>
        <v>15719804</v>
      </c>
      <c r="I11" s="19">
        <f aca="true" t="shared" si="5" ref="I11:I31">+G11+H11</f>
        <v>1090744703</v>
      </c>
      <c r="J11" s="20">
        <f>SUM(J12:J17)</f>
        <v>463627287</v>
      </c>
      <c r="K11" s="20">
        <f>SUM(K12:K17)</f>
        <v>463627287</v>
      </c>
      <c r="L11" s="87">
        <f t="shared" si="0"/>
        <v>627117416</v>
      </c>
      <c r="M11" s="28">
        <f t="shared" si="1"/>
        <v>42.5055730937618</v>
      </c>
      <c r="N11" s="28">
        <f t="shared" si="4"/>
        <v>42.5055730937618</v>
      </c>
      <c r="O11" s="2"/>
      <c r="P11" s="2"/>
      <c r="Q11" s="2"/>
      <c r="R11" s="2"/>
      <c r="S11" s="4">
        <f>SUM(S12:S17)</f>
        <v>462143059</v>
      </c>
      <c r="T11" s="4">
        <f>SUM(T12:T17)</f>
        <v>1057084186</v>
      </c>
      <c r="U11" s="4">
        <f>SUM(U12:U17)</f>
        <v>906760616</v>
      </c>
      <c r="V11" s="32">
        <f t="shared" si="2"/>
        <v>33660517</v>
      </c>
      <c r="W11" s="2"/>
      <c r="X11" s="28">
        <f t="shared" si="3"/>
        <v>96.913987580465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620391695</v>
      </c>
      <c r="H12" s="13">
        <v>27000000</v>
      </c>
      <c r="I12" s="19">
        <f t="shared" si="5"/>
        <v>647391695</v>
      </c>
      <c r="J12" s="20">
        <v>280609080</v>
      </c>
      <c r="K12" s="20">
        <v>280609080</v>
      </c>
      <c r="L12" s="87">
        <f t="shared" si="0"/>
        <v>366782615</v>
      </c>
      <c r="M12" s="28">
        <f t="shared" si="1"/>
        <v>43.34455974137882</v>
      </c>
      <c r="N12" s="28">
        <f t="shared" si="4"/>
        <v>43.34455974137882</v>
      </c>
      <c r="O12" s="2"/>
      <c r="P12" s="2"/>
      <c r="Q12" s="2"/>
      <c r="R12" s="2"/>
      <c r="S12" s="4">
        <v>177733386</v>
      </c>
      <c r="T12" s="4">
        <v>629879620</v>
      </c>
      <c r="U12" s="4">
        <f>+T12</f>
        <v>629879620</v>
      </c>
      <c r="V12" s="32">
        <f t="shared" si="2"/>
        <v>17512075</v>
      </c>
      <c r="W12" s="2"/>
      <c r="X12" s="28">
        <f t="shared" si="3"/>
        <v>97.29497997344559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143591422</v>
      </c>
      <c r="H13" s="13">
        <v>-26480196</v>
      </c>
      <c r="I13" s="19">
        <f t="shared" si="5"/>
        <v>117111226</v>
      </c>
      <c r="J13" s="20">
        <v>41107639</v>
      </c>
      <c r="K13" s="20">
        <v>41107639</v>
      </c>
      <c r="L13" s="87">
        <f t="shared" si="0"/>
        <v>76003587</v>
      </c>
      <c r="M13" s="28">
        <f t="shared" si="1"/>
        <v>35.10136509031167</v>
      </c>
      <c r="N13" s="28">
        <f t="shared" si="4"/>
        <v>35.10136509031167</v>
      </c>
      <c r="O13" s="2"/>
      <c r="P13" s="2"/>
      <c r="Q13" s="2"/>
      <c r="R13" s="2"/>
      <c r="S13" s="4">
        <v>78846525</v>
      </c>
      <c r="T13" s="4">
        <v>117111226</v>
      </c>
      <c r="U13" s="4">
        <f>+T13</f>
        <v>117111226</v>
      </c>
      <c r="V13" s="32">
        <f t="shared" si="2"/>
        <v>0</v>
      </c>
      <c r="W13" s="2"/>
      <c r="X13" s="28">
        <f t="shared" si="3"/>
        <v>100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10040000</v>
      </c>
      <c r="H14" s="13">
        <v>0</v>
      </c>
      <c r="I14" s="19">
        <f t="shared" si="5"/>
        <v>10040000</v>
      </c>
      <c r="J14" s="20">
        <v>27219355</v>
      </c>
      <c r="K14" s="20">
        <v>27219355</v>
      </c>
      <c r="L14" s="87">
        <f t="shared" si="0"/>
        <v>-17179355</v>
      </c>
      <c r="M14" s="28">
        <f t="shared" si="1"/>
        <v>271.10911354581674</v>
      </c>
      <c r="N14" s="28">
        <f t="shared" si="4"/>
        <v>271.10911354581674</v>
      </c>
      <c r="O14" s="2"/>
      <c r="P14" s="2"/>
      <c r="Q14" s="2"/>
      <c r="R14" s="2"/>
      <c r="S14" s="4">
        <v>31783291</v>
      </c>
      <c r="T14" s="4">
        <v>9712123</v>
      </c>
      <c r="U14" s="4">
        <f>+T14</f>
        <v>9712123</v>
      </c>
      <c r="V14" s="32">
        <f t="shared" si="2"/>
        <v>327877</v>
      </c>
      <c r="W14" s="2"/>
      <c r="X14" s="28">
        <f t="shared" si="3"/>
        <v>96.73429282868527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82</v>
      </c>
      <c r="G15" s="4">
        <v>0</v>
      </c>
      <c r="H15" s="13">
        <v>0</v>
      </c>
      <c r="I15" s="19">
        <f t="shared" si="5"/>
        <v>0</v>
      </c>
      <c r="J15" s="20"/>
      <c r="K15" s="20"/>
      <c r="L15" s="87"/>
      <c r="M15" s="28"/>
      <c r="N15" s="28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32">
        <f t="shared" si="2"/>
        <v>0</v>
      </c>
      <c r="W15" s="2"/>
      <c r="X15" s="28">
        <v>0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67689864</v>
      </c>
      <c r="H16" s="13">
        <f>76689864-67689864</f>
        <v>9000000</v>
      </c>
      <c r="I16" s="19">
        <f t="shared" si="5"/>
        <v>76689864</v>
      </c>
      <c r="J16" s="20">
        <v>27788267</v>
      </c>
      <c r="K16" s="20">
        <v>27788267</v>
      </c>
      <c r="L16" s="87">
        <f t="shared" si="0"/>
        <v>48901597</v>
      </c>
      <c r="M16" s="28">
        <f t="shared" si="1"/>
        <v>36.23460200685712</v>
      </c>
      <c r="N16" s="28">
        <f t="shared" si="4"/>
        <v>36.23460200685712</v>
      </c>
      <c r="O16" s="2"/>
      <c r="P16" s="2"/>
      <c r="Q16" s="2"/>
      <c r="R16" s="2"/>
      <c r="S16" s="4">
        <v>22501709</v>
      </c>
      <c r="T16" s="4">
        <v>74684783</v>
      </c>
      <c r="U16" s="4">
        <f>+T16</f>
        <v>74684783</v>
      </c>
      <c r="V16" s="32">
        <f t="shared" si="2"/>
        <v>2005081</v>
      </c>
      <c r="W16" s="2"/>
      <c r="X16" s="28">
        <f aca="true" t="shared" si="6" ref="X16:X31">+T16/I16*100</f>
        <v>97.38546804568593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f>41368913+11548917+7108007+6725712+24409437+71508215+52674535+17968182</f>
        <v>233311918</v>
      </c>
      <c r="H17" s="13">
        <f>100000+100000+6000000</f>
        <v>6200000</v>
      </c>
      <c r="I17" s="19">
        <f t="shared" si="5"/>
        <v>239511918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87">
        <f t="shared" si="0"/>
        <v>152608972</v>
      </c>
      <c r="M17" s="28">
        <f t="shared" si="1"/>
        <v>36.283349373871246</v>
      </c>
      <c r="N17" s="28">
        <f t="shared" si="4"/>
        <v>36.283349373871246</v>
      </c>
      <c r="O17" s="28"/>
      <c r="P17" s="2"/>
      <c r="Q17" s="2"/>
      <c r="R17" s="2"/>
      <c r="S17" s="4">
        <f>40740946+9020349+4795124+4354946+19078981+56559356+7733197+8995249</f>
        <v>151278148</v>
      </c>
      <c r="T17" s="4">
        <f>40144044+10351881+7159667+6713980+22066781+64282216+58416548+16561317</f>
        <v>225696434</v>
      </c>
      <c r="U17" s="4">
        <f>25111629+5550438+3050430+2763525+3442123+27188939+3132962+5132818</f>
        <v>75372864</v>
      </c>
      <c r="V17" s="32">
        <f t="shared" si="2"/>
        <v>13815484</v>
      </c>
      <c r="W17" s="2"/>
      <c r="X17" s="28">
        <f t="shared" si="6"/>
        <v>94.23181772524572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f>95380000+21257732+636464636-75000000</f>
        <v>678102368</v>
      </c>
      <c r="H18" s="13">
        <f>75000000-124719804</f>
        <v>-49719804</v>
      </c>
      <c r="I18" s="19">
        <f>+G18+H18</f>
        <v>628382564</v>
      </c>
      <c r="J18" s="20">
        <f>1057231+8089692+296851321</f>
        <v>305998244</v>
      </c>
      <c r="K18" s="20">
        <f>1057231+8089692+296851321</f>
        <v>305998244</v>
      </c>
      <c r="L18" s="87">
        <f t="shared" si="0"/>
        <v>322384320</v>
      </c>
      <c r="M18" s="28">
        <f t="shared" si="1"/>
        <v>48.69617037941874</v>
      </c>
      <c r="N18" s="28">
        <f t="shared" si="4"/>
        <v>48.69617037941874</v>
      </c>
      <c r="O18" s="9" t="s">
        <v>1</v>
      </c>
      <c r="P18" s="2"/>
      <c r="Q18" s="2"/>
      <c r="R18" s="2"/>
      <c r="S18" s="4">
        <f>543331358+11874352+54257070</f>
        <v>609462780</v>
      </c>
      <c r="T18" s="4">
        <f>46325657+15545065+456029169</f>
        <v>517899891</v>
      </c>
      <c r="U18" s="4">
        <f>139038852-12099496+11827031+46492041</f>
        <v>185258428</v>
      </c>
      <c r="V18" s="32">
        <f t="shared" si="2"/>
        <v>110482673</v>
      </c>
      <c r="W18" s="2"/>
      <c r="X18" s="28">
        <f t="shared" si="6"/>
        <v>82.41792829248521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203843360</v>
      </c>
      <c r="H19" s="13">
        <v>79000000</v>
      </c>
      <c r="I19" s="19">
        <f t="shared" si="5"/>
        <v>282843360</v>
      </c>
      <c r="J19" s="20">
        <v>14234485</v>
      </c>
      <c r="K19" s="20">
        <v>14234485</v>
      </c>
      <c r="L19" s="87">
        <f t="shared" si="0"/>
        <v>268608875</v>
      </c>
      <c r="M19" s="28">
        <f t="shared" si="1"/>
        <v>5.0326389136375695</v>
      </c>
      <c r="N19" s="28">
        <f t="shared" si="4"/>
        <v>5.0326389136375695</v>
      </c>
      <c r="O19" s="28"/>
      <c r="P19" s="2"/>
      <c r="Q19" s="2"/>
      <c r="R19" s="2"/>
      <c r="S19" s="4">
        <v>139595008</v>
      </c>
      <c r="T19" s="4">
        <v>259732893</v>
      </c>
      <c r="U19" s="4">
        <f>+T19</f>
        <v>259732893</v>
      </c>
      <c r="V19" s="32">
        <f t="shared" si="2"/>
        <v>23110467</v>
      </c>
      <c r="W19" s="2"/>
      <c r="X19" s="28">
        <f t="shared" si="6"/>
        <v>91.82923473968066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v>260331679</v>
      </c>
      <c r="H20" s="13">
        <v>30000000</v>
      </c>
      <c r="I20" s="19">
        <f t="shared" si="5"/>
        <v>290331679</v>
      </c>
      <c r="J20" s="20">
        <v>58847998</v>
      </c>
      <c r="K20" s="20">
        <v>58847998</v>
      </c>
      <c r="L20" s="87">
        <f t="shared" si="0"/>
        <v>231483681</v>
      </c>
      <c r="M20" s="28">
        <f t="shared" si="1"/>
        <v>20.26923076485911</v>
      </c>
      <c r="N20" s="28">
        <f t="shared" si="4"/>
        <v>20.26923076485911</v>
      </c>
      <c r="O20" s="28"/>
      <c r="P20" s="2"/>
      <c r="Q20" s="2"/>
      <c r="R20" s="2"/>
      <c r="S20" s="4">
        <v>48681682</v>
      </c>
      <c r="T20" s="4">
        <v>231223470</v>
      </c>
      <c r="U20" s="4">
        <f>+T20</f>
        <v>231223470</v>
      </c>
      <c r="V20" s="32">
        <f t="shared" si="2"/>
        <v>59108209</v>
      </c>
      <c r="W20" s="2"/>
      <c r="X20" s="28">
        <f t="shared" si="6"/>
        <v>79.64114381055882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48207845</v>
      </c>
      <c r="H21" s="13">
        <v>0</v>
      </c>
      <c r="I21" s="19">
        <f t="shared" si="5"/>
        <v>48207845</v>
      </c>
      <c r="J21" s="20">
        <v>15733377</v>
      </c>
      <c r="K21" s="20">
        <v>15733377</v>
      </c>
      <c r="L21" s="87">
        <f t="shared" si="0"/>
        <v>32474468</v>
      </c>
      <c r="M21" s="28">
        <f t="shared" si="1"/>
        <v>32.636549092787696</v>
      </c>
      <c r="N21" s="28">
        <f t="shared" si="4"/>
        <v>32.636549092787696</v>
      </c>
      <c r="O21" s="28"/>
      <c r="P21" s="2"/>
      <c r="Q21" s="2"/>
      <c r="R21" s="2"/>
      <c r="S21" s="4">
        <v>18954215</v>
      </c>
      <c r="T21" s="4">
        <v>44562239</v>
      </c>
      <c r="U21" s="4">
        <f>+T21</f>
        <v>44562239</v>
      </c>
      <c r="V21" s="32">
        <f t="shared" si="2"/>
        <v>3645606</v>
      </c>
      <c r="W21" s="2"/>
      <c r="X21" s="28">
        <f t="shared" si="6"/>
        <v>92.4377329042607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22986902</v>
      </c>
      <c r="H22" s="13">
        <v>0</v>
      </c>
      <c r="I22" s="19">
        <f t="shared" si="5"/>
        <v>22986902</v>
      </c>
      <c r="J22" s="20">
        <v>15976947</v>
      </c>
      <c r="K22" s="20">
        <v>15976947</v>
      </c>
      <c r="L22" s="87">
        <f t="shared" si="0"/>
        <v>7009955</v>
      </c>
      <c r="M22" s="28">
        <f t="shared" si="1"/>
        <v>69.50456829719812</v>
      </c>
      <c r="N22" s="28">
        <f t="shared" si="4"/>
        <v>69.50456829719812</v>
      </c>
      <c r="O22" s="28"/>
      <c r="P22" s="2"/>
      <c r="Q22" s="2"/>
      <c r="R22" s="2"/>
      <c r="S22" s="4">
        <v>3960579</v>
      </c>
      <c r="T22" s="4">
        <v>20535529</v>
      </c>
      <c r="U22" s="4">
        <f>+T22</f>
        <v>20535529</v>
      </c>
      <c r="V22" s="32">
        <f t="shared" si="2"/>
        <v>2451373</v>
      </c>
      <c r="W22" s="2"/>
      <c r="X22" s="28">
        <f t="shared" si="6"/>
        <v>89.33578348226308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1232354215</v>
      </c>
      <c r="H23" s="13">
        <f>+H24+H25+H26</f>
        <v>231570636</v>
      </c>
      <c r="I23" s="19">
        <f>+G23+H23</f>
        <v>1463924851</v>
      </c>
      <c r="J23" s="20">
        <f>SUM(J24:J26)</f>
        <v>837471929</v>
      </c>
      <c r="K23" s="20">
        <f>SUM(K24:K26)</f>
        <v>837471929</v>
      </c>
      <c r="L23" s="87">
        <f t="shared" si="0"/>
        <v>626452922</v>
      </c>
      <c r="M23" s="28">
        <f t="shared" si="1"/>
        <v>57.20730325931191</v>
      </c>
      <c r="N23" s="28">
        <f t="shared" si="4"/>
        <v>57.20730325931191</v>
      </c>
      <c r="O23" s="28"/>
      <c r="P23" s="2"/>
      <c r="Q23" s="2"/>
      <c r="R23" s="2"/>
      <c r="S23" s="4">
        <f>SUM(S24:S26)</f>
        <v>680793888</v>
      </c>
      <c r="T23" s="4">
        <f>SUM(T24:T26)</f>
        <v>1073664272</v>
      </c>
      <c r="U23" s="4">
        <f>SUM(U24:U26)</f>
        <v>520717953</v>
      </c>
      <c r="V23" s="32">
        <f t="shared" si="2"/>
        <v>390260579</v>
      </c>
      <c r="W23" s="2"/>
      <c r="X23" s="28">
        <f t="shared" si="6"/>
        <v>73.34148821003927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f>140240000-80000000+193398910</f>
        <v>253638910</v>
      </c>
      <c r="H24" s="13">
        <f>80000000+127000000-8000000-45924724</f>
        <v>153075276</v>
      </c>
      <c r="I24" s="19">
        <f t="shared" si="5"/>
        <v>406714186</v>
      </c>
      <c r="J24" s="20">
        <f>134064120+89932764</f>
        <v>223996884</v>
      </c>
      <c r="K24" s="20">
        <f>134064120+89932764</f>
        <v>223996884</v>
      </c>
      <c r="L24" s="87">
        <f t="shared" si="0"/>
        <v>182717302</v>
      </c>
      <c r="M24" s="28">
        <f t="shared" si="1"/>
        <v>55.074765452120225</v>
      </c>
      <c r="N24" s="28">
        <f t="shared" si="4"/>
        <v>55.074765452120225</v>
      </c>
      <c r="O24" s="28"/>
      <c r="P24" s="2"/>
      <c r="Q24" s="2"/>
      <c r="R24" s="2"/>
      <c r="S24" s="4">
        <v>90516630</v>
      </c>
      <c r="T24" s="4">
        <v>135831554</v>
      </c>
      <c r="U24" s="4">
        <v>71539421</v>
      </c>
      <c r="V24" s="32">
        <f t="shared" si="2"/>
        <v>270882632</v>
      </c>
      <c r="W24" s="2"/>
      <c r="X24" s="28">
        <f t="shared" si="6"/>
        <v>33.39729930148047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f>303798628+141438500+31922180+187960691+113500000+39643125+132300000+5000000+111003067-136570636</f>
        <v>929995555</v>
      </c>
      <c r="H25" s="13">
        <f>80000000+40000000+16570636-28875276-16500000-2700000-23000000-10000000+8000000</f>
        <v>63495360</v>
      </c>
      <c r="I25" s="19">
        <f t="shared" si="5"/>
        <v>993490915</v>
      </c>
      <c r="J25" s="19">
        <f>161733438+78749875+21372007+10000000+69921141+34446675+101350157+88741110+4349508</f>
        <v>570663911</v>
      </c>
      <c r="K25" s="19">
        <f>161733438+78749875+21372007+10000000+69921141+34446675+101350157+88741110+4349508</f>
        <v>570663911</v>
      </c>
      <c r="L25" s="87">
        <f t="shared" si="0"/>
        <v>422827004</v>
      </c>
      <c r="M25" s="28">
        <f t="shared" si="1"/>
        <v>57.44027473064512</v>
      </c>
      <c r="N25" s="28">
        <f t="shared" si="4"/>
        <v>57.44027473064512</v>
      </c>
      <c r="O25" s="28"/>
      <c r="P25" s="2"/>
      <c r="Q25" s="2"/>
      <c r="R25" s="2"/>
      <c r="S25" s="4">
        <f>177530145+48822952+12932524+101159449+50929093+34887478+95118421+602400+22704858</f>
        <v>544687320</v>
      </c>
      <c r="T25" s="4">
        <f>274501740+140557839+15054244+134853583+80899440+36893940+103816646+4946708+100974334</f>
        <v>892498474</v>
      </c>
      <c r="U25" s="4">
        <f>105788413+23427623+12881000+100724267+49185142+19962215+84084828+602400+7938400-750000</f>
        <v>403844288</v>
      </c>
      <c r="V25" s="32">
        <f t="shared" si="2"/>
        <v>100992441</v>
      </c>
      <c r="W25" s="2"/>
      <c r="X25" s="28">
        <f t="shared" si="6"/>
        <v>89.8345883716511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9" t="s">
        <v>22</v>
      </c>
      <c r="G26" s="13">
        <f>63719750-15000000</f>
        <v>48719750</v>
      </c>
      <c r="H26" s="13">
        <v>15000000</v>
      </c>
      <c r="I26" s="19">
        <f t="shared" si="5"/>
        <v>63719750</v>
      </c>
      <c r="J26" s="20">
        <v>42811134</v>
      </c>
      <c r="K26" s="20">
        <v>42811134</v>
      </c>
      <c r="L26" s="87">
        <f t="shared" si="0"/>
        <v>20908616</v>
      </c>
      <c r="M26" s="28">
        <f t="shared" si="1"/>
        <v>67.18660070072465</v>
      </c>
      <c r="N26" s="28">
        <f t="shared" si="4"/>
        <v>67.18660070072465</v>
      </c>
      <c r="O26" s="28"/>
      <c r="P26" s="2"/>
      <c r="Q26" s="2"/>
      <c r="R26" s="2"/>
      <c r="S26" s="13">
        <v>45589938</v>
      </c>
      <c r="T26" s="13">
        <v>45334244</v>
      </c>
      <c r="U26" s="13">
        <f>+T26</f>
        <v>45334244</v>
      </c>
      <c r="V26" s="32">
        <f t="shared" si="2"/>
        <v>18385506</v>
      </c>
      <c r="W26" s="2"/>
      <c r="X26" s="28">
        <f t="shared" si="6"/>
        <v>71.14629922433782</v>
      </c>
      <c r="Y26" s="34" t="s">
        <v>1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2379242680</v>
      </c>
      <c r="H27" s="13">
        <f>+H28+H29+H30+H31</f>
        <v>100150000</v>
      </c>
      <c r="I27" s="19">
        <f t="shared" si="5"/>
        <v>2479392680</v>
      </c>
      <c r="J27" s="20">
        <f>SUM(J28:J31)</f>
        <v>802145730</v>
      </c>
      <c r="K27" s="20">
        <f>SUM(K28:K31)</f>
        <v>802145730</v>
      </c>
      <c r="L27" s="87">
        <f t="shared" si="0"/>
        <v>1677246950</v>
      </c>
      <c r="M27" s="28">
        <f t="shared" si="1"/>
        <v>32.35250859900095</v>
      </c>
      <c r="N27" s="28">
        <f t="shared" si="4"/>
        <v>32.35250859900095</v>
      </c>
      <c r="O27" s="28"/>
      <c r="P27" s="2"/>
      <c r="Q27" s="2"/>
      <c r="R27" s="2"/>
      <c r="S27" s="4">
        <f>SUM(S28:S31)</f>
        <v>1265405194</v>
      </c>
      <c r="T27" s="4">
        <f>SUM(T28:T31)</f>
        <v>2428212822</v>
      </c>
      <c r="U27" s="4">
        <f>SUM(U28:U31)</f>
        <v>2396922454</v>
      </c>
      <c r="V27" s="32">
        <f t="shared" si="2"/>
        <v>51179858</v>
      </c>
      <c r="W27" s="2"/>
      <c r="X27" s="28">
        <f t="shared" si="6"/>
        <v>97.93579055012779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26622800</v>
      </c>
      <c r="H28" s="13">
        <f>31322800-26622800</f>
        <v>4700000</v>
      </c>
      <c r="I28" s="19">
        <f t="shared" si="5"/>
        <v>31322800</v>
      </c>
      <c r="J28" s="20">
        <v>16797214</v>
      </c>
      <c r="K28" s="20">
        <v>16797214</v>
      </c>
      <c r="L28" s="87">
        <f t="shared" si="0"/>
        <v>14525586</v>
      </c>
      <c r="M28" s="28">
        <f t="shared" si="1"/>
        <v>53.62615730394473</v>
      </c>
      <c r="N28" s="28">
        <f t="shared" si="4"/>
        <v>53.62615730394473</v>
      </c>
      <c r="O28" s="28"/>
      <c r="P28" s="2"/>
      <c r="Q28" s="2"/>
      <c r="R28" s="2"/>
      <c r="S28" s="4">
        <v>0</v>
      </c>
      <c r="T28" s="4">
        <v>31290368</v>
      </c>
      <c r="U28" s="4">
        <v>0</v>
      </c>
      <c r="V28" s="32">
        <f t="shared" si="2"/>
        <v>32432</v>
      </c>
      <c r="W28" s="2"/>
      <c r="X28" s="28">
        <f t="shared" si="6"/>
        <v>99.89645880955726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2228373280</v>
      </c>
      <c r="H29" s="13">
        <v>189300000</v>
      </c>
      <c r="I29" s="19">
        <f t="shared" si="5"/>
        <v>2417673280</v>
      </c>
      <c r="J29" s="20">
        <v>740995272</v>
      </c>
      <c r="K29" s="20">
        <v>740995272</v>
      </c>
      <c r="L29" s="87">
        <f t="shared" si="0"/>
        <v>1676678008</v>
      </c>
      <c r="M29" s="28">
        <f t="shared" si="1"/>
        <v>30.649107062141994</v>
      </c>
      <c r="N29" s="28">
        <f t="shared" si="4"/>
        <v>30.649107062141994</v>
      </c>
      <c r="O29" s="28"/>
      <c r="P29" s="2"/>
      <c r="Q29" s="2"/>
      <c r="R29" s="2"/>
      <c r="S29" s="4">
        <v>951099213</v>
      </c>
      <c r="T29" s="4">
        <v>2366799742</v>
      </c>
      <c r="U29" s="4">
        <f>+T29</f>
        <v>2366799742</v>
      </c>
      <c r="V29" s="32">
        <f t="shared" si="2"/>
        <v>50873538</v>
      </c>
      <c r="W29" s="2"/>
      <c r="X29" s="28">
        <f t="shared" si="6"/>
        <v>97.89576455922116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24246600</v>
      </c>
      <c r="H30" s="13">
        <f>4000000+150000</f>
        <v>4150000</v>
      </c>
      <c r="I30" s="19">
        <f t="shared" si="5"/>
        <v>28396600</v>
      </c>
      <c r="J30" s="20">
        <v>21590305</v>
      </c>
      <c r="K30" s="20">
        <v>21590305</v>
      </c>
      <c r="L30" s="87">
        <f t="shared" si="0"/>
        <v>6806295</v>
      </c>
      <c r="M30" s="28">
        <f t="shared" si="1"/>
        <v>76.03130304332208</v>
      </c>
      <c r="N30" s="28">
        <f t="shared" si="4"/>
        <v>76.03130304332208</v>
      </c>
      <c r="O30" s="28"/>
      <c r="P30" s="2"/>
      <c r="Q30" s="2"/>
      <c r="R30" s="2"/>
      <c r="S30" s="4">
        <v>22814692</v>
      </c>
      <c r="T30" s="4">
        <v>28375250</v>
      </c>
      <c r="U30" s="4">
        <f>+T30</f>
        <v>28375250</v>
      </c>
      <c r="V30" s="32">
        <f t="shared" si="2"/>
        <v>21350</v>
      </c>
      <c r="W30" s="2"/>
      <c r="X30" s="28">
        <f t="shared" si="6"/>
        <v>99.92481494263397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100000000</v>
      </c>
      <c r="H31" s="13">
        <f>100000000-198000000</f>
        <v>-98000000</v>
      </c>
      <c r="I31" s="19">
        <f t="shared" si="5"/>
        <v>2000000</v>
      </c>
      <c r="J31" s="20">
        <v>22762939</v>
      </c>
      <c r="K31" s="20">
        <v>22762939</v>
      </c>
      <c r="L31" s="87">
        <f t="shared" si="0"/>
        <v>-20762939</v>
      </c>
      <c r="M31" s="28">
        <f t="shared" si="1"/>
        <v>1138.14695</v>
      </c>
      <c r="N31" s="28">
        <f t="shared" si="4"/>
        <v>1138.14695</v>
      </c>
      <c r="O31" s="28"/>
      <c r="P31" s="2"/>
      <c r="Q31" s="2"/>
      <c r="R31" s="2"/>
      <c r="S31" s="13">
        <v>291491289</v>
      </c>
      <c r="T31" s="13">
        <v>1747462</v>
      </c>
      <c r="U31" s="13">
        <f>+T31</f>
        <v>1747462</v>
      </c>
      <c r="V31" s="32">
        <f t="shared" si="2"/>
        <v>252538</v>
      </c>
      <c r="W31" s="2"/>
      <c r="X31" s="28">
        <f t="shared" si="6"/>
        <v>87.37310000000001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ht="12.75">
      <c r="A32" s="2"/>
      <c r="B32" s="2"/>
      <c r="C32" s="2"/>
      <c r="D32" s="2"/>
      <c r="E32" s="2"/>
      <c r="F32" s="3"/>
      <c r="G32" s="9" t="s">
        <v>1</v>
      </c>
      <c r="H32" s="12"/>
      <c r="I32" s="19" t="s">
        <v>1</v>
      </c>
      <c r="J32" s="88"/>
      <c r="K32" s="88"/>
      <c r="L32" s="19" t="s">
        <v>1</v>
      </c>
      <c r="M32" s="9" t="s">
        <v>1</v>
      </c>
      <c r="N32" s="28"/>
      <c r="O32" s="28"/>
      <c r="P32" s="2"/>
      <c r="Q32" s="2"/>
      <c r="R32" s="2"/>
      <c r="S32" s="2"/>
      <c r="T32" s="2"/>
      <c r="U32" s="2"/>
      <c r="V32" s="2"/>
      <c r="W32" s="2"/>
      <c r="X32" s="28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19" t="s">
        <v>1</v>
      </c>
      <c r="J33" s="20" t="s">
        <v>1</v>
      </c>
      <c r="K33" s="20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2"/>
      <c r="U33" s="2"/>
      <c r="V33" s="2"/>
      <c r="W33" s="2"/>
      <c r="X33" s="28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ht="12.75">
      <c r="A34" s="85"/>
      <c r="B34" s="85"/>
      <c r="C34" s="85"/>
      <c r="D34" s="85"/>
      <c r="E34" s="85"/>
      <c r="F34" s="85"/>
      <c r="G34" s="96"/>
      <c r="H34" s="82"/>
      <c r="I34" s="121"/>
      <c r="J34" s="122"/>
      <c r="K34" s="122"/>
      <c r="L34" s="121"/>
      <c r="M34" s="35"/>
      <c r="N34" s="58"/>
      <c r="O34" s="58"/>
      <c r="P34" s="77"/>
      <c r="Q34" s="77"/>
      <c r="R34" s="77"/>
      <c r="S34" s="77"/>
      <c r="T34" s="77"/>
      <c r="U34" s="77"/>
      <c r="V34" s="77"/>
      <c r="W34" s="77"/>
      <c r="X34" s="58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ht="12.75">
      <c r="A35" s="85"/>
      <c r="B35" s="85"/>
      <c r="C35" s="85"/>
      <c r="D35" s="85"/>
      <c r="E35" s="85"/>
      <c r="F35" s="85"/>
      <c r="G35" s="96"/>
      <c r="H35" s="82"/>
      <c r="I35" s="121"/>
      <c r="J35" s="122"/>
      <c r="K35" s="122"/>
      <c r="L35" s="121"/>
      <c r="M35" s="35"/>
      <c r="N35" s="58"/>
      <c r="O35" s="58"/>
      <c r="P35" s="77"/>
      <c r="Q35" s="77"/>
      <c r="R35" s="77"/>
      <c r="S35" s="77"/>
      <c r="T35" s="126" t="s">
        <v>1</v>
      </c>
      <c r="U35" s="77"/>
      <c r="V35" s="126" t="s">
        <v>26</v>
      </c>
      <c r="W35" s="77"/>
      <c r="X35" s="58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7:51" ht="12.75">
      <c r="G36" s="55" t="s">
        <v>1</v>
      </c>
      <c r="H36" s="93" t="s">
        <v>1</v>
      </c>
      <c r="I36" s="79" t="s">
        <v>1</v>
      </c>
      <c r="M36" s="123"/>
      <c r="N36" s="1"/>
      <c r="O36" s="1"/>
      <c r="S36" s="55" t="s">
        <v>1</v>
      </c>
      <c r="T36" t="s">
        <v>1</v>
      </c>
      <c r="X36" s="1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ht="12.75">
      <c r="A37" s="145" t="s">
        <v>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ht="12.75">
      <c r="A38" s="145" t="s">
        <v>167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ht="12.75">
      <c r="A39" s="145" t="s">
        <v>81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1:51" ht="12.75">
      <c r="A40" s="2"/>
      <c r="B40" s="2"/>
      <c r="C40" s="2"/>
      <c r="D40" s="2"/>
      <c r="E40" s="2"/>
      <c r="F40" s="3"/>
      <c r="G40" s="2"/>
      <c r="H40" s="12"/>
      <c r="I40" s="12" t="s">
        <v>1</v>
      </c>
      <c r="J40" s="2"/>
      <c r="K40" s="2"/>
      <c r="L40" s="2"/>
      <c r="M40" s="28"/>
      <c r="N40" s="28"/>
      <c r="O40" s="28"/>
      <c r="P40" s="2"/>
      <c r="Q40" s="2"/>
      <c r="R40" s="2"/>
      <c r="S40" s="2"/>
      <c r="T40" s="2"/>
      <c r="U40" s="2"/>
      <c r="V40" s="2"/>
      <c r="W40" s="2"/>
      <c r="X40" s="28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ht="12.75">
      <c r="A41" s="18" t="s">
        <v>48</v>
      </c>
      <c r="B41" s="18" t="s">
        <v>49</v>
      </c>
      <c r="C41" s="3" t="s">
        <v>50</v>
      </c>
      <c r="D41" s="3" t="s">
        <v>51</v>
      </c>
      <c r="E41" s="3" t="s">
        <v>52</v>
      </c>
      <c r="F41" s="2"/>
      <c r="G41" s="2"/>
      <c r="H41" s="124" t="s">
        <v>1</v>
      </c>
      <c r="I41" s="12"/>
      <c r="J41" s="18" t="s">
        <v>1</v>
      </c>
      <c r="K41" s="18"/>
      <c r="L41" s="14" t="s">
        <v>36</v>
      </c>
      <c r="M41" s="27" t="s">
        <v>47</v>
      </c>
      <c r="N41" s="75" t="s">
        <v>77</v>
      </c>
      <c r="O41" s="28"/>
      <c r="P41" s="2"/>
      <c r="Q41" s="2"/>
      <c r="R41" s="2"/>
      <c r="S41" s="2"/>
      <c r="T41" s="2"/>
      <c r="U41" s="2"/>
      <c r="V41" s="2"/>
      <c r="W41" s="2"/>
      <c r="X41" s="28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ht="12.75">
      <c r="A42" s="3"/>
      <c r="B42" s="18" t="s">
        <v>6</v>
      </c>
      <c r="C42" s="3"/>
      <c r="D42" s="3" t="s">
        <v>7</v>
      </c>
      <c r="E42" s="3"/>
      <c r="F42" s="2"/>
      <c r="G42" s="18" t="s">
        <v>3</v>
      </c>
      <c r="H42" s="10" t="s">
        <v>2</v>
      </c>
      <c r="I42" s="10" t="s">
        <v>3</v>
      </c>
      <c r="J42" s="10" t="s">
        <v>76</v>
      </c>
      <c r="K42" s="86" t="s">
        <v>35</v>
      </c>
      <c r="L42" s="14" t="s">
        <v>40</v>
      </c>
      <c r="M42" s="76" t="s">
        <v>76</v>
      </c>
      <c r="N42" s="75" t="s">
        <v>35</v>
      </c>
      <c r="O42" s="125"/>
      <c r="P42" s="2"/>
      <c r="Q42" s="2"/>
      <c r="R42" s="2"/>
      <c r="S42" s="18" t="s">
        <v>76</v>
      </c>
      <c r="T42" s="18" t="s">
        <v>35</v>
      </c>
      <c r="U42" s="18" t="s">
        <v>86</v>
      </c>
      <c r="V42" s="18" t="s">
        <v>84</v>
      </c>
      <c r="W42" s="18"/>
      <c r="X42" s="76" t="s">
        <v>74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ht="12.75">
      <c r="A43" s="3"/>
      <c r="B43" s="3"/>
      <c r="C43" s="3"/>
      <c r="D43" s="3" t="s">
        <v>8</v>
      </c>
      <c r="E43" s="3"/>
      <c r="F43" s="18" t="s">
        <v>9</v>
      </c>
      <c r="G43" s="18" t="s">
        <v>4</v>
      </c>
      <c r="H43" s="10" t="s">
        <v>10</v>
      </c>
      <c r="I43" s="10" t="s">
        <v>5</v>
      </c>
      <c r="J43" s="10" t="s">
        <v>1</v>
      </c>
      <c r="K43" s="26"/>
      <c r="L43" s="12"/>
      <c r="M43" s="15"/>
      <c r="N43" s="16"/>
      <c r="O43" s="16"/>
      <c r="P43" s="2"/>
      <c r="Q43" s="2"/>
      <c r="R43" s="2"/>
      <c r="S43" s="2"/>
      <c r="T43" s="18"/>
      <c r="U43" s="18"/>
      <c r="V43" s="18" t="s">
        <v>85</v>
      </c>
      <c r="W43" s="18"/>
      <c r="X43" s="76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ht="12.75">
      <c r="A44" s="3"/>
      <c r="B44" s="3"/>
      <c r="C44" s="3"/>
      <c r="D44" s="3" t="s">
        <v>11</v>
      </c>
      <c r="E44" s="3"/>
      <c r="F44" s="2"/>
      <c r="G44" s="18" t="s">
        <v>1</v>
      </c>
      <c r="H44" s="10" t="s">
        <v>1</v>
      </c>
      <c r="I44" s="27" t="s">
        <v>1</v>
      </c>
      <c r="J44" s="14" t="s">
        <v>1</v>
      </c>
      <c r="K44" s="14" t="s">
        <v>1</v>
      </c>
      <c r="L44" s="12"/>
      <c r="M44" s="16"/>
      <c r="N44" s="16"/>
      <c r="O44" s="16"/>
      <c r="P44" s="2"/>
      <c r="Q44" s="2"/>
      <c r="R44" s="2"/>
      <c r="S44" s="2"/>
      <c r="T44" s="2"/>
      <c r="U44" s="2"/>
      <c r="V44" s="2"/>
      <c r="W44" s="2"/>
      <c r="X44" s="28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ht="12.75">
      <c r="A45" s="2"/>
      <c r="B45" s="2"/>
      <c r="C45" s="2"/>
      <c r="D45" s="2"/>
      <c r="E45" s="2"/>
      <c r="F45" s="2"/>
      <c r="G45" s="9" t="s">
        <v>1</v>
      </c>
      <c r="H45" s="16" t="s">
        <v>1</v>
      </c>
      <c r="I45" s="16" t="s">
        <v>1</v>
      </c>
      <c r="J45" s="15" t="s">
        <v>1</v>
      </c>
      <c r="K45" s="16" t="s">
        <v>1</v>
      </c>
      <c r="L45" s="12"/>
      <c r="M45" s="16"/>
      <c r="N45" s="16"/>
      <c r="O45" s="15"/>
      <c r="P45" s="2"/>
      <c r="Q45" s="2"/>
      <c r="R45" s="2"/>
      <c r="S45" s="2"/>
      <c r="T45" s="2"/>
      <c r="U45" s="2"/>
      <c r="V45" s="2"/>
      <c r="W45" s="2"/>
      <c r="X45" s="28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ht="12.75">
      <c r="A46" s="2" t="s">
        <v>12</v>
      </c>
      <c r="B46" s="2"/>
      <c r="C46" s="2"/>
      <c r="D46" s="2"/>
      <c r="E46" s="2"/>
      <c r="F46" s="3" t="s">
        <v>53</v>
      </c>
      <c r="G46" s="30">
        <f>+G47+G57+G60</f>
        <v>2074005000</v>
      </c>
      <c r="H46" s="31">
        <f>SUM(H47+H57+H60)</f>
        <v>0</v>
      </c>
      <c r="I46" s="31">
        <f>+G46+H46</f>
        <v>2074005000</v>
      </c>
      <c r="J46" s="31">
        <f>SUM(J47+J57+J60)</f>
        <v>1370562803</v>
      </c>
      <c r="K46" s="31">
        <f>SUM(K47+K57+K60)</f>
        <v>1370562803</v>
      </c>
      <c r="L46" s="11">
        <f aca="true" t="shared" si="7" ref="L46:L61">+I46-J46</f>
        <v>703442197</v>
      </c>
      <c r="M46" s="33">
        <f aca="true" t="shared" si="8" ref="M46:M61">+J46/I46*100</f>
        <v>66.08290737004009</v>
      </c>
      <c r="N46" s="33">
        <f>+K46/I46*100</f>
        <v>66.08290737004009</v>
      </c>
      <c r="O46" s="33"/>
      <c r="P46" s="2"/>
      <c r="Q46" s="2"/>
      <c r="R46" s="2"/>
      <c r="S46" s="30">
        <f>+S47+S57+S60</f>
        <v>1765893302</v>
      </c>
      <c r="T46" s="30">
        <f>SUM(T47+T57+T60)</f>
        <v>2073256675</v>
      </c>
      <c r="U46" s="30">
        <f>SUM(U47+U57+U60)</f>
        <v>2063025675</v>
      </c>
      <c r="V46" s="32">
        <f aca="true" t="shared" si="9" ref="V46:V61">+I46-T46</f>
        <v>748325</v>
      </c>
      <c r="W46" s="2"/>
      <c r="X46" s="28">
        <f aca="true" t="shared" si="10" ref="X46:X58">+T46/I46*100</f>
        <v>99.96391884301147</v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30">
        <f>+G48+G53+G54+G55+G56</f>
        <v>2039750000</v>
      </c>
      <c r="H47" s="31">
        <f>+H48+H53+H54+H55+H56</f>
        <v>0</v>
      </c>
      <c r="I47" s="31">
        <f>+I48+I53+I54+I55+I56</f>
        <v>2039750000</v>
      </c>
      <c r="J47" s="30">
        <f>+J48+J53+J54+J55+J56</f>
        <v>1346538803</v>
      </c>
      <c r="K47" s="30">
        <f>+K48+K53+K54+K55+K56</f>
        <v>1346538803</v>
      </c>
      <c r="L47" s="11">
        <f t="shared" si="7"/>
        <v>693211197</v>
      </c>
      <c r="M47" s="33">
        <f t="shared" si="8"/>
        <v>66.0148941291825</v>
      </c>
      <c r="N47" s="33">
        <f aca="true" t="shared" si="11" ref="N47:N61">+K47/I47*100</f>
        <v>66.0148941291825</v>
      </c>
      <c r="O47" s="33"/>
      <c r="P47" s="2"/>
      <c r="Q47" s="2"/>
      <c r="R47" s="2"/>
      <c r="S47" s="30">
        <f>+S48+S53+S54+S55+S56</f>
        <v>1741869302</v>
      </c>
      <c r="T47" s="31">
        <f>+T48+T53+T54+T55+T56</f>
        <v>2039001675</v>
      </c>
      <c r="U47" s="30">
        <f>+U48+U53+U54+U55+U56</f>
        <v>2039001675</v>
      </c>
      <c r="V47" s="32">
        <f t="shared" si="9"/>
        <v>748325</v>
      </c>
      <c r="W47" s="2"/>
      <c r="X47" s="28">
        <f t="shared" si="10"/>
        <v>99.96331290599339</v>
      </c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51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2">
        <f>SUM(G49:G52)</f>
        <v>1712869000</v>
      </c>
      <c r="H48" s="11">
        <f>SUM(H49:H52)</f>
        <v>0</v>
      </c>
      <c r="I48" s="11">
        <f>SUM(I49:I52)</f>
        <v>1712869000</v>
      </c>
      <c r="J48" s="11">
        <f>SUM(J49:J52)</f>
        <v>1097699750</v>
      </c>
      <c r="K48" s="11">
        <f>SUM(K49:K52)</f>
        <v>1097699750</v>
      </c>
      <c r="L48" s="11">
        <f t="shared" si="7"/>
        <v>615169250</v>
      </c>
      <c r="M48" s="33">
        <f t="shared" si="8"/>
        <v>64.0854466979086</v>
      </c>
      <c r="N48" s="33">
        <f t="shared" si="11"/>
        <v>64.0854466979086</v>
      </c>
      <c r="O48" s="15"/>
      <c r="P48" s="2"/>
      <c r="Q48" s="2"/>
      <c r="R48" s="2"/>
      <c r="S48" s="32">
        <f>SUM(S49:S52)</f>
        <v>1414988302</v>
      </c>
      <c r="T48" s="11">
        <f>SUM(T49:T52)</f>
        <v>1712120675</v>
      </c>
      <c r="U48" s="32">
        <f>+T48</f>
        <v>1712120675</v>
      </c>
      <c r="V48" s="32">
        <f t="shared" si="9"/>
        <v>748325</v>
      </c>
      <c r="W48" s="2"/>
      <c r="X48" s="28">
        <f t="shared" si="10"/>
        <v>99.95631160351434</v>
      </c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2">
        <v>1340973000</v>
      </c>
      <c r="H49" s="11">
        <v>0</v>
      </c>
      <c r="I49" s="11">
        <f>+G49+H49</f>
        <v>1340973000</v>
      </c>
      <c r="J49" s="31">
        <v>910042416</v>
      </c>
      <c r="K49" s="31">
        <v>910042416</v>
      </c>
      <c r="L49" s="11">
        <f t="shared" si="7"/>
        <v>430930584</v>
      </c>
      <c r="M49" s="33">
        <f t="shared" si="8"/>
        <v>67.86433552353404</v>
      </c>
      <c r="N49" s="33">
        <f t="shared" si="11"/>
        <v>67.86433552353404</v>
      </c>
      <c r="O49" s="15"/>
      <c r="P49" s="2"/>
      <c r="Q49" s="2"/>
      <c r="R49" s="2"/>
      <c r="S49" s="32">
        <v>1186166487</v>
      </c>
      <c r="T49" s="32">
        <f>+I49</f>
        <v>1340973000</v>
      </c>
      <c r="U49" s="32">
        <f aca="true" t="shared" si="12" ref="U49:U56">+T49</f>
        <v>1340973000</v>
      </c>
      <c r="V49" s="32">
        <f t="shared" si="9"/>
        <v>0</v>
      </c>
      <c r="W49" s="2"/>
      <c r="X49" s="28">
        <f t="shared" si="10"/>
        <v>100</v>
      </c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2">
        <v>1591000</v>
      </c>
      <c r="H50" s="11">
        <v>0</v>
      </c>
      <c r="I50" s="11">
        <f aca="true" t="shared" si="13" ref="I50:I57">+G50+H50</f>
        <v>1591000</v>
      </c>
      <c r="J50" s="31">
        <v>805455</v>
      </c>
      <c r="K50" s="31">
        <v>805455</v>
      </c>
      <c r="L50" s="11">
        <f t="shared" si="7"/>
        <v>785545</v>
      </c>
      <c r="M50" s="33">
        <f t="shared" si="8"/>
        <v>50.62570710245129</v>
      </c>
      <c r="N50" s="33">
        <f t="shared" si="11"/>
        <v>50.62570710245129</v>
      </c>
      <c r="O50" s="15"/>
      <c r="P50" s="2"/>
      <c r="Q50" s="2"/>
      <c r="R50" s="2"/>
      <c r="S50" s="32">
        <v>1068815</v>
      </c>
      <c r="T50" s="32">
        <v>842675</v>
      </c>
      <c r="U50" s="32">
        <f t="shared" si="12"/>
        <v>842675</v>
      </c>
      <c r="V50" s="32">
        <f t="shared" si="9"/>
        <v>748325</v>
      </c>
      <c r="W50" s="2"/>
      <c r="X50" s="28">
        <f t="shared" si="10"/>
        <v>52.96511627906977</v>
      </c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2">
        <v>131675000</v>
      </c>
      <c r="H51" s="11">
        <v>0</v>
      </c>
      <c r="I51" s="11">
        <f t="shared" si="13"/>
        <v>131675000</v>
      </c>
      <c r="J51" s="31">
        <v>97076221</v>
      </c>
      <c r="K51" s="31">
        <v>97076221</v>
      </c>
      <c r="L51" s="11">
        <f t="shared" si="7"/>
        <v>34598779</v>
      </c>
      <c r="M51" s="33">
        <f t="shared" si="8"/>
        <v>73.72410936016708</v>
      </c>
      <c r="N51" s="33">
        <f t="shared" si="11"/>
        <v>73.72410936016708</v>
      </c>
      <c r="O51" s="15"/>
      <c r="P51" s="2"/>
      <c r="Q51" s="2"/>
      <c r="R51" s="2"/>
      <c r="S51" s="89">
        <f>+I51</f>
        <v>131675000</v>
      </c>
      <c r="T51" s="32">
        <f aca="true" t="shared" si="14" ref="T51:T56">+I51</f>
        <v>131675000</v>
      </c>
      <c r="U51" s="32">
        <f t="shared" si="12"/>
        <v>131675000</v>
      </c>
      <c r="V51" s="32">
        <f t="shared" si="9"/>
        <v>0</v>
      </c>
      <c r="W51" s="2"/>
      <c r="X51" s="28">
        <f t="shared" si="10"/>
        <v>100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2">
        <f>21217710+65410000+22237290+129765000</f>
        <v>238630000</v>
      </c>
      <c r="H52" s="11">
        <v>0</v>
      </c>
      <c r="I52" s="11">
        <f t="shared" si="13"/>
        <v>238630000</v>
      </c>
      <c r="J52" s="31">
        <f>11820000+57319500+18076500+2559658</f>
        <v>89775658</v>
      </c>
      <c r="K52" s="31">
        <f>11820000+57319500+18076500+2559658</f>
        <v>89775658</v>
      </c>
      <c r="L52" s="11">
        <f t="shared" si="7"/>
        <v>148854342</v>
      </c>
      <c r="M52" s="33">
        <f t="shared" si="8"/>
        <v>37.62127896743913</v>
      </c>
      <c r="N52" s="33">
        <f t="shared" si="11"/>
        <v>37.62127896743913</v>
      </c>
      <c r="O52" s="15"/>
      <c r="P52" s="2"/>
      <c r="Q52" s="2"/>
      <c r="R52" s="2"/>
      <c r="S52" s="32">
        <f>13000000+62000000+21078000</f>
        <v>96078000</v>
      </c>
      <c r="T52" s="32">
        <f t="shared" si="14"/>
        <v>238630000</v>
      </c>
      <c r="U52" s="32">
        <f t="shared" si="12"/>
        <v>238630000</v>
      </c>
      <c r="V52" s="32">
        <f t="shared" si="9"/>
        <v>0</v>
      </c>
      <c r="W52" s="2"/>
      <c r="X52" s="28">
        <f t="shared" si="10"/>
        <v>100</v>
      </c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2">
        <v>87565000</v>
      </c>
      <c r="H53" s="11">
        <v>0</v>
      </c>
      <c r="I53" s="11">
        <f t="shared" si="13"/>
        <v>87565000</v>
      </c>
      <c r="J53" s="31">
        <f>+I53</f>
        <v>87565000</v>
      </c>
      <c r="K53" s="31">
        <f>+J53</f>
        <v>87565000</v>
      </c>
      <c r="L53" s="11">
        <f t="shared" si="7"/>
        <v>0</v>
      </c>
      <c r="M53" s="33">
        <f t="shared" si="8"/>
        <v>100</v>
      </c>
      <c r="N53" s="33">
        <f t="shared" si="11"/>
        <v>100</v>
      </c>
      <c r="O53" s="15"/>
      <c r="P53" s="2"/>
      <c r="Q53" s="2"/>
      <c r="R53" s="2"/>
      <c r="S53" s="32">
        <f>+I53</f>
        <v>87565000</v>
      </c>
      <c r="T53" s="32">
        <f t="shared" si="14"/>
        <v>87565000</v>
      </c>
      <c r="U53" s="32">
        <f>+T53</f>
        <v>87565000</v>
      </c>
      <c r="V53" s="32">
        <f t="shared" si="9"/>
        <v>0</v>
      </c>
      <c r="W53" s="2"/>
      <c r="X53" s="28">
        <f t="shared" si="10"/>
        <v>100</v>
      </c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v>184624800</v>
      </c>
      <c r="H54" s="11">
        <v>0</v>
      </c>
      <c r="I54" s="11">
        <f t="shared" si="13"/>
        <v>184624800</v>
      </c>
      <c r="J54" s="31">
        <v>121440353</v>
      </c>
      <c r="K54" s="31">
        <v>121440353</v>
      </c>
      <c r="L54" s="11">
        <f t="shared" si="7"/>
        <v>63184447</v>
      </c>
      <c r="M54" s="33">
        <f t="shared" si="8"/>
        <v>65.77683658966727</v>
      </c>
      <c r="N54" s="33">
        <f t="shared" si="11"/>
        <v>65.77683658966727</v>
      </c>
      <c r="O54" s="15"/>
      <c r="P54" s="2"/>
      <c r="Q54" s="2"/>
      <c r="R54" s="2"/>
      <c r="S54" s="4">
        <f>+I54</f>
        <v>184624800</v>
      </c>
      <c r="T54" s="32">
        <f t="shared" si="14"/>
        <v>184624800</v>
      </c>
      <c r="U54" s="32">
        <f t="shared" si="12"/>
        <v>184624800</v>
      </c>
      <c r="V54" s="32">
        <f t="shared" si="9"/>
        <v>0</v>
      </c>
      <c r="W54" s="2"/>
      <c r="X54" s="28">
        <f t="shared" si="10"/>
        <v>100</v>
      </c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2">
        <v>27345600</v>
      </c>
      <c r="H55" s="11">
        <v>0</v>
      </c>
      <c r="I55" s="11">
        <f t="shared" si="13"/>
        <v>27345600</v>
      </c>
      <c r="J55" s="31">
        <v>22149500</v>
      </c>
      <c r="K55" s="31">
        <v>22149500</v>
      </c>
      <c r="L55" s="11">
        <f t="shared" si="7"/>
        <v>5196100</v>
      </c>
      <c r="M55" s="33">
        <f t="shared" si="8"/>
        <v>80.99840559358726</v>
      </c>
      <c r="N55" s="33">
        <f t="shared" si="11"/>
        <v>80.99840559358726</v>
      </c>
      <c r="O55" s="15"/>
      <c r="P55" s="2"/>
      <c r="Q55" s="2"/>
      <c r="R55" s="2"/>
      <c r="S55" s="32">
        <f>+I55</f>
        <v>27345600</v>
      </c>
      <c r="T55" s="32">
        <f t="shared" si="14"/>
        <v>27345600</v>
      </c>
      <c r="U55" s="32">
        <f t="shared" si="12"/>
        <v>27345600</v>
      </c>
      <c r="V55" s="32">
        <f t="shared" si="9"/>
        <v>0</v>
      </c>
      <c r="W55" s="2"/>
      <c r="X55" s="28">
        <f t="shared" si="10"/>
        <v>100</v>
      </c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2">
        <v>27345600</v>
      </c>
      <c r="H56" s="11">
        <v>0</v>
      </c>
      <c r="I56" s="11">
        <f t="shared" si="13"/>
        <v>27345600</v>
      </c>
      <c r="J56" s="31">
        <v>17684200</v>
      </c>
      <c r="K56" s="31">
        <v>17684200</v>
      </c>
      <c r="L56" s="11">
        <f t="shared" si="7"/>
        <v>9661400</v>
      </c>
      <c r="M56" s="33">
        <f t="shared" si="8"/>
        <v>64.6692703762214</v>
      </c>
      <c r="N56" s="33">
        <f t="shared" si="11"/>
        <v>64.6692703762214</v>
      </c>
      <c r="O56" s="15"/>
      <c r="P56" s="2"/>
      <c r="Q56" s="2"/>
      <c r="R56" s="2"/>
      <c r="S56" s="32">
        <f>+I56</f>
        <v>27345600</v>
      </c>
      <c r="T56" s="32">
        <f t="shared" si="14"/>
        <v>27345600</v>
      </c>
      <c r="U56" s="32">
        <f t="shared" si="12"/>
        <v>27345600</v>
      </c>
      <c r="V56" s="32">
        <f t="shared" si="9"/>
        <v>0</v>
      </c>
      <c r="W56" s="2"/>
      <c r="X56" s="28">
        <f t="shared" si="10"/>
        <v>100</v>
      </c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30">
        <f>SUM(G58:G59)</f>
        <v>24024000</v>
      </c>
      <c r="H57" s="31">
        <f>SUM(H58:H59)</f>
        <v>0</v>
      </c>
      <c r="I57" s="31">
        <f t="shared" si="13"/>
        <v>24024000</v>
      </c>
      <c r="J57" s="31">
        <f>+J58+J59</f>
        <v>24024000</v>
      </c>
      <c r="K57" s="31">
        <f>+K58+K59</f>
        <v>24024000</v>
      </c>
      <c r="L57" s="11">
        <f t="shared" si="7"/>
        <v>0</v>
      </c>
      <c r="M57" s="33">
        <f t="shared" si="8"/>
        <v>100</v>
      </c>
      <c r="N57" s="33">
        <f t="shared" si="11"/>
        <v>100</v>
      </c>
      <c r="O57" s="33"/>
      <c r="P57" s="2"/>
      <c r="Q57" s="2"/>
      <c r="R57" s="2"/>
      <c r="S57" s="30">
        <f>SUM(S58:S59)</f>
        <v>24024000</v>
      </c>
      <c r="T57" s="30">
        <f>SUM(T58:T59)</f>
        <v>24024000</v>
      </c>
      <c r="U57" s="30">
        <f>SUM(U58:U59)</f>
        <v>24024000</v>
      </c>
      <c r="V57" s="32">
        <f t="shared" si="9"/>
        <v>0</v>
      </c>
      <c r="W57" s="2"/>
      <c r="X57" s="28">
        <f t="shared" si="10"/>
        <v>100</v>
      </c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2">
        <v>22601000</v>
      </c>
      <c r="H58" s="11">
        <v>0</v>
      </c>
      <c r="I58" s="11">
        <f>+G58+H58</f>
        <v>22601000</v>
      </c>
      <c r="J58" s="31">
        <f>+I58</f>
        <v>22601000</v>
      </c>
      <c r="K58" s="31">
        <f>+J58</f>
        <v>22601000</v>
      </c>
      <c r="L58" s="11">
        <f t="shared" si="7"/>
        <v>0</v>
      </c>
      <c r="M58" s="33">
        <f t="shared" si="8"/>
        <v>100</v>
      </c>
      <c r="N58" s="33">
        <f t="shared" si="11"/>
        <v>100</v>
      </c>
      <c r="O58" s="15"/>
      <c r="P58" s="2"/>
      <c r="Q58" s="2"/>
      <c r="R58" s="2"/>
      <c r="S58" s="32">
        <f>+I58</f>
        <v>22601000</v>
      </c>
      <c r="T58" s="32">
        <f>+I58</f>
        <v>22601000</v>
      </c>
      <c r="U58" s="32">
        <f>+T58</f>
        <v>22601000</v>
      </c>
      <c r="V58" s="32">
        <f t="shared" si="9"/>
        <v>0</v>
      </c>
      <c r="W58" s="2"/>
      <c r="X58" s="28">
        <f t="shared" si="10"/>
        <v>100</v>
      </c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2">
        <v>1423000</v>
      </c>
      <c r="H59" s="11">
        <v>0</v>
      </c>
      <c r="I59" s="11">
        <f>+G59+H59</f>
        <v>1423000</v>
      </c>
      <c r="J59" s="31">
        <f>+I59</f>
        <v>1423000</v>
      </c>
      <c r="K59" s="31">
        <f>+J59</f>
        <v>1423000</v>
      </c>
      <c r="L59" s="11">
        <f t="shared" si="7"/>
        <v>0</v>
      </c>
      <c r="M59" s="33">
        <f t="shared" si="8"/>
        <v>100</v>
      </c>
      <c r="N59" s="33">
        <f t="shared" si="11"/>
        <v>100</v>
      </c>
      <c r="O59" s="15"/>
      <c r="P59" s="2"/>
      <c r="Q59" s="2"/>
      <c r="R59" s="2"/>
      <c r="S59" s="32">
        <f>+I59</f>
        <v>1423000</v>
      </c>
      <c r="T59" s="32">
        <f>+I59</f>
        <v>1423000</v>
      </c>
      <c r="U59" s="32">
        <f>+T59</f>
        <v>1423000</v>
      </c>
      <c r="V59" s="32">
        <f t="shared" si="9"/>
        <v>0</v>
      </c>
      <c r="W59" s="2"/>
      <c r="X59" s="28">
        <v>0</v>
      </c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2">
        <f>+G61</f>
        <v>10231000</v>
      </c>
      <c r="H60" s="11">
        <f>+H61</f>
        <v>0</v>
      </c>
      <c r="I60" s="11">
        <f>+G60+H60</f>
        <v>10231000</v>
      </c>
      <c r="J60" s="31">
        <f>+J61</f>
        <v>0</v>
      </c>
      <c r="K60" s="31">
        <f>+K61</f>
        <v>0</v>
      </c>
      <c r="L60" s="11">
        <f t="shared" si="7"/>
        <v>10231000</v>
      </c>
      <c r="M60" s="33">
        <f t="shared" si="8"/>
        <v>0</v>
      </c>
      <c r="N60" s="33">
        <f t="shared" si="11"/>
        <v>0</v>
      </c>
      <c r="O60" s="15"/>
      <c r="P60" s="2"/>
      <c r="Q60" s="2"/>
      <c r="R60" s="2"/>
      <c r="S60" s="32">
        <f>+S61</f>
        <v>0</v>
      </c>
      <c r="T60" s="32">
        <f>+T61</f>
        <v>10231000</v>
      </c>
      <c r="U60" s="32">
        <f>+U61</f>
        <v>0</v>
      </c>
      <c r="V60" s="32">
        <f t="shared" si="9"/>
        <v>0</v>
      </c>
      <c r="W60" s="2"/>
      <c r="X60" s="28">
        <v>0</v>
      </c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v>10231000</v>
      </c>
      <c r="H61" s="11">
        <v>0</v>
      </c>
      <c r="I61" s="11">
        <f>+G61+H61</f>
        <v>10231000</v>
      </c>
      <c r="J61" s="31">
        <v>0</v>
      </c>
      <c r="K61" s="31">
        <v>0</v>
      </c>
      <c r="L61" s="11">
        <f t="shared" si="7"/>
        <v>10231000</v>
      </c>
      <c r="M61" s="33">
        <f t="shared" si="8"/>
        <v>0</v>
      </c>
      <c r="N61" s="33">
        <f t="shared" si="11"/>
        <v>0</v>
      </c>
      <c r="O61" s="15"/>
      <c r="P61" s="2"/>
      <c r="Q61" s="2"/>
      <c r="R61" s="2"/>
      <c r="S61" s="32">
        <v>0</v>
      </c>
      <c r="T61" s="32">
        <f>+I61</f>
        <v>10231000</v>
      </c>
      <c r="U61" s="32">
        <v>0</v>
      </c>
      <c r="V61" s="32">
        <f t="shared" si="9"/>
        <v>0</v>
      </c>
      <c r="W61" s="2"/>
      <c r="X61" s="28">
        <v>0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13" t="s">
        <v>1</v>
      </c>
      <c r="J62" s="31" t="s">
        <v>1</v>
      </c>
      <c r="K62" s="31"/>
      <c r="L62" s="12"/>
      <c r="M62" s="33" t="s">
        <v>1</v>
      </c>
      <c r="N62" s="15"/>
      <c r="O62" s="15"/>
      <c r="P62" s="2"/>
      <c r="Q62" s="2"/>
      <c r="R62" s="2"/>
      <c r="S62" s="2"/>
      <c r="T62" s="2"/>
      <c r="U62" s="2"/>
      <c r="V62" s="2"/>
      <c r="W62" s="2"/>
      <c r="X62" s="28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7:51" ht="12.75">
      <c r="G63" s="34" t="s">
        <v>1</v>
      </c>
      <c r="H63" s="79" t="s">
        <v>1</v>
      </c>
      <c r="I63" s="78" t="s">
        <v>1</v>
      </c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7:51" ht="12.75">
      <c r="G64" s="34"/>
      <c r="H64" s="82"/>
      <c r="I64" s="83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85"/>
      <c r="U64" s="85"/>
      <c r="V64" s="96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7:51" ht="15">
      <c r="G65" s="7"/>
      <c r="H65" s="84"/>
      <c r="I65" s="9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"/>
      <c r="X65" s="1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7:51" ht="12.75">
      <c r="G66" s="7"/>
      <c r="H66" s="84"/>
      <c r="I66" s="83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1"/>
      <c r="X66" s="1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7:51" ht="12.75">
      <c r="G67" s="7"/>
      <c r="H67" s="84"/>
      <c r="I67" s="84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1"/>
      <c r="X67" s="1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7:51" ht="12.75">
      <c r="G68" s="7"/>
      <c r="H68" s="84"/>
      <c r="I68" s="84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1"/>
      <c r="X68" s="1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7:51" ht="12.75">
      <c r="G69" s="1"/>
      <c r="H69" s="84"/>
      <c r="I69" s="84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84"/>
      <c r="U69" s="84"/>
      <c r="V69" s="58"/>
      <c r="W69" s="1"/>
      <c r="X69" s="1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7:51" ht="12.75">
      <c r="G70" s="1"/>
      <c r="H70" s="84"/>
      <c r="I70" s="84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84"/>
      <c r="U70" s="84"/>
      <c r="V70" s="58"/>
      <c r="W70" s="1"/>
      <c r="X70" s="1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7:51" ht="12.75">
      <c r="G71" s="1"/>
      <c r="H71" s="84"/>
      <c r="I71" s="83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84"/>
      <c r="U71" s="84"/>
      <c r="V71" s="58"/>
      <c r="W71" s="1"/>
      <c r="X71" s="1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7:51" ht="12.75">
      <c r="G72" s="1"/>
      <c r="H72" s="84"/>
      <c r="I72" s="83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4"/>
      <c r="U72" s="84"/>
      <c r="V72" s="58"/>
      <c r="W72" s="1"/>
      <c r="X72" s="1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7:51" ht="12.75">
      <c r="G73" s="1"/>
      <c r="H73" s="84"/>
      <c r="I73" s="83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83"/>
      <c r="U73" s="83"/>
      <c r="V73" s="58"/>
      <c r="W73" s="1"/>
      <c r="X73" s="1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7:51" ht="12.75">
      <c r="G74" s="1"/>
      <c r="H74" s="84"/>
      <c r="I74" s="84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1"/>
      <c r="X74" s="1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7:51" ht="12.75">
      <c r="G75" s="1"/>
      <c r="H75" s="84"/>
      <c r="I75" s="84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1"/>
      <c r="X75" s="1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7:51" ht="12.75">
      <c r="G76" s="1"/>
      <c r="H76" s="84"/>
      <c r="I76" s="84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1"/>
      <c r="X76" s="1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7:51" ht="12.75">
      <c r="G77" s="1"/>
      <c r="H77" s="84"/>
      <c r="I77" s="83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99"/>
      <c r="U77" s="58"/>
      <c r="V77" s="58"/>
      <c r="W77" s="1"/>
      <c r="X77" s="1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7:51" ht="12.75">
      <c r="G78" s="1"/>
      <c r="H78" s="84"/>
      <c r="I78" s="8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1"/>
      <c r="X78" s="1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7:51" ht="12.75">
      <c r="G79" s="1"/>
      <c r="H79" s="98"/>
      <c r="I79" s="9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7:51" ht="12.75">
      <c r="G80" s="1"/>
      <c r="H80" s="98"/>
      <c r="I80" s="9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7:51" ht="12.75">
      <c r="G81" s="1"/>
      <c r="H81" s="98"/>
      <c r="I81" s="9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7:51" ht="12.75">
      <c r="G82" s="1"/>
      <c r="H82" s="98"/>
      <c r="I82" s="9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7:51" ht="12.75">
      <c r="G83" s="1"/>
      <c r="H83" s="98"/>
      <c r="I83" s="9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7:51" ht="12.75">
      <c r="G84" s="1"/>
      <c r="H84" s="98"/>
      <c r="I84" s="9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7:51" ht="12.75">
      <c r="G85" s="1"/>
      <c r="H85" s="98"/>
      <c r="I85" s="9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7:51" ht="12.75">
      <c r="G86" s="1"/>
      <c r="H86" s="98"/>
      <c r="I86" s="9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7:51" ht="12.75">
      <c r="G87" s="1"/>
      <c r="H87" s="98"/>
      <c r="I87" s="9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7:51" ht="12.75">
      <c r="G88" s="1"/>
      <c r="H88" s="98"/>
      <c r="I88" s="9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7:51" ht="12.75">
      <c r="G89" s="1"/>
      <c r="H89" s="98"/>
      <c r="I89" s="9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7:51" ht="12.75">
      <c r="G90" s="1"/>
      <c r="H90" s="98"/>
      <c r="I90" s="9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7:51" ht="12.75">
      <c r="G91" s="1"/>
      <c r="H91" s="98"/>
      <c r="I91" s="9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7:51" ht="12.75">
      <c r="G92" s="1"/>
      <c r="H92" s="98"/>
      <c r="I92" s="9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7:51" ht="12.75">
      <c r="G93" s="1"/>
      <c r="H93" s="98"/>
      <c r="I93" s="9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7:51" ht="12.75">
      <c r="G94" s="1"/>
      <c r="H94" s="98"/>
      <c r="I94" s="9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7:51" ht="12.75">
      <c r="G95" s="1"/>
      <c r="H95" s="98"/>
      <c r="I95" s="9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7:51" ht="12.75">
      <c r="G96" s="1"/>
      <c r="H96" s="98"/>
      <c r="I96" s="9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7:51" ht="12.75">
      <c r="G97" s="1"/>
      <c r="H97" s="98"/>
      <c r="I97" s="9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7:51" ht="12.75">
      <c r="G98" s="1"/>
      <c r="H98" s="98"/>
      <c r="I98" s="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7:51" ht="12.75">
      <c r="G99" s="1"/>
      <c r="H99" s="98"/>
      <c r="I99" s="9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7:51" ht="12.75">
      <c r="G100" s="1"/>
      <c r="H100" s="98"/>
      <c r="I100" s="9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7:51" ht="12.75">
      <c r="G101" s="1"/>
      <c r="H101" s="98"/>
      <c r="I101" s="9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7:51" ht="12.75">
      <c r="G102" s="1"/>
      <c r="H102" s="98"/>
      <c r="I102" s="9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7:51" ht="12.75">
      <c r="G103" s="1"/>
      <c r="H103" s="98"/>
      <c r="I103" s="9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7:51" ht="12.75">
      <c r="G104" s="1"/>
      <c r="H104" s="98"/>
      <c r="I104" s="9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7:51" ht="12.75">
      <c r="G105" s="1"/>
      <c r="H105" s="98"/>
      <c r="I105" s="9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7:51" ht="12.75">
      <c r="G106" s="1"/>
      <c r="H106" s="98"/>
      <c r="I106" s="9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7:24" ht="12.75">
      <c r="G107" s="1"/>
      <c r="H107" s="98"/>
      <c r="I107" s="9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7:24" ht="12.75">
      <c r="G108" s="1"/>
      <c r="H108" s="98"/>
      <c r="I108" s="9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7:24" ht="12.75">
      <c r="G109" s="1"/>
      <c r="H109" s="98"/>
      <c r="I109" s="9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7:24" ht="12.75">
      <c r="G110" s="1"/>
      <c r="H110" s="98"/>
      <c r="I110" s="9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7:24" ht="12.75">
      <c r="G111" s="1"/>
      <c r="H111" s="98"/>
      <c r="I111" s="9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7:24" ht="12.75">
      <c r="G112" s="1"/>
      <c r="H112" s="98"/>
      <c r="I112" s="9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7:24" ht="12.75">
      <c r="G113" s="1"/>
      <c r="H113" s="98"/>
      <c r="I113" s="9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7:24" ht="12.75">
      <c r="G114" s="1"/>
      <c r="H114" s="98"/>
      <c r="I114" s="9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7:24" ht="12.75">
      <c r="G115" s="1"/>
      <c r="H115" s="98"/>
      <c r="I115" s="9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7:24" ht="12.75">
      <c r="G116" s="1"/>
      <c r="H116" s="98"/>
      <c r="I116" s="9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</sheetData>
  <sheetProtection/>
  <mergeCells count="6">
    <mergeCell ref="A39:X39"/>
    <mergeCell ref="A1:X1"/>
    <mergeCell ref="A2:X2"/>
    <mergeCell ref="A3:X3"/>
    <mergeCell ref="A38:X38"/>
    <mergeCell ref="A37:X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5" t="s">
        <v>131</v>
      </c>
      <c r="H2" s="55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5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5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5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5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5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5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5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5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5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5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5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5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5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5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5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5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5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5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5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2"/>
  <sheetViews>
    <sheetView zoomScaleSheetLayoutView="100" zoomScalePageLayoutView="0" workbookViewId="0" topLeftCell="A1">
      <selection activeCell="G22" sqref="G22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6" width="17.8515625" style="0" customWidth="1"/>
    <col min="27" max="27" width="16.140625" style="0" customWidth="1"/>
    <col min="28" max="28" width="16.28125" style="0" hidden="1" customWidth="1"/>
    <col min="29" max="29" width="16.7109375" style="0" customWidth="1"/>
    <col min="30" max="30" width="15.28125" style="1" bestFit="1" customWidth="1"/>
    <col min="31" max="31" width="22.8515625" style="0" customWidth="1"/>
  </cols>
  <sheetData>
    <row r="1" spans="1:29" ht="12.75">
      <c r="A1" s="127"/>
      <c r="B1" s="128"/>
      <c r="C1" s="129" t="s">
        <v>1</v>
      </c>
      <c r="D1" s="130" t="s">
        <v>1</v>
      </c>
      <c r="E1" s="146" t="s">
        <v>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31"/>
    </row>
    <row r="2" spans="1:29" ht="12.75">
      <c r="A2" s="132"/>
      <c r="B2" s="2"/>
      <c r="C2" s="47" t="s">
        <v>1</v>
      </c>
      <c r="D2" s="48" t="s">
        <v>1</v>
      </c>
      <c r="E2" s="145" t="s">
        <v>168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33"/>
    </row>
    <row r="3" spans="1:29" ht="12.75">
      <c r="A3" s="132"/>
      <c r="B3" s="2"/>
      <c r="C3" s="2"/>
      <c r="D3" s="2"/>
      <c r="E3" s="48"/>
      <c r="F3" s="48"/>
      <c r="G3" s="48" t="s">
        <v>1</v>
      </c>
      <c r="H3" s="9" t="s">
        <v>1</v>
      </c>
      <c r="I3" s="49" t="s">
        <v>1</v>
      </c>
      <c r="J3" s="12"/>
      <c r="K3" s="12"/>
      <c r="L3" s="12"/>
      <c r="M3" s="12"/>
      <c r="N3" s="12"/>
      <c r="O3" s="49"/>
      <c r="P3" s="49"/>
      <c r="Q3" s="49"/>
      <c r="R3" s="49"/>
      <c r="S3" s="49"/>
      <c r="T3" s="49"/>
      <c r="U3" s="13" t="s">
        <v>1</v>
      </c>
      <c r="V3" s="15"/>
      <c r="W3" s="15"/>
      <c r="X3" s="2"/>
      <c r="Y3" s="2"/>
      <c r="Z3" s="2"/>
      <c r="AA3" s="2"/>
      <c r="AB3" s="2"/>
      <c r="AC3" s="133"/>
    </row>
    <row r="4" spans="1:29" ht="12.75">
      <c r="A4" s="132"/>
      <c r="B4" s="2"/>
      <c r="C4" s="2"/>
      <c r="D4" s="2"/>
      <c r="E4" s="48"/>
      <c r="F4" s="2"/>
      <c r="G4" s="8" t="s">
        <v>1</v>
      </c>
      <c r="H4" s="9" t="s">
        <v>1</v>
      </c>
      <c r="I4" s="50" t="s">
        <v>1</v>
      </c>
      <c r="J4" s="12"/>
      <c r="K4" s="12"/>
      <c r="L4" s="12"/>
      <c r="M4" s="12"/>
      <c r="N4" s="12"/>
      <c r="O4" s="51"/>
      <c r="P4" s="51"/>
      <c r="Q4" s="51"/>
      <c r="R4" s="51"/>
      <c r="S4" s="51"/>
      <c r="T4" s="51"/>
      <c r="U4" s="11" t="s">
        <v>1</v>
      </c>
      <c r="V4" s="15"/>
      <c r="W4" s="15"/>
      <c r="X4" s="2"/>
      <c r="Y4" s="2"/>
      <c r="Z4" s="2"/>
      <c r="AA4" s="4" t="s">
        <v>1</v>
      </c>
      <c r="AB4" s="2"/>
      <c r="AC4" s="133"/>
    </row>
    <row r="5" spans="1:29" ht="38.25" customHeight="1">
      <c r="A5" s="134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2"/>
      <c r="J5" s="23"/>
      <c r="K5" s="42"/>
      <c r="L5" s="42"/>
      <c r="M5" s="42"/>
      <c r="N5" s="42" t="s">
        <v>1</v>
      </c>
      <c r="O5" s="42"/>
      <c r="P5" s="43"/>
      <c r="Q5" s="42"/>
      <c r="R5" s="42"/>
      <c r="S5" s="42"/>
      <c r="T5" s="42"/>
      <c r="U5" s="42" t="s">
        <v>1</v>
      </c>
      <c r="V5" s="42"/>
      <c r="W5" s="44"/>
      <c r="X5" s="45" t="s">
        <v>72</v>
      </c>
      <c r="Y5" s="45" t="s">
        <v>76</v>
      </c>
      <c r="Z5" s="46" t="s">
        <v>35</v>
      </c>
      <c r="AA5" s="46" t="s">
        <v>83</v>
      </c>
      <c r="AB5" s="46" t="s">
        <v>73</v>
      </c>
      <c r="AC5" s="135" t="s">
        <v>47</v>
      </c>
    </row>
    <row r="6" spans="1:29" ht="38.25" customHeight="1">
      <c r="A6" s="134"/>
      <c r="B6" s="36"/>
      <c r="C6" s="37"/>
      <c r="D6" s="37"/>
      <c r="E6" s="119"/>
      <c r="F6" s="39"/>
      <c r="G6" s="40"/>
      <c r="H6" s="40"/>
      <c r="I6" s="42"/>
      <c r="J6" s="23"/>
      <c r="K6" s="42"/>
      <c r="L6" s="42"/>
      <c r="M6" s="42"/>
      <c r="N6" s="42"/>
      <c r="O6" s="42"/>
      <c r="P6" s="43"/>
      <c r="Q6" s="42"/>
      <c r="R6" s="42"/>
      <c r="S6" s="42"/>
      <c r="T6" s="42"/>
      <c r="U6" s="42"/>
      <c r="V6" s="42"/>
      <c r="W6" s="44"/>
      <c r="X6" s="45"/>
      <c r="Y6" s="45"/>
      <c r="Z6" s="46"/>
      <c r="AA6" s="46"/>
      <c r="AB6" s="46"/>
      <c r="AC6" s="135"/>
    </row>
    <row r="7" spans="1:31" ht="22.5" customHeight="1">
      <c r="A7" s="60" t="s">
        <v>24</v>
      </c>
      <c r="B7" s="5"/>
      <c r="C7" s="17"/>
      <c r="D7" s="6"/>
      <c r="E7" s="112" t="s">
        <v>154</v>
      </c>
      <c r="F7" s="94">
        <f>2264691754</f>
        <v>2264691754</v>
      </c>
      <c r="G7" s="94">
        <f>182692640+117307360+150000000-160000000</f>
        <v>290000000</v>
      </c>
      <c r="H7" s="24">
        <f>+F7+G7</f>
        <v>2554691754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92"/>
      <c r="Y7" s="92">
        <v>3214239602</v>
      </c>
      <c r="Z7" s="120">
        <v>2186699573</v>
      </c>
      <c r="AA7" s="80">
        <f aca="true" t="shared" si="0" ref="AA7:AA20">+H7-Z7</f>
        <v>367992181</v>
      </c>
      <c r="AB7" s="81">
        <f aca="true" t="shared" si="1" ref="AB7:AB20">+X7/H7*100</f>
        <v>0</v>
      </c>
      <c r="AC7" s="136">
        <f aca="true" t="shared" si="2" ref="AC7:AC18">+Z7/H7*100</f>
        <v>85.59543708457909</v>
      </c>
      <c r="AD7" s="7" t="s">
        <v>1</v>
      </c>
      <c r="AE7" s="1"/>
    </row>
    <row r="8" spans="1:31" ht="22.5" customHeight="1">
      <c r="A8" s="60" t="s">
        <v>24</v>
      </c>
      <c r="B8" s="5"/>
      <c r="C8" s="17"/>
      <c r="D8" s="6"/>
      <c r="E8" s="112" t="s">
        <v>155</v>
      </c>
      <c r="F8" s="94">
        <f>4015666202</f>
        <v>4015666202</v>
      </c>
      <c r="G8" s="94">
        <f>288670000+132500000+714487346+1223057634+144119636-39136454</f>
        <v>2463698162</v>
      </c>
      <c r="H8" s="24">
        <f aca="true" t="shared" si="3" ref="H8:H20">+F8+G8</f>
        <v>6479364364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92"/>
      <c r="Y8" s="92">
        <v>4419101489</v>
      </c>
      <c r="Z8" s="120">
        <v>6277872677</v>
      </c>
      <c r="AA8" s="80">
        <f t="shared" si="0"/>
        <v>201491687</v>
      </c>
      <c r="AB8" s="81">
        <f t="shared" si="1"/>
        <v>0</v>
      </c>
      <c r="AC8" s="136">
        <f t="shared" si="2"/>
        <v>96.89025534480653</v>
      </c>
      <c r="AD8" s="7" t="s">
        <v>1</v>
      </c>
      <c r="AE8" s="1"/>
    </row>
    <row r="9" spans="1:31" ht="22.5" customHeight="1">
      <c r="A9" s="60" t="s">
        <v>24</v>
      </c>
      <c r="B9" s="5"/>
      <c r="C9" s="17"/>
      <c r="D9" s="6"/>
      <c r="E9" s="112" t="s">
        <v>156</v>
      </c>
      <c r="F9" s="94">
        <f>1301738835</f>
        <v>1301738835</v>
      </c>
      <c r="G9" s="94">
        <v>552412945</v>
      </c>
      <c r="H9" s="24">
        <f t="shared" si="3"/>
        <v>1854151780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92"/>
      <c r="Y9" s="92">
        <v>1177233207</v>
      </c>
      <c r="Z9" s="120">
        <v>1854132109</v>
      </c>
      <c r="AA9" s="80">
        <f t="shared" si="0"/>
        <v>19671</v>
      </c>
      <c r="AB9" s="81">
        <f t="shared" si="1"/>
        <v>0</v>
      </c>
      <c r="AC9" s="136">
        <f t="shared" si="2"/>
        <v>99.99893908361699</v>
      </c>
      <c r="AD9" s="7" t="s">
        <v>1</v>
      </c>
      <c r="AE9" s="1"/>
    </row>
    <row r="10" spans="1:31" ht="22.5" customHeight="1">
      <c r="A10" s="60" t="s">
        <v>24</v>
      </c>
      <c r="B10" s="5"/>
      <c r="C10" s="17"/>
      <c r="D10" s="6"/>
      <c r="E10" s="112" t="s">
        <v>157</v>
      </c>
      <c r="F10" s="94">
        <f>400000000</f>
        <v>400000000</v>
      </c>
      <c r="G10" s="94">
        <v>381000000</v>
      </c>
      <c r="H10" s="24">
        <f t="shared" si="3"/>
        <v>781000000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92"/>
      <c r="Y10" s="92">
        <v>105456683</v>
      </c>
      <c r="Z10" s="120">
        <v>774695167</v>
      </c>
      <c r="AA10" s="80">
        <f t="shared" si="0"/>
        <v>6304833</v>
      </c>
      <c r="AB10" s="81">
        <f t="shared" si="1"/>
        <v>0</v>
      </c>
      <c r="AC10" s="136">
        <f t="shared" si="2"/>
        <v>99.19272304737517</v>
      </c>
      <c r="AD10" s="7" t="s">
        <v>1</v>
      </c>
      <c r="AE10" s="1"/>
    </row>
    <row r="11" spans="1:31" ht="22.5" customHeight="1">
      <c r="A11" s="60" t="s">
        <v>24</v>
      </c>
      <c r="B11" s="5"/>
      <c r="C11" s="17"/>
      <c r="D11" s="6"/>
      <c r="E11" s="112" t="s">
        <v>158</v>
      </c>
      <c r="F11" s="94">
        <f>1358437028</f>
        <v>1358437028</v>
      </c>
      <c r="G11" s="94">
        <v>100000000</v>
      </c>
      <c r="H11" s="24">
        <f t="shared" si="3"/>
        <v>1458437028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92"/>
      <c r="Y11" s="92">
        <v>589361612</v>
      </c>
      <c r="Z11" s="120">
        <v>1225954577</v>
      </c>
      <c r="AA11" s="80">
        <f t="shared" si="0"/>
        <v>232482451</v>
      </c>
      <c r="AB11" s="81">
        <f t="shared" si="1"/>
        <v>0</v>
      </c>
      <c r="AC11" s="136">
        <f t="shared" si="2"/>
        <v>84.05947966647484</v>
      </c>
      <c r="AD11" s="7" t="s">
        <v>1</v>
      </c>
      <c r="AE11" s="1"/>
    </row>
    <row r="12" spans="1:31" ht="22.5" customHeight="1">
      <c r="A12" s="60" t="s">
        <v>24</v>
      </c>
      <c r="B12" s="5"/>
      <c r="C12" s="17"/>
      <c r="D12" s="6"/>
      <c r="E12" s="112" t="s">
        <v>159</v>
      </c>
      <c r="F12" s="94">
        <f>915000000</f>
        <v>915000000</v>
      </c>
      <c r="G12" s="94">
        <f>147320753+180000000+2679247+823741758-823741758</f>
        <v>330000000</v>
      </c>
      <c r="H12" s="24">
        <f t="shared" si="3"/>
        <v>1245000000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92"/>
      <c r="Y12" s="92">
        <v>4620016737</v>
      </c>
      <c r="Z12" s="120">
        <v>1186220476</v>
      </c>
      <c r="AA12" s="80">
        <f t="shared" si="0"/>
        <v>58779524</v>
      </c>
      <c r="AB12" s="81">
        <f t="shared" si="1"/>
        <v>0</v>
      </c>
      <c r="AC12" s="136">
        <f t="shared" si="2"/>
        <v>95.27875309236947</v>
      </c>
      <c r="AE12" s="1"/>
    </row>
    <row r="13" spans="1:31" ht="22.5" customHeight="1">
      <c r="A13" s="60" t="s">
        <v>24</v>
      </c>
      <c r="B13" s="5"/>
      <c r="C13" s="17"/>
      <c r="D13" s="6"/>
      <c r="E13" s="112" t="s">
        <v>160</v>
      </c>
      <c r="F13" s="94">
        <v>0</v>
      </c>
      <c r="G13" s="94">
        <v>823741758</v>
      </c>
      <c r="H13" s="24">
        <f t="shared" si="3"/>
        <v>823741758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92"/>
      <c r="Y13" s="92">
        <v>50200000</v>
      </c>
      <c r="Z13" s="120">
        <v>823741567</v>
      </c>
      <c r="AA13" s="80">
        <f t="shared" si="0"/>
        <v>191</v>
      </c>
      <c r="AB13" s="81">
        <f t="shared" si="1"/>
        <v>0</v>
      </c>
      <c r="AC13" s="136">
        <f t="shared" si="2"/>
        <v>99.99997681312158</v>
      </c>
      <c r="AD13" s="7" t="s">
        <v>1</v>
      </c>
      <c r="AE13" s="1"/>
    </row>
    <row r="14" spans="1:31" ht="22.5" customHeight="1">
      <c r="A14" s="60" t="s">
        <v>24</v>
      </c>
      <c r="B14" s="5"/>
      <c r="C14" s="17"/>
      <c r="D14" s="6"/>
      <c r="E14" s="112" t="s">
        <v>161</v>
      </c>
      <c r="F14" s="94">
        <f>574183700</f>
        <v>574183700</v>
      </c>
      <c r="G14" s="94">
        <v>270000000</v>
      </c>
      <c r="H14" s="24">
        <f t="shared" si="3"/>
        <v>844183700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92"/>
      <c r="Y14" s="92">
        <v>850659482</v>
      </c>
      <c r="Z14" s="120">
        <v>813991537</v>
      </c>
      <c r="AA14" s="80">
        <f t="shared" si="0"/>
        <v>30192163</v>
      </c>
      <c r="AB14" s="81">
        <f t="shared" si="1"/>
        <v>0</v>
      </c>
      <c r="AC14" s="136">
        <f t="shared" si="2"/>
        <v>96.42350794027413</v>
      </c>
      <c r="AE14" s="1"/>
    </row>
    <row r="15" spans="1:31" ht="22.5" customHeight="1">
      <c r="A15" s="60" t="s">
        <v>24</v>
      </c>
      <c r="B15" s="5"/>
      <c r="C15" s="17"/>
      <c r="D15" s="6"/>
      <c r="E15" s="112" t="s">
        <v>162</v>
      </c>
      <c r="F15" s="94">
        <v>2487631738</v>
      </c>
      <c r="G15" s="94">
        <v>0</v>
      </c>
      <c r="H15" s="24">
        <f t="shared" si="3"/>
        <v>2487631738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92"/>
      <c r="Y15" s="92">
        <v>169389594</v>
      </c>
      <c r="Z15" s="120">
        <v>2462938495</v>
      </c>
      <c r="AA15" s="80">
        <f t="shared" si="0"/>
        <v>24693243</v>
      </c>
      <c r="AB15" s="81">
        <f t="shared" si="1"/>
        <v>0</v>
      </c>
      <c r="AC15" s="136">
        <f t="shared" si="2"/>
        <v>99.00735938431737</v>
      </c>
      <c r="AE15" s="1"/>
    </row>
    <row r="16" spans="1:31" ht="22.5" customHeight="1">
      <c r="A16" s="60" t="s">
        <v>24</v>
      </c>
      <c r="B16" s="5"/>
      <c r="C16" s="17"/>
      <c r="D16" s="6"/>
      <c r="E16" s="112" t="s">
        <v>163</v>
      </c>
      <c r="F16" s="94">
        <f>620000000</f>
        <v>620000000</v>
      </c>
      <c r="G16" s="94">
        <f>74009341+25990659</f>
        <v>100000000</v>
      </c>
      <c r="H16" s="24">
        <f t="shared" si="3"/>
        <v>720000000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92"/>
      <c r="Y16" s="92">
        <v>218654899</v>
      </c>
      <c r="Z16" s="120">
        <v>717110126</v>
      </c>
      <c r="AA16" s="80">
        <f t="shared" si="0"/>
        <v>2889874</v>
      </c>
      <c r="AB16" s="81">
        <f t="shared" si="1"/>
        <v>0</v>
      </c>
      <c r="AC16" s="136">
        <f t="shared" si="2"/>
        <v>99.59862861111111</v>
      </c>
      <c r="AE16" s="1"/>
    </row>
    <row r="17" spans="1:31" ht="22.5" customHeight="1">
      <c r="A17" s="60" t="s">
        <v>24</v>
      </c>
      <c r="B17" s="5"/>
      <c r="C17" s="17"/>
      <c r="D17" s="6"/>
      <c r="E17" s="112" t="s">
        <v>164</v>
      </c>
      <c r="F17" s="94">
        <f>1000000000</f>
        <v>1000000000</v>
      </c>
      <c r="G17" s="94">
        <f>187753222+776611335-776611335</f>
        <v>187753222</v>
      </c>
      <c r="H17" s="24">
        <f t="shared" si="3"/>
        <v>1187753222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92"/>
      <c r="Y17" s="92">
        <v>1180795963</v>
      </c>
      <c r="Z17" s="120">
        <v>1186214738</v>
      </c>
      <c r="AA17" s="80">
        <f t="shared" si="0"/>
        <v>1538484</v>
      </c>
      <c r="AB17" s="81">
        <f t="shared" si="1"/>
        <v>0</v>
      </c>
      <c r="AC17" s="136">
        <f t="shared" si="2"/>
        <v>99.87047107332536</v>
      </c>
      <c r="AD17" s="7" t="s">
        <v>1</v>
      </c>
      <c r="AE17" s="1"/>
    </row>
    <row r="18" spans="1:31" ht="22.5" customHeight="1">
      <c r="A18" s="60" t="s">
        <v>24</v>
      </c>
      <c r="B18" s="5"/>
      <c r="C18" s="17"/>
      <c r="D18" s="6"/>
      <c r="E18" s="112" t="s">
        <v>170</v>
      </c>
      <c r="F18" s="94">
        <v>0</v>
      </c>
      <c r="G18" s="94">
        <v>776611335</v>
      </c>
      <c r="H18" s="24">
        <f t="shared" si="3"/>
        <v>776611335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92"/>
      <c r="Y18" s="92">
        <v>905817417</v>
      </c>
      <c r="Z18" s="120">
        <v>771828676</v>
      </c>
      <c r="AA18" s="80">
        <f t="shared" si="0"/>
        <v>4782659</v>
      </c>
      <c r="AB18" s="81">
        <f t="shared" si="1"/>
        <v>0</v>
      </c>
      <c r="AC18" s="136">
        <f t="shared" si="2"/>
        <v>99.38416312195598</v>
      </c>
      <c r="AE18" s="1"/>
    </row>
    <row r="19" spans="1:31" ht="22.5" customHeight="1">
      <c r="A19" s="60" t="s">
        <v>24</v>
      </c>
      <c r="B19" s="5"/>
      <c r="C19" s="17"/>
      <c r="D19" s="6"/>
      <c r="E19" s="112" t="s">
        <v>165</v>
      </c>
      <c r="F19" s="94">
        <f>1400000000</f>
        <v>1400000000</v>
      </c>
      <c r="G19" s="94">
        <v>802400893</v>
      </c>
      <c r="H19" s="24">
        <f t="shared" si="3"/>
        <v>2202400893</v>
      </c>
      <c r="I19" s="21"/>
      <c r="J19" s="23"/>
      <c r="K19" s="21"/>
      <c r="L19" s="21"/>
      <c r="M19" s="21"/>
      <c r="N19" s="21"/>
      <c r="O19" s="21"/>
      <c r="P19" s="22"/>
      <c r="Q19" s="21"/>
      <c r="R19" s="21"/>
      <c r="S19" s="21"/>
      <c r="T19" s="21"/>
      <c r="U19" s="22"/>
      <c r="V19" s="21"/>
      <c r="W19" s="24"/>
      <c r="X19" s="92"/>
      <c r="Y19" s="92"/>
      <c r="Z19" s="120">
        <v>2169866016</v>
      </c>
      <c r="AA19" s="80">
        <f t="shared" si="0"/>
        <v>32534877</v>
      </c>
      <c r="AB19" s="81">
        <f t="shared" si="1"/>
        <v>0</v>
      </c>
      <c r="AC19" s="137" t="s">
        <v>1</v>
      </c>
      <c r="AE19" s="1"/>
    </row>
    <row r="20" spans="1:31" ht="22.5" customHeight="1">
      <c r="A20" s="60" t="s">
        <v>24</v>
      </c>
      <c r="B20" s="5"/>
      <c r="C20" s="17"/>
      <c r="D20" s="6"/>
      <c r="E20" s="112" t="s">
        <v>166</v>
      </c>
      <c r="F20" s="94">
        <f>1300000000</f>
        <v>1300000000</v>
      </c>
      <c r="G20" s="94">
        <v>100000000</v>
      </c>
      <c r="H20" s="24">
        <f t="shared" si="3"/>
        <v>1400000000</v>
      </c>
      <c r="I20" s="61">
        <f aca="true" t="shared" si="4" ref="I20:Y20">SUM(I7:I19)</f>
        <v>0</v>
      </c>
      <c r="J20" s="61">
        <f t="shared" si="4"/>
        <v>0</v>
      </c>
      <c r="K20" s="61">
        <f t="shared" si="4"/>
        <v>0</v>
      </c>
      <c r="L20" s="61">
        <f t="shared" si="4"/>
        <v>0</v>
      </c>
      <c r="M20" s="61">
        <f t="shared" si="4"/>
        <v>0</v>
      </c>
      <c r="N20" s="61">
        <f t="shared" si="4"/>
        <v>0</v>
      </c>
      <c r="O20" s="61">
        <f t="shared" si="4"/>
        <v>0</v>
      </c>
      <c r="P20" s="61">
        <f t="shared" si="4"/>
        <v>0</v>
      </c>
      <c r="Q20" s="61">
        <f t="shared" si="4"/>
        <v>0</v>
      </c>
      <c r="R20" s="61">
        <f t="shared" si="4"/>
        <v>0</v>
      </c>
      <c r="S20" s="61">
        <f t="shared" si="4"/>
        <v>0</v>
      </c>
      <c r="T20" s="61">
        <f t="shared" si="4"/>
        <v>0</v>
      </c>
      <c r="U20" s="61">
        <f t="shared" si="4"/>
        <v>0</v>
      </c>
      <c r="V20" s="61">
        <f t="shared" si="4"/>
        <v>0</v>
      </c>
      <c r="W20" s="61">
        <f t="shared" si="4"/>
        <v>0</v>
      </c>
      <c r="X20" s="61">
        <f t="shared" si="4"/>
        <v>0</v>
      </c>
      <c r="Y20" s="61">
        <f t="shared" si="4"/>
        <v>17500926685</v>
      </c>
      <c r="Z20" s="120">
        <v>1314601617</v>
      </c>
      <c r="AA20" s="80">
        <f t="shared" si="0"/>
        <v>85398383</v>
      </c>
      <c r="AB20" s="81">
        <f t="shared" si="1"/>
        <v>0</v>
      </c>
      <c r="AC20" s="136">
        <f>+Z20/H20*100</f>
        <v>93.9001155</v>
      </c>
      <c r="AE20" s="1"/>
    </row>
    <row r="21" spans="1:31" ht="22.5" customHeight="1">
      <c r="A21" s="60" t="s">
        <v>1</v>
      </c>
      <c r="B21" s="5"/>
      <c r="C21" s="17"/>
      <c r="D21" s="6"/>
      <c r="E21" s="62"/>
      <c r="F21" s="61"/>
      <c r="G21" s="57" t="s">
        <v>1</v>
      </c>
      <c r="H21" s="24" t="s">
        <v>1</v>
      </c>
      <c r="I21" s="21"/>
      <c r="J21" s="23"/>
      <c r="K21" s="21"/>
      <c r="L21" s="21"/>
      <c r="M21" s="21"/>
      <c r="N21" s="21"/>
      <c r="O21" s="21"/>
      <c r="P21" s="22"/>
      <c r="Q21" s="21"/>
      <c r="R21" s="21"/>
      <c r="S21" s="21"/>
      <c r="T21" s="21"/>
      <c r="U21" s="21"/>
      <c r="V21" s="21"/>
      <c r="W21" s="24"/>
      <c r="X21" s="11"/>
      <c r="Y21" s="11"/>
      <c r="Z21" s="11"/>
      <c r="AA21" s="80">
        <v>0</v>
      </c>
      <c r="AB21" s="16" t="s">
        <v>1</v>
      </c>
      <c r="AC21" s="137" t="s">
        <v>1</v>
      </c>
      <c r="AE21" s="1"/>
    </row>
    <row r="22" spans="1:31" ht="22.5" customHeight="1" thickBot="1">
      <c r="A22" s="63"/>
      <c r="B22" s="64"/>
      <c r="C22" s="65"/>
      <c r="D22" s="66"/>
      <c r="E22" s="67" t="s">
        <v>69</v>
      </c>
      <c r="F22" s="68">
        <f>SUM(F7:F20)</f>
        <v>17637349257</v>
      </c>
      <c r="G22" s="68">
        <f>SUM(G7:G20)</f>
        <v>7177618315</v>
      </c>
      <c r="H22" s="68">
        <f>SUM(H7:H20)</f>
        <v>24814967572</v>
      </c>
      <c r="I22" s="68" t="e">
        <f>+I20+#REF!</f>
        <v>#REF!</v>
      </c>
      <c r="J22" s="68" t="e">
        <f>+J20+#REF!</f>
        <v>#REF!</v>
      </c>
      <c r="K22" s="68" t="e">
        <f>+K20+#REF!</f>
        <v>#REF!</v>
      </c>
      <c r="L22" s="68" t="e">
        <f>+L20+#REF!</f>
        <v>#REF!</v>
      </c>
      <c r="M22" s="68" t="e">
        <f>+M20+#REF!</f>
        <v>#REF!</v>
      </c>
      <c r="N22" s="68" t="e">
        <f>+N20+#REF!</f>
        <v>#REF!</v>
      </c>
      <c r="O22" s="68" t="e">
        <f>+O20+#REF!</f>
        <v>#REF!</v>
      </c>
      <c r="P22" s="68" t="e">
        <f>+P20+#REF!</f>
        <v>#REF!</v>
      </c>
      <c r="Q22" s="68" t="e">
        <f>+Q20+#REF!</f>
        <v>#REF!</v>
      </c>
      <c r="R22" s="68" t="e">
        <f>+R20+#REF!</f>
        <v>#REF!</v>
      </c>
      <c r="S22" s="68" t="e">
        <f>+S20+#REF!</f>
        <v>#REF!</v>
      </c>
      <c r="T22" s="68" t="e">
        <f>+T20+#REF!</f>
        <v>#REF!</v>
      </c>
      <c r="U22" s="68" t="e">
        <f>+U20+#REF!</f>
        <v>#REF!</v>
      </c>
      <c r="V22" s="68" t="e">
        <f>+V20+#REF!</f>
        <v>#REF!</v>
      </c>
      <c r="W22" s="68" t="e">
        <f>+W20+#REF!</f>
        <v>#REF!</v>
      </c>
      <c r="X22" s="68" t="e">
        <f>+X20+#REF!</f>
        <v>#REF!</v>
      </c>
      <c r="Y22" s="68" t="e">
        <f>+Y20+#REF!</f>
        <v>#REF!</v>
      </c>
      <c r="Z22" s="68">
        <f>SUM(Z7:Z20)</f>
        <v>23765867351</v>
      </c>
      <c r="AA22" s="138">
        <f>+H22-Z22</f>
        <v>1049100221</v>
      </c>
      <c r="AB22" s="139" t="e">
        <f>+X22/H22*100</f>
        <v>#REF!</v>
      </c>
      <c r="AC22" s="140">
        <f>+Z22/H22*100</f>
        <v>95.77230871668053</v>
      </c>
      <c r="AE22" s="1"/>
    </row>
    <row r="23" spans="6:31" ht="12.75">
      <c r="F23" s="34" t="s">
        <v>1</v>
      </c>
      <c r="G23" s="34"/>
      <c r="H23" s="7"/>
      <c r="Z23" s="34"/>
      <c r="AA23" s="34" t="s">
        <v>1</v>
      </c>
      <c r="AB23" s="52"/>
      <c r="AC23" s="52" t="s">
        <v>1</v>
      </c>
      <c r="AE23" s="1"/>
    </row>
    <row r="24" spans="6:31" ht="12.75">
      <c r="F24" s="34" t="s">
        <v>1</v>
      </c>
      <c r="G24" s="7"/>
      <c r="H24" s="7"/>
      <c r="X24" s="25"/>
      <c r="Y24" s="25"/>
      <c r="Z24" s="34"/>
      <c r="AA24" s="25" t="s">
        <v>1</v>
      </c>
      <c r="AB24" s="25" t="e">
        <f>+H24-#REF!</f>
        <v>#REF!</v>
      </c>
      <c r="AE24" s="1"/>
    </row>
    <row r="25" spans="7:31" ht="12.75">
      <c r="G25" s="7"/>
      <c r="H25" s="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7"/>
      <c r="AA25" s="1"/>
      <c r="AB25" s="1"/>
      <c r="AC25" s="1"/>
      <c r="AE25" s="1"/>
    </row>
    <row r="26" spans="7:31" ht="12.75">
      <c r="G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E26" s="1"/>
    </row>
    <row r="27" spans="1:31" ht="12.75">
      <c r="A27" s="2"/>
      <c r="B27" s="2"/>
      <c r="C27" s="2"/>
      <c r="D27" s="2"/>
      <c r="E27" s="147" t="s">
        <v>0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53"/>
      <c r="AE27" s="1"/>
    </row>
    <row r="28" spans="1:31" ht="12.75">
      <c r="A28" s="2"/>
      <c r="B28" s="2"/>
      <c r="C28" s="2"/>
      <c r="D28" s="2"/>
      <c r="E28" s="147" t="s">
        <v>169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  <c r="AC28" s="53"/>
      <c r="AE28" s="1"/>
    </row>
    <row r="29" spans="1:31" ht="12.75">
      <c r="A29" s="2"/>
      <c r="B29" s="2"/>
      <c r="C29" s="2"/>
      <c r="D29" s="2"/>
      <c r="E29" s="32"/>
      <c r="F29" s="32"/>
      <c r="G29" s="4" t="s">
        <v>1</v>
      </c>
      <c r="H29" s="2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53"/>
      <c r="AE29" s="1"/>
    </row>
    <row r="30" spans="1:31" ht="25.5">
      <c r="A30" s="2"/>
      <c r="B30" s="2"/>
      <c r="C30" s="2"/>
      <c r="D30" s="54"/>
      <c r="E30" s="69" t="s">
        <v>25</v>
      </c>
      <c r="F30" s="70" t="s">
        <v>70</v>
      </c>
      <c r="G30" s="41" t="s">
        <v>2</v>
      </c>
      <c r="H30" s="40" t="s">
        <v>71</v>
      </c>
      <c r="I30" s="42"/>
      <c r="J30" s="23"/>
      <c r="K30" s="42"/>
      <c r="L30" s="42"/>
      <c r="M30" s="42"/>
      <c r="N30" s="42" t="s">
        <v>1</v>
      </c>
      <c r="O30" s="42"/>
      <c r="P30" s="43"/>
      <c r="Q30" s="42"/>
      <c r="R30" s="42"/>
      <c r="S30" s="42"/>
      <c r="T30" s="42"/>
      <c r="U30" s="42" t="s">
        <v>1</v>
      </c>
      <c r="V30" s="42"/>
      <c r="W30" s="42"/>
      <c r="X30" s="45" t="s">
        <v>72</v>
      </c>
      <c r="Y30" s="45" t="s">
        <v>76</v>
      </c>
      <c r="Z30" s="46" t="s">
        <v>35</v>
      </c>
      <c r="AA30" s="46" t="s">
        <v>102</v>
      </c>
      <c r="AB30" s="46" t="s">
        <v>73</v>
      </c>
      <c r="AC30" s="46" t="s">
        <v>47</v>
      </c>
      <c r="AE30" s="1"/>
    </row>
    <row r="31" spans="1:31" ht="12.75">
      <c r="A31" s="2"/>
      <c r="B31" s="2"/>
      <c r="C31" s="2"/>
      <c r="D31" s="2"/>
      <c r="E31" s="69"/>
      <c r="F31" s="70"/>
      <c r="G31" s="41"/>
      <c r="H31" s="40"/>
      <c r="I31" s="42"/>
      <c r="J31" s="23"/>
      <c r="K31" s="42"/>
      <c r="L31" s="42"/>
      <c r="M31" s="42"/>
      <c r="N31" s="42"/>
      <c r="O31" s="42"/>
      <c r="P31" s="43"/>
      <c r="Q31" s="42"/>
      <c r="R31" s="42"/>
      <c r="S31" s="42"/>
      <c r="T31" s="42"/>
      <c r="U31" s="42"/>
      <c r="V31" s="42"/>
      <c r="W31" s="42"/>
      <c r="X31" s="45"/>
      <c r="Y31" s="71"/>
      <c r="Z31" s="71"/>
      <c r="AA31" s="71"/>
      <c r="AB31" s="45"/>
      <c r="AC31" s="53"/>
      <c r="AE31" s="1"/>
    </row>
    <row r="32" spans="1:31" ht="25.5">
      <c r="A32" s="8" t="s">
        <v>24</v>
      </c>
      <c r="B32" s="2">
        <v>213</v>
      </c>
      <c r="C32" s="2">
        <v>906</v>
      </c>
      <c r="D32" s="2">
        <v>1</v>
      </c>
      <c r="E32" s="72" t="s">
        <v>75</v>
      </c>
      <c r="F32" s="32">
        <v>3051800000</v>
      </c>
      <c r="G32" s="4">
        <v>0</v>
      </c>
      <c r="H32" s="28">
        <f>+F32+G32</f>
        <v>3051800000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>
        <f>+'[1]013-000-2-906-1'!$E$55-'[1]013-000-2-906-1'!$E$49-'[1]013-000-2-906-1'!$E$50</f>
        <v>-678923032</v>
      </c>
      <c r="Y32" s="95">
        <f>2431158628-88296411</f>
        <v>2342862217</v>
      </c>
      <c r="Z32" s="141">
        <f>2584109698-13937117</f>
        <v>2570172581</v>
      </c>
      <c r="AA32" s="73">
        <f>+H32-Z32</f>
        <v>481627419</v>
      </c>
      <c r="AB32" s="28">
        <v>0</v>
      </c>
      <c r="AC32" s="53">
        <f>+Z32/H32*100</f>
        <v>84.21825090110754</v>
      </c>
      <c r="AE32" s="1"/>
    </row>
    <row r="33" spans="1:31" ht="12.75">
      <c r="A33" s="2"/>
      <c r="B33" s="2"/>
      <c r="C33" s="2"/>
      <c r="D33" s="2"/>
      <c r="E33" s="32"/>
      <c r="F33" s="32"/>
      <c r="G33" s="32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74"/>
      <c r="Z33" s="74" t="s">
        <v>1</v>
      </c>
      <c r="AA33" s="73"/>
      <c r="AB33" s="28"/>
      <c r="AC33" s="53"/>
      <c r="AE33" s="1"/>
    </row>
    <row r="34" spans="1:31" ht="12.75">
      <c r="A34" s="2"/>
      <c r="B34" s="2"/>
      <c r="C34" s="2"/>
      <c r="D34" s="2"/>
      <c r="E34" s="32"/>
      <c r="F34" s="32"/>
      <c r="G34" s="32"/>
      <c r="H34" s="28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74"/>
      <c r="Z34" s="74"/>
      <c r="AA34" s="73"/>
      <c r="AB34" s="28"/>
      <c r="AC34" s="53"/>
      <c r="AE34" s="1"/>
    </row>
    <row r="35" spans="1:31" ht="12.75">
      <c r="A35" s="2"/>
      <c r="B35" s="2"/>
      <c r="C35" s="2"/>
      <c r="D35" s="2"/>
      <c r="E35" s="30" t="s">
        <v>69</v>
      </c>
      <c r="F35" s="30">
        <f>+F32</f>
        <v>3051800000</v>
      </c>
      <c r="G35" s="30">
        <f>+G32</f>
        <v>0</v>
      </c>
      <c r="H35" s="75">
        <f>+H32</f>
        <v>3051800000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>
        <f>+X32</f>
        <v>-678923032</v>
      </c>
      <c r="Y35" s="142">
        <f>+Y32</f>
        <v>2342862217</v>
      </c>
      <c r="Z35" s="142">
        <f>+Z32</f>
        <v>2570172581</v>
      </c>
      <c r="AA35" s="143">
        <f>+AA32</f>
        <v>481627419</v>
      </c>
      <c r="AB35" s="75">
        <f>+AB32</f>
        <v>0</v>
      </c>
      <c r="AC35" s="144">
        <f>+Z35/H35*100</f>
        <v>84.21825090110754</v>
      </c>
      <c r="AE35" s="1"/>
    </row>
    <row r="36" spans="1:31" ht="12.75">
      <c r="A36" s="2"/>
      <c r="B36" s="2"/>
      <c r="C36" s="2"/>
      <c r="D36" s="2"/>
      <c r="E36" s="32"/>
      <c r="F36" s="32"/>
      <c r="G36" s="32"/>
      <c r="H36" s="2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74"/>
      <c r="Z36" s="74"/>
      <c r="AA36" s="74"/>
      <c r="AB36" s="32"/>
      <c r="AC36" s="53"/>
      <c r="AE36" s="1"/>
    </row>
    <row r="37" spans="1:31" ht="12.75">
      <c r="A37" s="2"/>
      <c r="B37" s="2"/>
      <c r="C37" s="2"/>
      <c r="D37" s="2"/>
      <c r="E37" s="32"/>
      <c r="F37" s="32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74"/>
      <c r="Z37" s="100" t="s">
        <v>1</v>
      </c>
      <c r="AA37" s="74"/>
      <c r="AB37" s="32"/>
      <c r="AC37" s="53"/>
      <c r="AE37" s="1"/>
    </row>
    <row r="38" spans="1:31" ht="12.75">
      <c r="A38" s="2"/>
      <c r="B38" s="2"/>
      <c r="C38" s="2"/>
      <c r="D38" s="2"/>
      <c r="E38" s="32"/>
      <c r="F38" s="32"/>
      <c r="G38" s="32"/>
      <c r="H38" s="28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74"/>
      <c r="Z38" s="100" t="s">
        <v>1</v>
      </c>
      <c r="AA38" s="74"/>
      <c r="AB38" s="32"/>
      <c r="AC38" s="53"/>
      <c r="AE38" s="1"/>
    </row>
    <row r="39" spans="1:31" ht="12.75">
      <c r="A39" s="2"/>
      <c r="B39" s="2"/>
      <c r="C39" s="2"/>
      <c r="D39" s="2"/>
      <c r="E39" s="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73"/>
      <c r="Z39" s="101" t="s">
        <v>1</v>
      </c>
      <c r="AA39" s="73"/>
      <c r="AB39" s="28"/>
      <c r="AC39" s="53"/>
      <c r="AE39" s="1"/>
    </row>
    <row r="40" spans="1:31" ht="12.75">
      <c r="A40" s="2"/>
      <c r="B40" s="2"/>
      <c r="C40" s="2"/>
      <c r="D40" s="2"/>
      <c r="E40" s="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73"/>
      <c r="Z40" s="73"/>
      <c r="AA40" s="73"/>
      <c r="AB40" s="28"/>
      <c r="AC40" s="53"/>
      <c r="AE40" s="1"/>
    </row>
    <row r="41" spans="7:31" ht="12.75">
      <c r="G41" s="1"/>
      <c r="H41" s="7">
        <f>+H22+H35+'FUNCIONAMIENTO '!I46+'FUNCIONAMIENTO '!I9-'[3]Hoja1'!$F$32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E41" s="1"/>
    </row>
    <row r="42" spans="7:31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 t="s">
        <v>1</v>
      </c>
      <c r="AA42" s="1" t="s">
        <v>26</v>
      </c>
      <c r="AB42" s="1"/>
      <c r="AC42" s="1"/>
      <c r="AE42" s="1"/>
    </row>
    <row r="43" spans="7:31" ht="12.75"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1"/>
      <c r="AB43" s="1"/>
      <c r="AC43" s="1"/>
      <c r="AE43" s="1"/>
    </row>
    <row r="44" spans="6:31" ht="12.75">
      <c r="F44" s="25"/>
      <c r="G44" s="1"/>
      <c r="H44" s="7" t="s"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1"/>
      <c r="AB44" s="1"/>
      <c r="AC44" s="1"/>
      <c r="AE44" s="1"/>
    </row>
    <row r="45" spans="6:31" ht="12.75">
      <c r="F45" s="25"/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7"/>
      <c r="AA45" s="1"/>
      <c r="AB45" s="1"/>
      <c r="AC45" s="1"/>
      <c r="AE45" s="1"/>
    </row>
    <row r="46" spans="7:31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"/>
    </row>
    <row r="47" spans="7:31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"/>
    </row>
    <row r="48" spans="7:31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E48" s="1"/>
    </row>
    <row r="49" spans="7:31" ht="12.75">
      <c r="G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E49" s="1"/>
    </row>
    <row r="50" spans="7:31" ht="12.75">
      <c r="G50" s="1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E50" s="1"/>
    </row>
    <row r="51" spans="26:31" ht="12.75">
      <c r="Z51" s="1"/>
      <c r="AE51" s="1"/>
    </row>
    <row r="52" spans="7:31" ht="12.75">
      <c r="G52" s="1"/>
      <c r="AE52" s="1"/>
    </row>
    <row r="53" spans="7:31" ht="12.75">
      <c r="G53" s="25"/>
      <c r="AE53" s="1"/>
    </row>
    <row r="54" spans="26:31" ht="12.75">
      <c r="Z54" s="1"/>
      <c r="AE54" s="1"/>
    </row>
    <row r="55" spans="7:31" ht="12.75">
      <c r="G55" s="25"/>
      <c r="Z55" s="1"/>
      <c r="AE55" s="1"/>
    </row>
    <row r="56" ht="12.75">
      <c r="AE56" s="1"/>
    </row>
    <row r="57" spans="7:31" ht="12.75">
      <c r="G57" s="25"/>
      <c r="AE57" s="1"/>
    </row>
    <row r="58" spans="7:31" ht="12.75">
      <c r="G58" s="25"/>
      <c r="AE58" s="1"/>
    </row>
    <row r="59" spans="7:31" ht="12.75">
      <c r="G59" s="25"/>
      <c r="AE59" s="1"/>
    </row>
    <row r="60" spans="7:31" ht="12.75">
      <c r="G60" s="25"/>
      <c r="AE60" s="1"/>
    </row>
    <row r="61" ht="12.75">
      <c r="AE61" s="1"/>
    </row>
    <row r="62" ht="12.75">
      <c r="AE62" s="1"/>
    </row>
    <row r="63" ht="12.75">
      <c r="AE63" s="1"/>
    </row>
    <row r="64" ht="12.75">
      <c r="AE64" s="1"/>
    </row>
    <row r="65" ht="12.75">
      <c r="AE65" s="1"/>
    </row>
    <row r="66" ht="12.75">
      <c r="AE66" s="1"/>
    </row>
    <row r="67" ht="12.75">
      <c r="AE67" s="1"/>
    </row>
    <row r="68" ht="12.75">
      <c r="AE68" s="1"/>
    </row>
    <row r="69" ht="12.75">
      <c r="AE69" s="1"/>
    </row>
    <row r="70" ht="12.75">
      <c r="AE70" s="1"/>
    </row>
    <row r="71" ht="12.75">
      <c r="AE71" s="1"/>
    </row>
    <row r="72" ht="12.75">
      <c r="AE72" s="1"/>
    </row>
    <row r="73" ht="12.75">
      <c r="AE73" s="1"/>
    </row>
    <row r="74" ht="12.75">
      <c r="AE74" s="1"/>
    </row>
    <row r="75" ht="12.75">
      <c r="AE75" s="1"/>
    </row>
    <row r="76" ht="12.75">
      <c r="AE76" s="1"/>
    </row>
    <row r="77" ht="12.75">
      <c r="AE77" s="1"/>
    </row>
    <row r="78" ht="12.75">
      <c r="AE78" s="1"/>
    </row>
    <row r="79" ht="12.75">
      <c r="AE79" s="1"/>
    </row>
    <row r="80" ht="12.75">
      <c r="AE80" s="1"/>
    </row>
    <row r="81" ht="12.75">
      <c r="AE81" s="1"/>
    </row>
    <row r="82" ht="12.75">
      <c r="AE82" s="1"/>
    </row>
  </sheetData>
  <sheetProtection/>
  <mergeCells count="4">
    <mergeCell ref="E1:AB1"/>
    <mergeCell ref="E2:AB2"/>
    <mergeCell ref="E27:AB27"/>
    <mergeCell ref="E28:AB28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9"/>
      <c r="B3" s="12"/>
      <c r="C3" s="12"/>
      <c r="D3" s="12"/>
      <c r="E3" s="12"/>
      <c r="F3" s="29" t="s">
        <v>133</v>
      </c>
      <c r="G3" s="29" t="s">
        <v>134</v>
      </c>
      <c r="H3" s="29" t="str">
        <f>+G3</f>
        <v>CONTRACREDITO</v>
      </c>
      <c r="I3" s="29" t="str">
        <f>+H3</f>
        <v>CONTRACREDITO</v>
      </c>
      <c r="J3" s="29" t="s">
        <v>135</v>
      </c>
      <c r="K3" s="29" t="str">
        <f>+J3</f>
        <v>ADICIONES</v>
      </c>
      <c r="L3" s="29" t="s">
        <v>136</v>
      </c>
      <c r="M3" s="12" t="str">
        <f>+L3</f>
        <v>CREDITOS</v>
      </c>
      <c r="N3" s="12" t="str">
        <f>+M3</f>
        <v>CREDITOS</v>
      </c>
      <c r="O3" s="109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55" t="s">
        <v>153</v>
      </c>
    </row>
    <row r="4" spans="1:23" ht="63.75">
      <c r="A4" s="107" t="s">
        <v>24</v>
      </c>
      <c r="B4" s="102" t="s">
        <v>41</v>
      </c>
      <c r="C4" s="103">
        <v>900</v>
      </c>
      <c r="D4" s="104">
        <v>1</v>
      </c>
      <c r="E4" s="105" t="s">
        <v>55</v>
      </c>
      <c r="F4" s="90">
        <f>1350000000</f>
        <v>1350000000</v>
      </c>
      <c r="G4" s="116">
        <v>-2572702</v>
      </c>
      <c r="H4" s="117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07" t="s">
        <v>24</v>
      </c>
      <c r="B5" s="102" t="s">
        <v>41</v>
      </c>
      <c r="C5" s="103">
        <f>+C4</f>
        <v>900</v>
      </c>
      <c r="D5" s="104">
        <v>2</v>
      </c>
      <c r="E5" s="105" t="s">
        <v>56</v>
      </c>
      <c r="F5" s="57">
        <f>350000000</f>
        <v>350000000</v>
      </c>
      <c r="G5" s="118">
        <v>-23894914</v>
      </c>
      <c r="H5" s="115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107" t="s">
        <v>24</v>
      </c>
      <c r="B6" s="102" t="s">
        <v>41</v>
      </c>
      <c r="C6" s="103">
        <v>900</v>
      </c>
      <c r="D6" s="104">
        <v>3</v>
      </c>
      <c r="E6" s="105" t="s">
        <v>68</v>
      </c>
      <c r="F6" s="57">
        <v>300000000</v>
      </c>
      <c r="G6" s="118">
        <v>0</v>
      </c>
      <c r="H6" s="115">
        <v>-600906843</v>
      </c>
      <c r="I6" s="15">
        <v>-518682</v>
      </c>
      <c r="J6" s="113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107" t="s">
        <v>24</v>
      </c>
      <c r="B7" s="102" t="s">
        <v>42</v>
      </c>
      <c r="C7" s="103">
        <v>900</v>
      </c>
      <c r="D7" s="104">
        <v>1</v>
      </c>
      <c r="E7" s="105" t="s">
        <v>57</v>
      </c>
      <c r="F7" s="57">
        <v>3677074400</v>
      </c>
      <c r="G7" s="56">
        <v>0</v>
      </c>
      <c r="H7" s="115">
        <v>-4595103399</v>
      </c>
      <c r="I7" s="15"/>
      <c r="J7" s="113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107" t="s">
        <v>24</v>
      </c>
      <c r="B8" s="102" t="s">
        <v>42</v>
      </c>
      <c r="C8" s="103">
        <v>900</v>
      </c>
      <c r="D8" s="104">
        <v>2</v>
      </c>
      <c r="E8" s="105" t="s">
        <v>58</v>
      </c>
      <c r="F8" s="57">
        <v>1199818416</v>
      </c>
      <c r="G8" s="57">
        <v>0</v>
      </c>
      <c r="H8" s="115">
        <v>-2566309866</v>
      </c>
      <c r="I8" s="15"/>
      <c r="J8" s="113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107" t="s">
        <v>24</v>
      </c>
      <c r="B9" s="102" t="s">
        <v>42</v>
      </c>
      <c r="C9" s="103">
        <v>900</v>
      </c>
      <c r="D9" s="104">
        <v>3</v>
      </c>
      <c r="E9" s="105" t="s">
        <v>59</v>
      </c>
      <c r="F9" s="57">
        <v>1528730952</v>
      </c>
      <c r="G9" s="57">
        <v>0</v>
      </c>
      <c r="H9" s="115">
        <v>-2648057344</v>
      </c>
      <c r="I9" s="15"/>
      <c r="J9" s="113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107" t="s">
        <v>24</v>
      </c>
      <c r="B10" s="102" t="s">
        <v>42</v>
      </c>
      <c r="C10" s="103">
        <v>900</v>
      </c>
      <c r="D10" s="104">
        <v>4</v>
      </c>
      <c r="E10" s="105" t="s">
        <v>60</v>
      </c>
      <c r="F10" s="57">
        <v>1073210483</v>
      </c>
      <c r="G10" s="57">
        <v>0</v>
      </c>
      <c r="H10" s="115">
        <v>-1877233369</v>
      </c>
      <c r="I10" s="15"/>
      <c r="J10" s="113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07" t="s">
        <v>24</v>
      </c>
      <c r="B11" s="102" t="s">
        <v>43</v>
      </c>
      <c r="C11" s="103">
        <v>900</v>
      </c>
      <c r="D11" s="104">
        <v>1</v>
      </c>
      <c r="E11" s="105" t="s">
        <v>61</v>
      </c>
      <c r="F11" s="57">
        <v>289000000</v>
      </c>
      <c r="G11" s="118">
        <v>-320465303</v>
      </c>
      <c r="H11" s="115">
        <v>-4610085</v>
      </c>
      <c r="I11" s="15"/>
      <c r="J11" s="113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107" t="s">
        <v>24</v>
      </c>
      <c r="B12" s="102" t="s">
        <v>43</v>
      </c>
      <c r="C12" s="103">
        <v>900</v>
      </c>
      <c r="D12" s="104">
        <v>2</v>
      </c>
      <c r="E12" s="105" t="s">
        <v>62</v>
      </c>
      <c r="F12" s="57">
        <v>1000000000</v>
      </c>
      <c r="G12" s="57">
        <v>-1948357768</v>
      </c>
      <c r="H12" s="91">
        <v>-2855109</v>
      </c>
      <c r="I12" s="15"/>
      <c r="J12" s="113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107" t="s">
        <v>24</v>
      </c>
      <c r="B13" s="102" t="s">
        <v>44</v>
      </c>
      <c r="C13" s="103">
        <v>900</v>
      </c>
      <c r="D13" s="104">
        <v>1</v>
      </c>
      <c r="E13" s="105" t="s">
        <v>63</v>
      </c>
      <c r="F13" s="57">
        <v>2132498061</v>
      </c>
      <c r="G13" s="57">
        <v>-1310392615</v>
      </c>
      <c r="H13" s="91">
        <v>-5190697</v>
      </c>
      <c r="I13" s="15"/>
      <c r="J13" s="113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107" t="s">
        <v>24</v>
      </c>
      <c r="B14" s="102" t="s">
        <v>44</v>
      </c>
      <c r="C14" s="103">
        <v>900</v>
      </c>
      <c r="D14" s="104">
        <v>2</v>
      </c>
      <c r="E14" s="105" t="s">
        <v>64</v>
      </c>
      <c r="F14" s="57">
        <v>520000000</v>
      </c>
      <c r="G14" s="118">
        <v>-2114195091</v>
      </c>
      <c r="H14" s="115">
        <v>-469117</v>
      </c>
      <c r="I14" s="15"/>
      <c r="J14" s="113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107" t="s">
        <v>24</v>
      </c>
      <c r="B15" s="102" t="s">
        <v>45</v>
      </c>
      <c r="C15" s="103">
        <v>900</v>
      </c>
      <c r="D15" s="104">
        <v>1</v>
      </c>
      <c r="E15" s="105" t="s">
        <v>65</v>
      </c>
      <c r="F15" s="57">
        <v>700000000</v>
      </c>
      <c r="G15" s="118">
        <v>-1435581568</v>
      </c>
      <c r="H15" s="91">
        <v>0</v>
      </c>
      <c r="I15" s="15"/>
      <c r="J15" s="113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107" t="s">
        <v>24</v>
      </c>
      <c r="B16" s="102" t="s">
        <v>46</v>
      </c>
      <c r="C16" s="103">
        <v>900</v>
      </c>
      <c r="D16" s="104">
        <v>1</v>
      </c>
      <c r="E16" s="106" t="s">
        <v>66</v>
      </c>
      <c r="F16" s="57">
        <f>+'[2]Gastos 2016'!$B$16</f>
        <v>250000000</v>
      </c>
      <c r="G16" s="57">
        <v>-573306</v>
      </c>
      <c r="H16" s="91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107" t="s">
        <v>24</v>
      </c>
      <c r="B17" s="102" t="s">
        <v>46</v>
      </c>
      <c r="C17" s="103">
        <v>900</v>
      </c>
      <c r="D17" s="104">
        <v>2</v>
      </c>
      <c r="E17" s="106" t="s">
        <v>67</v>
      </c>
      <c r="F17" s="57">
        <v>200000000</v>
      </c>
      <c r="G17" s="57">
        <v>-3856237256</v>
      </c>
      <c r="H17" s="91">
        <v>-1050578</v>
      </c>
      <c r="I17" s="15"/>
      <c r="J17" s="113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107"/>
      <c r="B18" s="102"/>
      <c r="C18" s="103"/>
      <c r="D18" s="104"/>
      <c r="E18" s="106" t="s">
        <v>101</v>
      </c>
      <c r="F18" s="57">
        <f aca="true" t="shared" si="2" ref="F18:O18">SUM(F4:F17)</f>
        <v>14570332312</v>
      </c>
      <c r="G18" s="57">
        <f t="shared" si="2"/>
        <v>-11012270523</v>
      </c>
      <c r="H18" s="57">
        <f t="shared" si="2"/>
        <v>-13532513454</v>
      </c>
      <c r="I18" s="57">
        <f t="shared" si="2"/>
        <v>-518682</v>
      </c>
      <c r="J18" s="57">
        <f t="shared" si="2"/>
        <v>13112240595</v>
      </c>
      <c r="K18" s="57">
        <f t="shared" si="2"/>
        <v>771935666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3909205914</v>
      </c>
      <c r="V18" s="25"/>
      <c r="W18" s="1"/>
    </row>
    <row r="19" spans="1:23" ht="12.75">
      <c r="A19" s="107"/>
      <c r="B19" s="102"/>
      <c r="C19" s="103"/>
      <c r="D19" s="104"/>
      <c r="E19" s="106"/>
      <c r="F19" s="57"/>
      <c r="G19" s="57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107"/>
      <c r="B20" s="102"/>
      <c r="C20" s="103"/>
      <c r="D20" s="104"/>
      <c r="E20" s="110" t="s">
        <v>97</v>
      </c>
      <c r="F20" s="111" t="s">
        <v>1</v>
      </c>
      <c r="G20" s="111" t="s">
        <v>1</v>
      </c>
      <c r="H20" s="111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107" t="s">
        <v>24</v>
      </c>
      <c r="B21" s="102" t="s">
        <v>41</v>
      </c>
      <c r="C21" s="103">
        <v>1</v>
      </c>
      <c r="D21" s="104"/>
      <c r="E21" s="112" t="s">
        <v>87</v>
      </c>
      <c r="F21" s="57">
        <v>0</v>
      </c>
      <c r="G21" s="57">
        <v>0</v>
      </c>
      <c r="H21" s="24">
        <v>0</v>
      </c>
      <c r="I21" s="15">
        <v>-452579556</v>
      </c>
      <c r="J21" s="15"/>
      <c r="K21" s="15"/>
      <c r="L21" s="113">
        <v>4670486343</v>
      </c>
      <c r="M21" s="113">
        <v>350000000</v>
      </c>
      <c r="N21" s="15"/>
      <c r="O21" s="15">
        <f t="shared" si="3"/>
        <v>4567906787</v>
      </c>
    </row>
    <row r="22" spans="1:15" ht="22.5">
      <c r="A22" s="107" t="s">
        <v>24</v>
      </c>
      <c r="B22" s="102" t="s">
        <v>41</v>
      </c>
      <c r="C22" s="103">
        <v>2</v>
      </c>
      <c r="D22" s="104"/>
      <c r="E22" s="112" t="s">
        <v>88</v>
      </c>
      <c r="F22" s="57">
        <v>0</v>
      </c>
      <c r="G22" s="57">
        <v>0</v>
      </c>
      <c r="H22" s="24">
        <v>0</v>
      </c>
      <c r="I22" s="15"/>
      <c r="J22" s="15"/>
      <c r="K22" s="15"/>
      <c r="L22" s="113">
        <v>5138984266</v>
      </c>
      <c r="M22" s="113">
        <v>39000000</v>
      </c>
      <c r="N22" s="15"/>
      <c r="O22" s="15">
        <f t="shared" si="3"/>
        <v>5177984266</v>
      </c>
    </row>
    <row r="23" spans="1:15" ht="22.5">
      <c r="A23" s="107" t="s">
        <v>24</v>
      </c>
      <c r="B23" s="102" t="s">
        <v>41</v>
      </c>
      <c r="C23" s="103">
        <v>3</v>
      </c>
      <c r="D23" s="104"/>
      <c r="E23" s="112" t="s">
        <v>89</v>
      </c>
      <c r="F23" s="57">
        <v>0</v>
      </c>
      <c r="G23" s="57">
        <v>0</v>
      </c>
      <c r="H23" s="24">
        <v>0</v>
      </c>
      <c r="I23" s="15"/>
      <c r="J23" s="15"/>
      <c r="K23" s="15"/>
      <c r="L23" s="113">
        <v>1877233369</v>
      </c>
      <c r="M23" s="15"/>
      <c r="N23" s="15"/>
      <c r="O23" s="15">
        <f t="shared" si="3"/>
        <v>1877233369</v>
      </c>
    </row>
    <row r="24" spans="1:15" ht="45">
      <c r="A24" s="107" t="s">
        <v>24</v>
      </c>
      <c r="B24" s="102" t="s">
        <v>42</v>
      </c>
      <c r="C24" s="103">
        <v>1</v>
      </c>
      <c r="D24" s="104"/>
      <c r="E24" s="112" t="s">
        <v>90</v>
      </c>
      <c r="F24" s="57">
        <v>0</v>
      </c>
      <c r="G24" s="57">
        <v>0</v>
      </c>
      <c r="H24" s="24">
        <v>0</v>
      </c>
      <c r="I24" s="15">
        <v>0</v>
      </c>
      <c r="J24" s="15"/>
      <c r="K24" s="15"/>
      <c r="L24" s="113">
        <v>97010786</v>
      </c>
      <c r="M24" s="113">
        <v>128863196</v>
      </c>
      <c r="N24" s="113">
        <v>2572702</v>
      </c>
      <c r="O24" s="15">
        <f t="shared" si="3"/>
        <v>228446684</v>
      </c>
    </row>
    <row r="25" spans="1:15" ht="56.25">
      <c r="A25" s="107" t="s">
        <v>24</v>
      </c>
      <c r="B25" s="102" t="s">
        <v>42</v>
      </c>
      <c r="C25" s="103">
        <v>2</v>
      </c>
      <c r="D25" s="104"/>
      <c r="E25" s="112" t="s">
        <v>91</v>
      </c>
      <c r="F25" s="57">
        <v>0</v>
      </c>
      <c r="G25" s="57">
        <v>0</v>
      </c>
      <c r="H25" s="24">
        <v>0</v>
      </c>
      <c r="I25" s="15">
        <v>0</v>
      </c>
      <c r="J25" s="15"/>
      <c r="K25" s="15"/>
      <c r="L25" s="113">
        <v>960739105</v>
      </c>
      <c r="M25" s="113">
        <v>188668770</v>
      </c>
      <c r="N25" s="113">
        <v>23894914</v>
      </c>
      <c r="O25" s="15">
        <f t="shared" si="3"/>
        <v>1173302789</v>
      </c>
    </row>
    <row r="26" spans="1:15" ht="22.5">
      <c r="A26" s="107" t="s">
        <v>24</v>
      </c>
      <c r="B26" s="102" t="s">
        <v>43</v>
      </c>
      <c r="C26" s="103">
        <v>1</v>
      </c>
      <c r="D26" s="104"/>
      <c r="E26" s="112" t="s">
        <v>92</v>
      </c>
      <c r="F26" s="57">
        <v>0</v>
      </c>
      <c r="G26" s="94">
        <v>0</v>
      </c>
      <c r="H26" s="24">
        <v>0</v>
      </c>
      <c r="I26" s="15"/>
      <c r="J26" s="113">
        <v>749092163</v>
      </c>
      <c r="K26" s="15"/>
      <c r="L26" s="113">
        <v>4539266111</v>
      </c>
      <c r="M26" s="113">
        <v>2142566</v>
      </c>
      <c r="N26" s="113">
        <v>19369367</v>
      </c>
      <c r="O26" s="15">
        <f t="shared" si="3"/>
        <v>5309870207</v>
      </c>
    </row>
    <row r="27" spans="1:15" ht="33.75">
      <c r="A27" s="107" t="s">
        <v>24</v>
      </c>
      <c r="B27" s="102" t="s">
        <v>43</v>
      </c>
      <c r="C27" s="103">
        <v>2</v>
      </c>
      <c r="D27" s="104"/>
      <c r="E27" s="112" t="s">
        <v>93</v>
      </c>
      <c r="F27" s="57">
        <v>0</v>
      </c>
      <c r="G27" s="57">
        <v>-19369367</v>
      </c>
      <c r="H27" s="24">
        <v>0</v>
      </c>
      <c r="I27" s="15"/>
      <c r="J27" s="15"/>
      <c r="K27" s="15"/>
      <c r="L27" s="113">
        <v>166163600</v>
      </c>
      <c r="M27" s="113"/>
      <c r="N27" s="113"/>
      <c r="O27" s="15">
        <f t="shared" si="3"/>
        <v>146794233</v>
      </c>
    </row>
    <row r="28" spans="1:15" ht="22.5">
      <c r="A28" s="107" t="s">
        <v>24</v>
      </c>
      <c r="B28" s="102" t="s">
        <v>44</v>
      </c>
      <c r="C28" s="103">
        <v>1</v>
      </c>
      <c r="D28" s="104"/>
      <c r="E28" s="112" t="s">
        <v>94</v>
      </c>
      <c r="F28" s="57">
        <v>0</v>
      </c>
      <c r="G28" s="57">
        <v>0</v>
      </c>
      <c r="H28" s="24">
        <f>+F28+G28</f>
        <v>0</v>
      </c>
      <c r="I28" s="15"/>
      <c r="J28" s="15"/>
      <c r="K28" s="15"/>
      <c r="L28" s="113">
        <v>5190697</v>
      </c>
      <c r="M28" s="113">
        <v>963947415</v>
      </c>
      <c r="N28" s="113"/>
      <c r="O28" s="15">
        <f t="shared" si="3"/>
        <v>969138112</v>
      </c>
    </row>
    <row r="29" spans="1:15" ht="22.5">
      <c r="A29" s="107" t="s">
        <v>24</v>
      </c>
      <c r="B29" s="102" t="s">
        <v>45</v>
      </c>
      <c r="C29" s="103">
        <v>1</v>
      </c>
      <c r="D29" s="104"/>
      <c r="E29" s="112" t="s">
        <v>95</v>
      </c>
      <c r="F29" s="57">
        <v>0</v>
      </c>
      <c r="G29" s="57">
        <v>0</v>
      </c>
      <c r="H29" s="24">
        <v>0</v>
      </c>
      <c r="I29" s="15"/>
      <c r="J29" s="15"/>
      <c r="K29" s="15"/>
      <c r="L29" s="113">
        <v>4610085</v>
      </c>
      <c r="M29" s="113">
        <v>363504437</v>
      </c>
      <c r="N29" s="15"/>
      <c r="O29" s="15">
        <f t="shared" si="3"/>
        <v>368114522</v>
      </c>
    </row>
    <row r="30" spans="1:15" ht="22.5">
      <c r="A30" s="107" t="s">
        <v>24</v>
      </c>
      <c r="B30" s="102" t="s">
        <v>45</v>
      </c>
      <c r="C30" s="103">
        <v>2</v>
      </c>
      <c r="D30" s="104"/>
      <c r="E30" s="112" t="s">
        <v>99</v>
      </c>
      <c r="F30" s="57">
        <v>0</v>
      </c>
      <c r="G30" s="57">
        <v>-350000000</v>
      </c>
      <c r="H30" s="24">
        <v>0</v>
      </c>
      <c r="I30" s="15"/>
      <c r="J30" s="15"/>
      <c r="K30" s="15"/>
      <c r="L30" s="113">
        <v>2134602968</v>
      </c>
      <c r="M30" s="113">
        <v>2855109</v>
      </c>
      <c r="N30" s="15"/>
      <c r="O30" s="15">
        <f t="shared" si="3"/>
        <v>1787458077</v>
      </c>
    </row>
    <row r="31" spans="1:15" ht="22.5">
      <c r="A31" s="107" t="s">
        <v>24</v>
      </c>
      <c r="B31" s="102" t="s">
        <v>46</v>
      </c>
      <c r="C31" s="103">
        <v>1</v>
      </c>
      <c r="D31" s="104"/>
      <c r="E31" s="112" t="s">
        <v>96</v>
      </c>
      <c r="F31" s="57">
        <v>0</v>
      </c>
      <c r="G31" s="57">
        <v>0</v>
      </c>
      <c r="H31" s="24">
        <v>0</v>
      </c>
      <c r="I31" s="15"/>
      <c r="J31" s="15"/>
      <c r="K31" s="15"/>
      <c r="L31" s="114">
        <v>469117</v>
      </c>
      <c r="M31" s="113">
        <v>127900000</v>
      </c>
      <c r="N31" s="113">
        <v>2114195091</v>
      </c>
      <c r="O31" s="15">
        <f t="shared" si="3"/>
        <v>2242564208</v>
      </c>
    </row>
    <row r="32" spans="1:15" ht="22.5">
      <c r="A32" s="107" t="s">
        <v>24</v>
      </c>
      <c r="B32" s="102" t="s">
        <v>46</v>
      </c>
      <c r="C32" s="103">
        <v>2</v>
      </c>
      <c r="D32" s="104"/>
      <c r="E32" s="112" t="s">
        <v>98</v>
      </c>
      <c r="F32" s="57">
        <v>0</v>
      </c>
      <c r="G32" s="57">
        <v>0</v>
      </c>
      <c r="H32" s="24">
        <v>0</v>
      </c>
      <c r="I32" s="15"/>
      <c r="J32" s="15"/>
      <c r="K32" s="15"/>
      <c r="L32" s="113">
        <v>1445581568</v>
      </c>
      <c r="M32" s="15"/>
      <c r="N32" s="15"/>
      <c r="O32" s="15">
        <f t="shared" si="3"/>
        <v>1445581568</v>
      </c>
    </row>
    <row r="33" spans="1:15" ht="12.75">
      <c r="A33" s="107"/>
      <c r="B33" s="102"/>
      <c r="C33" s="103"/>
      <c r="D33" s="104"/>
      <c r="E33" s="106"/>
      <c r="F33" s="57"/>
      <c r="G33" s="57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07"/>
      <c r="B34" s="102"/>
      <c r="C34" s="103"/>
      <c r="D34" s="104"/>
      <c r="E34" s="106" t="s">
        <v>100</v>
      </c>
      <c r="F34" s="57">
        <f>SUM(F21:F33)</f>
        <v>0</v>
      </c>
      <c r="G34" s="57">
        <f aca="true" t="shared" si="4" ref="G34:O34">SUM(G21:G33)</f>
        <v>-369369367</v>
      </c>
      <c r="H34" s="57">
        <f t="shared" si="4"/>
        <v>0</v>
      </c>
      <c r="I34" s="57">
        <f t="shared" si="4"/>
        <v>-452579556</v>
      </c>
      <c r="J34" s="57">
        <f t="shared" si="4"/>
        <v>749092163</v>
      </c>
      <c r="K34" s="57">
        <f t="shared" si="4"/>
        <v>0</v>
      </c>
      <c r="L34" s="57">
        <f t="shared" si="4"/>
        <v>21040338015</v>
      </c>
      <c r="M34" s="57">
        <f t="shared" si="4"/>
        <v>2166881493</v>
      </c>
      <c r="N34" s="57">
        <f t="shared" si="4"/>
        <v>2160032074</v>
      </c>
      <c r="O34" s="57">
        <f t="shared" si="4"/>
        <v>25294394822</v>
      </c>
    </row>
    <row r="35" spans="1:15" ht="12.75">
      <c r="A35" s="107" t="s">
        <v>1</v>
      </c>
      <c r="B35" s="102"/>
      <c r="C35" s="103"/>
      <c r="D35" s="104"/>
      <c r="E35" s="62"/>
      <c r="F35" s="57"/>
      <c r="G35" s="57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08"/>
      <c r="B36" s="102"/>
      <c r="C36" s="103"/>
      <c r="D36" s="104"/>
      <c r="E36" s="62" t="s">
        <v>69</v>
      </c>
      <c r="F36" s="57">
        <f>+F18+F34</f>
        <v>14570332312</v>
      </c>
      <c r="G36" s="57">
        <f aca="true" t="shared" si="5" ref="G36:O36">+G18+G34</f>
        <v>-11381639890</v>
      </c>
      <c r="H36" s="57">
        <f t="shared" si="5"/>
        <v>-13532513454</v>
      </c>
      <c r="I36" s="57">
        <f t="shared" si="5"/>
        <v>-453098238</v>
      </c>
      <c r="J36" s="57">
        <f t="shared" si="5"/>
        <v>13861332758</v>
      </c>
      <c r="K36" s="57">
        <f t="shared" si="5"/>
        <v>771935666</v>
      </c>
      <c r="L36" s="57">
        <f t="shared" si="5"/>
        <v>21040338015</v>
      </c>
      <c r="M36" s="57">
        <f t="shared" si="5"/>
        <v>2166881493</v>
      </c>
      <c r="N36" s="57">
        <f t="shared" si="5"/>
        <v>2160032074</v>
      </c>
      <c r="O36" s="57">
        <f t="shared" si="5"/>
        <v>29203600736</v>
      </c>
    </row>
    <row r="37" spans="1:15" ht="12.75">
      <c r="A37" s="59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2018-07-30T22:33:33Z</cp:lastPrinted>
  <dcterms:created xsi:type="dcterms:W3CDTF">2007-01-13T18:42:48Z</dcterms:created>
  <dcterms:modified xsi:type="dcterms:W3CDTF">2019-05-21T14:17:08Z</dcterms:modified>
  <cp:category/>
  <cp:version/>
  <cp:contentType/>
  <cp:contentStatus/>
</cp:coreProperties>
</file>