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<sst xmlns="http://schemas.openxmlformats.org/spreadsheetml/2006/main" count="64" uniqueCount="46">
  <si>
    <t>CORPORACION AUTONOMA REGIONAL DEL ALTO MAGDALENA CAM</t>
  </si>
  <si>
    <t xml:space="preserve"> </t>
  </si>
  <si>
    <t>CONCEPTO</t>
  </si>
  <si>
    <t>VALOR PRESUPUESTADO</t>
  </si>
  <si>
    <t>EJECUCION  NOVIEMBRE 15</t>
  </si>
  <si>
    <t>PORCENTAJE SOBRETASA IMPREDIAL</t>
  </si>
  <si>
    <t>NEIVA</t>
  </si>
  <si>
    <t>VENTA DE BIENES Y SERVICIOS</t>
  </si>
  <si>
    <t>TASA UTILIZACION AGUAS</t>
  </si>
  <si>
    <t>TASAS RETRIBUTIVAS Y COMPENSATORIAS</t>
  </si>
  <si>
    <t>MULTAS</t>
  </si>
  <si>
    <t>TASAS FORESTALES</t>
  </si>
  <si>
    <t>LICENCIAS Y PERMISOS AMBIENTALES</t>
  </si>
  <si>
    <t>TRANSFERENCIAS SECTOR ELECTRICO</t>
  </si>
  <si>
    <t>OTROS INGRESOS</t>
  </si>
  <si>
    <t>APORTES  DE OTRAS ENTIDADES</t>
  </si>
  <si>
    <t>RECURSOS DE CAPITAL</t>
  </si>
  <si>
    <t>RENDIMIENTOS FINANCIEROS</t>
  </si>
  <si>
    <t>RECUPERACION DE CARTERA</t>
  </si>
  <si>
    <t>TASAS POR USO DEL RECURSO AGUA</t>
  </si>
  <si>
    <t>INGRESOS NACION</t>
  </si>
  <si>
    <t>PRESUPUESTO INICIAL</t>
  </si>
  <si>
    <t>MODIFICACIONES</t>
  </si>
  <si>
    <t>PRESUPUESTO DEFINITIVO</t>
  </si>
  <si>
    <t>RECAUDOS</t>
  </si>
  <si>
    <t>SALDO POR RECAUDAR</t>
  </si>
  <si>
    <t>% DE RECAUDO</t>
  </si>
  <si>
    <t>EXC EDENTES FINANCIEROS</t>
  </si>
  <si>
    <t>% DE EJECUCION</t>
  </si>
  <si>
    <t>predial</t>
  </si>
  <si>
    <t>aguas</t>
  </si>
  <si>
    <t>tr</t>
  </si>
  <si>
    <t>tse</t>
  </si>
  <si>
    <t>multas</t>
  </si>
  <si>
    <t>%</t>
  </si>
  <si>
    <t>RENTA</t>
  </si>
  <si>
    <t>PRESUPUESTADO</t>
  </si>
  <si>
    <t>EJECUTADO</t>
  </si>
  <si>
    <t>MUNICIPIOS</t>
  </si>
  <si>
    <t>INGRESOS PROPIOS</t>
  </si>
  <si>
    <t>INGRESOS CORRIENTES</t>
  </si>
  <si>
    <t>TRIBUTARIOS</t>
  </si>
  <si>
    <t>NO TRIBUTARIOS</t>
  </si>
  <si>
    <t>TOTAL PRESUPUESTO 2015</t>
  </si>
  <si>
    <t xml:space="preserve">  </t>
  </si>
  <si>
    <t>EJECUCION PRESUPUESTAL  DE INGRESOS A DICIEMBRE 31 DE 2016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</si>
</sst>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3" fontId="4" fillId="0" borderId="13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39" fillId="0" borderId="11" xfId="0" applyNumberFormat="1" applyFont="1" applyFill="1" applyBorder="1" applyAlignment="1">
      <alignment/>
    </xf>
    <xf numFmtId="3" fontId="40" fillId="0" borderId="11" xfId="0" applyNumberFormat="1" applyFont="1" applyFill="1" applyBorder="1" applyAlignment="1">
      <alignment/>
    </xf>
    <xf numFmtId="3" fontId="41" fillId="0" borderId="11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 wrapText="1"/>
    </xf>
    <xf numFmtId="4" fontId="0" fillId="0" borderId="0" xfId="0" applyNumberFormat="1" applyAlignment="1" applyProtection="1">
      <alignment/>
      <protection locked="0"/>
    </xf>
    <xf numFmtId="4" fontId="3" fillId="0" borderId="11" xfId="0" applyNumberFormat="1" applyFont="1" applyFill="1" applyBorder="1" applyAlignment="1" applyProtection="1">
      <alignment horizontal="center" wrapText="1"/>
      <protection locked="0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4" fontId="0" fillId="0" borderId="11" xfId="0" applyNumberFormat="1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3" fontId="38" fillId="0" borderId="11" xfId="0" applyNumberFormat="1" applyFont="1" applyFill="1" applyBorder="1" applyAlignment="1">
      <alignment/>
    </xf>
    <xf numFmtId="4" fontId="38" fillId="0" borderId="14" xfId="0" applyNumberFormat="1" applyFont="1" applyFill="1" applyBorder="1" applyAlignment="1">
      <alignment/>
    </xf>
    <xf numFmtId="3" fontId="38" fillId="0" borderId="14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3" fontId="38" fillId="0" borderId="13" xfId="0" applyNumberFormat="1" applyFont="1" applyFill="1" applyBorder="1" applyAlignment="1">
      <alignment/>
    </xf>
    <xf numFmtId="4" fontId="38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 applyProtection="1">
      <alignment/>
      <protection locked="0"/>
    </xf>
    <xf numFmtId="0" fontId="38" fillId="0" borderId="11" xfId="0" applyFont="1" applyFill="1" applyBorder="1" applyAlignment="1">
      <alignment horizontal="center"/>
    </xf>
    <xf numFmtId="3" fontId="38" fillId="0" borderId="11" xfId="0" applyNumberFormat="1" applyFont="1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38" fillId="0" borderId="11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4" fontId="38" fillId="0" borderId="11" xfId="0" applyNumberFormat="1" applyFont="1" applyFill="1" applyBorder="1" applyAlignment="1" applyProtection="1">
      <alignment/>
      <protection locked="0"/>
    </xf>
    <xf numFmtId="0" fontId="38" fillId="0" borderId="0" xfId="0" applyFont="1" applyAlignment="1">
      <alignment/>
    </xf>
    <xf numFmtId="4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barrera\Documents\presupuesto2013\ejecuciones\ejeucioningresosseptiembre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barrera.CAM\Documents\presupuesto2014\EJECUCIONES\EJECUCION%20PRESUPUESTALDEINGRESOSAjunio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>
        <row r="40">
          <cell r="C40">
            <v>1637500000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30">
          <cell r="G30">
            <v>51846650.5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zoomScalePageLayoutView="0" workbookViewId="0" topLeftCell="A31">
      <selection activeCell="A32" sqref="A32"/>
    </sheetView>
  </sheetViews>
  <sheetFormatPr defaultColWidth="11.421875" defaultRowHeight="15"/>
  <cols>
    <col min="1" max="1" width="42.421875" style="0" customWidth="1"/>
    <col min="2" max="2" width="20.57421875" style="0" hidden="1" customWidth="1"/>
    <col min="3" max="3" width="0" style="0" hidden="1" customWidth="1"/>
    <col min="4" max="4" width="19.28125" style="0" customWidth="1"/>
    <col min="5" max="5" width="19.57421875" style="0" customWidth="1"/>
    <col min="6" max="6" width="22.8515625" style="0" customWidth="1"/>
    <col min="7" max="7" width="20.140625" style="0" customWidth="1"/>
    <col min="8" max="8" width="20.28125" style="0" hidden="1" customWidth="1"/>
    <col min="9" max="9" width="0" style="0" hidden="1" customWidth="1"/>
    <col min="10" max="10" width="18.140625" style="0" customWidth="1"/>
    <col min="11" max="11" width="17.140625" style="17" customWidth="1"/>
    <col min="12" max="12" width="13.421875" style="0" bestFit="1" customWidth="1"/>
  </cols>
  <sheetData>
    <row r="1" spans="1:11" ht="1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15">
      <c r="A2" s="44" t="s">
        <v>45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20"/>
      <c r="K3" s="21"/>
    </row>
    <row r="4" spans="1:11" ht="15">
      <c r="A4" s="19"/>
      <c r="B4" s="10"/>
      <c r="C4" s="20" t="s">
        <v>1</v>
      </c>
      <c r="D4" s="20"/>
      <c r="E4" s="22"/>
      <c r="F4" s="22"/>
      <c r="G4" s="22"/>
      <c r="H4" s="22"/>
      <c r="I4" s="22"/>
      <c r="J4" s="22"/>
      <c r="K4" s="21"/>
    </row>
    <row r="5" spans="1:11" ht="60">
      <c r="A5" s="12" t="s">
        <v>2</v>
      </c>
      <c r="B5" s="10" t="s">
        <v>3</v>
      </c>
      <c r="C5" s="11" t="s">
        <v>4</v>
      </c>
      <c r="D5" s="11" t="s">
        <v>21</v>
      </c>
      <c r="E5" s="11" t="s">
        <v>22</v>
      </c>
      <c r="F5" s="11" t="s">
        <v>23</v>
      </c>
      <c r="G5" s="11" t="s">
        <v>24</v>
      </c>
      <c r="H5" s="11" t="s">
        <v>25</v>
      </c>
      <c r="I5" s="16" t="s">
        <v>26</v>
      </c>
      <c r="J5" s="16" t="s">
        <v>25</v>
      </c>
      <c r="K5" s="18" t="s">
        <v>28</v>
      </c>
    </row>
    <row r="6" spans="1:11" ht="15">
      <c r="A6" s="3" t="s">
        <v>39</v>
      </c>
      <c r="B6" s="6"/>
      <c r="C6" s="2" t="s">
        <v>1</v>
      </c>
      <c r="D6" s="8">
        <f>+D7+D22</f>
        <v>19377712508</v>
      </c>
      <c r="E6" s="8">
        <f>+E7+E22</f>
        <v>15701964424</v>
      </c>
      <c r="F6" s="8">
        <f>+F7+F22</f>
        <v>35079676932</v>
      </c>
      <c r="G6" s="8">
        <f>+G7+G22</f>
        <v>35571852058.2</v>
      </c>
      <c r="H6" s="37"/>
      <c r="I6" s="38"/>
      <c r="J6" s="25">
        <f>+F6-G6</f>
        <v>-492175126.19999695</v>
      </c>
      <c r="K6" s="39">
        <f>+G6/F6*100</f>
        <v>101.40302069244838</v>
      </c>
    </row>
    <row r="7" spans="1:11" ht="15">
      <c r="A7" s="3" t="s">
        <v>40</v>
      </c>
      <c r="B7" s="6"/>
      <c r="C7" s="2"/>
      <c r="D7" s="8">
        <f>+D8+D12</f>
        <v>16083048598</v>
      </c>
      <c r="E7" s="8">
        <f>+E8+E12</f>
        <v>4477666940</v>
      </c>
      <c r="F7" s="8">
        <f>+F8+F12</f>
        <v>20560715538</v>
      </c>
      <c r="G7" s="8">
        <f>+G8+G12</f>
        <v>20289063380.2</v>
      </c>
      <c r="H7" s="37"/>
      <c r="I7" s="38"/>
      <c r="J7" s="25">
        <f>+F7-G7</f>
        <v>271652157.79999924</v>
      </c>
      <c r="K7" s="39">
        <f>+G7/F7*100</f>
        <v>98.678780622698</v>
      </c>
    </row>
    <row r="8" spans="1:12" ht="15">
      <c r="A8" s="3" t="s">
        <v>41</v>
      </c>
      <c r="B8" s="6"/>
      <c r="C8" s="2"/>
      <c r="D8" s="8">
        <f>+D9</f>
        <v>7966559232</v>
      </c>
      <c r="E8" s="23">
        <f>+E9</f>
        <v>0</v>
      </c>
      <c r="F8" s="23">
        <f>+F9</f>
        <v>7966559232</v>
      </c>
      <c r="G8" s="23">
        <f>+G9</f>
        <v>8240561838.2</v>
      </c>
      <c r="H8" s="37"/>
      <c r="I8" s="38"/>
      <c r="J8" s="25">
        <f>+J9</f>
        <v>-274002606.1999998</v>
      </c>
      <c r="K8" s="21">
        <f>+G8/F8*100</f>
        <v>103.43940963997844</v>
      </c>
      <c r="L8" s="40"/>
    </row>
    <row r="9" spans="1:11" ht="15">
      <c r="A9" s="3" t="s">
        <v>5</v>
      </c>
      <c r="B9" s="8">
        <f>+B10+B11</f>
        <v>3990720028</v>
      </c>
      <c r="C9" s="8">
        <f>+C10+C11</f>
        <v>5773324426</v>
      </c>
      <c r="D9" s="8">
        <f>+D10+D11</f>
        <v>7966559232</v>
      </c>
      <c r="E9" s="8">
        <f>+E10+E11</f>
        <v>0</v>
      </c>
      <c r="F9" s="8">
        <f>+D9+E9</f>
        <v>7966559232</v>
      </c>
      <c r="G9" s="8">
        <f>+G10+G11</f>
        <v>8240561838.2</v>
      </c>
      <c r="H9" s="23">
        <f>+F9-G9</f>
        <v>-274002606.1999998</v>
      </c>
      <c r="I9" s="24">
        <f>+G9/F9*100</f>
        <v>103.43940963997844</v>
      </c>
      <c r="J9" s="25">
        <f>+F9-G9</f>
        <v>-274002606.1999998</v>
      </c>
      <c r="K9" s="21">
        <f>+G9/F9*100</f>
        <v>103.43940963997844</v>
      </c>
    </row>
    <row r="10" spans="1:11" ht="15">
      <c r="A10" s="1" t="s">
        <v>6</v>
      </c>
      <c r="B10" s="2">
        <v>2554571331</v>
      </c>
      <c r="C10" s="2">
        <v>3982615749</v>
      </c>
      <c r="D10" s="2">
        <v>5498000000</v>
      </c>
      <c r="E10" s="2">
        <v>0</v>
      </c>
      <c r="F10" s="2">
        <f aca="true" t="shared" si="0" ref="F10:F31">+D10+E10</f>
        <v>5498000000</v>
      </c>
      <c r="G10" s="14">
        <v>5499321368.2</v>
      </c>
      <c r="H10" s="26">
        <f aca="true" t="shared" si="1" ref="H10:H32">+F10-G10</f>
        <v>-1321368.1999998093</v>
      </c>
      <c r="I10" s="27">
        <f aca="true" t="shared" si="2" ref="I10:I32">+G10/F10*100</f>
        <v>100.02403361586032</v>
      </c>
      <c r="J10" s="25">
        <f aca="true" t="shared" si="3" ref="J10:J32">+F10-G10</f>
        <v>-1321368.1999998093</v>
      </c>
      <c r="K10" s="21">
        <f aca="true" t="shared" si="4" ref="K10:K30">+G10/F10*100</f>
        <v>100.02403361586032</v>
      </c>
    </row>
    <row r="11" spans="1:11" ht="15">
      <c r="A11" s="1" t="s">
        <v>38</v>
      </c>
      <c r="B11" s="2">
        <v>1436148697</v>
      </c>
      <c r="C11" s="2">
        <v>1790708677</v>
      </c>
      <c r="D11" s="2">
        <v>2468559232</v>
      </c>
      <c r="E11" s="2">
        <v>0</v>
      </c>
      <c r="F11" s="2">
        <f t="shared" si="0"/>
        <v>2468559232</v>
      </c>
      <c r="G11" s="14">
        <v>2741240470</v>
      </c>
      <c r="H11" s="26">
        <f t="shared" si="1"/>
        <v>-272681238</v>
      </c>
      <c r="I11" s="27">
        <f t="shared" si="2"/>
        <v>111.04616954153765</v>
      </c>
      <c r="J11" s="25">
        <f t="shared" si="3"/>
        <v>-272681238</v>
      </c>
      <c r="K11" s="21">
        <f t="shared" si="4"/>
        <v>111.04616954153765</v>
      </c>
    </row>
    <row r="12" spans="1:11" ht="15">
      <c r="A12" s="3" t="s">
        <v>42</v>
      </c>
      <c r="B12" s="8"/>
      <c r="C12" s="8"/>
      <c r="D12" s="8">
        <f>+D13+D19+D20+D21</f>
        <v>8116489366</v>
      </c>
      <c r="E12" s="8">
        <f aca="true" t="shared" si="5" ref="E12:J12">+E13+E19+E20+E21</f>
        <v>4477666940</v>
      </c>
      <c r="F12" s="8">
        <f t="shared" si="5"/>
        <v>12594156306</v>
      </c>
      <c r="G12" s="8">
        <f t="shared" si="5"/>
        <v>12048501542</v>
      </c>
      <c r="H12" s="8">
        <f t="shared" si="5"/>
        <v>545654764</v>
      </c>
      <c r="I12" s="8">
        <f t="shared" si="5"/>
        <v>483.11109819391953</v>
      </c>
      <c r="J12" s="8">
        <f t="shared" si="5"/>
        <v>545654764</v>
      </c>
      <c r="K12" s="8">
        <f>+G12/D12*100</f>
        <v>148.4447400679315</v>
      </c>
    </row>
    <row r="13" spans="1:11" ht="15">
      <c r="A13" s="3" t="s">
        <v>7</v>
      </c>
      <c r="B13" s="8">
        <f>SUM(B14:B18)</f>
        <v>4083130951</v>
      </c>
      <c r="C13" s="8">
        <f>SUM(C14:C18)</f>
        <v>2572031685</v>
      </c>
      <c r="D13" s="8">
        <f>SUM(D14:D18)</f>
        <v>2733961573</v>
      </c>
      <c r="E13" s="8">
        <f>SUM(E14:E18)</f>
        <v>0</v>
      </c>
      <c r="F13" s="8">
        <f t="shared" si="0"/>
        <v>2733961573</v>
      </c>
      <c r="G13" s="15">
        <f>SUM(G14:G18)-1</f>
        <v>5525866431</v>
      </c>
      <c r="H13" s="23">
        <f t="shared" si="1"/>
        <v>-2791904858</v>
      </c>
      <c r="I13" s="24">
        <f t="shared" si="2"/>
        <v>202.11938915207276</v>
      </c>
      <c r="J13" s="25">
        <f t="shared" si="3"/>
        <v>-2791904858</v>
      </c>
      <c r="K13" s="21">
        <f t="shared" si="4"/>
        <v>202.11938915207276</v>
      </c>
    </row>
    <row r="14" spans="1:11" ht="15">
      <c r="A14" s="1" t="s">
        <v>8</v>
      </c>
      <c r="B14" s="2">
        <v>1482000000</v>
      </c>
      <c r="C14" s="2">
        <f>540317343+300000000</f>
        <v>840317343</v>
      </c>
      <c r="D14" s="2">
        <v>1165272764</v>
      </c>
      <c r="E14" s="2">
        <v>0</v>
      </c>
      <c r="F14" s="2">
        <f t="shared" si="0"/>
        <v>1165272764</v>
      </c>
      <c r="G14" s="14">
        <f>1574626015-41373</f>
        <v>1574584642</v>
      </c>
      <c r="H14" s="26">
        <f t="shared" si="1"/>
        <v>-409311878</v>
      </c>
      <c r="I14" s="27">
        <f t="shared" si="2"/>
        <v>135.12584269068182</v>
      </c>
      <c r="J14" s="25">
        <f t="shared" si="3"/>
        <v>-409311878</v>
      </c>
      <c r="K14" s="21">
        <f t="shared" si="4"/>
        <v>135.12584269068182</v>
      </c>
    </row>
    <row r="15" spans="1:12" ht="29.25">
      <c r="A15" s="1" t="s">
        <v>9</v>
      </c>
      <c r="B15" s="2">
        <v>1607000000</v>
      </c>
      <c r="C15" s="2">
        <f>934639741+300000000</f>
        <v>1234639741</v>
      </c>
      <c r="D15" s="2">
        <v>804494608</v>
      </c>
      <c r="E15" s="2">
        <v>0</v>
      </c>
      <c r="F15" s="2">
        <f t="shared" si="0"/>
        <v>804494608</v>
      </c>
      <c r="G15" s="14">
        <v>1271442421</v>
      </c>
      <c r="H15" s="26">
        <f t="shared" si="1"/>
        <v>-466947813</v>
      </c>
      <c r="I15" s="27">
        <f t="shared" si="2"/>
        <v>158.0423794462523</v>
      </c>
      <c r="J15" s="25">
        <f t="shared" si="3"/>
        <v>-466947813</v>
      </c>
      <c r="K15" s="21">
        <f t="shared" si="4"/>
        <v>158.0423794462523</v>
      </c>
      <c r="L15" s="42" t="s">
        <v>1</v>
      </c>
    </row>
    <row r="16" spans="1:11" ht="15">
      <c r="A16" s="1" t="s">
        <v>10</v>
      </c>
      <c r="B16" s="2">
        <v>600000000</v>
      </c>
      <c r="C16" s="2">
        <v>153157235</v>
      </c>
      <c r="D16" s="2">
        <v>172058789</v>
      </c>
      <c r="E16" s="2">
        <v>0</v>
      </c>
      <c r="F16" s="2">
        <f>+D16+E16</f>
        <v>172058789</v>
      </c>
      <c r="G16" s="14">
        <v>442902598</v>
      </c>
      <c r="H16" s="26">
        <f t="shared" si="1"/>
        <v>-270843809</v>
      </c>
      <c r="I16" s="27">
        <f t="shared" si="2"/>
        <v>257.4135274193985</v>
      </c>
      <c r="J16" s="25">
        <f t="shared" si="3"/>
        <v>-270843809</v>
      </c>
      <c r="K16" s="21">
        <f t="shared" si="4"/>
        <v>257.4135274193985</v>
      </c>
    </row>
    <row r="17" spans="1:11" ht="15">
      <c r="A17" s="1" t="s">
        <v>11</v>
      </c>
      <c r="B17" s="2">
        <v>42000000</v>
      </c>
      <c r="C17" s="2">
        <f>7081824+62162613</f>
        <v>69244437</v>
      </c>
      <c r="D17" s="2">
        <v>12390896</v>
      </c>
      <c r="E17" s="2">
        <v>0</v>
      </c>
      <c r="F17" s="2">
        <f t="shared" si="0"/>
        <v>12390896</v>
      </c>
      <c r="G17" s="14">
        <v>1132110972</v>
      </c>
      <c r="H17" s="26">
        <f t="shared" si="1"/>
        <v>-1119720076</v>
      </c>
      <c r="I17" s="27">
        <f t="shared" si="2"/>
        <v>9136.635252204522</v>
      </c>
      <c r="J17" s="25">
        <f t="shared" si="3"/>
        <v>-1119720076</v>
      </c>
      <c r="K17" s="21">
        <f t="shared" si="4"/>
        <v>9136.635252204522</v>
      </c>
    </row>
    <row r="18" spans="1:11" ht="15">
      <c r="A18" s="1" t="s">
        <v>12</v>
      </c>
      <c r="B18" s="2">
        <v>352130951</v>
      </c>
      <c r="C18" s="2">
        <v>274672929</v>
      </c>
      <c r="D18" s="2">
        <v>579744516</v>
      </c>
      <c r="E18" s="2">
        <v>0</v>
      </c>
      <c r="F18" s="2">
        <f t="shared" si="0"/>
        <v>579744516</v>
      </c>
      <c r="G18" s="14">
        <v>1104825799</v>
      </c>
      <c r="H18" s="26">
        <f t="shared" si="1"/>
        <v>-525081283</v>
      </c>
      <c r="I18" s="27">
        <f t="shared" si="2"/>
        <v>190.57115134487964</v>
      </c>
      <c r="J18" s="25">
        <f t="shared" si="3"/>
        <v>-525081283</v>
      </c>
      <c r="K18" s="21">
        <f t="shared" si="4"/>
        <v>190.57115134487964</v>
      </c>
    </row>
    <row r="19" spans="1:11" ht="30">
      <c r="A19" s="3" t="s">
        <v>13</v>
      </c>
      <c r="B19" s="8">
        <v>3559746688</v>
      </c>
      <c r="C19" s="8">
        <f>2340876848+405356184</f>
        <v>2746233032</v>
      </c>
      <c r="D19" s="8">
        <v>5328127328</v>
      </c>
      <c r="E19" s="8">
        <v>0</v>
      </c>
      <c r="F19" s="8">
        <f t="shared" si="0"/>
        <v>5328127328</v>
      </c>
      <c r="G19" s="15">
        <v>5277101396</v>
      </c>
      <c r="H19" s="23">
        <f t="shared" si="1"/>
        <v>51025932</v>
      </c>
      <c r="I19" s="24">
        <f t="shared" si="2"/>
        <v>99.04232896740564</v>
      </c>
      <c r="J19" s="25">
        <f t="shared" si="3"/>
        <v>51025932</v>
      </c>
      <c r="K19" s="21">
        <f t="shared" si="4"/>
        <v>99.04232896740564</v>
      </c>
    </row>
    <row r="20" spans="1:11" ht="15">
      <c r="A20" s="3" t="s">
        <v>14</v>
      </c>
      <c r="B20" s="8">
        <v>56238000</v>
      </c>
      <c r="C20" s="8">
        <f>28453518*1.004</f>
        <v>28567332.072</v>
      </c>
      <c r="D20" s="8">
        <v>54400465</v>
      </c>
      <c r="E20" s="8">
        <v>0</v>
      </c>
      <c r="F20" s="8">
        <f t="shared" si="0"/>
        <v>54400465</v>
      </c>
      <c r="G20" s="15">
        <v>84880195</v>
      </c>
      <c r="H20" s="23">
        <f t="shared" si="1"/>
        <v>-30479730</v>
      </c>
      <c r="I20" s="24">
        <f t="shared" si="2"/>
        <v>156.02843652163637</v>
      </c>
      <c r="J20" s="25">
        <f t="shared" si="3"/>
        <v>-30479730</v>
      </c>
      <c r="K20" s="21">
        <f t="shared" si="4"/>
        <v>156.02843652163637</v>
      </c>
    </row>
    <row r="21" spans="1:12" ht="15">
      <c r="A21" s="3" t="s">
        <v>15</v>
      </c>
      <c r="B21" s="2" t="e">
        <f>+#REF!+#REF!</f>
        <v>#REF!</v>
      </c>
      <c r="C21" s="2" t="e">
        <f>+#REF!+#REF!</f>
        <v>#REF!</v>
      </c>
      <c r="D21" s="2">
        <v>0</v>
      </c>
      <c r="E21" s="8">
        <v>4477666940</v>
      </c>
      <c r="F21" s="8">
        <f>+D21+E21</f>
        <v>4477666940</v>
      </c>
      <c r="G21" s="8">
        <f>1011533884+149119636</f>
        <v>1160653520</v>
      </c>
      <c r="H21" s="26">
        <f t="shared" si="1"/>
        <v>3317013420</v>
      </c>
      <c r="I21" s="27">
        <f t="shared" si="2"/>
        <v>25.920943552804754</v>
      </c>
      <c r="J21" s="25">
        <f t="shared" si="3"/>
        <v>3317013420</v>
      </c>
      <c r="K21" s="21">
        <f t="shared" si="4"/>
        <v>25.920943552804754</v>
      </c>
      <c r="L21" s="7" t="s">
        <v>1</v>
      </c>
    </row>
    <row r="22" spans="1:12" ht="15">
      <c r="A22" s="3" t="s">
        <v>16</v>
      </c>
      <c r="B22" s="8">
        <f>+B23+B25</f>
        <v>3621351324</v>
      </c>
      <c r="C22" s="8">
        <f>+C23+C25</f>
        <v>3226173481</v>
      </c>
      <c r="D22" s="8">
        <f>+D23+D25+D24</f>
        <v>3294663910</v>
      </c>
      <c r="E22" s="8">
        <f>+E23+E25+E24</f>
        <v>11224297484</v>
      </c>
      <c r="F22" s="8">
        <f t="shared" si="0"/>
        <v>14518961394</v>
      </c>
      <c r="G22" s="8">
        <f>+G23+G25+G24</f>
        <v>15282788678</v>
      </c>
      <c r="H22" s="23">
        <f t="shared" si="1"/>
        <v>-763827284</v>
      </c>
      <c r="I22" s="24">
        <f t="shared" si="2"/>
        <v>105.26089479317476</v>
      </c>
      <c r="J22" s="25">
        <f t="shared" si="3"/>
        <v>-763827284</v>
      </c>
      <c r="K22" s="21">
        <f t="shared" si="4"/>
        <v>105.26089479317476</v>
      </c>
      <c r="L22" s="7" t="s">
        <v>1</v>
      </c>
    </row>
    <row r="23" spans="1:11" ht="15">
      <c r="A23" s="1" t="s">
        <v>17</v>
      </c>
      <c r="B23" s="2">
        <v>186018000</v>
      </c>
      <c r="C23" s="2">
        <v>483000000</v>
      </c>
      <c r="D23" s="2">
        <v>420196365</v>
      </c>
      <c r="E23" s="2">
        <v>0</v>
      </c>
      <c r="F23" s="2">
        <f t="shared" si="0"/>
        <v>420196365</v>
      </c>
      <c r="G23" s="14">
        <f>736915502-574742</f>
        <v>736340760</v>
      </c>
      <c r="H23" s="26">
        <f t="shared" si="1"/>
        <v>-316144395</v>
      </c>
      <c r="I23" s="27">
        <f t="shared" si="2"/>
        <v>175.2372988757292</v>
      </c>
      <c r="J23" s="25">
        <f t="shared" si="3"/>
        <v>-316144395</v>
      </c>
      <c r="K23" s="21">
        <f t="shared" si="4"/>
        <v>175.2372988757292</v>
      </c>
    </row>
    <row r="24" spans="1:11" ht="15">
      <c r="A24" s="1" t="s">
        <v>27</v>
      </c>
      <c r="B24" s="2"/>
      <c r="C24" s="2"/>
      <c r="D24" s="2"/>
      <c r="E24" s="2">
        <v>11224297484</v>
      </c>
      <c r="F24" s="2">
        <f>+E24</f>
        <v>11224297484</v>
      </c>
      <c r="G24" s="14">
        <f>+F24</f>
        <v>11224297484</v>
      </c>
      <c r="H24" s="26"/>
      <c r="I24" s="27"/>
      <c r="J24" s="25">
        <f t="shared" si="3"/>
        <v>0</v>
      </c>
      <c r="K24" s="21">
        <f t="shared" si="4"/>
        <v>100</v>
      </c>
    </row>
    <row r="25" spans="1:11" ht="15">
      <c r="A25" s="3" t="s">
        <v>18</v>
      </c>
      <c r="B25" s="2">
        <f>+B26+B27+B28+B29+B30</f>
        <v>3435333324</v>
      </c>
      <c r="C25" s="2">
        <f>+C26+C27+C28+C29+C30</f>
        <v>2743173481</v>
      </c>
      <c r="D25" s="8">
        <f>SUM(D26:D30)</f>
        <v>2874467545</v>
      </c>
      <c r="E25" s="8">
        <f>SUM(E26:E30)</f>
        <v>0</v>
      </c>
      <c r="F25" s="8">
        <f t="shared" si="0"/>
        <v>2874467545</v>
      </c>
      <c r="G25" s="8">
        <f>SUM(G26:G30)</f>
        <v>3322150434</v>
      </c>
      <c r="H25" s="26">
        <f t="shared" si="1"/>
        <v>-447682889</v>
      </c>
      <c r="I25" s="27">
        <f t="shared" si="2"/>
        <v>115.57446316549036</v>
      </c>
      <c r="J25" s="25">
        <f t="shared" si="3"/>
        <v>-447682889</v>
      </c>
      <c r="K25" s="21">
        <f t="shared" si="4"/>
        <v>115.57446316549036</v>
      </c>
    </row>
    <row r="26" spans="1:11" ht="15">
      <c r="A26" s="1" t="s">
        <v>19</v>
      </c>
      <c r="B26" s="2">
        <v>594000000</v>
      </c>
      <c r="C26" s="2">
        <f>438940542+50000000</f>
        <v>488940542</v>
      </c>
      <c r="D26" s="2">
        <v>696758760</v>
      </c>
      <c r="E26" s="2">
        <v>0</v>
      </c>
      <c r="F26" s="2">
        <f t="shared" si="0"/>
        <v>696758760</v>
      </c>
      <c r="G26" s="14">
        <v>826450122</v>
      </c>
      <c r="H26" s="26">
        <f t="shared" si="1"/>
        <v>-129691362</v>
      </c>
      <c r="I26" s="27">
        <f t="shared" si="2"/>
        <v>118.61352442845498</v>
      </c>
      <c r="J26" s="25">
        <f t="shared" si="3"/>
        <v>-129691362</v>
      </c>
      <c r="K26" s="21">
        <f t="shared" si="4"/>
        <v>118.61352442845498</v>
      </c>
    </row>
    <row r="27" spans="1:11" ht="29.25">
      <c r="A27" s="1" t="s">
        <v>9</v>
      </c>
      <c r="B27" s="2">
        <v>1015350000</v>
      </c>
      <c r="C27" s="2">
        <f>200328232+500000000</f>
        <v>700328232</v>
      </c>
      <c r="D27" s="2">
        <v>387961484</v>
      </c>
      <c r="E27" s="2">
        <v>0</v>
      </c>
      <c r="F27" s="2">
        <f t="shared" si="0"/>
        <v>387961484</v>
      </c>
      <c r="G27" s="14">
        <f>476245328-2818712</f>
        <v>473426616</v>
      </c>
      <c r="H27" s="26">
        <f t="shared" si="1"/>
        <v>-85465132</v>
      </c>
      <c r="I27" s="27">
        <f t="shared" si="2"/>
        <v>122.02928268003018</v>
      </c>
      <c r="J27" s="25">
        <f t="shared" si="3"/>
        <v>-85465132</v>
      </c>
      <c r="K27" s="21">
        <f t="shared" si="4"/>
        <v>122.02928268003018</v>
      </c>
    </row>
    <row r="28" spans="1:11" ht="29.25">
      <c r="A28" s="1" t="s">
        <v>13</v>
      </c>
      <c r="B28" s="2">
        <v>1186582000</v>
      </c>
      <c r="C28" s="2">
        <v>751381744</v>
      </c>
      <c r="D28" s="2">
        <v>771207094</v>
      </c>
      <c r="E28" s="2">
        <v>0</v>
      </c>
      <c r="F28" s="2">
        <f t="shared" si="0"/>
        <v>771207094</v>
      </c>
      <c r="G28" s="14">
        <v>777087147</v>
      </c>
      <c r="H28" s="26">
        <f t="shared" si="1"/>
        <v>-5880053</v>
      </c>
      <c r="I28" s="27">
        <f t="shared" si="2"/>
        <v>100.7624479916934</v>
      </c>
      <c r="J28" s="25">
        <f t="shared" si="3"/>
        <v>-5880053</v>
      </c>
      <c r="K28" s="21">
        <f t="shared" si="4"/>
        <v>100.7624479916934</v>
      </c>
    </row>
    <row r="29" spans="1:11" ht="15">
      <c r="A29" s="1" t="s">
        <v>10</v>
      </c>
      <c r="B29" s="2">
        <v>200000000</v>
      </c>
      <c r="C29" s="2">
        <v>121750963</v>
      </c>
      <c r="D29" s="2">
        <v>391540207</v>
      </c>
      <c r="E29" s="2">
        <v>0</v>
      </c>
      <c r="F29" s="2">
        <f t="shared" si="0"/>
        <v>391540207</v>
      </c>
      <c r="G29" s="14">
        <v>515620299</v>
      </c>
      <c r="H29" s="26">
        <f t="shared" si="1"/>
        <v>-124080092</v>
      </c>
      <c r="I29" s="27">
        <f t="shared" si="2"/>
        <v>131.69025550420673</v>
      </c>
      <c r="J29" s="25">
        <f t="shared" si="3"/>
        <v>-124080092</v>
      </c>
      <c r="K29" s="21">
        <f t="shared" si="4"/>
        <v>131.69025550420673</v>
      </c>
    </row>
    <row r="30" spans="1:11" ht="15">
      <c r="A30" s="1" t="s">
        <v>5</v>
      </c>
      <c r="B30" s="2">
        <v>439401324</v>
      </c>
      <c r="C30" s="2">
        <v>680772000</v>
      </c>
      <c r="D30" s="2">
        <v>627000000</v>
      </c>
      <c r="E30" s="2">
        <v>0</v>
      </c>
      <c r="F30" s="2">
        <f t="shared" si="0"/>
        <v>627000000</v>
      </c>
      <c r="G30" s="14">
        <v>729566250</v>
      </c>
      <c r="H30" s="26">
        <f t="shared" si="1"/>
        <v>-102566250</v>
      </c>
      <c r="I30" s="27">
        <f t="shared" si="2"/>
        <v>116.35825358851675</v>
      </c>
      <c r="J30" s="25">
        <f t="shared" si="3"/>
        <v>-102566250</v>
      </c>
      <c r="K30" s="21">
        <f t="shared" si="4"/>
        <v>116.35825358851675</v>
      </c>
    </row>
    <row r="31" spans="1:11" ht="15">
      <c r="A31" s="3" t="s">
        <v>20</v>
      </c>
      <c r="B31" s="2">
        <f>+'[1]Hoja2'!$C$40</f>
        <v>1637500000</v>
      </c>
      <c r="C31" s="2">
        <f>+'[1]Hoja2'!$C$40</f>
        <v>1637500000</v>
      </c>
      <c r="D31" s="8">
        <v>4573454220</v>
      </c>
      <c r="E31" s="8">
        <f>104000000+26000000-45734542</f>
        <v>84265458</v>
      </c>
      <c r="F31" s="8">
        <f t="shared" si="0"/>
        <v>4657719678</v>
      </c>
      <c r="G31" s="15">
        <f>1656530322+1462239683</f>
        <v>3118770005</v>
      </c>
      <c r="H31" s="23">
        <f t="shared" si="1"/>
        <v>1538949673</v>
      </c>
      <c r="I31" s="24">
        <f t="shared" si="2"/>
        <v>66.95916071830203</v>
      </c>
      <c r="J31" s="25">
        <f t="shared" si="3"/>
        <v>1538949673</v>
      </c>
      <c r="K31" s="21">
        <f>+G31/F31*100</f>
        <v>66.95916071830203</v>
      </c>
    </row>
    <row r="32" spans="1:11" ht="15.75" thickBot="1">
      <c r="A32" s="4" t="s">
        <v>43</v>
      </c>
      <c r="B32" s="5" t="e">
        <f>+#REF!+B31</f>
        <v>#REF!</v>
      </c>
      <c r="C32" s="5" t="e">
        <f>+#REF!+C31</f>
        <v>#REF!</v>
      </c>
      <c r="D32" s="9">
        <f>+D6+D31</f>
        <v>23951166728</v>
      </c>
      <c r="E32" s="9">
        <f>+E6+E31</f>
        <v>15786229882</v>
      </c>
      <c r="F32" s="9">
        <f>+F6+F31</f>
        <v>39737396610</v>
      </c>
      <c r="G32" s="9">
        <f>+G6+G31</f>
        <v>38690622063.2</v>
      </c>
      <c r="H32" s="28">
        <f t="shared" si="1"/>
        <v>1046774546.800003</v>
      </c>
      <c r="I32" s="29">
        <f t="shared" si="2"/>
        <v>97.36576968774905</v>
      </c>
      <c r="J32" s="25">
        <f t="shared" si="3"/>
        <v>1046774546.800003</v>
      </c>
      <c r="K32" s="21">
        <f>+G32/F32*100</f>
        <v>97.36576968774905</v>
      </c>
    </row>
    <row r="33" spans="1:11" ht="15" hidden="1">
      <c r="A33" s="30"/>
      <c r="B33" s="30"/>
      <c r="C33" s="30"/>
      <c r="D33" s="30"/>
      <c r="E33" s="30"/>
      <c r="F33" s="31">
        <f>+F32-F24-F21-1900000000</f>
        <v>22135432186</v>
      </c>
      <c r="G33" s="31">
        <f>+G32-G24-G21-1155869513</f>
        <v>25149801546.199997</v>
      </c>
      <c r="H33" s="30"/>
      <c r="I33" s="30"/>
      <c r="J33" s="30"/>
      <c r="K33" s="32"/>
    </row>
    <row r="34" spans="1:11" ht="15" hidden="1">
      <c r="A34" s="19" t="s">
        <v>35</v>
      </c>
      <c r="B34" s="22"/>
      <c r="C34" s="22"/>
      <c r="D34" s="33" t="s">
        <v>36</v>
      </c>
      <c r="E34" s="33" t="s">
        <v>37</v>
      </c>
      <c r="F34" s="34" t="s">
        <v>34</v>
      </c>
      <c r="G34" s="31">
        <f>+G33/F33*100</f>
        <v>113.61784732672398</v>
      </c>
      <c r="H34" s="30"/>
      <c r="I34" s="30"/>
      <c r="J34" s="31">
        <f>+G17-1155869513</f>
        <v>-23758541</v>
      </c>
      <c r="K34" s="32"/>
    </row>
    <row r="35" spans="1:11" ht="15" hidden="1">
      <c r="A35" s="22" t="s">
        <v>29</v>
      </c>
      <c r="B35" s="22"/>
      <c r="C35" s="22"/>
      <c r="D35" s="26">
        <f>+F9+F30</f>
        <v>8593559232</v>
      </c>
      <c r="E35" s="26">
        <f>+G9+G30</f>
        <v>8970128088.2</v>
      </c>
      <c r="F35" s="35">
        <f>+E35/D35*100</f>
        <v>104.38198941828159</v>
      </c>
      <c r="G35" s="31">
        <v>8.333333333333334</v>
      </c>
      <c r="H35" s="30"/>
      <c r="I35" s="30"/>
      <c r="J35" s="30">
        <f>+J34/F17*100</f>
        <v>-191.74191277208686</v>
      </c>
      <c r="K35" s="32"/>
    </row>
    <row r="36" spans="1:11" ht="15" hidden="1">
      <c r="A36" s="22" t="s">
        <v>30</v>
      </c>
      <c r="B36" s="22"/>
      <c r="C36" s="22"/>
      <c r="D36" s="26">
        <f>+F14+F26</f>
        <v>1862031524</v>
      </c>
      <c r="E36" s="26">
        <f>+G14+G26</f>
        <v>2401034764</v>
      </c>
      <c r="F36" s="35">
        <f>+E36/D36*100</f>
        <v>128.94705234861533</v>
      </c>
      <c r="G36" s="31">
        <f>+G35*9</f>
        <v>75</v>
      </c>
      <c r="H36" s="30"/>
      <c r="I36" s="30"/>
      <c r="J36" s="30"/>
      <c r="K36" s="32"/>
    </row>
    <row r="37" spans="1:11" ht="15" hidden="1">
      <c r="A37" s="22" t="s">
        <v>31</v>
      </c>
      <c r="B37" s="22"/>
      <c r="C37" s="22"/>
      <c r="D37" s="26">
        <f>+F15+F27</f>
        <v>1192456092</v>
      </c>
      <c r="E37" s="26">
        <f>+G15+G27</f>
        <v>1744869037</v>
      </c>
      <c r="F37" s="35">
        <f>+E37/D37*100</f>
        <v>146.32564240361145</v>
      </c>
      <c r="G37" s="31" t="s">
        <v>1</v>
      </c>
      <c r="H37" s="30"/>
      <c r="I37" s="30"/>
      <c r="J37" s="30"/>
      <c r="K37" s="32"/>
    </row>
    <row r="38" spans="1:11" ht="15" hidden="1">
      <c r="A38" s="22" t="s">
        <v>32</v>
      </c>
      <c r="B38" s="22"/>
      <c r="C38" s="22"/>
      <c r="D38" s="26">
        <f>+F19+F28</f>
        <v>6099334422</v>
      </c>
      <c r="E38" s="26">
        <f>+G19+G28</f>
        <v>6054188543</v>
      </c>
      <c r="F38" s="35">
        <f>+E38/D38*100</f>
        <v>99.25982286137383</v>
      </c>
      <c r="G38" s="31">
        <f>+F33-F14</f>
        <v>20970159422</v>
      </c>
      <c r="H38" s="30"/>
      <c r="I38" s="30"/>
      <c r="J38" s="30"/>
      <c r="K38" s="32"/>
    </row>
    <row r="39" spans="1:11" ht="15" hidden="1">
      <c r="A39" s="22" t="s">
        <v>33</v>
      </c>
      <c r="B39" s="22"/>
      <c r="C39" s="22"/>
      <c r="D39" s="26">
        <f>+F29+F16</f>
        <v>563598996</v>
      </c>
      <c r="E39" s="26">
        <f>+G16+G29</f>
        <v>958522897</v>
      </c>
      <c r="F39" s="35">
        <f>+E39/D39*100</f>
        <v>170.0717893046069</v>
      </c>
      <c r="G39" s="31">
        <f>+G38/12*9</f>
        <v>15727619566.5</v>
      </c>
      <c r="H39" s="30"/>
      <c r="I39" s="30"/>
      <c r="J39" s="30"/>
      <c r="K39" s="32"/>
    </row>
    <row r="40" spans="1:11" ht="15" hidden="1">
      <c r="A40" s="30"/>
      <c r="B40" s="30"/>
      <c r="C40" s="30"/>
      <c r="D40" s="30"/>
      <c r="E40" s="30"/>
      <c r="F40" s="36"/>
      <c r="G40" s="31">
        <f>+F14/3*2</f>
        <v>776848509.3333334</v>
      </c>
      <c r="H40" s="30"/>
      <c r="I40" s="30"/>
      <c r="J40" s="30"/>
      <c r="K40" s="32"/>
    </row>
    <row r="41" spans="1:11" ht="15" hidden="1">
      <c r="A41" s="30"/>
      <c r="B41" s="30"/>
      <c r="C41" s="30"/>
      <c r="D41" s="30"/>
      <c r="E41" s="30"/>
      <c r="F41" s="30"/>
      <c r="G41" s="31">
        <f>+G39+G40</f>
        <v>16504468075.833334</v>
      </c>
      <c r="H41" s="30"/>
      <c r="I41" s="30"/>
      <c r="J41" s="30">
        <f>+G41/F33*100</f>
        <v>74.56130938465216</v>
      </c>
      <c r="K41" s="32"/>
    </row>
    <row r="42" spans="1:11" ht="15" hidden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2"/>
    </row>
    <row r="43" spans="1:11" ht="15" hidden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2">
        <f>75-81.34</f>
        <v>-6.340000000000003</v>
      </c>
    </row>
    <row r="44" spans="1:11" ht="15" hidden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2"/>
    </row>
    <row r="45" spans="1:11" ht="15" hidden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2"/>
    </row>
    <row r="46" spans="1:11" ht="15" hidden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2"/>
    </row>
    <row r="47" spans="1:11" ht="15" hidden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2"/>
    </row>
    <row r="48" spans="1:11" ht="15" hidden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2"/>
    </row>
    <row r="49" spans="1:11" ht="15" hidden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2"/>
    </row>
    <row r="50" spans="1:11" ht="15" hidden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2"/>
    </row>
    <row r="51" spans="1:11" ht="15" hidden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2"/>
    </row>
    <row r="52" spans="1:11" ht="15" hidden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2"/>
    </row>
    <row r="53" spans="1:11" ht="15" hidden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2"/>
    </row>
    <row r="54" spans="1:11" ht="15" hidden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2"/>
    </row>
    <row r="55" spans="1:11" ht="15" hidden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2"/>
    </row>
    <row r="56" spans="1:11" ht="15" hidden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2"/>
    </row>
    <row r="57" spans="1:11" ht="15" hidden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2"/>
    </row>
    <row r="58" spans="1:11" ht="15" hidden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2"/>
    </row>
    <row r="59" spans="1:11" ht="15" hidden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2"/>
    </row>
    <row r="60" spans="1:11" ht="15" hidden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2"/>
    </row>
    <row r="61" spans="1:11" ht="15" hidden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2"/>
    </row>
    <row r="62" spans="1:11" ht="15" hidden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2"/>
    </row>
    <row r="63" spans="1:11" ht="15" hidden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2"/>
    </row>
    <row r="64" spans="1:11" ht="15" hidden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2"/>
    </row>
    <row r="65" spans="1:11" ht="15" hidden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2"/>
    </row>
    <row r="66" spans="1:11" ht="15" hidden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2"/>
    </row>
    <row r="67" spans="1:11" ht="15" hidden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2"/>
    </row>
    <row r="68" spans="1:11" ht="15" hidden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2"/>
    </row>
    <row r="69" spans="1:11" ht="15" hidden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2"/>
    </row>
    <row r="70" spans="1:11" ht="15" hidden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2"/>
    </row>
    <row r="71" spans="1:11" ht="15" hidden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2"/>
    </row>
    <row r="72" spans="1:11" ht="15" hidden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2"/>
    </row>
    <row r="73" spans="1:11" ht="15" hidden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2"/>
    </row>
    <row r="74" spans="1:11" ht="15" hidden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2"/>
    </row>
    <row r="75" spans="1:11" ht="15" hidden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2"/>
    </row>
    <row r="76" spans="1:11" ht="15" hidden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2"/>
    </row>
    <row r="77" spans="1:11" ht="15" hidden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2"/>
    </row>
    <row r="78" spans="1:11" ht="15" hidden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2"/>
    </row>
    <row r="79" spans="1:11" ht="15" hidden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2"/>
    </row>
    <row r="80" spans="1:11" ht="15" hidden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2"/>
    </row>
    <row r="81" spans="1:11" ht="15" hidden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2"/>
    </row>
    <row r="82" spans="1:11" ht="15" hidden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2"/>
    </row>
    <row r="83" spans="1:11" ht="15" hidden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2"/>
    </row>
    <row r="84" spans="1:11" ht="15" hidden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2"/>
    </row>
    <row r="85" spans="1:11" ht="15" hidden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2"/>
    </row>
    <row r="86" spans="1:11" ht="15" hidden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2"/>
    </row>
    <row r="87" spans="1:11" ht="15" hidden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2"/>
    </row>
    <row r="88" spans="1:11" ht="15" hidden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2"/>
    </row>
    <row r="89" spans="1:11" ht="15" hidden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2"/>
    </row>
    <row r="90" spans="1:11" ht="15" hidden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2"/>
    </row>
    <row r="91" spans="1:11" ht="15" hidden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2"/>
    </row>
    <row r="92" spans="1:11" ht="15" hidden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2"/>
    </row>
    <row r="93" spans="1:11" ht="15" hidden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2"/>
    </row>
    <row r="94" spans="1:11" ht="15" hidden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2"/>
    </row>
    <row r="95" spans="1:11" ht="15" hidden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2"/>
    </row>
    <row r="96" spans="1:11" ht="15" hidden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2"/>
    </row>
    <row r="97" spans="1:11" ht="15" hidden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2"/>
    </row>
    <row r="98" spans="1:11" ht="15" hidden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2"/>
    </row>
    <row r="99" spans="1:11" ht="15" hidden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2"/>
    </row>
    <row r="100" spans="1:11" ht="15" hidden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2"/>
    </row>
    <row r="101" spans="1:11" ht="15" hidden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2"/>
    </row>
    <row r="102" spans="1:11" ht="15" hidden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2"/>
    </row>
    <row r="103" spans="1:11" ht="15" hidden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2"/>
    </row>
    <row r="104" spans="1:11" ht="15" hidden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2"/>
    </row>
    <row r="105" spans="1:11" ht="15" hidden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2"/>
    </row>
    <row r="106" spans="1:11" ht="15" hidden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2"/>
    </row>
    <row r="107" spans="1:11" ht="15" hidden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2"/>
    </row>
    <row r="108" spans="1:11" ht="15" hidden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2"/>
    </row>
    <row r="109" spans="1:11" ht="15" hidden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2"/>
    </row>
    <row r="110" spans="1:11" ht="15" hidden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2"/>
    </row>
    <row r="111" spans="1:11" ht="15" hidden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2"/>
    </row>
    <row r="112" spans="1:11" ht="15" hidden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2"/>
    </row>
    <row r="113" spans="1:11" ht="15" hidden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2"/>
    </row>
    <row r="114" spans="1:11" ht="15" hidden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2"/>
    </row>
    <row r="115" spans="1:11" ht="15" hidden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2"/>
    </row>
    <row r="116" spans="1:11" ht="15" hidden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2"/>
    </row>
    <row r="117" spans="1:11" ht="15" hidden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2"/>
    </row>
    <row r="118" spans="1:11" ht="15" hidden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2"/>
    </row>
    <row r="119" spans="1:11" ht="15" hidden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2"/>
    </row>
    <row r="120" spans="1:11" ht="15" hidden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2"/>
    </row>
    <row r="121" spans="1:11" ht="15" hidden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2"/>
    </row>
    <row r="122" spans="1:11" ht="15" hidden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2"/>
    </row>
    <row r="123" spans="1:11" ht="15" hidden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2"/>
    </row>
    <row r="124" spans="1:11" ht="15" hidden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2"/>
    </row>
    <row r="125" spans="1:11" ht="15" hidden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2"/>
    </row>
    <row r="126" spans="1:11" ht="15" hidden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2"/>
    </row>
    <row r="127" spans="1:11" ht="15" hidden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2"/>
    </row>
    <row r="128" spans="1:11" ht="15" hidden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2"/>
    </row>
    <row r="129" spans="1:11" ht="15" hidden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2"/>
    </row>
    <row r="130" spans="1:11" ht="15" hidden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2"/>
    </row>
    <row r="131" spans="1:11" ht="15" hidden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2"/>
    </row>
    <row r="132" spans="1:11" ht="15" hidden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2"/>
    </row>
    <row r="133" spans="1:11" ht="15" hidden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2"/>
    </row>
    <row r="134" spans="1:11" ht="15" hidden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2"/>
    </row>
    <row r="135" spans="1:11" ht="15" hidden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2"/>
    </row>
    <row r="136" spans="1:11" ht="15" hidden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2"/>
    </row>
    <row r="137" spans="1:11" ht="15" hidden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2"/>
    </row>
    <row r="138" spans="1:11" ht="15" hidden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2"/>
    </row>
    <row r="139" spans="1:11" ht="15" hidden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2"/>
    </row>
    <row r="140" spans="1:11" ht="15" hidden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2"/>
    </row>
    <row r="141" spans="1:11" ht="15" hidden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2"/>
    </row>
    <row r="142" spans="1:11" ht="15" hidden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2"/>
    </row>
    <row r="143" spans="1:11" ht="15" hidden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2"/>
    </row>
    <row r="144" spans="1:11" ht="15" hidden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2"/>
    </row>
    <row r="145" spans="1:11" ht="15" hidden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2"/>
    </row>
    <row r="146" spans="1:11" ht="15" hidden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2"/>
    </row>
    <row r="147" spans="1:11" ht="15" hidden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2"/>
    </row>
    <row r="148" spans="1:11" ht="15" hidden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2"/>
    </row>
    <row r="149" spans="1:11" ht="15" hidden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2"/>
    </row>
    <row r="150" spans="1:11" ht="15" hidden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2"/>
    </row>
    <row r="151" spans="1:11" ht="15" hidden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2"/>
    </row>
    <row r="152" spans="1:11" ht="15" hidden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2"/>
    </row>
    <row r="153" spans="1:11" ht="15" hidden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2"/>
    </row>
    <row r="154" spans="1:11" ht="15" hidden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2"/>
    </row>
    <row r="155" spans="1:11" ht="15" hidden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2"/>
    </row>
    <row r="156" spans="1:11" ht="15" hidden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2"/>
    </row>
    <row r="157" spans="1:11" ht="15" hidden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2"/>
    </row>
    <row r="158" spans="1:11" ht="15" hidden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2"/>
    </row>
    <row r="159" spans="1:11" ht="15" hidden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2"/>
    </row>
    <row r="160" spans="1:11" ht="15" hidden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2"/>
    </row>
    <row r="161" spans="1:11" ht="15" hidden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2"/>
    </row>
    <row r="162" spans="1:11" ht="15" hidden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2"/>
    </row>
    <row r="163" spans="1:11" ht="15" hidden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2"/>
    </row>
    <row r="164" spans="1:11" ht="15" hidden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2"/>
    </row>
    <row r="165" spans="1:11" ht="15" hidden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2"/>
    </row>
    <row r="166" spans="1:11" ht="15" hidden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2"/>
    </row>
    <row r="167" spans="1:11" ht="15" hidden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2"/>
    </row>
    <row r="168" spans="1:11" ht="15" hidden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2"/>
    </row>
    <row r="169" spans="1:11" ht="15" hidden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2"/>
    </row>
    <row r="170" spans="1:11" ht="15" hidden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2"/>
    </row>
    <row r="171" spans="1:11" ht="15" hidden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2"/>
    </row>
    <row r="172" spans="1:11" ht="15" hidden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2"/>
    </row>
    <row r="173" spans="1:11" ht="15" hidden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2"/>
    </row>
    <row r="174" spans="1:11" ht="15" hidden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2"/>
    </row>
    <row r="175" spans="1:11" ht="15" hidden="1">
      <c r="A175" s="36"/>
      <c r="B175" s="36"/>
      <c r="C175" s="36"/>
      <c r="D175" s="36"/>
      <c r="E175" s="36">
        <f>+E32/D32*100</f>
        <v>65.9100663499001</v>
      </c>
      <c r="F175" s="36">
        <v>1798748000</v>
      </c>
      <c r="G175" s="36"/>
      <c r="H175" s="36"/>
      <c r="I175" s="36"/>
      <c r="J175" s="36"/>
      <c r="K175" s="32"/>
    </row>
    <row r="176" spans="1:11" ht="15" hidden="1">
      <c r="A176" s="36"/>
      <c r="B176" s="36"/>
      <c r="C176" s="36"/>
      <c r="D176" s="36"/>
      <c r="E176" s="36" t="s">
        <v>1</v>
      </c>
      <c r="F176" s="36">
        <f>+F175-39071290</f>
        <v>1759676710</v>
      </c>
      <c r="G176" s="36">
        <f>1510997480+1526229045+17032249.8</f>
        <v>3054258774.8</v>
      </c>
      <c r="H176" s="36"/>
      <c r="I176" s="36"/>
      <c r="J176" s="36"/>
      <c r="K176" s="32">
        <f>+F176+F180</f>
        <v>3405425378</v>
      </c>
    </row>
    <row r="177" spans="1:11" ht="15" hidden="1">
      <c r="A177" s="36"/>
      <c r="B177" s="36"/>
      <c r="C177" s="36"/>
      <c r="D177" s="36"/>
      <c r="E177" s="36"/>
      <c r="F177" s="36">
        <f>+F175-F176</f>
        <v>39071290</v>
      </c>
      <c r="G177" s="36">
        <v>29698354288.99</v>
      </c>
      <c r="H177" s="36"/>
      <c r="I177" s="36"/>
      <c r="J177" s="36"/>
      <c r="K177" s="32">
        <f>+K176-F31</f>
        <v>-1252294300</v>
      </c>
    </row>
    <row r="178" spans="1:11" ht="15" hidden="1">
      <c r="A178" s="36"/>
      <c r="B178" s="36"/>
      <c r="C178" s="36"/>
      <c r="D178" s="36"/>
      <c r="E178" s="36"/>
      <c r="F178" s="36">
        <v>1900000000</v>
      </c>
      <c r="G178" s="36">
        <f>+G177-G32</f>
        <v>-8992267774.209995</v>
      </c>
      <c r="H178" s="36"/>
      <c r="I178" s="36"/>
      <c r="J178" s="36"/>
      <c r="K178" s="32">
        <f>39071290+254251332</f>
        <v>293322622</v>
      </c>
    </row>
    <row r="179" spans="1:11" ht="15" hidden="1">
      <c r="A179" s="36"/>
      <c r="B179" s="36"/>
      <c r="C179" s="36"/>
      <c r="D179" s="36"/>
      <c r="E179" s="36"/>
      <c r="F179" s="36">
        <v>254251332</v>
      </c>
      <c r="G179" s="36">
        <f>+G178/G177*100</f>
        <v>-30.27867364874045</v>
      </c>
      <c r="H179" s="36"/>
      <c r="I179" s="36"/>
      <c r="J179" s="36"/>
      <c r="K179" s="32"/>
    </row>
    <row r="180" spans="1:11" ht="15" hidden="1">
      <c r="A180" s="36"/>
      <c r="B180" s="36"/>
      <c r="C180" s="36"/>
      <c r="D180" s="36"/>
      <c r="E180" s="36"/>
      <c r="F180" s="36">
        <f>+F178-F179</f>
        <v>1645748668</v>
      </c>
      <c r="G180" s="36"/>
      <c r="H180" s="36"/>
      <c r="I180" s="36"/>
      <c r="J180" s="36"/>
      <c r="K180" s="32"/>
    </row>
    <row r="181" spans="1:11" ht="15" hidden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2"/>
    </row>
    <row r="182" spans="1:11" ht="15" hidden="1">
      <c r="A182" s="36"/>
      <c r="B182" s="36"/>
      <c r="C182" s="36"/>
      <c r="D182" s="36"/>
      <c r="E182" s="36"/>
      <c r="F182" s="36">
        <f>+F176-1526229045-119808968-5900000.2-17032249.8</f>
        <v>90706447</v>
      </c>
      <c r="G182" s="36"/>
      <c r="H182" s="36"/>
      <c r="I182" s="36"/>
      <c r="J182" s="36"/>
      <c r="K182" s="32"/>
    </row>
    <row r="183" spans="1:11" ht="15" hidden="1">
      <c r="A183" s="36"/>
      <c r="B183" s="36"/>
      <c r="C183" s="36"/>
      <c r="D183" s="36"/>
      <c r="E183" s="36"/>
      <c r="F183" s="36">
        <f>+F180-1510997480-9062520</f>
        <v>125688668</v>
      </c>
      <c r="G183" s="36"/>
      <c r="H183" s="36"/>
      <c r="I183" s="36"/>
      <c r="J183" s="36"/>
      <c r="K183" s="32"/>
    </row>
    <row r="184" spans="1:11" ht="15" hidden="1">
      <c r="A184" s="36"/>
      <c r="B184" s="36"/>
      <c r="C184" s="36"/>
      <c r="D184" s="36"/>
      <c r="E184" s="36"/>
      <c r="F184" s="36">
        <f>+F182+F183</f>
        <v>216395115</v>
      </c>
      <c r="G184" s="36"/>
      <c r="H184" s="36"/>
      <c r="I184" s="36"/>
      <c r="J184" s="36"/>
      <c r="K184" s="32"/>
    </row>
    <row r="185" spans="1:11" ht="15" hidden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2"/>
    </row>
    <row r="186" spans="1:11" ht="15" hidden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2"/>
    </row>
    <row r="187" spans="1:11" ht="15" hidden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2"/>
    </row>
    <row r="188" spans="1:11" ht="15" hidden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2"/>
    </row>
    <row r="189" spans="1:11" ht="15" hidden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2"/>
    </row>
    <row r="190" spans="1:11" ht="15" hidden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2"/>
    </row>
    <row r="191" spans="1:11" ht="15" hidden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2"/>
    </row>
    <row r="192" spans="1:11" ht="15" hidden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2"/>
    </row>
    <row r="193" spans="1:11" ht="15" hidden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2"/>
    </row>
    <row r="194" spans="1:11" ht="15" hidden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2"/>
    </row>
    <row r="195" spans="4:10" ht="15">
      <c r="D195" s="41"/>
      <c r="E195" s="41"/>
      <c r="F195" s="41"/>
      <c r="G195" s="41"/>
      <c r="H195" s="41"/>
      <c r="I195" s="41"/>
      <c r="J195" s="41"/>
    </row>
    <row r="196" spans="4:10" ht="15">
      <c r="D196" s="41"/>
      <c r="E196" s="41" t="s">
        <v>1</v>
      </c>
      <c r="F196" s="41" t="s">
        <v>1</v>
      </c>
      <c r="G196" s="41"/>
      <c r="H196" s="41"/>
      <c r="I196" s="41"/>
      <c r="J196" s="41"/>
    </row>
    <row r="197" spans="4:10" ht="15">
      <c r="D197" s="41"/>
      <c r="E197" s="41" t="s">
        <v>1</v>
      </c>
      <c r="F197" s="41" t="s">
        <v>1</v>
      </c>
      <c r="G197" s="41"/>
      <c r="H197" s="41"/>
      <c r="I197" s="41"/>
      <c r="J197" s="41"/>
    </row>
    <row r="198" spans="4:10" ht="15">
      <c r="D198" s="41"/>
      <c r="E198" s="41" t="s">
        <v>1</v>
      </c>
      <c r="F198" s="41" t="s">
        <v>44</v>
      </c>
      <c r="G198" s="41"/>
      <c r="H198" s="41"/>
      <c r="I198" s="41"/>
      <c r="J198" s="41"/>
    </row>
    <row r="199" spans="4:10" ht="15">
      <c r="D199" s="41"/>
      <c r="E199" s="41"/>
      <c r="F199" s="41"/>
      <c r="G199" s="41"/>
      <c r="H199" s="41"/>
      <c r="I199" s="41"/>
      <c r="J199" s="41"/>
    </row>
    <row r="200" spans="4:10" ht="15">
      <c r="D200" s="41"/>
      <c r="E200" s="41"/>
      <c r="F200" s="41"/>
      <c r="G200" s="41"/>
      <c r="H200" s="41"/>
      <c r="I200" s="41"/>
      <c r="J200" s="41"/>
    </row>
    <row r="201" spans="4:10" ht="15">
      <c r="D201" s="41"/>
      <c r="E201" s="41"/>
      <c r="F201" s="41"/>
      <c r="G201" s="41"/>
      <c r="H201" s="41"/>
      <c r="I201" s="41"/>
      <c r="J201" s="41"/>
    </row>
    <row r="202" spans="4:10" ht="15">
      <c r="D202" s="41"/>
      <c r="E202" s="41"/>
      <c r="F202" s="41"/>
      <c r="G202" s="41"/>
      <c r="H202" s="41"/>
      <c r="I202" s="41"/>
      <c r="J202" s="41"/>
    </row>
  </sheetData>
  <sheetProtection/>
  <mergeCells count="3">
    <mergeCell ref="A3:I3"/>
    <mergeCell ref="A1:K1"/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:B6"/>
    </sheetView>
  </sheetViews>
  <sheetFormatPr defaultColWidth="11.421875" defaultRowHeight="15"/>
  <cols>
    <col min="1" max="1" width="12.421875" style="0" bestFit="1" customWidth="1"/>
  </cols>
  <sheetData>
    <row r="1" ht="15">
      <c r="A1" s="13">
        <f>166968136.3+1200135+241869793+13633313+1200135</f>
        <v>424871512.3</v>
      </c>
    </row>
    <row r="2" spans="1:2" ht="15">
      <c r="A2" s="7">
        <f>+B5</f>
        <v>477854426.8</v>
      </c>
      <c r="B2" s="7">
        <v>1200135</v>
      </c>
    </row>
    <row r="3" spans="1:2" ht="15">
      <c r="A3" s="7">
        <f>+'[2]Hoja1'!$G$30</f>
        <v>51846650.5</v>
      </c>
      <c r="B3">
        <v>175975755.3</v>
      </c>
    </row>
    <row r="4" spans="1:2" ht="15">
      <c r="A4" s="7">
        <f>+A2-A3</f>
        <v>426007776.3</v>
      </c>
      <c r="B4">
        <v>300678536.5</v>
      </c>
    </row>
    <row r="5" spans="1:2" ht="15">
      <c r="A5" s="7">
        <f>+A4+A3</f>
        <v>477854426.8</v>
      </c>
      <c r="B5" s="7">
        <f>SUM(B2:B4)</f>
        <v>477854426.8</v>
      </c>
    </row>
    <row r="6" ht="15">
      <c r="B6" s="7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Vitelio Barrera Alvarez</dc:creator>
  <cp:keywords/>
  <dc:description/>
  <cp:lastModifiedBy>Administrador</cp:lastModifiedBy>
  <cp:lastPrinted>2017-02-03T20:43:03Z</cp:lastPrinted>
  <dcterms:created xsi:type="dcterms:W3CDTF">2014-03-26T14:38:10Z</dcterms:created>
  <dcterms:modified xsi:type="dcterms:W3CDTF">2017-02-26T23:11:57Z</dcterms:modified>
  <cp:category/>
  <cp:version/>
  <cp:contentType/>
  <cp:contentStatus/>
</cp:coreProperties>
</file>