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FUNCIONAMIENTO " sheetId="1" r:id="rId1"/>
    <sheet name="INVERSION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<sst xmlns="http://schemas.openxmlformats.org/spreadsheetml/2006/main" count="337" uniqueCount="90">
  <si>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</si>
  <si>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</si>
  <si>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</si>
  <si>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</si>
  <si>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</si>
  <si>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</si>
  <si>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</si>
  <si>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</si>
  <si>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</si>
  <si>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</si>
  <si>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</si>
  <si>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</si>
  <si>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</si>
  <si>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</si>
  <si>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</si>
  <si>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</si>
  <si>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</si>
  <si>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</si>
  <si>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</si>
  <si>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</si>
  <si>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</si>
  <si>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</si>
  <si>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</si>
  <si>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</si>
  <si>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</si>
  <si>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</si>
  <si>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</si>
  <si>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</si>
  <si>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</si>
  <si>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</si>
  <si>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</si>
  <si>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</si>
  <si>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</si>
  <si>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</si>
  <si>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</si>
  <si>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</si>
  <si>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</si>
  <si>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</si>
  <si>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</si>
  <si>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</si>
  <si>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</si>
  <si>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</si>
  <si>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</si>
  <si>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</si>
  <si>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</si>
  <si>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</si>
  <si>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</si>
  <si>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</si>
  <si>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</si>
  <si>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</si>
  <si>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</si>
  <si>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</si>
  <si>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</si>
  <si>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</si>
  <si>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</si>
  <si>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</si>
  <si>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</si>
  <si>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</si>
  <si>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</si>
  <si>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</si>
  <si>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</si>
  <si>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</si>
  <si>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</si>
  <si>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</si>
  <si>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</si>
  <si>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</si>
  <si>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</si>
  <si>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</si>
  <si>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</si>
  <si>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</si>
  <si>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</si>
  <si>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</si>
  <si>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</si>
  <si>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</si>
  <si>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</si>
  <si>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SALDO PÓR EJECUTAR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</si>
  <si>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</si>
  <si>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</si>
  <si>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</si>
  <si>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</si>
  <si>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</si>
  <si>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</si>
  <si>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</si>
  <si>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</si>
  <si>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OBLIGACIONES</t>
  </si>
  <si>
    <t>PAGOS</t>
  </si>
  <si>
    <t>EJECUCION PRESUPUESTAL GASTOS DE INVERSION RECURSOS PROPIOS A JUNIO 30 DE 2015</t>
  </si>
  <si>
    <t>EJECUCION PRESUPUESTAL A JUNIO 30 DE 2015</t>
  </si>
  <si>
    <t>EJECUCION PRESUPUESTAL A 30 DE JUNIO DE  2015</t>
  </si>
  <si>
    <t>EJECUCION PRESUPUESTAL GASTOS DE INVERSION RECURSOS NACION  A JUNIO 30 DE 2015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</si>
</sst>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4" fontId="0" fillId="0" borderId="11" xfId="0" applyNumberForma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wrapText="1"/>
      <protection locked="0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1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wrapText="1"/>
      <protection locked="0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3" fontId="0" fillId="0" borderId="0" xfId="0" applyNumberFormat="1" applyFill="1" applyAlignment="1">
      <alignment/>
    </xf>
    <xf numFmtId="4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25" fillId="0" borderId="0" xfId="55" applyNumberFormat="1" applyFont="1" applyAlignment="1">
      <alignment/>
    </xf>
    <xf numFmtId="3" fontId="0" fillId="0" borderId="18" xfId="0" applyNumberFormat="1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3\ejecuciones\T-CAM-029-POAI%202013%20(Marzo%2016%20de%202013)%20ATRABAJ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SEPTIEMBRE%20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MARZO31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900-01"/>
      <sheetName val="proyecto flias guardabosques"/>
      <sheetName val="01-900-02"/>
      <sheetName val="01-900-03"/>
      <sheetName val="02-0900-01"/>
      <sheetName val="02-900-02"/>
      <sheetName val="02-900-03"/>
      <sheetName val="02-900-04"/>
      <sheetName val="03-900-01"/>
      <sheetName val="03-900-02"/>
      <sheetName val="04-0900-1"/>
      <sheetName val="04-0900-02"/>
      <sheetName val="05-900-01"/>
      <sheetName val="06-0900-01"/>
      <sheetName val="06-0900-02"/>
      <sheetName val="PDC"/>
      <sheetName val="POAI"/>
      <sheetName val="FUENTES Y USOS "/>
      <sheetName val="Hoja2"/>
    </sheetNames>
    <sheetDataSet>
      <sheetData sheetId="0">
        <row r="143">
          <cell r="J143">
            <v>2152968036.5039997</v>
          </cell>
        </row>
      </sheetData>
      <sheetData sheetId="2">
        <row r="42">
          <cell r="J42">
            <v>239775769</v>
          </cell>
        </row>
      </sheetData>
      <sheetData sheetId="3">
        <row r="41">
          <cell r="I41">
            <v>74615651</v>
          </cell>
        </row>
      </sheetData>
      <sheetData sheetId="4">
        <row r="34">
          <cell r="I34">
            <v>1867301538.748</v>
          </cell>
        </row>
      </sheetData>
      <sheetData sheetId="5">
        <row r="151">
          <cell r="I151">
            <v>2545829270.4040008</v>
          </cell>
        </row>
      </sheetData>
      <sheetData sheetId="6">
        <row r="79">
          <cell r="I79">
            <v>680897977.232</v>
          </cell>
        </row>
      </sheetData>
      <sheetData sheetId="7">
        <row r="31">
          <cell r="J31">
            <v>4589240858</v>
          </cell>
        </row>
      </sheetData>
      <sheetData sheetId="8">
        <row r="51">
          <cell r="J51">
            <v>248571160</v>
          </cell>
        </row>
      </sheetData>
      <sheetData sheetId="9">
        <row r="103">
          <cell r="J103">
            <v>6495999029.863999</v>
          </cell>
        </row>
      </sheetData>
      <sheetData sheetId="11">
        <row r="127">
          <cell r="H127">
            <v>347571279.988</v>
          </cell>
        </row>
      </sheetData>
      <sheetData sheetId="12">
        <row r="131">
          <cell r="I131">
            <v>739699515.0080001</v>
          </cell>
        </row>
      </sheetData>
      <sheetData sheetId="13">
        <row r="72">
          <cell r="I72">
            <v>560766328.9560002</v>
          </cell>
        </row>
      </sheetData>
      <sheetData sheetId="14">
        <row r="47">
          <cell r="I47">
            <v>278664190.78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INVERSION"/>
      <sheetName val="ADICIONES2014"/>
    </sheetNames>
    <sheetDataSet>
      <sheetData sheetId="2">
        <row r="43">
          <cell r="C43">
            <v>0</v>
          </cell>
        </row>
        <row r="44">
          <cell r="C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8">
        <row r="2">
          <cell r="F2">
            <v>250000000</v>
          </cell>
        </row>
      </sheetData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 "/>
      <sheetName val="INVERSION"/>
      <sheetName val="ADICIONES2014"/>
    </sheetNames>
    <sheetDataSet>
      <sheetData sheetId="2">
        <row r="126">
          <cell r="B126">
            <v>23000000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B61">
      <selection activeCell="A40" sqref="A40:Y65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0" customWidth="1"/>
    <col min="9" max="9" width="19.7109375" style="94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hidden="1" customWidth="1"/>
    <col min="19" max="22" width="16.00390625" style="0" customWidth="1"/>
    <col min="23" max="23" width="18.8515625" style="0" customWidth="1"/>
    <col min="24" max="24" width="0" style="0" hidden="1" customWidth="1"/>
    <col min="25" max="25" width="18.57421875" style="0" customWidth="1"/>
  </cols>
  <sheetData>
    <row r="1" spans="1:25" ht="12.7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1:25" ht="12.75">
      <c r="A2" s="142" t="s">
        <v>87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25" ht="12.75">
      <c r="A3" s="142" t="s">
        <v>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25" ht="13.5" thickBot="1">
      <c r="A4" s="60"/>
      <c r="B4" s="61"/>
      <c r="C4" s="61"/>
      <c r="D4" s="61"/>
      <c r="E4" s="61"/>
      <c r="F4" s="61"/>
      <c r="G4" s="61"/>
      <c r="H4" s="61"/>
      <c r="I4" s="91"/>
      <c r="J4" s="61"/>
      <c r="K4" s="61"/>
      <c r="L4" s="61"/>
      <c r="M4" s="113"/>
      <c r="N4" s="35"/>
      <c r="S4" s="125"/>
      <c r="T4" s="125"/>
      <c r="U4" s="125"/>
      <c r="V4" s="125"/>
      <c r="W4" s="125"/>
      <c r="X4" s="125"/>
      <c r="Y4" s="125"/>
    </row>
    <row r="5" spans="1:25" ht="12.75">
      <c r="A5" s="55"/>
      <c r="B5" s="56" t="s">
        <v>6</v>
      </c>
      <c r="C5" s="57"/>
      <c r="D5" s="57" t="s">
        <v>7</v>
      </c>
      <c r="E5" s="57"/>
      <c r="F5" s="43"/>
      <c r="G5" s="56" t="s">
        <v>3</v>
      </c>
      <c r="H5" s="56" t="s">
        <v>2</v>
      </c>
      <c r="I5" s="92" t="s">
        <v>3</v>
      </c>
      <c r="J5" s="58" t="s">
        <v>78</v>
      </c>
      <c r="K5" s="58" t="s">
        <v>35</v>
      </c>
      <c r="L5" s="59" t="s">
        <v>36</v>
      </c>
      <c r="M5" s="115" t="s">
        <v>48</v>
      </c>
      <c r="N5" s="116" t="s">
        <v>79</v>
      </c>
      <c r="S5" s="126" t="s">
        <v>78</v>
      </c>
      <c r="T5" s="133" t="s">
        <v>35</v>
      </c>
      <c r="U5" s="133" t="s">
        <v>84</v>
      </c>
      <c r="V5" s="133" t="s">
        <v>85</v>
      </c>
      <c r="W5" s="127" t="s">
        <v>81</v>
      </c>
      <c r="X5" s="127"/>
      <c r="Y5" s="128" t="s">
        <v>76</v>
      </c>
    </row>
    <row r="6" spans="1:25" ht="12.75">
      <c r="A6" s="48"/>
      <c r="B6" s="3"/>
      <c r="C6" s="3"/>
      <c r="D6" s="3" t="s">
        <v>8</v>
      </c>
      <c r="E6" s="3"/>
      <c r="F6" s="19" t="s">
        <v>9</v>
      </c>
      <c r="G6" s="19" t="s">
        <v>4</v>
      </c>
      <c r="H6" s="19" t="s">
        <v>10</v>
      </c>
      <c r="I6" s="10" t="s">
        <v>5</v>
      </c>
      <c r="J6" s="10" t="s">
        <v>1</v>
      </c>
      <c r="K6" s="29"/>
      <c r="L6" s="14" t="s">
        <v>40</v>
      </c>
      <c r="M6" s="117" t="s">
        <v>78</v>
      </c>
      <c r="N6" s="116" t="s">
        <v>35</v>
      </c>
      <c r="S6" s="129"/>
      <c r="T6" s="134"/>
      <c r="U6" s="134"/>
      <c r="V6" s="134"/>
      <c r="W6" s="19" t="s">
        <v>82</v>
      </c>
      <c r="X6" s="19"/>
      <c r="Y6" s="130"/>
    </row>
    <row r="7" spans="1:25" ht="13.5" thickBot="1">
      <c r="A7" s="49"/>
      <c r="B7" s="50"/>
      <c r="C7" s="50"/>
      <c r="D7" s="50" t="s">
        <v>11</v>
      </c>
      <c r="E7" s="50"/>
      <c r="F7" s="51"/>
      <c r="G7" s="52" t="s">
        <v>1</v>
      </c>
      <c r="H7" s="86" t="s">
        <v>1</v>
      </c>
      <c r="I7" s="93" t="s">
        <v>26</v>
      </c>
      <c r="J7" s="53" t="s">
        <v>1</v>
      </c>
      <c r="K7" s="53"/>
      <c r="L7" s="54"/>
      <c r="M7" s="113"/>
      <c r="N7" s="35"/>
      <c r="S7" s="60"/>
      <c r="T7" s="135"/>
      <c r="U7" s="135"/>
      <c r="V7" s="135"/>
      <c r="W7" s="61"/>
      <c r="X7" s="61"/>
      <c r="Y7" s="131"/>
    </row>
    <row r="8" spans="1:25" ht="12.75">
      <c r="A8" s="43"/>
      <c r="B8" s="43"/>
      <c r="C8" s="43"/>
      <c r="D8" s="43"/>
      <c r="E8" s="43"/>
      <c r="F8" s="43"/>
      <c r="G8" s="44" t="s">
        <v>1</v>
      </c>
      <c r="H8" s="44" t="s">
        <v>1</v>
      </c>
      <c r="I8" s="45" t="s">
        <v>1</v>
      </c>
      <c r="J8" s="45" t="s">
        <v>1</v>
      </c>
      <c r="K8" s="46" t="s">
        <v>1</v>
      </c>
      <c r="L8" s="47"/>
      <c r="M8" s="118"/>
      <c r="N8" s="35"/>
      <c r="S8" s="44" t="s">
        <v>1</v>
      </c>
      <c r="T8" s="44"/>
      <c r="U8" s="44"/>
      <c r="V8" s="44"/>
      <c r="W8" s="85"/>
      <c r="X8" s="85"/>
      <c r="Y8" s="85"/>
    </row>
    <row r="9" spans="1:25" ht="12.75">
      <c r="A9" s="8" t="s">
        <v>12</v>
      </c>
      <c r="B9" s="8"/>
      <c r="C9" s="8"/>
      <c r="D9" s="8"/>
      <c r="E9" s="8"/>
      <c r="F9" s="8" t="s">
        <v>27</v>
      </c>
      <c r="G9" s="4">
        <f>SUM(G10+G22+G26)</f>
        <v>4249696384</v>
      </c>
      <c r="H9" s="13">
        <f>SUM(H10+H22+H26)</f>
        <v>1157378359</v>
      </c>
      <c r="I9" s="20">
        <f>+G9+H9</f>
        <v>5407074743</v>
      </c>
      <c r="J9" s="21">
        <f>SUM(J10+J22+J26)</f>
        <v>2514035997</v>
      </c>
      <c r="K9" s="21">
        <f>SUM(K10+K22+K26)</f>
        <v>2514035997</v>
      </c>
      <c r="L9" s="33">
        <f aca="true" t="shared" si="0" ref="L9:L30">+I9-J9</f>
        <v>2893038746</v>
      </c>
      <c r="M9" s="80">
        <f aca="true" t="shared" si="1" ref="M9:M30">+J9/I9*100</f>
        <v>46.495306917195315</v>
      </c>
      <c r="N9" s="35">
        <f>+K9/I9*100</f>
        <v>46.495306917195315</v>
      </c>
      <c r="S9" s="4">
        <f>SUM(S10+S22+S26)</f>
        <v>2043795825</v>
      </c>
      <c r="T9" s="4">
        <f>SUM(T10+T22+T26)</f>
        <v>2043795825</v>
      </c>
      <c r="U9" s="4">
        <f>SUM(U10+U22+U26)</f>
        <v>1323858103</v>
      </c>
      <c r="V9" s="4">
        <f>SUM(V10+V22+V26)</f>
        <v>1249930195</v>
      </c>
      <c r="W9" s="39">
        <f aca="true" t="shared" si="2" ref="W9:W30">+I9-S9</f>
        <v>3363278918</v>
      </c>
      <c r="X9" s="2"/>
      <c r="Y9" s="35">
        <f aca="true" t="shared" si="3" ref="Y9:Y30">+S9/I9*100</f>
        <v>37.79854953264514</v>
      </c>
    </row>
    <row r="10" spans="1:25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SUM(G11+G17+G18+G19+G20+G21)</f>
        <v>1845872393</v>
      </c>
      <c r="H10" s="13">
        <f>SUM(H11+H17+H18+H19+H20+H21)</f>
        <v>160000000</v>
      </c>
      <c r="I10" s="20">
        <f>+G10+H10</f>
        <v>2005872393</v>
      </c>
      <c r="J10" s="21">
        <f>SUM(J11+J17+J18+J19+J20+J21)</f>
        <v>874418338</v>
      </c>
      <c r="K10" s="21">
        <f>SUM(K11+K17+K18+K19+K20+K21)</f>
        <v>874418338</v>
      </c>
      <c r="L10" s="33">
        <f t="shared" si="0"/>
        <v>1131454055</v>
      </c>
      <c r="M10" s="80">
        <f t="shared" si="1"/>
        <v>43.59291952227392</v>
      </c>
      <c r="N10" s="35">
        <f aca="true" t="shared" si="4" ref="N10:N30">+K10/I10*100</f>
        <v>43.59291952227392</v>
      </c>
      <c r="S10" s="4">
        <f>SUM(S11+S17+S18+S19+S20+S21)</f>
        <v>844359454</v>
      </c>
      <c r="T10" s="4">
        <f>SUM(T11+T17+T18+T19+T20+T21)</f>
        <v>844359454</v>
      </c>
      <c r="U10" s="4">
        <f>SUM(U11+U17+U18+U19+U20+U21)</f>
        <v>523872883</v>
      </c>
      <c r="V10" s="4">
        <f>SUM(V11+V17+V18+V19+V20+V21)</f>
        <v>467369964</v>
      </c>
      <c r="W10" s="39">
        <f t="shared" si="2"/>
        <v>1161512939</v>
      </c>
      <c r="X10" s="2"/>
      <c r="Y10" s="35">
        <f t="shared" si="3"/>
        <v>42.094375342449815</v>
      </c>
    </row>
    <row r="11" spans="1:25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SUM(G12:G16)</f>
        <v>1013184503</v>
      </c>
      <c r="H11" s="13">
        <f>+H14</f>
        <v>0</v>
      </c>
      <c r="I11" s="20">
        <f aca="true" t="shared" si="5" ref="I11:I30">+G11+H11</f>
        <v>1013184503</v>
      </c>
      <c r="J11" s="21">
        <f>SUM(J12:J16)</f>
        <v>463627287</v>
      </c>
      <c r="K11" s="21">
        <f>SUM(K12:K16)</f>
        <v>463627287</v>
      </c>
      <c r="L11" s="33">
        <f t="shared" si="0"/>
        <v>549557216</v>
      </c>
      <c r="M11" s="80">
        <f t="shared" si="1"/>
        <v>45.75941357444943</v>
      </c>
      <c r="N11" s="35">
        <f t="shared" si="4"/>
        <v>45.75941357444943</v>
      </c>
      <c r="S11" s="4">
        <f>SUM(S12:S16)</f>
        <v>300629403</v>
      </c>
      <c r="T11" s="4">
        <f>SUM(T12:T16)</f>
        <v>300629403</v>
      </c>
      <c r="U11" s="4">
        <f>SUM(U12:U16)</f>
        <v>288145024</v>
      </c>
      <c r="V11" s="4">
        <f>SUM(V12:V16)</f>
        <v>280761245</v>
      </c>
      <c r="W11" s="39">
        <f t="shared" si="2"/>
        <v>712555100</v>
      </c>
      <c r="X11" s="2"/>
      <c r="Y11" s="35">
        <f t="shared" si="3"/>
        <v>29.671733244028903</v>
      </c>
    </row>
    <row r="12" spans="1:25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620313109</v>
      </c>
      <c r="H12" s="13">
        <v>0</v>
      </c>
      <c r="I12" s="20">
        <f t="shared" si="5"/>
        <v>620313109</v>
      </c>
      <c r="J12" s="21">
        <v>280609080</v>
      </c>
      <c r="K12" s="21">
        <v>280609080</v>
      </c>
      <c r="L12" s="33">
        <f t="shared" si="0"/>
        <v>339704029</v>
      </c>
      <c r="M12" s="80">
        <f t="shared" si="1"/>
        <v>45.23668385025215</v>
      </c>
      <c r="N12" s="35">
        <f t="shared" si="4"/>
        <v>45.23668385025215</v>
      </c>
      <c r="S12" s="4">
        <v>191003656</v>
      </c>
      <c r="T12" s="4">
        <f aca="true" t="shared" si="6" ref="T12:T21">+S12</f>
        <v>191003656</v>
      </c>
      <c r="U12" s="4">
        <v>178597773</v>
      </c>
      <c r="V12" s="4">
        <v>172884536</v>
      </c>
      <c r="W12" s="39">
        <f t="shared" si="2"/>
        <v>429309453</v>
      </c>
      <c r="X12" s="2"/>
      <c r="Y12" s="35">
        <f t="shared" si="3"/>
        <v>30.79149114032346</v>
      </c>
    </row>
    <row r="13" spans="1:26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123837126</v>
      </c>
      <c r="H13" s="13">
        <v>0</v>
      </c>
      <c r="I13" s="20">
        <f t="shared" si="5"/>
        <v>123837126</v>
      </c>
      <c r="J13" s="22">
        <v>41107639</v>
      </c>
      <c r="K13" s="22">
        <v>41107639</v>
      </c>
      <c r="L13" s="33">
        <f t="shared" si="0"/>
        <v>82729487</v>
      </c>
      <c r="M13" s="80">
        <f t="shared" si="1"/>
        <v>33.19492330595592</v>
      </c>
      <c r="N13" s="35">
        <f t="shared" si="4"/>
        <v>33.19492330595592</v>
      </c>
      <c r="S13" s="4">
        <v>36103459</v>
      </c>
      <c r="T13" s="4">
        <f t="shared" si="6"/>
        <v>36103459</v>
      </c>
      <c r="U13" s="4">
        <v>36091676</v>
      </c>
      <c r="V13" s="4">
        <v>34421134</v>
      </c>
      <c r="W13" s="39">
        <f t="shared" si="2"/>
        <v>87733667</v>
      </c>
      <c r="X13" s="2"/>
      <c r="Y13" s="35">
        <f t="shared" si="3"/>
        <v>29.153986503207445</v>
      </c>
      <c r="Z13" s="87" t="s">
        <v>1</v>
      </c>
    </row>
    <row r="14" spans="1:25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9850000</v>
      </c>
      <c r="H14" s="13">
        <v>0</v>
      </c>
      <c r="I14" s="20">
        <f t="shared" si="5"/>
        <v>9850000</v>
      </c>
      <c r="J14" s="21">
        <v>27219355</v>
      </c>
      <c r="K14" s="21">
        <v>27219355</v>
      </c>
      <c r="L14" s="33">
        <f t="shared" si="0"/>
        <v>-17369355</v>
      </c>
      <c r="M14" s="80">
        <f t="shared" si="1"/>
        <v>276.33862944162433</v>
      </c>
      <c r="N14" s="35">
        <f t="shared" si="4"/>
        <v>276.33862944162433</v>
      </c>
      <c r="S14" s="4">
        <v>9121057</v>
      </c>
      <c r="T14" s="4">
        <f t="shared" si="6"/>
        <v>9121057</v>
      </c>
      <c r="U14" s="4">
        <v>9103391</v>
      </c>
      <c r="V14" s="4">
        <v>9103391</v>
      </c>
      <c r="W14" s="39">
        <f t="shared" si="2"/>
        <v>728943</v>
      </c>
      <c r="X14" s="2"/>
      <c r="Y14" s="35">
        <f t="shared" si="3"/>
        <v>92.59956345177665</v>
      </c>
    </row>
    <row r="15" spans="1:25" ht="12.75">
      <c r="A15" s="8" t="s">
        <v>12</v>
      </c>
      <c r="B15" s="8">
        <v>1</v>
      </c>
      <c r="C15" s="8">
        <v>1</v>
      </c>
      <c r="D15" s="8">
        <v>4</v>
      </c>
      <c r="E15" s="8">
        <v>2</v>
      </c>
      <c r="F15" s="8" t="s">
        <v>16</v>
      </c>
      <c r="G15" s="4">
        <v>57798297</v>
      </c>
      <c r="H15" s="13">
        <v>0</v>
      </c>
      <c r="I15" s="20">
        <f t="shared" si="5"/>
        <v>57798297</v>
      </c>
      <c r="J15" s="21">
        <v>27788267</v>
      </c>
      <c r="K15" s="21">
        <v>27788267</v>
      </c>
      <c r="L15" s="33">
        <f t="shared" si="0"/>
        <v>30010030</v>
      </c>
      <c r="M15" s="80">
        <f t="shared" si="1"/>
        <v>48.07800305950191</v>
      </c>
      <c r="N15" s="35">
        <f t="shared" si="4"/>
        <v>48.07800305950191</v>
      </c>
      <c r="S15" s="4">
        <v>10583028</v>
      </c>
      <c r="T15" s="4">
        <f t="shared" si="6"/>
        <v>10583028</v>
      </c>
      <c r="U15" s="4">
        <v>10577477</v>
      </c>
      <c r="V15" s="4">
        <v>10577477</v>
      </c>
      <c r="W15" s="39">
        <f t="shared" si="2"/>
        <v>47215269</v>
      </c>
      <c r="X15" s="2"/>
      <c r="Y15" s="35">
        <f t="shared" si="3"/>
        <v>18.3102765121263</v>
      </c>
    </row>
    <row r="16" spans="1:25" ht="12.75">
      <c r="A16" s="8" t="s">
        <v>12</v>
      </c>
      <c r="B16" s="8">
        <v>1</v>
      </c>
      <c r="C16" s="8">
        <v>1</v>
      </c>
      <c r="D16" s="8">
        <v>5</v>
      </c>
      <c r="E16" s="8">
        <v>0</v>
      </c>
      <c r="F16" s="8" t="s">
        <v>17</v>
      </c>
      <c r="G16" s="4">
        <f>41798618+9946815+6402264+6218100+18532809+62006343+43137066+13343956</f>
        <v>201385971</v>
      </c>
      <c r="H16" s="13">
        <v>0</v>
      </c>
      <c r="I16" s="20">
        <f t="shared" si="5"/>
        <v>201385971</v>
      </c>
      <c r="J16" s="21">
        <f>27426668+5021569+4212743+4351738+8459317+29105125+3195198+5130588</f>
        <v>86902946</v>
      </c>
      <c r="K16" s="21">
        <f>27426668+5021569+4212743+4351738+8459317+29105125+3195198+5130588</f>
        <v>86902946</v>
      </c>
      <c r="L16" s="33">
        <f t="shared" si="0"/>
        <v>114483025</v>
      </c>
      <c r="M16" s="80">
        <f t="shared" si="1"/>
        <v>43.152432897125685</v>
      </c>
      <c r="N16" s="35">
        <f t="shared" si="4"/>
        <v>43.152432897125685</v>
      </c>
      <c r="O16" s="1"/>
      <c r="S16" s="4">
        <f>20689624+3672591+3115046+2921840+3021246+13849921+2504010+4043925</f>
        <v>53818203</v>
      </c>
      <c r="T16" s="4">
        <f t="shared" si="6"/>
        <v>53818203</v>
      </c>
      <c r="U16" s="4">
        <f>20689624+3671276+3115046+2921840+3009807+13829155+2494034+4043925</f>
        <v>53774707</v>
      </c>
      <c r="V16" s="4">
        <f>+U16</f>
        <v>53774707</v>
      </c>
      <c r="W16" s="39">
        <f t="shared" si="2"/>
        <v>147567768</v>
      </c>
      <c r="X16" s="2"/>
      <c r="Y16" s="35">
        <f t="shared" si="3"/>
        <v>26.723908687760577</v>
      </c>
    </row>
    <row r="17" spans="1:25" ht="12.75">
      <c r="A17" s="8" t="s">
        <v>12</v>
      </c>
      <c r="B17" s="8">
        <v>1</v>
      </c>
      <c r="C17" s="8">
        <v>0</v>
      </c>
      <c r="D17" s="8">
        <v>2</v>
      </c>
      <c r="E17" s="8">
        <v>0</v>
      </c>
      <c r="F17" s="8" t="s">
        <v>29</v>
      </c>
      <c r="G17" s="4">
        <f>10040000+19076000+374050618</f>
        <v>403166618</v>
      </c>
      <c r="H17" s="13">
        <v>160000000</v>
      </c>
      <c r="I17" s="20">
        <f t="shared" si="5"/>
        <v>563166618</v>
      </c>
      <c r="J17" s="21">
        <f>1057231+8089692+296851321</f>
        <v>305998244</v>
      </c>
      <c r="K17" s="21">
        <f>1057231+8089692+296851321</f>
        <v>305998244</v>
      </c>
      <c r="L17" s="33">
        <f t="shared" si="0"/>
        <v>257168374</v>
      </c>
      <c r="M17" s="80">
        <f t="shared" si="1"/>
        <v>54.335295136403126</v>
      </c>
      <c r="N17" s="35">
        <f t="shared" si="4"/>
        <v>54.335295136403126</v>
      </c>
      <c r="O17" s="7" t="s">
        <v>1</v>
      </c>
      <c r="S17" s="4">
        <f>429241357+6037488+0</f>
        <v>435278845</v>
      </c>
      <c r="T17" s="4">
        <f t="shared" si="6"/>
        <v>435278845</v>
      </c>
      <c r="U17" s="4">
        <f>122247054-551768+6487922-474482</f>
        <v>127708726</v>
      </c>
      <c r="V17" s="4">
        <f>6013440+72576146</f>
        <v>78589586</v>
      </c>
      <c r="W17" s="39">
        <f t="shared" si="2"/>
        <v>127887773</v>
      </c>
      <c r="X17" s="2"/>
      <c r="Y17" s="35">
        <f t="shared" si="3"/>
        <v>77.2913079517792</v>
      </c>
    </row>
    <row r="18" spans="1:25" ht="12.75">
      <c r="A18" s="8" t="s">
        <v>12</v>
      </c>
      <c r="B18" s="8">
        <v>1</v>
      </c>
      <c r="C18" s="8">
        <v>5</v>
      </c>
      <c r="D18" s="8">
        <v>0</v>
      </c>
      <c r="E18" s="8">
        <v>1</v>
      </c>
      <c r="F18" s="8" t="s">
        <v>18</v>
      </c>
      <c r="G18" s="4">
        <v>263109886</v>
      </c>
      <c r="H18" s="13">
        <v>0</v>
      </c>
      <c r="I18" s="20">
        <f t="shared" si="5"/>
        <v>263109886</v>
      </c>
      <c r="J18" s="21">
        <v>14234485</v>
      </c>
      <c r="K18" s="21">
        <v>14234485</v>
      </c>
      <c r="L18" s="33">
        <f t="shared" si="0"/>
        <v>248875401</v>
      </c>
      <c r="M18" s="80">
        <f t="shared" si="1"/>
        <v>5.410091280264551</v>
      </c>
      <c r="N18" s="35">
        <f t="shared" si="4"/>
        <v>5.410091280264551</v>
      </c>
      <c r="O18" s="1"/>
      <c r="S18" s="4">
        <v>76895484</v>
      </c>
      <c r="T18" s="4">
        <f t="shared" si="6"/>
        <v>76895484</v>
      </c>
      <c r="U18" s="4">
        <f>86416986-9827855</f>
        <v>76589131</v>
      </c>
      <c r="V18" s="4">
        <f>+U18</f>
        <v>76589131</v>
      </c>
      <c r="W18" s="39">
        <f t="shared" si="2"/>
        <v>186214402</v>
      </c>
      <c r="X18" s="2"/>
      <c r="Y18" s="35">
        <f t="shared" si="3"/>
        <v>29.225615642583648</v>
      </c>
    </row>
    <row r="19" spans="1:25" ht="12.75">
      <c r="A19" s="8" t="s">
        <v>12</v>
      </c>
      <c r="B19" s="8">
        <v>1</v>
      </c>
      <c r="C19" s="8">
        <v>5</v>
      </c>
      <c r="D19" s="8">
        <v>0</v>
      </c>
      <c r="E19" s="8">
        <v>2</v>
      </c>
      <c r="F19" s="8" t="s">
        <v>19</v>
      </c>
      <c r="G19" s="4">
        <v>107711259</v>
      </c>
      <c r="H19" s="13">
        <v>0</v>
      </c>
      <c r="I19" s="20">
        <f t="shared" si="5"/>
        <v>107711259</v>
      </c>
      <c r="J19" s="21">
        <v>58847998</v>
      </c>
      <c r="K19" s="21">
        <v>58847998</v>
      </c>
      <c r="L19" s="33">
        <f t="shared" si="0"/>
        <v>48863261</v>
      </c>
      <c r="M19" s="80">
        <f t="shared" si="1"/>
        <v>54.63495510715365</v>
      </c>
      <c r="N19" s="35">
        <f t="shared" si="4"/>
        <v>54.63495510715365</v>
      </c>
      <c r="O19" s="1"/>
      <c r="S19" s="4">
        <v>23198828</v>
      </c>
      <c r="T19" s="4">
        <f t="shared" si="6"/>
        <v>23198828</v>
      </c>
      <c r="U19" s="4">
        <v>23106402</v>
      </c>
      <c r="V19" s="4">
        <v>23106402</v>
      </c>
      <c r="W19" s="39">
        <f t="shared" si="2"/>
        <v>84512431</v>
      </c>
      <c r="X19" s="2"/>
      <c r="Y19" s="35">
        <f t="shared" si="3"/>
        <v>21.537978680576003</v>
      </c>
    </row>
    <row r="20" spans="1:25" ht="12.75">
      <c r="A20" s="8" t="s">
        <v>12</v>
      </c>
      <c r="B20" s="8">
        <v>1</v>
      </c>
      <c r="C20" s="8">
        <v>5</v>
      </c>
      <c r="D20" s="8">
        <v>0</v>
      </c>
      <c r="E20" s="8">
        <v>6</v>
      </c>
      <c r="F20" s="2" t="s">
        <v>37</v>
      </c>
      <c r="G20" s="4">
        <v>40220076</v>
      </c>
      <c r="H20" s="13">
        <v>0</v>
      </c>
      <c r="I20" s="20">
        <f t="shared" si="5"/>
        <v>40220076</v>
      </c>
      <c r="J20" s="21">
        <v>15733377</v>
      </c>
      <c r="K20" s="21">
        <v>15733377</v>
      </c>
      <c r="L20" s="33">
        <f t="shared" si="0"/>
        <v>24486699</v>
      </c>
      <c r="M20" s="80">
        <f t="shared" si="1"/>
        <v>39.11821797651501</v>
      </c>
      <c r="N20" s="35">
        <f t="shared" si="4"/>
        <v>39.11821797651501</v>
      </c>
      <c r="O20" s="1"/>
      <c r="S20" s="4">
        <v>5014076</v>
      </c>
      <c r="T20" s="4">
        <f t="shared" si="6"/>
        <v>5014076</v>
      </c>
      <c r="U20" s="4">
        <v>4994100</v>
      </c>
      <c r="V20" s="4">
        <v>4994100</v>
      </c>
      <c r="W20" s="39">
        <f t="shared" si="2"/>
        <v>35206000</v>
      </c>
      <c r="X20" s="2"/>
      <c r="Y20" s="35">
        <f t="shared" si="3"/>
        <v>12.46660001338635</v>
      </c>
    </row>
    <row r="21" spans="1:25" ht="12.75">
      <c r="A21" s="8" t="s">
        <v>12</v>
      </c>
      <c r="B21" s="8">
        <v>1</v>
      </c>
      <c r="C21" s="8">
        <v>5</v>
      </c>
      <c r="D21" s="8">
        <v>0</v>
      </c>
      <c r="E21" s="8">
        <v>7</v>
      </c>
      <c r="F21" s="2" t="s">
        <v>38</v>
      </c>
      <c r="G21" s="4">
        <v>18480051</v>
      </c>
      <c r="H21" s="13">
        <v>0</v>
      </c>
      <c r="I21" s="20">
        <f t="shared" si="5"/>
        <v>18480051</v>
      </c>
      <c r="J21" s="21">
        <v>15976947</v>
      </c>
      <c r="K21" s="21">
        <v>15976947</v>
      </c>
      <c r="L21" s="33">
        <f t="shared" si="0"/>
        <v>2503104</v>
      </c>
      <c r="M21" s="80">
        <f t="shared" si="1"/>
        <v>86.45510231546439</v>
      </c>
      <c r="N21" s="35">
        <f t="shared" si="4"/>
        <v>86.45510231546439</v>
      </c>
      <c r="O21" s="1"/>
      <c r="S21" s="4">
        <v>3342818</v>
      </c>
      <c r="T21" s="4">
        <f t="shared" si="6"/>
        <v>3342818</v>
      </c>
      <c r="U21" s="4">
        <v>3329500</v>
      </c>
      <c r="V21" s="4">
        <v>3329500</v>
      </c>
      <c r="W21" s="39">
        <f t="shared" si="2"/>
        <v>15137233</v>
      </c>
      <c r="X21" s="2"/>
      <c r="Y21" s="35">
        <f t="shared" si="3"/>
        <v>18.088792070974264</v>
      </c>
    </row>
    <row r="22" spans="1:25" ht="12.75">
      <c r="A22" s="8" t="s">
        <v>12</v>
      </c>
      <c r="B22" s="8">
        <v>2</v>
      </c>
      <c r="C22" s="8">
        <v>0</v>
      </c>
      <c r="D22" s="8">
        <v>0</v>
      </c>
      <c r="E22" s="8">
        <v>0</v>
      </c>
      <c r="F22" s="8" t="s">
        <v>20</v>
      </c>
      <c r="G22" s="4">
        <f>SUM(G23:G25)</f>
        <v>1060290336</v>
      </c>
      <c r="H22" s="13">
        <f>+H23+H24+H25</f>
        <v>697378359</v>
      </c>
      <c r="I22" s="20">
        <f t="shared" si="5"/>
        <v>1757668695</v>
      </c>
      <c r="J22" s="21">
        <f>SUM(J23:J25)</f>
        <v>837471929</v>
      </c>
      <c r="K22" s="21">
        <f>SUM(K23:K25)</f>
        <v>837471929</v>
      </c>
      <c r="L22" s="33">
        <f t="shared" si="0"/>
        <v>920196766</v>
      </c>
      <c r="M22" s="80">
        <f t="shared" si="1"/>
        <v>47.6467454522196</v>
      </c>
      <c r="N22" s="35">
        <f t="shared" si="4"/>
        <v>47.6467454522196</v>
      </c>
      <c r="O22" s="1"/>
      <c r="S22" s="4">
        <f>SUM(S23:S25)</f>
        <v>656590451</v>
      </c>
      <c r="T22" s="4">
        <f>SUM(T23:T25)</f>
        <v>656590451</v>
      </c>
      <c r="U22" s="4">
        <f>SUM(U23:U25)</f>
        <v>259302033</v>
      </c>
      <c r="V22" s="4">
        <f>SUM(V23:V25)</f>
        <v>241877044</v>
      </c>
      <c r="W22" s="39">
        <f t="shared" si="2"/>
        <v>1101078244</v>
      </c>
      <c r="X22" s="2"/>
      <c r="Y22" s="35">
        <f t="shared" si="3"/>
        <v>37.35575725207986</v>
      </c>
    </row>
    <row r="23" spans="1:25" ht="12.75">
      <c r="A23" s="8" t="s">
        <v>12</v>
      </c>
      <c r="B23" s="8">
        <v>2</v>
      </c>
      <c r="C23" s="8">
        <v>4</v>
      </c>
      <c r="D23" s="8">
        <v>0</v>
      </c>
      <c r="E23" s="8">
        <v>0</v>
      </c>
      <c r="F23" s="8" t="s">
        <v>30</v>
      </c>
      <c r="G23" s="4">
        <f>60000000+145384974</f>
        <v>205384974</v>
      </c>
      <c r="H23" s="13">
        <v>330000000</v>
      </c>
      <c r="I23" s="20">
        <f t="shared" si="5"/>
        <v>535384974</v>
      </c>
      <c r="J23" s="21">
        <f>134064120+89932764</f>
        <v>223996884</v>
      </c>
      <c r="K23" s="21">
        <f>134064120+89932764</f>
        <v>223996884</v>
      </c>
      <c r="L23" s="33">
        <f t="shared" si="0"/>
        <v>311388090</v>
      </c>
      <c r="M23" s="80">
        <f t="shared" si="1"/>
        <v>41.838470423714206</v>
      </c>
      <c r="N23" s="35">
        <f t="shared" si="4"/>
        <v>41.838470423714206</v>
      </c>
      <c r="O23" s="1"/>
      <c r="S23" s="4">
        <f>166764400+25562040</f>
        <v>192326440</v>
      </c>
      <c r="T23" s="4">
        <f>+S23</f>
        <v>192326440</v>
      </c>
      <c r="U23" s="4">
        <f>9100000+13327841</f>
        <v>22427841</v>
      </c>
      <c r="V23" s="4">
        <v>13327841</v>
      </c>
      <c r="W23" s="39">
        <f t="shared" si="2"/>
        <v>343058534</v>
      </c>
      <c r="X23" s="2"/>
      <c r="Y23" s="35">
        <f t="shared" si="3"/>
        <v>35.92301789179462</v>
      </c>
    </row>
    <row r="24" spans="1:25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21</v>
      </c>
      <c r="G24" s="4">
        <f>514053027-327378359+85112028+54818400+165374000+70000000+35169766+120000000+5000000+106215500-20000000</f>
        <v>808364362</v>
      </c>
      <c r="H24" s="13">
        <f>327378359+20000000+20000000</f>
        <v>367378359</v>
      </c>
      <c r="I24" s="20">
        <f t="shared" si="5"/>
        <v>1175742721</v>
      </c>
      <c r="J24" s="20">
        <f>161733438+78749875+21372007+10000000+69921141+34446675+101350157+88741110+4349508</f>
        <v>570663911</v>
      </c>
      <c r="K24" s="20">
        <f>161733438+78749875+21372007+10000000+69921141+34446675+101350157+88741110+4349508</f>
        <v>570663911</v>
      </c>
      <c r="L24" s="33">
        <f t="shared" si="0"/>
        <v>605078810</v>
      </c>
      <c r="M24" s="80">
        <f t="shared" si="1"/>
        <v>48.53646131992511</v>
      </c>
      <c r="N24" s="35">
        <f t="shared" si="4"/>
        <v>48.53646131992511</v>
      </c>
      <c r="O24" s="1"/>
      <c r="S24" s="4">
        <f>145590759+48996435+15272708+56832345+52000175+25570468+46569785+602400+32593656</f>
        <v>424028731</v>
      </c>
      <c r="T24" s="4">
        <f>+S24</f>
        <v>424028731</v>
      </c>
      <c r="U24" s="4">
        <f>58348537+1200000-500000+4222100+57794925-1429582+11192564+4163099+46389288-286519+600000+15104800</f>
        <v>196799212</v>
      </c>
      <c r="V24" s="4">
        <f>56185548+700000+4222100+53109980+11192564+4163099+43196132+600000+15104800</f>
        <v>188474223</v>
      </c>
      <c r="W24" s="39">
        <f t="shared" si="2"/>
        <v>751713990</v>
      </c>
      <c r="X24" s="2"/>
      <c r="Y24" s="35">
        <f t="shared" si="3"/>
        <v>36.06475493544646</v>
      </c>
    </row>
    <row r="25" spans="1:25" ht="12.75">
      <c r="A25" s="8" t="s">
        <v>12</v>
      </c>
      <c r="B25" s="8">
        <v>2</v>
      </c>
      <c r="C25" s="8">
        <v>0</v>
      </c>
      <c r="D25" s="8">
        <v>3</v>
      </c>
      <c r="E25" s="8">
        <v>0</v>
      </c>
      <c r="F25" s="36" t="s">
        <v>22</v>
      </c>
      <c r="G25" s="13">
        <v>46541000</v>
      </c>
      <c r="H25" s="13">
        <v>0</v>
      </c>
      <c r="I25" s="20">
        <f t="shared" si="5"/>
        <v>46541000</v>
      </c>
      <c r="J25" s="21">
        <v>42811134</v>
      </c>
      <c r="K25" s="21">
        <v>42811134</v>
      </c>
      <c r="L25" s="33">
        <f t="shared" si="0"/>
        <v>3729866</v>
      </c>
      <c r="M25" s="80">
        <f t="shared" si="1"/>
        <v>91.98584903633356</v>
      </c>
      <c r="N25" s="35">
        <f t="shared" si="4"/>
        <v>91.98584903633356</v>
      </c>
      <c r="O25" s="1"/>
      <c r="S25" s="13">
        <v>40235280</v>
      </c>
      <c r="T25" s="13">
        <f>+S25</f>
        <v>40235280</v>
      </c>
      <c r="U25" s="13">
        <v>40074980</v>
      </c>
      <c r="V25" s="13">
        <v>40074980</v>
      </c>
      <c r="W25" s="39">
        <f t="shared" si="2"/>
        <v>6305720</v>
      </c>
      <c r="X25" s="2"/>
      <c r="Y25" s="35">
        <f t="shared" si="3"/>
        <v>86.4512580305537</v>
      </c>
    </row>
    <row r="26" spans="1:25" ht="12.75">
      <c r="A26" s="8" t="s">
        <v>12</v>
      </c>
      <c r="B26" s="8">
        <v>3</v>
      </c>
      <c r="C26" s="8">
        <v>0</v>
      </c>
      <c r="D26" s="8">
        <v>0</v>
      </c>
      <c r="E26" s="8">
        <v>0</v>
      </c>
      <c r="F26" s="8" t="s">
        <v>23</v>
      </c>
      <c r="G26" s="4">
        <f>SUM(G27:G30)</f>
        <v>1343533655</v>
      </c>
      <c r="H26" s="13">
        <f>+H27+H28+H29+H30</f>
        <v>300000000</v>
      </c>
      <c r="I26" s="20">
        <f t="shared" si="5"/>
        <v>1643533655</v>
      </c>
      <c r="J26" s="21">
        <f>SUM(J27:J30)</f>
        <v>802145730</v>
      </c>
      <c r="K26" s="21">
        <f>SUM(K27:K30)</f>
        <v>802145730</v>
      </c>
      <c r="L26" s="33">
        <f t="shared" si="0"/>
        <v>841387925</v>
      </c>
      <c r="M26" s="80">
        <f t="shared" si="1"/>
        <v>48.80616393583982</v>
      </c>
      <c r="N26" s="35">
        <f t="shared" si="4"/>
        <v>48.80616393583982</v>
      </c>
      <c r="O26" s="1"/>
      <c r="S26" s="4">
        <f>SUM(S27:S30)</f>
        <v>542845920</v>
      </c>
      <c r="T26" s="4">
        <f>SUM(T27:T30)</f>
        <v>542845920</v>
      </c>
      <c r="U26" s="4">
        <f>SUM(U27:U30)</f>
        <v>540683187</v>
      </c>
      <c r="V26" s="4">
        <f>SUM(V27:V30)</f>
        <v>540683187</v>
      </c>
      <c r="W26" s="39">
        <f t="shared" si="2"/>
        <v>1100687735</v>
      </c>
      <c r="X26" s="2"/>
      <c r="Y26" s="35">
        <f t="shared" si="3"/>
        <v>33.02919403862162</v>
      </c>
    </row>
    <row r="27" spans="1:25" ht="12.75">
      <c r="A27" s="8" t="s">
        <v>12</v>
      </c>
      <c r="B27" s="8">
        <v>3</v>
      </c>
      <c r="C27" s="8">
        <v>2</v>
      </c>
      <c r="D27" s="8">
        <v>1</v>
      </c>
      <c r="E27" s="8">
        <v>1</v>
      </c>
      <c r="F27" s="8" t="s">
        <v>31</v>
      </c>
      <c r="G27" s="4">
        <v>20134000</v>
      </c>
      <c r="H27" s="13">
        <v>0</v>
      </c>
      <c r="I27" s="20">
        <f t="shared" si="5"/>
        <v>20134000</v>
      </c>
      <c r="J27" s="21">
        <v>16797214</v>
      </c>
      <c r="K27" s="21">
        <v>16797214</v>
      </c>
      <c r="L27" s="33">
        <f t="shared" si="0"/>
        <v>3336786</v>
      </c>
      <c r="M27" s="80">
        <f t="shared" si="1"/>
        <v>83.42710837389491</v>
      </c>
      <c r="N27" s="35">
        <f t="shared" si="4"/>
        <v>83.42710837389491</v>
      </c>
      <c r="O27" s="1"/>
      <c r="S27" s="4">
        <v>0</v>
      </c>
      <c r="T27" s="4">
        <v>0</v>
      </c>
      <c r="U27" s="4">
        <v>0</v>
      </c>
      <c r="V27" s="4">
        <v>0</v>
      </c>
      <c r="W27" s="39">
        <f t="shared" si="2"/>
        <v>20134000</v>
      </c>
      <c r="X27" s="2"/>
      <c r="Y27" s="35">
        <f t="shared" si="3"/>
        <v>0</v>
      </c>
    </row>
    <row r="28" spans="1:25" ht="12.75">
      <c r="A28" s="8" t="s">
        <v>12</v>
      </c>
      <c r="B28" s="8">
        <v>3</v>
      </c>
      <c r="C28" s="8">
        <v>2</v>
      </c>
      <c r="D28" s="8">
        <v>1</v>
      </c>
      <c r="E28" s="8">
        <v>2</v>
      </c>
      <c r="F28" s="8" t="s">
        <v>32</v>
      </c>
      <c r="G28" s="4">
        <v>1290399655</v>
      </c>
      <c r="H28" s="13">
        <v>0</v>
      </c>
      <c r="I28" s="20">
        <f t="shared" si="5"/>
        <v>1290399655</v>
      </c>
      <c r="J28" s="21">
        <v>740995272</v>
      </c>
      <c r="K28" s="21">
        <v>740995272</v>
      </c>
      <c r="L28" s="33">
        <f t="shared" si="0"/>
        <v>549404383</v>
      </c>
      <c r="M28" s="80">
        <f t="shared" si="1"/>
        <v>57.42370351145204</v>
      </c>
      <c r="N28" s="35">
        <f t="shared" si="4"/>
        <v>57.42370351145204</v>
      </c>
      <c r="O28" s="1"/>
      <c r="S28" s="4">
        <v>462256104</v>
      </c>
      <c r="T28" s="4">
        <f>+S28</f>
        <v>462256104</v>
      </c>
      <c r="U28" s="4">
        <v>460414446</v>
      </c>
      <c r="V28" s="4">
        <f>+U28</f>
        <v>460414446</v>
      </c>
      <c r="W28" s="39">
        <f t="shared" si="2"/>
        <v>828143551</v>
      </c>
      <c r="X28" s="2"/>
      <c r="Y28" s="35">
        <f t="shared" si="3"/>
        <v>35.82270827560009</v>
      </c>
    </row>
    <row r="29" spans="1:25" ht="12.75">
      <c r="A29" s="8" t="s">
        <v>12</v>
      </c>
      <c r="B29" s="8">
        <v>3</v>
      </c>
      <c r="C29" s="8">
        <v>2</v>
      </c>
      <c r="D29" s="8">
        <v>1</v>
      </c>
      <c r="E29" s="8">
        <v>3</v>
      </c>
      <c r="F29" s="8" t="s">
        <v>33</v>
      </c>
      <c r="G29" s="4">
        <f>+'[6]ADICIONES2014'!B126</f>
        <v>23000000</v>
      </c>
      <c r="H29" s="13">
        <v>0</v>
      </c>
      <c r="I29" s="20">
        <f t="shared" si="5"/>
        <v>23000000</v>
      </c>
      <c r="J29" s="21">
        <v>21590305</v>
      </c>
      <c r="K29" s="21">
        <v>21590305</v>
      </c>
      <c r="L29" s="33">
        <f t="shared" si="0"/>
        <v>1409695</v>
      </c>
      <c r="M29" s="80">
        <f t="shared" si="1"/>
        <v>93.87089130434782</v>
      </c>
      <c r="N29" s="35">
        <f t="shared" si="4"/>
        <v>93.87089130434782</v>
      </c>
      <c r="O29" s="1"/>
      <c r="S29" s="4">
        <v>22009157</v>
      </c>
      <c r="T29" s="4">
        <f>+S29</f>
        <v>22009157</v>
      </c>
      <c r="U29" s="4">
        <v>21921471</v>
      </c>
      <c r="V29" s="4">
        <f>+U29</f>
        <v>21921471</v>
      </c>
      <c r="W29" s="39">
        <f t="shared" si="2"/>
        <v>990843</v>
      </c>
      <c r="X29" s="2"/>
      <c r="Y29" s="35">
        <f t="shared" si="3"/>
        <v>95.69198695652173</v>
      </c>
    </row>
    <row r="30" spans="1:25" ht="12.75">
      <c r="A30" s="8" t="s">
        <v>12</v>
      </c>
      <c r="B30" s="8">
        <v>3</v>
      </c>
      <c r="C30" s="8">
        <v>6</v>
      </c>
      <c r="D30" s="8">
        <v>1</v>
      </c>
      <c r="E30" s="8">
        <v>1</v>
      </c>
      <c r="F30" s="8" t="s">
        <v>34</v>
      </c>
      <c r="G30" s="13">
        <v>10000000</v>
      </c>
      <c r="H30" s="4">
        <v>300000000</v>
      </c>
      <c r="I30" s="20">
        <f t="shared" si="5"/>
        <v>310000000</v>
      </c>
      <c r="J30" s="21">
        <v>22762939</v>
      </c>
      <c r="K30" s="21">
        <v>22762939</v>
      </c>
      <c r="L30" s="33">
        <f t="shared" si="0"/>
        <v>287237061</v>
      </c>
      <c r="M30" s="80">
        <f t="shared" si="1"/>
        <v>7.342883548387097</v>
      </c>
      <c r="N30" s="35">
        <f t="shared" si="4"/>
        <v>7.342883548387097</v>
      </c>
      <c r="O30" s="1"/>
      <c r="S30" s="13">
        <v>58580659</v>
      </c>
      <c r="T30" s="13">
        <f>+S30</f>
        <v>58580659</v>
      </c>
      <c r="U30" s="13">
        <v>58347270</v>
      </c>
      <c r="V30" s="13">
        <v>58347270</v>
      </c>
      <c r="W30" s="39">
        <f t="shared" si="2"/>
        <v>251419341</v>
      </c>
      <c r="X30" s="2"/>
      <c r="Y30" s="35">
        <f t="shared" si="3"/>
        <v>18.896986774193547</v>
      </c>
    </row>
    <row r="31" spans="6:25" ht="12.75">
      <c r="F31" s="18"/>
      <c r="I31" s="32" t="s">
        <v>1</v>
      </c>
      <c r="J31" s="23"/>
      <c r="K31" s="23"/>
      <c r="L31" s="34" t="s">
        <v>1</v>
      </c>
      <c r="M31" s="112" t="s">
        <v>1</v>
      </c>
      <c r="N31" s="35"/>
      <c r="O31" s="1"/>
      <c r="S31" s="2"/>
      <c r="T31" s="2"/>
      <c r="U31" s="2"/>
      <c r="V31" s="2"/>
      <c r="W31" s="2"/>
      <c r="X31" s="2"/>
      <c r="Y31" s="35"/>
    </row>
    <row r="32" spans="1:25" ht="12.75">
      <c r="A32" s="8"/>
      <c r="B32" s="8"/>
      <c r="C32" s="8"/>
      <c r="D32" s="8"/>
      <c r="E32" s="8"/>
      <c r="F32" s="8" t="s">
        <v>1</v>
      </c>
      <c r="G32" s="4" t="s">
        <v>1</v>
      </c>
      <c r="H32" s="4" t="s">
        <v>1</v>
      </c>
      <c r="I32" s="20" t="s">
        <v>1</v>
      </c>
      <c r="J32" s="21" t="s">
        <v>1</v>
      </c>
      <c r="K32" s="41"/>
      <c r="L32" s="34" t="s">
        <v>1</v>
      </c>
      <c r="M32" s="112" t="s">
        <v>1</v>
      </c>
      <c r="N32" s="35"/>
      <c r="O32" s="1"/>
      <c r="S32" s="2"/>
      <c r="T32" s="2"/>
      <c r="U32" s="2"/>
      <c r="V32" s="2"/>
      <c r="W32" s="2"/>
      <c r="X32" s="2"/>
      <c r="Y32" s="35"/>
    </row>
    <row r="33" spans="7:25" ht="12.75">
      <c r="G33" s="87" t="s">
        <v>1</v>
      </c>
      <c r="I33" s="94" t="s">
        <v>1</v>
      </c>
      <c r="M33" s="35"/>
      <c r="N33" s="1"/>
      <c r="O33" s="1"/>
      <c r="T33" t="s">
        <v>1</v>
      </c>
      <c r="U33" s="140" t="s">
        <v>1</v>
      </c>
      <c r="V33" t="s">
        <v>26</v>
      </c>
      <c r="Y33" s="1"/>
    </row>
    <row r="34" spans="7:25" ht="12.75">
      <c r="G34" s="42" t="s">
        <v>1</v>
      </c>
      <c r="I34" s="114" t="s">
        <v>1</v>
      </c>
      <c r="J34" s="28">
        <f>+J9+J49-J28</f>
        <v>3130888528</v>
      </c>
      <c r="K34" s="28">
        <f>+K9+K49-K28</f>
        <v>3130888528</v>
      </c>
      <c r="M34" s="90"/>
      <c r="N34" s="1"/>
      <c r="O34" s="1"/>
      <c r="T34" s="28" t="s">
        <v>1</v>
      </c>
      <c r="U34" s="28" t="s">
        <v>1</v>
      </c>
      <c r="V34" s="28" t="s">
        <v>1</v>
      </c>
      <c r="Y34" s="1"/>
    </row>
    <row r="35" spans="6:25" ht="12.75">
      <c r="F35" s="120" t="s">
        <v>1</v>
      </c>
      <c r="I35" s="132" t="s">
        <v>1</v>
      </c>
      <c r="M35" s="90"/>
      <c r="N35" s="1"/>
      <c r="O35" s="1"/>
      <c r="Y35" s="1"/>
    </row>
    <row r="36" spans="6:25" ht="12.75">
      <c r="F36" s="18"/>
      <c r="I36" s="132" t="s">
        <v>1</v>
      </c>
      <c r="M36" s="90"/>
      <c r="N36" s="1"/>
      <c r="O36" s="1"/>
      <c r="Y36" s="1"/>
    </row>
    <row r="37" spans="6:25" ht="12.75">
      <c r="F37" s="18"/>
      <c r="I37" s="123" t="s">
        <v>1</v>
      </c>
      <c r="M37" s="90"/>
      <c r="N37" s="1"/>
      <c r="O37" s="1"/>
      <c r="S37" s="87" t="s">
        <v>1</v>
      </c>
      <c r="T37" s="87"/>
      <c r="U37" s="87"/>
      <c r="V37" s="87"/>
      <c r="Y37" s="1"/>
    </row>
    <row r="38" spans="9:25" ht="12.75">
      <c r="I38" s="123" t="s">
        <v>26</v>
      </c>
      <c r="M38" s="90"/>
      <c r="N38" s="1"/>
      <c r="O38" s="1"/>
      <c r="Y38" s="1"/>
    </row>
    <row r="39" spans="13:25" ht="12.75">
      <c r="M39" s="90"/>
      <c r="N39" s="1"/>
      <c r="O39" s="1"/>
      <c r="Y39" s="1"/>
    </row>
    <row r="40" spans="1:25" ht="12.75">
      <c r="A40" s="142" t="s">
        <v>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</row>
    <row r="41" spans="1:25" ht="12.75">
      <c r="A41" s="142" t="s">
        <v>88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</row>
    <row r="42" spans="1:25" ht="12.75">
      <c r="A42" s="142" t="s">
        <v>83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43" spans="6:25" ht="12.75">
      <c r="F43" s="18"/>
      <c r="I43" s="94" t="s">
        <v>1</v>
      </c>
      <c r="M43" s="1"/>
      <c r="N43" s="1"/>
      <c r="O43" s="1"/>
      <c r="Y43" s="1"/>
    </row>
    <row r="44" spans="1:25" ht="13.5" thickBot="1">
      <c r="A44" s="19" t="s">
        <v>49</v>
      </c>
      <c r="B44" s="19" t="s">
        <v>50</v>
      </c>
      <c r="C44" s="3" t="s">
        <v>51</v>
      </c>
      <c r="D44" s="3" t="s">
        <v>52</v>
      </c>
      <c r="E44" s="3" t="s">
        <v>53</v>
      </c>
      <c r="F44" s="2"/>
      <c r="G44" s="2"/>
      <c r="H44" s="3" t="s">
        <v>1</v>
      </c>
      <c r="I44" s="12"/>
      <c r="J44" s="19" t="s">
        <v>1</v>
      </c>
      <c r="K44" s="19"/>
      <c r="L44" s="14" t="s">
        <v>36</v>
      </c>
      <c r="M44" s="31" t="s">
        <v>48</v>
      </c>
      <c r="N44" s="116" t="s">
        <v>79</v>
      </c>
      <c r="O44" s="80"/>
      <c r="S44" s="2"/>
      <c r="T44" s="2"/>
      <c r="U44" s="2"/>
      <c r="V44" s="2"/>
      <c r="W44" s="2"/>
      <c r="X44" s="2"/>
      <c r="Y44" s="35"/>
    </row>
    <row r="45" spans="1:25" ht="12.75">
      <c r="A45" s="3"/>
      <c r="B45" s="19" t="s">
        <v>6</v>
      </c>
      <c r="C45" s="3"/>
      <c r="D45" s="3" t="s">
        <v>7</v>
      </c>
      <c r="E45" s="3"/>
      <c r="F45" s="2"/>
      <c r="G45" s="19" t="s">
        <v>3</v>
      </c>
      <c r="H45" s="19" t="s">
        <v>2</v>
      </c>
      <c r="I45" s="10" t="s">
        <v>3</v>
      </c>
      <c r="J45" s="10" t="s">
        <v>78</v>
      </c>
      <c r="K45" s="58" t="s">
        <v>35</v>
      </c>
      <c r="L45" s="14" t="s">
        <v>40</v>
      </c>
      <c r="M45" s="119" t="s">
        <v>78</v>
      </c>
      <c r="N45" s="116" t="s">
        <v>35</v>
      </c>
      <c r="O45" s="81"/>
      <c r="S45" s="126" t="s">
        <v>78</v>
      </c>
      <c r="T45" s="133" t="s">
        <v>35</v>
      </c>
      <c r="U45" s="133" t="s">
        <v>84</v>
      </c>
      <c r="V45" s="133" t="s">
        <v>85</v>
      </c>
      <c r="W45" s="19" t="s">
        <v>81</v>
      </c>
      <c r="X45" s="19"/>
      <c r="Y45" s="119" t="s">
        <v>76</v>
      </c>
    </row>
    <row r="46" spans="1:25" ht="12.75">
      <c r="A46" s="3"/>
      <c r="B46" s="3"/>
      <c r="C46" s="3"/>
      <c r="D46" s="3" t="s">
        <v>8</v>
      </c>
      <c r="E46" s="3"/>
      <c r="F46" s="19" t="s">
        <v>9</v>
      </c>
      <c r="G46" s="19" t="s">
        <v>4</v>
      </c>
      <c r="H46" s="19" t="s">
        <v>10</v>
      </c>
      <c r="I46" s="10" t="s">
        <v>5</v>
      </c>
      <c r="J46" s="10" t="s">
        <v>1</v>
      </c>
      <c r="K46" s="29"/>
      <c r="L46" s="12"/>
      <c r="M46" s="15"/>
      <c r="N46" s="16"/>
      <c r="O46" s="82"/>
      <c r="S46" s="19"/>
      <c r="T46" s="19"/>
      <c r="U46" s="19"/>
      <c r="V46" s="19"/>
      <c r="W46" s="19" t="s">
        <v>82</v>
      </c>
      <c r="X46" s="19"/>
      <c r="Y46" s="119"/>
    </row>
    <row r="47" spans="1:25" ht="12.75">
      <c r="A47" s="3"/>
      <c r="B47" s="3"/>
      <c r="C47" s="3"/>
      <c r="D47" s="3" t="s">
        <v>11</v>
      </c>
      <c r="E47" s="3"/>
      <c r="F47" s="2"/>
      <c r="G47" s="19" t="s">
        <v>1</v>
      </c>
      <c r="H47" s="19" t="s">
        <v>1</v>
      </c>
      <c r="I47" s="31" t="s">
        <v>1</v>
      </c>
      <c r="J47" s="14" t="s">
        <v>1</v>
      </c>
      <c r="K47" s="14" t="s">
        <v>1</v>
      </c>
      <c r="L47" s="12"/>
      <c r="M47" s="16"/>
      <c r="N47" s="16"/>
      <c r="O47" s="82"/>
      <c r="S47" s="2"/>
      <c r="T47" s="2"/>
      <c r="U47" s="2"/>
      <c r="V47" s="2"/>
      <c r="W47" s="2"/>
      <c r="X47" s="2"/>
      <c r="Y47" s="35"/>
    </row>
    <row r="48" spans="1:25" ht="12.75">
      <c r="A48" s="2"/>
      <c r="B48" s="2"/>
      <c r="C48" s="2"/>
      <c r="D48" s="2"/>
      <c r="E48" s="2"/>
      <c r="F48" s="2"/>
      <c r="G48" s="9" t="s">
        <v>1</v>
      </c>
      <c r="H48" s="35"/>
      <c r="I48" s="16">
        <f>+T49+T9</f>
        <v>3022486244</v>
      </c>
      <c r="J48" s="15" t="s">
        <v>1</v>
      </c>
      <c r="K48" s="16" t="s">
        <v>1</v>
      </c>
      <c r="L48" s="12"/>
      <c r="M48" s="16"/>
      <c r="N48" s="16"/>
      <c r="O48" s="83"/>
      <c r="S48" s="2"/>
      <c r="T48" s="2"/>
      <c r="U48" s="2"/>
      <c r="V48" s="2"/>
      <c r="W48" s="2"/>
      <c r="X48" s="2"/>
      <c r="Y48" s="35"/>
    </row>
    <row r="49" spans="1:25" ht="12.75">
      <c r="A49" s="2" t="s">
        <v>12</v>
      </c>
      <c r="B49" s="2"/>
      <c r="C49" s="2"/>
      <c r="D49" s="2"/>
      <c r="E49" s="2"/>
      <c r="F49" s="3" t="s">
        <v>54</v>
      </c>
      <c r="G49" s="37">
        <f>+G50+G60+G63</f>
        <v>1740302000</v>
      </c>
      <c r="H49" s="37">
        <f>SUM(H50+H60+H62+H63)</f>
        <v>0</v>
      </c>
      <c r="I49" s="38">
        <f>+G49+H49</f>
        <v>1740302000</v>
      </c>
      <c r="J49" s="38">
        <f>SUM(J50+J60+J63)</f>
        <v>1357847803</v>
      </c>
      <c r="K49" s="38">
        <f>SUM(K50+K60+K63)</f>
        <v>1357847803</v>
      </c>
      <c r="L49" s="11">
        <f aca="true" t="shared" si="7" ref="L49:L64">+I49-J49</f>
        <v>382454197</v>
      </c>
      <c r="M49" s="40">
        <f aca="true" t="shared" si="8" ref="M49:M64">+J49/I49*100</f>
        <v>78.02368801506864</v>
      </c>
      <c r="N49" s="40">
        <f>+K49/I49*100</f>
        <v>78.02368801506864</v>
      </c>
      <c r="O49" s="84"/>
      <c r="S49" s="37">
        <f>SUM(S50+S60+S63)</f>
        <v>978690419</v>
      </c>
      <c r="T49" s="37">
        <f>SUM(T50+T60+T63)</f>
        <v>978690419</v>
      </c>
      <c r="U49" s="37">
        <f>SUM(U50+U60+U63)</f>
        <v>978689160</v>
      </c>
      <c r="V49" s="37">
        <f>SUM(V50+V60+V63)</f>
        <v>978689160</v>
      </c>
      <c r="W49" s="39">
        <f aca="true" t="shared" si="9" ref="W49:W64">+I49-S49</f>
        <v>761611581</v>
      </c>
      <c r="X49" s="2"/>
      <c r="Y49" s="35">
        <f aca="true" t="shared" si="10" ref="Y49:Y64">+S49/I49*100</f>
        <v>56.236815161966135</v>
      </c>
    </row>
    <row r="50" spans="1:25" ht="12.75">
      <c r="A50" s="2" t="s">
        <v>12</v>
      </c>
      <c r="B50" s="2">
        <v>1</v>
      </c>
      <c r="C50" s="2">
        <v>1</v>
      </c>
      <c r="D50" s="2">
        <v>0</v>
      </c>
      <c r="E50" s="2">
        <v>0</v>
      </c>
      <c r="F50" s="3" t="s">
        <v>13</v>
      </c>
      <c r="G50" s="37">
        <f>+G51+G56+G57+G58+G59</f>
        <v>1708062000</v>
      </c>
      <c r="H50" s="37">
        <f>+H51+H56+H57</f>
        <v>0</v>
      </c>
      <c r="I50" s="38">
        <f>+I51+I56+I57+I58+I59</f>
        <v>1708062000</v>
      </c>
      <c r="J50" s="37">
        <f>+J51+J56+J57+J58+J59</f>
        <v>1335473803</v>
      </c>
      <c r="K50" s="37">
        <f>+K51+K56+K57+K58+K59</f>
        <v>1335473803</v>
      </c>
      <c r="L50" s="11">
        <f t="shared" si="7"/>
        <v>372588197</v>
      </c>
      <c r="M50" s="40">
        <f t="shared" si="8"/>
        <v>78.18649457689475</v>
      </c>
      <c r="N50" s="40">
        <f aca="true" t="shared" si="11" ref="N50:N64">+K50/I50*100</f>
        <v>78.18649457689475</v>
      </c>
      <c r="O50" s="84"/>
      <c r="S50" s="37">
        <f>+S51+S56+S57+S58+S59</f>
        <v>957550419</v>
      </c>
      <c r="T50" s="37">
        <f>+T51+T56+T57+T58+T59</f>
        <v>957550419</v>
      </c>
      <c r="U50" s="37">
        <f>+U51+U56+U57+U58+U59</f>
        <v>957550419</v>
      </c>
      <c r="V50" s="37">
        <f>+V51+V56+V57+V58+V59</f>
        <v>957550419</v>
      </c>
      <c r="W50" s="39">
        <f t="shared" si="9"/>
        <v>750511581</v>
      </c>
      <c r="X50" s="2"/>
      <c r="Y50" s="35">
        <f t="shared" si="10"/>
        <v>56.06063591368463</v>
      </c>
    </row>
    <row r="51" spans="1:25" ht="12.75">
      <c r="A51" s="2" t="s">
        <v>12</v>
      </c>
      <c r="B51" s="2">
        <v>1</v>
      </c>
      <c r="C51" s="2">
        <v>1</v>
      </c>
      <c r="D51" s="2">
        <v>1</v>
      </c>
      <c r="E51" s="2">
        <v>0</v>
      </c>
      <c r="F51" s="8" t="s">
        <v>14</v>
      </c>
      <c r="G51" s="39">
        <f>SUM(G52:G55)</f>
        <v>1397370000</v>
      </c>
      <c r="H51" s="39">
        <f>SUM(H52:H55)</f>
        <v>0</v>
      </c>
      <c r="I51" s="11">
        <f>+G51+H51</f>
        <v>1397370000</v>
      </c>
      <c r="J51" s="11">
        <f>SUM(J52:J55)</f>
        <v>1097699750</v>
      </c>
      <c r="K51" s="11">
        <f>SUM(K52:K55)</f>
        <v>1097699750</v>
      </c>
      <c r="L51" s="11">
        <f t="shared" si="7"/>
        <v>299670250</v>
      </c>
      <c r="M51" s="40">
        <f t="shared" si="8"/>
        <v>78.55469560674696</v>
      </c>
      <c r="N51" s="40">
        <f t="shared" si="11"/>
        <v>78.55469560674696</v>
      </c>
      <c r="O51" s="83"/>
      <c r="S51" s="39">
        <f>SUM(S52:S55)</f>
        <v>774405020</v>
      </c>
      <c r="T51" s="39">
        <f>SUM(T52:T55)</f>
        <v>774405020</v>
      </c>
      <c r="U51" s="39">
        <f>SUM(U52:U55)</f>
        <v>774405020</v>
      </c>
      <c r="V51" s="39">
        <f>SUM(V52:V55)</f>
        <v>774405020</v>
      </c>
      <c r="W51" s="39">
        <f t="shared" si="9"/>
        <v>622964980</v>
      </c>
      <c r="X51" s="2"/>
      <c r="Y51" s="35">
        <f t="shared" si="10"/>
        <v>55.41875237052463</v>
      </c>
    </row>
    <row r="52" spans="1:25" ht="12.75">
      <c r="A52" s="2" t="s">
        <v>12</v>
      </c>
      <c r="B52" s="2">
        <v>1</v>
      </c>
      <c r="C52" s="2">
        <v>1</v>
      </c>
      <c r="D52" s="2">
        <v>1</v>
      </c>
      <c r="E52" s="2">
        <v>1</v>
      </c>
      <c r="F52" s="2" t="s">
        <v>15</v>
      </c>
      <c r="G52" s="39">
        <v>1073349000</v>
      </c>
      <c r="H52" s="39">
        <v>0</v>
      </c>
      <c r="I52" s="11">
        <f>+G52+H52</f>
        <v>1073349000</v>
      </c>
      <c r="J52" s="38">
        <v>910042416</v>
      </c>
      <c r="K52" s="38">
        <v>910042416</v>
      </c>
      <c r="L52" s="11">
        <f t="shared" si="7"/>
        <v>163306584</v>
      </c>
      <c r="M52" s="40">
        <f t="shared" si="8"/>
        <v>84.78532294714954</v>
      </c>
      <c r="N52" s="40">
        <f t="shared" si="11"/>
        <v>84.78532294714954</v>
      </c>
      <c r="O52" s="83"/>
      <c r="S52" s="39">
        <v>667478516</v>
      </c>
      <c r="T52" s="39">
        <f aca="true" t="shared" si="12" ref="T52:V59">+S52</f>
        <v>667478516</v>
      </c>
      <c r="U52" s="39">
        <f t="shared" si="12"/>
        <v>667478516</v>
      </c>
      <c r="V52" s="39">
        <f t="shared" si="12"/>
        <v>667478516</v>
      </c>
      <c r="W52" s="39">
        <f t="shared" si="9"/>
        <v>405870484</v>
      </c>
      <c r="X52" s="2"/>
      <c r="Y52" s="35">
        <f t="shared" si="10"/>
        <v>62.18653168727041</v>
      </c>
    </row>
    <row r="53" spans="1:25" ht="12.75">
      <c r="A53" s="2" t="s">
        <v>12</v>
      </c>
      <c r="B53" s="2">
        <v>1</v>
      </c>
      <c r="C53" s="2">
        <v>1</v>
      </c>
      <c r="D53" s="2">
        <v>9</v>
      </c>
      <c r="E53" s="2">
        <v>1</v>
      </c>
      <c r="F53" s="2" t="s">
        <v>55</v>
      </c>
      <c r="G53" s="39">
        <v>1386000</v>
      </c>
      <c r="H53" s="39">
        <v>0</v>
      </c>
      <c r="I53" s="11">
        <f aca="true" t="shared" si="13" ref="I53:I60">+G53+H53</f>
        <v>1386000</v>
      </c>
      <c r="J53" s="38">
        <v>805455</v>
      </c>
      <c r="K53" s="38">
        <v>805455</v>
      </c>
      <c r="L53" s="11">
        <f t="shared" si="7"/>
        <v>580545</v>
      </c>
      <c r="M53" s="40">
        <f t="shared" si="8"/>
        <v>58.11363636363637</v>
      </c>
      <c r="N53" s="40">
        <f t="shared" si="11"/>
        <v>58.11363636363637</v>
      </c>
      <c r="O53" s="83"/>
      <c r="S53" s="39">
        <v>1156861</v>
      </c>
      <c r="T53" s="39">
        <f t="shared" si="12"/>
        <v>1156861</v>
      </c>
      <c r="U53" s="39">
        <f t="shared" si="12"/>
        <v>1156861</v>
      </c>
      <c r="V53" s="39">
        <f t="shared" si="12"/>
        <v>1156861</v>
      </c>
      <c r="W53" s="39">
        <f t="shared" si="9"/>
        <v>229139</v>
      </c>
      <c r="X53" s="2"/>
      <c r="Y53" s="35">
        <f t="shared" si="10"/>
        <v>83.46760461760462</v>
      </c>
    </row>
    <row r="54" spans="1:25" ht="12.75">
      <c r="A54" s="2" t="s">
        <v>12</v>
      </c>
      <c r="B54" s="2">
        <v>1</v>
      </c>
      <c r="C54" s="2">
        <v>1</v>
      </c>
      <c r="D54" s="2">
        <v>4</v>
      </c>
      <c r="E54" s="2">
        <v>2</v>
      </c>
      <c r="F54" s="2" t="s">
        <v>16</v>
      </c>
      <c r="G54" s="39">
        <v>114724000</v>
      </c>
      <c r="H54" s="39">
        <f>0</f>
        <v>0</v>
      </c>
      <c r="I54" s="11">
        <f t="shared" si="13"/>
        <v>114724000</v>
      </c>
      <c r="J54" s="38">
        <v>97076221</v>
      </c>
      <c r="K54" s="38">
        <v>97076221</v>
      </c>
      <c r="L54" s="11">
        <f t="shared" si="7"/>
        <v>17647779</v>
      </c>
      <c r="M54" s="40">
        <f t="shared" si="8"/>
        <v>84.61718646490708</v>
      </c>
      <c r="N54" s="40">
        <f t="shared" si="11"/>
        <v>84.61718646490708</v>
      </c>
      <c r="O54" s="83"/>
      <c r="S54" s="39">
        <v>74858643</v>
      </c>
      <c r="T54" s="39">
        <f t="shared" si="12"/>
        <v>74858643</v>
      </c>
      <c r="U54" s="39">
        <f t="shared" si="12"/>
        <v>74858643</v>
      </c>
      <c r="V54" s="39">
        <f t="shared" si="12"/>
        <v>74858643</v>
      </c>
      <c r="W54" s="39">
        <f t="shared" si="9"/>
        <v>39865357</v>
      </c>
      <c r="X54" s="2"/>
      <c r="Y54" s="35">
        <f t="shared" si="10"/>
        <v>65.25107475332102</v>
      </c>
    </row>
    <row r="55" spans="1:25" ht="12.75">
      <c r="A55" s="2" t="s">
        <v>12</v>
      </c>
      <c r="B55" s="2">
        <v>1</v>
      </c>
      <c r="C55" s="2">
        <v>1</v>
      </c>
      <c r="D55" s="2">
        <v>5</v>
      </c>
      <c r="E55" s="2">
        <v>0</v>
      </c>
      <c r="F55" s="2" t="s">
        <v>17</v>
      </c>
      <c r="G55" s="39">
        <f>12154000+59000000+18757000+118000000</f>
        <v>207911000</v>
      </c>
      <c r="H55" s="39">
        <v>0</v>
      </c>
      <c r="I55" s="11">
        <f t="shared" si="13"/>
        <v>207911000</v>
      </c>
      <c r="J55" s="38">
        <f>11820000+57319500+18076500+2559658</f>
        <v>89775658</v>
      </c>
      <c r="K55" s="38">
        <f>11820000+57319500+18076500+2559658</f>
        <v>89775658</v>
      </c>
      <c r="L55" s="11">
        <f t="shared" si="7"/>
        <v>118135342</v>
      </c>
      <c r="M55" s="40">
        <f t="shared" si="8"/>
        <v>43.17985003198484</v>
      </c>
      <c r="N55" s="40">
        <f t="shared" si="11"/>
        <v>43.17985003198484</v>
      </c>
      <c r="O55" s="83"/>
      <c r="S55" s="39">
        <f>12154000+18757000</f>
        <v>30911000</v>
      </c>
      <c r="T55" s="39">
        <f t="shared" si="12"/>
        <v>30911000</v>
      </c>
      <c r="U55" s="39">
        <f t="shared" si="12"/>
        <v>30911000</v>
      </c>
      <c r="V55" s="39">
        <f t="shared" si="12"/>
        <v>30911000</v>
      </c>
      <c r="W55" s="39">
        <f t="shared" si="9"/>
        <v>177000000</v>
      </c>
      <c r="X55" s="2"/>
      <c r="Y55" s="35">
        <f t="shared" si="10"/>
        <v>14.867419232267654</v>
      </c>
    </row>
    <row r="56" spans="1:25" ht="12.75">
      <c r="A56" s="2" t="s">
        <v>12</v>
      </c>
      <c r="B56" s="2">
        <v>1</v>
      </c>
      <c r="C56" s="2">
        <v>5</v>
      </c>
      <c r="D56" s="2">
        <v>0</v>
      </c>
      <c r="E56" s="2">
        <v>1</v>
      </c>
      <c r="F56" s="2" t="s">
        <v>18</v>
      </c>
      <c r="G56" s="39">
        <v>76500000</v>
      </c>
      <c r="H56" s="39">
        <v>0</v>
      </c>
      <c r="I56" s="11">
        <f t="shared" si="13"/>
        <v>76500000</v>
      </c>
      <c r="J56" s="38">
        <f>+I56</f>
        <v>76500000</v>
      </c>
      <c r="K56" s="38">
        <f>+J56</f>
        <v>76500000</v>
      </c>
      <c r="L56" s="11">
        <f t="shared" si="7"/>
        <v>0</v>
      </c>
      <c r="M56" s="40">
        <f t="shared" si="8"/>
        <v>100</v>
      </c>
      <c r="N56" s="40">
        <f t="shared" si="11"/>
        <v>100</v>
      </c>
      <c r="O56" s="83"/>
      <c r="S56" s="39">
        <v>60072700</v>
      </c>
      <c r="T56" s="39">
        <f t="shared" si="12"/>
        <v>60072700</v>
      </c>
      <c r="U56" s="39">
        <f t="shared" si="12"/>
        <v>60072700</v>
      </c>
      <c r="V56" s="39">
        <f t="shared" si="12"/>
        <v>60072700</v>
      </c>
      <c r="W56" s="39">
        <f t="shared" si="9"/>
        <v>16427300</v>
      </c>
      <c r="X56" s="2"/>
      <c r="Y56" s="35">
        <f t="shared" si="10"/>
        <v>78.52640522875816</v>
      </c>
    </row>
    <row r="57" spans="1:25" ht="12.75">
      <c r="A57" s="2" t="s">
        <v>12</v>
      </c>
      <c r="B57" s="2">
        <v>1</v>
      </c>
      <c r="C57" s="2">
        <v>5</v>
      </c>
      <c r="D57" s="2">
        <v>0</v>
      </c>
      <c r="E57" s="2">
        <v>2</v>
      </c>
      <c r="F57" s="2" t="s">
        <v>19</v>
      </c>
      <c r="G57" s="4">
        <v>184192000</v>
      </c>
      <c r="H57" s="39">
        <f>0</f>
        <v>0</v>
      </c>
      <c r="I57" s="11">
        <f t="shared" si="13"/>
        <v>184192000</v>
      </c>
      <c r="J57" s="38">
        <v>121440353</v>
      </c>
      <c r="K57" s="38">
        <v>121440353</v>
      </c>
      <c r="L57" s="11">
        <f t="shared" si="7"/>
        <v>62751647</v>
      </c>
      <c r="M57" s="40">
        <f t="shared" si="8"/>
        <v>65.93139387161223</v>
      </c>
      <c r="N57" s="40">
        <f t="shared" si="11"/>
        <v>65.93139387161223</v>
      </c>
      <c r="O57" s="83"/>
      <c r="S57" s="39">
        <v>92357999</v>
      </c>
      <c r="T57" s="39">
        <f t="shared" si="12"/>
        <v>92357999</v>
      </c>
      <c r="U57" s="39">
        <f t="shared" si="12"/>
        <v>92357999</v>
      </c>
      <c r="V57" s="39">
        <f t="shared" si="12"/>
        <v>92357999</v>
      </c>
      <c r="W57" s="39">
        <f t="shared" si="9"/>
        <v>91834001</v>
      </c>
      <c r="X57" s="2"/>
      <c r="Y57" s="35">
        <f t="shared" si="10"/>
        <v>50.14224233408618</v>
      </c>
    </row>
    <row r="58" spans="1:25" ht="12.75">
      <c r="A58" s="2" t="s">
        <v>12</v>
      </c>
      <c r="B58" s="2">
        <v>1</v>
      </c>
      <c r="C58" s="2">
        <v>5</v>
      </c>
      <c r="D58" s="2">
        <v>0</v>
      </c>
      <c r="E58" s="2">
        <v>6</v>
      </c>
      <c r="F58" s="2" t="s">
        <v>37</v>
      </c>
      <c r="G58" s="39">
        <v>25000000</v>
      </c>
      <c r="H58" s="39"/>
      <c r="I58" s="11">
        <f t="shared" si="13"/>
        <v>25000000</v>
      </c>
      <c r="J58" s="38">
        <v>22149500</v>
      </c>
      <c r="K58" s="38">
        <v>22149500</v>
      </c>
      <c r="L58" s="11">
        <f t="shared" si="7"/>
        <v>2850500</v>
      </c>
      <c r="M58" s="40">
        <f t="shared" si="8"/>
        <v>88.598</v>
      </c>
      <c r="N58" s="40">
        <f t="shared" si="11"/>
        <v>88.598</v>
      </c>
      <c r="O58" s="83"/>
      <c r="S58" s="39">
        <v>18427100</v>
      </c>
      <c r="T58" s="39">
        <f t="shared" si="12"/>
        <v>18427100</v>
      </c>
      <c r="U58" s="39">
        <f t="shared" si="12"/>
        <v>18427100</v>
      </c>
      <c r="V58" s="39">
        <f t="shared" si="12"/>
        <v>18427100</v>
      </c>
      <c r="W58" s="39">
        <f t="shared" si="9"/>
        <v>6572900</v>
      </c>
      <c r="X58" s="2"/>
      <c r="Y58" s="35">
        <f t="shared" si="10"/>
        <v>73.7084</v>
      </c>
    </row>
    <row r="59" spans="1:25" ht="12.75">
      <c r="A59" s="2" t="s">
        <v>12</v>
      </c>
      <c r="B59" s="2">
        <v>1</v>
      </c>
      <c r="C59" s="2">
        <v>5</v>
      </c>
      <c r="D59" s="2">
        <v>0</v>
      </c>
      <c r="E59" s="2">
        <v>7</v>
      </c>
      <c r="F59" s="2" t="s">
        <v>38</v>
      </c>
      <c r="G59" s="39">
        <f>+G58</f>
        <v>25000000</v>
      </c>
      <c r="H59" s="39"/>
      <c r="I59" s="11">
        <f t="shared" si="13"/>
        <v>25000000</v>
      </c>
      <c r="J59" s="38">
        <v>17684200</v>
      </c>
      <c r="K59" s="38">
        <v>17684200</v>
      </c>
      <c r="L59" s="11">
        <f t="shared" si="7"/>
        <v>7315800</v>
      </c>
      <c r="M59" s="40">
        <f t="shared" si="8"/>
        <v>70.7368</v>
      </c>
      <c r="N59" s="40">
        <f t="shared" si="11"/>
        <v>70.7368</v>
      </c>
      <c r="O59" s="83"/>
      <c r="S59" s="39">
        <v>12287600</v>
      </c>
      <c r="T59" s="39">
        <f t="shared" si="12"/>
        <v>12287600</v>
      </c>
      <c r="U59" s="39">
        <f t="shared" si="12"/>
        <v>12287600</v>
      </c>
      <c r="V59" s="39">
        <f t="shared" si="12"/>
        <v>12287600</v>
      </c>
      <c r="W59" s="39">
        <f t="shared" si="9"/>
        <v>12712400</v>
      </c>
      <c r="X59" s="2"/>
      <c r="Y59" s="35">
        <f t="shared" si="10"/>
        <v>49.1504</v>
      </c>
    </row>
    <row r="60" spans="1:25" ht="12.75">
      <c r="A60" s="2" t="s">
        <v>12</v>
      </c>
      <c r="B60" s="2">
        <v>2</v>
      </c>
      <c r="C60" s="2">
        <v>0</v>
      </c>
      <c r="D60" s="2">
        <v>0</v>
      </c>
      <c r="E60" s="2">
        <v>0</v>
      </c>
      <c r="F60" s="3" t="s">
        <v>20</v>
      </c>
      <c r="G60" s="37">
        <f>SUM(G61:G62)</f>
        <v>22374000</v>
      </c>
      <c r="H60" s="37">
        <f>SUM(H61:H62)</f>
        <v>0</v>
      </c>
      <c r="I60" s="38">
        <f t="shared" si="13"/>
        <v>22374000</v>
      </c>
      <c r="J60" s="38">
        <f>+J61+J62</f>
        <v>22374000</v>
      </c>
      <c r="K60" s="38">
        <f>+K61+K62</f>
        <v>22374000</v>
      </c>
      <c r="L60" s="11">
        <f t="shared" si="7"/>
        <v>0</v>
      </c>
      <c r="M60" s="40">
        <f t="shared" si="8"/>
        <v>100</v>
      </c>
      <c r="N60" s="40">
        <f t="shared" si="11"/>
        <v>100</v>
      </c>
      <c r="O60" s="84"/>
      <c r="S60" s="37">
        <f>SUM(S61:S62)</f>
        <v>21140000</v>
      </c>
      <c r="T60" s="37">
        <f>SUM(T61:T62)</f>
        <v>21140000</v>
      </c>
      <c r="U60" s="37">
        <f>SUM(U61:U62)</f>
        <v>21138741</v>
      </c>
      <c r="V60" s="37">
        <f>SUM(V61:V62)</f>
        <v>21138741</v>
      </c>
      <c r="W60" s="39">
        <f t="shared" si="9"/>
        <v>1234000</v>
      </c>
      <c r="X60" s="2"/>
      <c r="Y60" s="35">
        <f t="shared" si="10"/>
        <v>94.48466970590864</v>
      </c>
    </row>
    <row r="61" spans="1:25" ht="12.75">
      <c r="A61" s="2" t="s">
        <v>12</v>
      </c>
      <c r="B61" s="2">
        <v>2</v>
      </c>
      <c r="C61" s="2">
        <v>0</v>
      </c>
      <c r="D61" s="2">
        <v>4</v>
      </c>
      <c r="E61" s="2">
        <v>0</v>
      </c>
      <c r="F61" s="2" t="s">
        <v>21</v>
      </c>
      <c r="G61" s="39">
        <v>21140000</v>
      </c>
      <c r="H61" s="39">
        <v>0</v>
      </c>
      <c r="I61" s="11">
        <f>+G61+H61</f>
        <v>21140000</v>
      </c>
      <c r="J61" s="38">
        <f>+I61</f>
        <v>21140000</v>
      </c>
      <c r="K61" s="38">
        <f>+J61</f>
        <v>21140000</v>
      </c>
      <c r="L61" s="11">
        <f t="shared" si="7"/>
        <v>0</v>
      </c>
      <c r="M61" s="40">
        <f t="shared" si="8"/>
        <v>100</v>
      </c>
      <c r="N61" s="40">
        <f t="shared" si="11"/>
        <v>100</v>
      </c>
      <c r="O61" s="83"/>
      <c r="S61" s="39">
        <f>+I61</f>
        <v>21140000</v>
      </c>
      <c r="T61" s="39">
        <f>+S61</f>
        <v>21140000</v>
      </c>
      <c r="U61" s="39">
        <v>21138741</v>
      </c>
      <c r="V61" s="39">
        <f>+U61</f>
        <v>21138741</v>
      </c>
      <c r="W61" s="39">
        <f t="shared" si="9"/>
        <v>0</v>
      </c>
      <c r="X61" s="2"/>
      <c r="Y61" s="35">
        <f t="shared" si="10"/>
        <v>100</v>
      </c>
    </row>
    <row r="62" spans="1:25" ht="12.75">
      <c r="A62" s="2" t="s">
        <v>12</v>
      </c>
      <c r="B62" s="2">
        <v>2</v>
      </c>
      <c r="C62" s="2">
        <v>0</v>
      </c>
      <c r="D62" s="2">
        <v>3</v>
      </c>
      <c r="E62" s="2">
        <v>50</v>
      </c>
      <c r="F62" s="2" t="s">
        <v>22</v>
      </c>
      <c r="G62" s="39">
        <v>1234000</v>
      </c>
      <c r="H62" s="39">
        <v>0</v>
      </c>
      <c r="I62" s="11">
        <f>+G62+H62</f>
        <v>1234000</v>
      </c>
      <c r="J62" s="38">
        <f>+I62</f>
        <v>1234000</v>
      </c>
      <c r="K62" s="38">
        <f>+J62</f>
        <v>1234000</v>
      </c>
      <c r="L62" s="11">
        <f t="shared" si="7"/>
        <v>0</v>
      </c>
      <c r="M62" s="40">
        <f t="shared" si="8"/>
        <v>100</v>
      </c>
      <c r="N62" s="40">
        <f t="shared" si="11"/>
        <v>100</v>
      </c>
      <c r="O62" s="83"/>
      <c r="S62" s="39">
        <v>0</v>
      </c>
      <c r="T62" s="39">
        <v>0</v>
      </c>
      <c r="U62" s="39">
        <v>0</v>
      </c>
      <c r="V62" s="39">
        <v>0</v>
      </c>
      <c r="W62" s="39">
        <f t="shared" si="9"/>
        <v>1234000</v>
      </c>
      <c r="X62" s="2"/>
      <c r="Y62" s="35">
        <f t="shared" si="10"/>
        <v>0</v>
      </c>
    </row>
    <row r="63" spans="1:25" ht="12.75">
      <c r="A63" s="2" t="s">
        <v>12</v>
      </c>
      <c r="B63" s="2">
        <v>3</v>
      </c>
      <c r="C63" s="2">
        <v>2</v>
      </c>
      <c r="D63" s="2">
        <v>1</v>
      </c>
      <c r="E63" s="2">
        <v>1</v>
      </c>
      <c r="F63" s="2" t="s">
        <v>23</v>
      </c>
      <c r="G63" s="39">
        <f>+G64</f>
        <v>9866000</v>
      </c>
      <c r="H63" s="39">
        <f>+H64</f>
        <v>0</v>
      </c>
      <c r="I63" s="11">
        <f>+G63+H63</f>
        <v>9866000</v>
      </c>
      <c r="J63" s="38">
        <f>+J64</f>
        <v>0</v>
      </c>
      <c r="K63" s="38">
        <f>+K64</f>
        <v>0</v>
      </c>
      <c r="L63" s="11">
        <f t="shared" si="7"/>
        <v>9866000</v>
      </c>
      <c r="M63" s="40">
        <f t="shared" si="8"/>
        <v>0</v>
      </c>
      <c r="N63" s="40">
        <f t="shared" si="11"/>
        <v>0</v>
      </c>
      <c r="O63" s="83"/>
      <c r="S63" s="39">
        <f>+S64</f>
        <v>0</v>
      </c>
      <c r="T63" s="39">
        <f>+T64</f>
        <v>0</v>
      </c>
      <c r="U63" s="39">
        <f>+U64</f>
        <v>0</v>
      </c>
      <c r="V63" s="39">
        <f>+V64</f>
        <v>0</v>
      </c>
      <c r="W63" s="39">
        <f t="shared" si="9"/>
        <v>9866000</v>
      </c>
      <c r="X63" s="2"/>
      <c r="Y63" s="35">
        <f t="shared" si="10"/>
        <v>0</v>
      </c>
    </row>
    <row r="64" spans="1:25" ht="12.75">
      <c r="A64" s="2" t="s">
        <v>12</v>
      </c>
      <c r="B64" s="2">
        <v>3</v>
      </c>
      <c r="C64" s="2">
        <v>2</v>
      </c>
      <c r="D64" s="2">
        <v>1</v>
      </c>
      <c r="E64" s="2">
        <v>1</v>
      </c>
      <c r="F64" s="2" t="s">
        <v>23</v>
      </c>
      <c r="G64" s="39">
        <v>9866000</v>
      </c>
      <c r="H64" s="39">
        <v>0</v>
      </c>
      <c r="I64" s="11">
        <f>+G64+H64</f>
        <v>9866000</v>
      </c>
      <c r="J64" s="38">
        <v>0</v>
      </c>
      <c r="K64" s="38">
        <v>0</v>
      </c>
      <c r="L64" s="11">
        <f t="shared" si="7"/>
        <v>9866000</v>
      </c>
      <c r="M64" s="40">
        <f t="shared" si="8"/>
        <v>0</v>
      </c>
      <c r="N64" s="40">
        <f t="shared" si="11"/>
        <v>0</v>
      </c>
      <c r="O64" s="83"/>
      <c r="S64" s="39">
        <v>0</v>
      </c>
      <c r="T64" s="39">
        <v>0</v>
      </c>
      <c r="U64" s="39">
        <v>0</v>
      </c>
      <c r="V64" s="39">
        <v>0</v>
      </c>
      <c r="W64" s="39">
        <f t="shared" si="9"/>
        <v>9866000</v>
      </c>
      <c r="X64" s="2"/>
      <c r="Y64" s="35">
        <f t="shared" si="10"/>
        <v>0</v>
      </c>
    </row>
    <row r="65" spans="1:25" ht="12.75">
      <c r="A65" s="8" t="s">
        <v>1</v>
      </c>
      <c r="B65" s="8" t="s">
        <v>1</v>
      </c>
      <c r="C65" s="8" t="s">
        <v>1</v>
      </c>
      <c r="D65" s="8" t="s">
        <v>1</v>
      </c>
      <c r="E65" s="8" t="s">
        <v>1</v>
      </c>
      <c r="F65" s="8" t="s">
        <v>26</v>
      </c>
      <c r="G65" s="4" t="s">
        <v>1</v>
      </c>
      <c r="H65" s="4" t="s">
        <v>1</v>
      </c>
      <c r="I65" s="13" t="s">
        <v>1</v>
      </c>
      <c r="J65" s="38" t="s">
        <v>1</v>
      </c>
      <c r="K65" s="38"/>
      <c r="L65" s="12"/>
      <c r="M65" s="40" t="s">
        <v>1</v>
      </c>
      <c r="N65" s="15"/>
      <c r="O65" s="83"/>
      <c r="S65" s="2"/>
      <c r="T65" s="2"/>
      <c r="U65" s="2"/>
      <c r="V65" s="2"/>
      <c r="W65" s="2"/>
      <c r="X65" s="2"/>
      <c r="Y65" s="35"/>
    </row>
    <row r="66" spans="7:9" ht="12.75">
      <c r="G66" s="87" t="s">
        <v>1</v>
      </c>
      <c r="H66" s="42" t="s">
        <v>1</v>
      </c>
      <c r="I66" s="124" t="s">
        <v>1</v>
      </c>
    </row>
    <row r="67" spans="7:9" ht="12.75">
      <c r="G67" s="28"/>
      <c r="I67" s="123"/>
    </row>
    <row r="68" spans="7:22" ht="12.75">
      <c r="G68" s="28"/>
      <c r="I68" s="114" t="s">
        <v>1</v>
      </c>
      <c r="S68" s="28"/>
      <c r="T68" s="28"/>
      <c r="U68" s="28"/>
      <c r="V68" s="28"/>
    </row>
    <row r="69" ht="12.75">
      <c r="G69" s="28"/>
    </row>
    <row r="70" ht="12.75">
      <c r="G70" s="28"/>
    </row>
    <row r="71" spans="7:22" ht="12.75">
      <c r="G71" s="42"/>
      <c r="H71" s="42"/>
      <c r="S71" s="28"/>
      <c r="T71" s="28"/>
      <c r="U71" s="28"/>
      <c r="V71" s="28"/>
    </row>
    <row r="72" spans="19:22" ht="12.75">
      <c r="S72" s="28"/>
      <c r="T72" s="28"/>
      <c r="U72" s="28"/>
      <c r="V72" s="28"/>
    </row>
    <row r="73" spans="19:22" ht="12.75">
      <c r="S73" s="28"/>
      <c r="T73" s="28"/>
      <c r="U73" s="28"/>
      <c r="V73" s="28"/>
    </row>
    <row r="74" spans="19:22" ht="12.75">
      <c r="S74" s="28"/>
      <c r="T74" s="28"/>
      <c r="U74" s="28"/>
      <c r="V74" s="28"/>
    </row>
    <row r="75" spans="19:22" ht="12.75">
      <c r="S75" s="42"/>
      <c r="T75" s="42"/>
      <c r="U75" s="42"/>
      <c r="V75" s="42"/>
    </row>
  </sheetData>
  <sheetProtection/>
  <mergeCells count="6">
    <mergeCell ref="A41:Y41"/>
    <mergeCell ref="A42:Y42"/>
    <mergeCell ref="A1:Y1"/>
    <mergeCell ref="A2:Y2"/>
    <mergeCell ref="A3:Y3"/>
    <mergeCell ref="A40:Y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SheetLayoutView="100" zoomScalePageLayoutView="0" workbookViewId="0" topLeftCell="F42">
      <selection activeCell="A34" sqref="A34:AE47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hidden="1" customWidth="1"/>
    <col min="25" max="28" width="20.28125" style="0" customWidth="1"/>
    <col min="29" max="29" width="16.140625" style="0" customWidth="1"/>
    <col min="30" max="30" width="16.28125" style="0" hidden="1" customWidth="1"/>
    <col min="31" max="31" width="16.7109375" style="0" customWidth="1"/>
    <col min="32" max="32" width="12.7109375" style="0" bestFit="1" customWidth="1"/>
    <col min="33" max="33" width="12.421875" style="0" bestFit="1" customWidth="1"/>
  </cols>
  <sheetData>
    <row r="1" spans="1:31" ht="12.75">
      <c r="A1" s="2"/>
      <c r="B1" s="2"/>
      <c r="C1" s="74" t="s">
        <v>1</v>
      </c>
      <c r="D1" s="75" t="s">
        <v>1</v>
      </c>
      <c r="E1" s="144" t="s">
        <v>0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2"/>
    </row>
    <row r="2" spans="1:31" ht="12.75">
      <c r="A2" s="2"/>
      <c r="B2" s="2"/>
      <c r="C2" s="74" t="s">
        <v>1</v>
      </c>
      <c r="D2" s="75" t="s">
        <v>1</v>
      </c>
      <c r="E2" s="145" t="s">
        <v>86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2"/>
    </row>
    <row r="3" spans="1:31" ht="12.75">
      <c r="A3" s="2"/>
      <c r="B3" s="2"/>
      <c r="C3" s="2"/>
      <c r="D3" s="2"/>
      <c r="E3" s="75"/>
      <c r="F3" s="75"/>
      <c r="G3" s="75" t="s">
        <v>1</v>
      </c>
      <c r="H3" s="9" t="s">
        <v>1</v>
      </c>
      <c r="I3" s="76" t="s">
        <v>1</v>
      </c>
      <c r="J3" s="12"/>
      <c r="K3" s="12"/>
      <c r="L3" s="12"/>
      <c r="M3" s="12"/>
      <c r="N3" s="12"/>
      <c r="O3" s="76"/>
      <c r="P3" s="76"/>
      <c r="Q3" s="76"/>
      <c r="R3" s="76"/>
      <c r="S3" s="76"/>
      <c r="T3" s="76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  <c r="AE3" s="2"/>
    </row>
    <row r="4" spans="1:31" ht="12.75">
      <c r="A4" s="2"/>
      <c r="B4" s="2"/>
      <c r="C4" s="2"/>
      <c r="D4" s="2"/>
      <c r="E4" s="75"/>
      <c r="F4" s="2"/>
      <c r="G4" s="8" t="s">
        <v>1</v>
      </c>
      <c r="H4" s="9" t="s">
        <v>1</v>
      </c>
      <c r="I4" s="77" t="s">
        <v>1</v>
      </c>
      <c r="J4" s="12"/>
      <c r="K4" s="12"/>
      <c r="L4" s="12"/>
      <c r="M4" s="12"/>
      <c r="N4" s="12"/>
      <c r="O4" s="78"/>
      <c r="P4" s="78"/>
      <c r="Q4" s="78"/>
      <c r="R4" s="78"/>
      <c r="S4" s="78"/>
      <c r="T4" s="78"/>
      <c r="U4" s="11" t="s">
        <v>1</v>
      </c>
      <c r="V4" s="15"/>
      <c r="W4" s="15"/>
      <c r="X4" s="2"/>
      <c r="Y4" s="2"/>
      <c r="Z4" s="2"/>
      <c r="AA4" s="2"/>
      <c r="AB4" s="2"/>
      <c r="AC4" s="4" t="s">
        <v>1</v>
      </c>
      <c r="AD4" s="2"/>
      <c r="AE4" s="2"/>
    </row>
    <row r="5" spans="1:31" ht="38.25" customHeight="1">
      <c r="A5" s="62"/>
      <c r="B5" s="63"/>
      <c r="C5" s="64"/>
      <c r="D5" s="64"/>
      <c r="E5" s="65" t="s">
        <v>25</v>
      </c>
      <c r="F5" s="66" t="s">
        <v>71</v>
      </c>
      <c r="G5" s="67" t="s">
        <v>2</v>
      </c>
      <c r="H5" s="68" t="s">
        <v>72</v>
      </c>
      <c r="I5" s="69"/>
      <c r="J5" s="26"/>
      <c r="K5" s="69"/>
      <c r="L5" s="69"/>
      <c r="M5" s="69"/>
      <c r="N5" s="69" t="s">
        <v>1</v>
      </c>
      <c r="O5" s="69"/>
      <c r="P5" s="70"/>
      <c r="Q5" s="69"/>
      <c r="R5" s="69"/>
      <c r="S5" s="69"/>
      <c r="T5" s="69"/>
      <c r="U5" s="69" t="s">
        <v>1</v>
      </c>
      <c r="V5" s="69"/>
      <c r="W5" s="71"/>
      <c r="X5" s="72" t="s">
        <v>73</v>
      </c>
      <c r="Y5" s="73" t="s">
        <v>78</v>
      </c>
      <c r="Z5" s="73" t="s">
        <v>35</v>
      </c>
      <c r="AA5" s="73" t="s">
        <v>84</v>
      </c>
      <c r="AB5" s="73" t="s">
        <v>85</v>
      </c>
      <c r="AC5" s="73" t="s">
        <v>75</v>
      </c>
      <c r="AD5" s="73" t="s">
        <v>74</v>
      </c>
      <c r="AE5" s="73" t="s">
        <v>48</v>
      </c>
    </row>
    <row r="6" spans="1:32" ht="44.25" customHeight="1">
      <c r="A6" s="95" t="s">
        <v>24</v>
      </c>
      <c r="B6" s="5" t="s">
        <v>42</v>
      </c>
      <c r="C6" s="17">
        <v>900</v>
      </c>
      <c r="D6" s="6">
        <v>1</v>
      </c>
      <c r="E6" s="96" t="s">
        <v>56</v>
      </c>
      <c r="F6" s="97">
        <v>1470000000</v>
      </c>
      <c r="G6" s="89">
        <f>42980000+0+210943342+30000000+110618232</f>
        <v>394541574</v>
      </c>
      <c r="H6" s="24">
        <f>+F6+G6</f>
        <v>1864541574</v>
      </c>
      <c r="I6" s="24"/>
      <c r="J6" s="26"/>
      <c r="K6" s="24"/>
      <c r="L6" s="24"/>
      <c r="M6" s="24"/>
      <c r="N6" s="24">
        <v>377425593</v>
      </c>
      <c r="O6" s="24"/>
      <c r="P6" s="25"/>
      <c r="Q6" s="24"/>
      <c r="R6" s="24">
        <f aca="true" t="shared" si="0" ref="R6:R20">+N6-S6-T6</f>
        <v>71522290.954</v>
      </c>
      <c r="S6" s="24">
        <f>+'[2]2010'!$F$50+'[2]2010'!$F$57+'[2]2010'!$F$58</f>
        <v>3797761</v>
      </c>
      <c r="T6" s="24">
        <f>+'[1]RESERVAS 2012'!$G$149</f>
        <v>302105541.046</v>
      </c>
      <c r="U6" s="25">
        <f aca="true" t="shared" si="1" ref="U6:U20">+H6-N6</f>
        <v>1487115981</v>
      </c>
      <c r="V6" s="24"/>
      <c r="W6" s="27">
        <f aca="true" t="shared" si="2" ref="W6:W20">+N6/H6*100</f>
        <v>20.242272860149164</v>
      </c>
      <c r="X6" s="11">
        <f>+'[3]01-900-01'!$J$143</f>
        <v>2152968036.5039997</v>
      </c>
      <c r="Y6" s="136">
        <v>1200960082.1200001</v>
      </c>
      <c r="Z6" s="137">
        <v>1113376773</v>
      </c>
      <c r="AA6" s="137">
        <f>305801668-4284000</f>
        <v>301517668</v>
      </c>
      <c r="AB6" s="137">
        <v>295413770</v>
      </c>
      <c r="AC6" s="137">
        <f aca="true" t="shared" si="3" ref="AC6:AC20">+H6-Y6</f>
        <v>663581491.8799999</v>
      </c>
      <c r="AD6" s="138">
        <f aca="true" t="shared" si="4" ref="AD6:AD20">+X6/H6*100</f>
        <v>115.46902823331735</v>
      </c>
      <c r="AE6" s="138">
        <f aca="true" t="shared" si="5" ref="AE6:AE20">+Y6/H6*100</f>
        <v>64.41047487847543</v>
      </c>
      <c r="AF6" s="42" t="s">
        <v>1</v>
      </c>
    </row>
    <row r="7" spans="1:32" ht="31.5" customHeight="1">
      <c r="A7" s="95" t="s">
        <v>24</v>
      </c>
      <c r="B7" s="5" t="s">
        <v>42</v>
      </c>
      <c r="C7" s="17">
        <f>+C6</f>
        <v>900</v>
      </c>
      <c r="D7" s="6">
        <v>2</v>
      </c>
      <c r="E7" s="96" t="s">
        <v>57</v>
      </c>
      <c r="F7" s="97">
        <v>350000000</v>
      </c>
      <c r="G7" s="89">
        <f>+'[4]ADICIONES2014'!C43</f>
        <v>0</v>
      </c>
      <c r="H7" s="24">
        <f aca="true" t="shared" si="6" ref="H7:H20">+F7+G7</f>
        <v>350000000</v>
      </c>
      <c r="I7" s="24"/>
      <c r="J7" s="26"/>
      <c r="K7" s="24"/>
      <c r="L7" s="24"/>
      <c r="M7" s="24"/>
      <c r="N7" s="24">
        <v>36231197</v>
      </c>
      <c r="O7" s="24"/>
      <c r="P7" s="25"/>
      <c r="Q7" s="24"/>
      <c r="R7" s="24">
        <f t="shared" si="0"/>
        <v>18115598.3</v>
      </c>
      <c r="S7" s="24">
        <v>0</v>
      </c>
      <c r="T7" s="24">
        <f>+'[1]RESERVAS 2012'!$G$159</f>
        <v>18115598.7</v>
      </c>
      <c r="U7" s="25">
        <f t="shared" si="1"/>
        <v>313768803</v>
      </c>
      <c r="V7" s="24"/>
      <c r="W7" s="27">
        <f t="shared" si="2"/>
        <v>10.351770571428572</v>
      </c>
      <c r="X7" s="11">
        <f>+'[3]01-900-02'!$J$42</f>
        <v>239775769</v>
      </c>
      <c r="Y7" s="136">
        <v>157469243.592</v>
      </c>
      <c r="Z7" s="137">
        <v>95715832</v>
      </c>
      <c r="AA7" s="137">
        <f>23103765-1224000</f>
        <v>21879765</v>
      </c>
      <c r="AB7" s="137">
        <v>18264575</v>
      </c>
      <c r="AC7" s="137">
        <f t="shared" si="3"/>
        <v>192530756.408</v>
      </c>
      <c r="AD7" s="138">
        <f t="shared" si="4"/>
        <v>68.50736257142857</v>
      </c>
      <c r="AE7" s="138">
        <f t="shared" si="5"/>
        <v>44.99121245485714</v>
      </c>
      <c r="AF7" s="42" t="s">
        <v>1</v>
      </c>
    </row>
    <row r="8" spans="1:31" ht="26.25" customHeight="1" hidden="1">
      <c r="A8" s="95" t="s">
        <v>24</v>
      </c>
      <c r="B8" s="5" t="s">
        <v>42</v>
      </c>
      <c r="C8" s="17">
        <f>+C7</f>
        <v>900</v>
      </c>
      <c r="D8" s="6">
        <v>3</v>
      </c>
      <c r="E8" s="96" t="s">
        <v>41</v>
      </c>
      <c r="F8" s="97">
        <v>0</v>
      </c>
      <c r="G8" s="89">
        <f>+'[4]ADICIONES2014'!C44</f>
        <v>0</v>
      </c>
      <c r="H8" s="24">
        <f t="shared" si="6"/>
        <v>0</v>
      </c>
      <c r="I8" s="24"/>
      <c r="J8" s="26"/>
      <c r="K8" s="24"/>
      <c r="L8" s="24"/>
      <c r="M8" s="24"/>
      <c r="N8" s="24">
        <v>0</v>
      </c>
      <c r="O8" s="24"/>
      <c r="P8" s="25"/>
      <c r="Q8" s="24"/>
      <c r="R8" s="24">
        <f t="shared" si="0"/>
        <v>0</v>
      </c>
      <c r="S8" s="24"/>
      <c r="T8" s="24"/>
      <c r="U8" s="25">
        <f t="shared" si="1"/>
        <v>0</v>
      </c>
      <c r="V8" s="24"/>
      <c r="W8" s="27">
        <v>0</v>
      </c>
      <c r="X8" s="11"/>
      <c r="Y8" s="136"/>
      <c r="Z8" s="137"/>
      <c r="AA8" s="137"/>
      <c r="AB8" s="137"/>
      <c r="AC8" s="137">
        <f t="shared" si="3"/>
        <v>0</v>
      </c>
      <c r="AD8" s="138" t="e">
        <f t="shared" si="4"/>
        <v>#DIV/0!</v>
      </c>
      <c r="AE8" s="138" t="e">
        <f t="shared" si="5"/>
        <v>#DIV/0!</v>
      </c>
    </row>
    <row r="9" spans="1:31" ht="26.25" customHeight="1">
      <c r="A9" s="95" t="s">
        <v>24</v>
      </c>
      <c r="B9" s="5" t="s">
        <v>42</v>
      </c>
      <c r="C9" s="17">
        <v>900</v>
      </c>
      <c r="D9" s="6">
        <v>3</v>
      </c>
      <c r="E9" s="96" t="s">
        <v>69</v>
      </c>
      <c r="F9" s="97">
        <v>75000000</v>
      </c>
      <c r="G9" s="89">
        <v>150000000</v>
      </c>
      <c r="H9" s="24">
        <f>+F9+G9</f>
        <v>225000000</v>
      </c>
      <c r="I9" s="24"/>
      <c r="J9" s="26"/>
      <c r="K9" s="24"/>
      <c r="L9" s="24"/>
      <c r="M9" s="24"/>
      <c r="N9" s="24"/>
      <c r="O9" s="24"/>
      <c r="P9" s="25"/>
      <c r="Q9" s="24"/>
      <c r="R9" s="24"/>
      <c r="S9" s="24"/>
      <c r="T9" s="24"/>
      <c r="U9" s="25"/>
      <c r="V9" s="24"/>
      <c r="W9" s="27"/>
      <c r="X9" s="11">
        <f>+'[3]01-900-03'!$I$41</f>
        <v>74615651</v>
      </c>
      <c r="Y9" s="136">
        <v>31951474.368</v>
      </c>
      <c r="Z9" s="137">
        <v>31916866</v>
      </c>
      <c r="AA9" s="137">
        <f>11498708-204000</f>
        <v>11294708</v>
      </c>
      <c r="AB9" s="137">
        <v>11294708</v>
      </c>
      <c r="AC9" s="137">
        <f t="shared" si="3"/>
        <v>193048525.632</v>
      </c>
      <c r="AD9" s="138">
        <f t="shared" si="4"/>
        <v>33.162511555555554</v>
      </c>
      <c r="AE9" s="138">
        <f t="shared" si="5"/>
        <v>14.200655274666667</v>
      </c>
    </row>
    <row r="10" spans="1:31" ht="30" customHeight="1">
      <c r="A10" s="95" t="s">
        <v>24</v>
      </c>
      <c r="B10" s="5" t="s">
        <v>43</v>
      </c>
      <c r="C10" s="17">
        <f>+C8</f>
        <v>900</v>
      </c>
      <c r="D10" s="6">
        <v>1</v>
      </c>
      <c r="E10" s="96" t="s">
        <v>58</v>
      </c>
      <c r="F10" s="97">
        <v>2168871379</v>
      </c>
      <c r="G10" s="88">
        <f>89919207+305080793+150000000</f>
        <v>545000000</v>
      </c>
      <c r="H10" s="24">
        <f>+F10+G10</f>
        <v>2713871379</v>
      </c>
      <c r="I10" s="24"/>
      <c r="J10" s="26"/>
      <c r="K10" s="24"/>
      <c r="L10" s="24"/>
      <c r="M10" s="24"/>
      <c r="N10" s="24">
        <f>672188453-15546821</f>
        <v>656641632</v>
      </c>
      <c r="O10" s="24"/>
      <c r="P10" s="25"/>
      <c r="Q10" s="24"/>
      <c r="R10" s="24">
        <f t="shared" si="0"/>
        <v>656641632</v>
      </c>
      <c r="S10" s="24">
        <v>0</v>
      </c>
      <c r="T10" s="24">
        <v>0</v>
      </c>
      <c r="U10" s="25">
        <f t="shared" si="1"/>
        <v>2057229747</v>
      </c>
      <c r="V10" s="24"/>
      <c r="W10" s="27">
        <f t="shared" si="2"/>
        <v>24.1957536042831</v>
      </c>
      <c r="X10" s="11">
        <f>+'[3]02-0900-01'!$I$34</f>
        <v>1867301538.748</v>
      </c>
      <c r="Y10" s="136">
        <v>2474860420</v>
      </c>
      <c r="Z10" s="137">
        <v>2134860420</v>
      </c>
      <c r="AA10" s="137">
        <v>2126355000</v>
      </c>
      <c r="AB10" s="137">
        <v>2126355000</v>
      </c>
      <c r="AC10" s="137">
        <f t="shared" si="3"/>
        <v>239010959</v>
      </c>
      <c r="AD10" s="138">
        <f t="shared" si="4"/>
        <v>68.80582304663452</v>
      </c>
      <c r="AE10" s="138">
        <f t="shared" si="5"/>
        <v>91.19298870058941</v>
      </c>
    </row>
    <row r="11" spans="1:31" ht="22.5" customHeight="1">
      <c r="A11" s="95" t="s">
        <v>24</v>
      </c>
      <c r="B11" s="5" t="s">
        <v>43</v>
      </c>
      <c r="C11" s="17">
        <f aca="true" t="shared" si="7" ref="C11:C20">+C10</f>
        <v>900</v>
      </c>
      <c r="D11" s="6">
        <v>2</v>
      </c>
      <c r="E11" s="96" t="s">
        <v>59</v>
      </c>
      <c r="F11" s="97">
        <v>2044955596</v>
      </c>
      <c r="G11" s="89">
        <v>58057127</v>
      </c>
      <c r="H11" s="24">
        <f t="shared" si="6"/>
        <v>2103012723</v>
      </c>
      <c r="I11" s="24"/>
      <c r="J11" s="26"/>
      <c r="K11" s="24"/>
      <c r="L11" s="24"/>
      <c r="M11" s="24"/>
      <c r="N11" s="24">
        <v>830912529</v>
      </c>
      <c r="O11" s="24"/>
      <c r="P11" s="25"/>
      <c r="Q11" s="24"/>
      <c r="R11" s="24">
        <f t="shared" si="0"/>
        <v>291465571.8239999</v>
      </c>
      <c r="S11" s="24">
        <v>0</v>
      </c>
      <c r="T11" s="24">
        <f>+'[1]RESERVAS 2012'!$G$176</f>
        <v>539446957.1760001</v>
      </c>
      <c r="U11" s="25">
        <f t="shared" si="1"/>
        <v>1272100194</v>
      </c>
      <c r="V11" s="24"/>
      <c r="W11" s="27">
        <f t="shared" si="2"/>
        <v>39.51058022201038</v>
      </c>
      <c r="X11" s="11">
        <f>+'[3]02-900-02'!$I$151+1</f>
        <v>2545829271.4040008</v>
      </c>
      <c r="Y11" s="136">
        <v>1897122509</v>
      </c>
      <c r="Z11" s="137">
        <v>643283684</v>
      </c>
      <c r="AA11" s="137">
        <v>316040401</v>
      </c>
      <c r="AB11" s="137">
        <v>293085756</v>
      </c>
      <c r="AC11" s="137">
        <f t="shared" si="3"/>
        <v>205890214</v>
      </c>
      <c r="AD11" s="138">
        <f t="shared" si="4"/>
        <v>121.05629431344151</v>
      </c>
      <c r="AE11" s="138">
        <f t="shared" si="5"/>
        <v>90.20974948233825</v>
      </c>
    </row>
    <row r="12" spans="1:31" ht="34.5" customHeight="1">
      <c r="A12" s="95" t="s">
        <v>24</v>
      </c>
      <c r="B12" s="5" t="s">
        <v>43</v>
      </c>
      <c r="C12" s="17">
        <f t="shared" si="7"/>
        <v>900</v>
      </c>
      <c r="D12" s="6">
        <v>3</v>
      </c>
      <c r="E12" s="96" t="s">
        <v>60</v>
      </c>
      <c r="F12" s="97">
        <v>1347317269</v>
      </c>
      <c r="G12" s="89">
        <f>250000000+15549361+103000000+122907386+372731452</f>
        <v>864188199</v>
      </c>
      <c r="H12" s="24">
        <f t="shared" si="6"/>
        <v>2211505468</v>
      </c>
      <c r="I12" s="24"/>
      <c r="J12" s="26"/>
      <c r="K12" s="24"/>
      <c r="L12" s="24"/>
      <c r="M12" s="24"/>
      <c r="N12" s="30">
        <v>133402374</v>
      </c>
      <c r="O12" s="30"/>
      <c r="P12" s="30"/>
      <c r="Q12" s="30"/>
      <c r="R12" s="24">
        <f t="shared" si="0"/>
        <v>6838000</v>
      </c>
      <c r="S12" s="30">
        <f>+'[2]2010'!$F$154</f>
        <v>43687200</v>
      </c>
      <c r="T12" s="30">
        <f>+'[1]RESERVAS 2012'!$G$212</f>
        <v>82877174</v>
      </c>
      <c r="U12" s="30">
        <f t="shared" si="1"/>
        <v>2078103094</v>
      </c>
      <c r="V12" s="24"/>
      <c r="W12" s="27">
        <f>+N12/H12*100</f>
        <v>6.0321973393375306</v>
      </c>
      <c r="X12" s="13">
        <f>+'[3]02-900-03'!$I$79+1</f>
        <v>680897978.232</v>
      </c>
      <c r="Y12" s="136">
        <v>493355962.552</v>
      </c>
      <c r="Z12" s="137">
        <v>373546701</v>
      </c>
      <c r="AA12" s="137">
        <v>21802845</v>
      </c>
      <c r="AB12" s="137">
        <v>21802845</v>
      </c>
      <c r="AC12" s="137">
        <f t="shared" si="3"/>
        <v>1718149505.448</v>
      </c>
      <c r="AD12" s="138">
        <f t="shared" si="4"/>
        <v>30.788889653878076</v>
      </c>
      <c r="AE12" s="138">
        <f t="shared" si="5"/>
        <v>22.30860242901285</v>
      </c>
    </row>
    <row r="13" spans="1:31" ht="38.25" customHeight="1">
      <c r="A13" s="95" t="s">
        <v>24</v>
      </c>
      <c r="B13" s="5" t="s">
        <v>43</v>
      </c>
      <c r="C13" s="17">
        <f t="shared" si="7"/>
        <v>900</v>
      </c>
      <c r="D13" s="6">
        <v>4</v>
      </c>
      <c r="E13" s="96" t="s">
        <v>61</v>
      </c>
      <c r="F13" s="97">
        <v>1043955002</v>
      </c>
      <c r="G13" s="89">
        <v>0</v>
      </c>
      <c r="H13" s="24">
        <f t="shared" si="6"/>
        <v>1043955002</v>
      </c>
      <c r="I13" s="24"/>
      <c r="J13" s="26"/>
      <c r="K13" s="24"/>
      <c r="L13" s="24"/>
      <c r="M13" s="24"/>
      <c r="N13" s="24">
        <f>26881152+1471477790</f>
        <v>1498358942</v>
      </c>
      <c r="O13" s="24"/>
      <c r="P13" s="25"/>
      <c r="Q13" s="24"/>
      <c r="R13" s="24">
        <f t="shared" si="0"/>
        <v>-0.31599998474121094</v>
      </c>
      <c r="S13" s="24">
        <v>0</v>
      </c>
      <c r="T13" s="24">
        <f>+'[1]RESERVAS 2012'!$G$217</f>
        <v>1498358942.316</v>
      </c>
      <c r="U13" s="25">
        <f t="shared" si="1"/>
        <v>-454403940</v>
      </c>
      <c r="V13" s="24"/>
      <c r="W13" s="27">
        <f t="shared" si="2"/>
        <v>143.52715769640042</v>
      </c>
      <c r="X13" s="11">
        <f>+'[3]02-900-04'!$J$31</f>
        <v>4589240858</v>
      </c>
      <c r="Y13" s="136">
        <v>643307101</v>
      </c>
      <c r="Z13" s="137">
        <v>609241630</v>
      </c>
      <c r="AA13" s="137">
        <v>0</v>
      </c>
      <c r="AB13" s="137">
        <v>0</v>
      </c>
      <c r="AC13" s="137">
        <f t="shared" si="3"/>
        <v>400647901</v>
      </c>
      <c r="AD13" s="138">
        <f t="shared" si="4"/>
        <v>439.6014051571162</v>
      </c>
      <c r="AE13" s="138">
        <f t="shared" si="5"/>
        <v>61.6221101261604</v>
      </c>
    </row>
    <row r="14" spans="1:31" ht="22.5" customHeight="1">
      <c r="A14" s="95" t="s">
        <v>24</v>
      </c>
      <c r="B14" s="5" t="s">
        <v>44</v>
      </c>
      <c r="C14" s="17">
        <f t="shared" si="7"/>
        <v>900</v>
      </c>
      <c r="D14" s="6">
        <v>1</v>
      </c>
      <c r="E14" s="96" t="s">
        <v>62</v>
      </c>
      <c r="F14" s="97">
        <f>+'[5]03-0900-01'!$F$2</f>
        <v>250000000</v>
      </c>
      <c r="G14" s="89">
        <v>70000000</v>
      </c>
      <c r="H14" s="24">
        <f t="shared" si="6"/>
        <v>320000000</v>
      </c>
      <c r="I14" s="24"/>
      <c r="J14" s="26"/>
      <c r="K14" s="24"/>
      <c r="L14" s="24"/>
      <c r="M14" s="24"/>
      <c r="N14" s="24">
        <f>-38654000+83580624-44926624</f>
        <v>0</v>
      </c>
      <c r="O14" s="24"/>
      <c r="P14" s="25"/>
      <c r="Q14" s="24"/>
      <c r="R14" s="24">
        <f t="shared" si="0"/>
        <v>0</v>
      </c>
      <c r="S14" s="24">
        <v>0</v>
      </c>
      <c r="T14" s="24">
        <v>0</v>
      </c>
      <c r="U14" s="25">
        <f t="shared" si="1"/>
        <v>320000000</v>
      </c>
      <c r="V14" s="24"/>
      <c r="W14" s="27">
        <f t="shared" si="2"/>
        <v>0</v>
      </c>
      <c r="X14" s="11">
        <f>+'[3]03-900-01'!$J$51</f>
        <v>248571160</v>
      </c>
      <c r="Y14" s="136">
        <v>262868542.72800002</v>
      </c>
      <c r="Z14" s="137">
        <v>221420184</v>
      </c>
      <c r="AA14" s="137">
        <f>81840000-6400000</f>
        <v>75440000</v>
      </c>
      <c r="AB14" s="137">
        <v>75200000</v>
      </c>
      <c r="AC14" s="137">
        <f t="shared" si="3"/>
        <v>57131457.271999985</v>
      </c>
      <c r="AD14" s="138">
        <f t="shared" si="4"/>
        <v>77.6784875</v>
      </c>
      <c r="AE14" s="138">
        <f t="shared" si="5"/>
        <v>82.1464196025</v>
      </c>
    </row>
    <row r="15" spans="1:31" ht="22.5" customHeight="1">
      <c r="A15" s="95" t="s">
        <v>24</v>
      </c>
      <c r="B15" s="5" t="s">
        <v>44</v>
      </c>
      <c r="C15" s="17">
        <f t="shared" si="7"/>
        <v>900</v>
      </c>
      <c r="D15" s="6">
        <v>2</v>
      </c>
      <c r="E15" s="96" t="s">
        <v>63</v>
      </c>
      <c r="F15" s="97">
        <v>835527581</v>
      </c>
      <c r="G15" s="89">
        <f>300000000+100000000+460000000</f>
        <v>860000000</v>
      </c>
      <c r="H15" s="24">
        <f t="shared" si="6"/>
        <v>1695527581</v>
      </c>
      <c r="I15" s="24"/>
      <c r="J15" s="26"/>
      <c r="K15" s="24"/>
      <c r="L15" s="24"/>
      <c r="M15" s="24"/>
      <c r="N15" s="24">
        <v>76488483</v>
      </c>
      <c r="O15" s="24"/>
      <c r="P15" s="25"/>
      <c r="Q15" s="24"/>
      <c r="R15" s="24">
        <f t="shared" si="0"/>
        <v>0</v>
      </c>
      <c r="S15" s="24">
        <v>0</v>
      </c>
      <c r="T15" s="24">
        <f>+'[1]RESERVAS 2012'!$G$227</f>
        <v>76488483</v>
      </c>
      <c r="U15" s="25">
        <f t="shared" si="1"/>
        <v>1619039098</v>
      </c>
      <c r="V15" s="24"/>
      <c r="W15" s="27">
        <f t="shared" si="2"/>
        <v>4.511190726540001</v>
      </c>
      <c r="X15" s="13">
        <f>+'[3]03-900-02'!$J$103</f>
        <v>6495999029.863999</v>
      </c>
      <c r="Y15" s="136">
        <v>1038459683.8</v>
      </c>
      <c r="Z15" s="137">
        <v>1035394895</v>
      </c>
      <c r="AA15" s="137">
        <v>5390320</v>
      </c>
      <c r="AB15" s="137">
        <v>5390320</v>
      </c>
      <c r="AC15" s="137">
        <f t="shared" si="3"/>
        <v>657067897.2</v>
      </c>
      <c r="AD15" s="138">
        <f t="shared" si="4"/>
        <v>383.1255299328569</v>
      </c>
      <c r="AE15" s="138">
        <f t="shared" si="5"/>
        <v>61.24699447162811</v>
      </c>
    </row>
    <row r="16" spans="1:31" ht="22.5" customHeight="1">
      <c r="A16" s="95" t="s">
        <v>24</v>
      </c>
      <c r="B16" s="5" t="s">
        <v>45</v>
      </c>
      <c r="C16" s="17">
        <f t="shared" si="7"/>
        <v>900</v>
      </c>
      <c r="D16" s="6">
        <v>1</v>
      </c>
      <c r="E16" s="96" t="s">
        <v>64</v>
      </c>
      <c r="F16" s="97">
        <v>1200000000</v>
      </c>
      <c r="G16" s="89">
        <f>1845204606+85951633+579635473+259094</f>
        <v>2511050806</v>
      </c>
      <c r="H16" s="24">
        <f t="shared" si="6"/>
        <v>3711050806</v>
      </c>
      <c r="I16" s="24"/>
      <c r="J16" s="26"/>
      <c r="K16" s="24"/>
      <c r="L16" s="24"/>
      <c r="M16" s="24"/>
      <c r="N16" s="24">
        <v>152849484</v>
      </c>
      <c r="O16" s="24"/>
      <c r="P16" s="25"/>
      <c r="Q16" s="24"/>
      <c r="R16" s="24">
        <f t="shared" si="0"/>
        <v>36427954</v>
      </c>
      <c r="S16" s="24">
        <f>+'[2]2010'!$F$163</f>
        <v>75867</v>
      </c>
      <c r="T16" s="24">
        <f>+'[1]RESERVAS 2012'!$G$246</f>
        <v>116345663</v>
      </c>
      <c r="U16" s="25">
        <f t="shared" si="1"/>
        <v>3558201322</v>
      </c>
      <c r="V16" s="24"/>
      <c r="W16" s="27">
        <f t="shared" si="2"/>
        <v>4.1187656001064195</v>
      </c>
      <c r="X16" s="11">
        <v>920941098</v>
      </c>
      <c r="Y16" s="136">
        <v>1502888199.984</v>
      </c>
      <c r="Z16" s="137">
        <v>1403140857</v>
      </c>
      <c r="AA16" s="137">
        <v>211234942</v>
      </c>
      <c r="AB16" s="137">
        <v>184112582</v>
      </c>
      <c r="AC16" s="137">
        <f t="shared" si="3"/>
        <v>2208162606.016</v>
      </c>
      <c r="AD16" s="138">
        <f t="shared" si="4"/>
        <v>24.816181349795297</v>
      </c>
      <c r="AE16" s="138">
        <f t="shared" si="5"/>
        <v>40.49764550660802</v>
      </c>
    </row>
    <row r="17" spans="1:31" ht="36" customHeight="1">
      <c r="A17" s="95" t="s">
        <v>24</v>
      </c>
      <c r="B17" s="5" t="s">
        <v>45</v>
      </c>
      <c r="C17" s="17">
        <f t="shared" si="7"/>
        <v>900</v>
      </c>
      <c r="D17" s="6">
        <v>2</v>
      </c>
      <c r="E17" s="96" t="s">
        <v>65</v>
      </c>
      <c r="F17" s="97">
        <v>912369951</v>
      </c>
      <c r="G17" s="89">
        <f>595200435+48192000</f>
        <v>643392435</v>
      </c>
      <c r="H17" s="24">
        <f t="shared" si="6"/>
        <v>1555762386</v>
      </c>
      <c r="I17" s="24"/>
      <c r="J17" s="26"/>
      <c r="K17" s="24"/>
      <c r="L17" s="24"/>
      <c r="M17" s="24"/>
      <c r="N17" s="24">
        <v>19467520</v>
      </c>
      <c r="O17" s="24"/>
      <c r="P17" s="25"/>
      <c r="Q17" s="24"/>
      <c r="R17" s="24">
        <f t="shared" si="0"/>
        <v>1534972</v>
      </c>
      <c r="S17" s="24">
        <f>+'[2]2010'!$F$195</f>
        <v>198000</v>
      </c>
      <c r="T17" s="24">
        <f>+'[1]RESERVAS 2012'!$G$306</f>
        <v>17734548</v>
      </c>
      <c r="U17" s="25">
        <f t="shared" si="1"/>
        <v>1536294866</v>
      </c>
      <c r="V17" s="24"/>
      <c r="W17" s="27">
        <f t="shared" si="2"/>
        <v>1.2513170504174922</v>
      </c>
      <c r="X17" s="11">
        <f>+'[3]04-0900-02'!$H$127</f>
        <v>347571279.988</v>
      </c>
      <c r="Y17" s="136">
        <v>341406745.124</v>
      </c>
      <c r="Z17" s="137">
        <v>249167068</v>
      </c>
      <c r="AA17" s="137">
        <v>11891214</v>
      </c>
      <c r="AB17" s="137">
        <v>11891214</v>
      </c>
      <c r="AC17" s="137">
        <f t="shared" si="3"/>
        <v>1214355640.876</v>
      </c>
      <c r="AD17" s="138">
        <f t="shared" si="4"/>
        <v>22.340897499240604</v>
      </c>
      <c r="AE17" s="138">
        <f t="shared" si="5"/>
        <v>21.94465865714792</v>
      </c>
    </row>
    <row r="18" spans="1:31" ht="38.25" customHeight="1">
      <c r="A18" s="95" t="s">
        <v>24</v>
      </c>
      <c r="B18" s="5" t="s">
        <v>46</v>
      </c>
      <c r="C18" s="17">
        <f t="shared" si="7"/>
        <v>900</v>
      </c>
      <c r="D18" s="6">
        <v>1</v>
      </c>
      <c r="E18" s="96" t="s">
        <v>66</v>
      </c>
      <c r="F18" s="97">
        <v>300000000</v>
      </c>
      <c r="G18" s="89">
        <f>90231113+20000000</f>
        <v>110231113</v>
      </c>
      <c r="H18" s="24">
        <f t="shared" si="6"/>
        <v>410231113</v>
      </c>
      <c r="I18" s="24"/>
      <c r="J18" s="26"/>
      <c r="K18" s="24"/>
      <c r="L18" s="24"/>
      <c r="M18" s="24"/>
      <c r="N18" s="24">
        <v>203974258</v>
      </c>
      <c r="O18" s="24"/>
      <c r="P18" s="25"/>
      <c r="Q18" s="24"/>
      <c r="R18" s="24">
        <f t="shared" si="0"/>
        <v>42361514.95999999</v>
      </c>
      <c r="S18" s="24">
        <f>+'[2]2010'!$F$203</f>
        <v>50523840</v>
      </c>
      <c r="T18" s="24">
        <f>+'[1]RESERVAS 2012'!$G$336</f>
        <v>111088903.04</v>
      </c>
      <c r="U18" s="25">
        <f t="shared" si="1"/>
        <v>206256855</v>
      </c>
      <c r="V18" s="24"/>
      <c r="W18" s="27">
        <f t="shared" si="2"/>
        <v>49.72179133570496</v>
      </c>
      <c r="X18" s="11">
        <f>+'[3]05-900-01'!$I$131+1</f>
        <v>739699516.0080001</v>
      </c>
      <c r="Y18" s="136">
        <v>43407836.980000004</v>
      </c>
      <c r="Z18" s="24">
        <v>38867961</v>
      </c>
      <c r="AA18" s="24">
        <f>10123600-122400</f>
        <v>10001200</v>
      </c>
      <c r="AB18" s="24">
        <v>9661200</v>
      </c>
      <c r="AC18" s="137">
        <f t="shared" si="3"/>
        <v>366823276.02</v>
      </c>
      <c r="AD18" s="138">
        <f t="shared" si="4"/>
        <v>180.3128754907481</v>
      </c>
      <c r="AE18" s="138">
        <f t="shared" si="5"/>
        <v>10.581312729441857</v>
      </c>
    </row>
    <row r="19" spans="1:31" ht="41.25" customHeight="1">
      <c r="A19" s="95" t="s">
        <v>24</v>
      </c>
      <c r="B19" s="5" t="s">
        <v>47</v>
      </c>
      <c r="C19" s="17">
        <f t="shared" si="7"/>
        <v>900</v>
      </c>
      <c r="D19" s="6">
        <v>1</v>
      </c>
      <c r="E19" s="98" t="s">
        <v>67</v>
      </c>
      <c r="F19" s="97">
        <v>111617855</v>
      </c>
      <c r="G19" s="89">
        <v>1154893850</v>
      </c>
      <c r="H19" s="24">
        <f t="shared" si="6"/>
        <v>1266511705</v>
      </c>
      <c r="I19" s="24"/>
      <c r="J19" s="26"/>
      <c r="K19" s="24"/>
      <c r="L19" s="24"/>
      <c r="M19" s="24"/>
      <c r="N19" s="24">
        <v>145590431</v>
      </c>
      <c r="O19" s="24"/>
      <c r="P19" s="25"/>
      <c r="Q19" s="24"/>
      <c r="R19" s="24">
        <f t="shared" si="0"/>
        <v>72795215.22</v>
      </c>
      <c r="S19" s="24">
        <v>0</v>
      </c>
      <c r="T19" s="24">
        <f>+'[1]RESERVAS 2012'!$G$342</f>
        <v>72795215.78</v>
      </c>
      <c r="U19" s="25">
        <f t="shared" si="1"/>
        <v>1120921274</v>
      </c>
      <c r="V19" s="24"/>
      <c r="W19" s="27">
        <f t="shared" si="2"/>
        <v>11.495387719294706</v>
      </c>
      <c r="X19" s="11">
        <f>+'[3]06-0900-01'!$I$72-1</f>
        <v>560766327.9560002</v>
      </c>
      <c r="Y19" s="136">
        <v>928783131.196</v>
      </c>
      <c r="Z19" s="24">
        <v>173510984</v>
      </c>
      <c r="AA19" s="24">
        <v>16905146</v>
      </c>
      <c r="AB19" s="24">
        <v>12228857</v>
      </c>
      <c r="AC19" s="137">
        <f t="shared" si="3"/>
        <v>337728573.804</v>
      </c>
      <c r="AD19" s="138">
        <f t="shared" si="4"/>
        <v>44.27644258968773</v>
      </c>
      <c r="AE19" s="138">
        <f t="shared" si="5"/>
        <v>73.3339555828266</v>
      </c>
    </row>
    <row r="20" spans="1:31" ht="22.5" customHeight="1">
      <c r="A20" s="95" t="s">
        <v>24</v>
      </c>
      <c r="B20" s="5" t="s">
        <v>47</v>
      </c>
      <c r="C20" s="17">
        <f t="shared" si="7"/>
        <v>900</v>
      </c>
      <c r="D20" s="6">
        <v>2</v>
      </c>
      <c r="E20" s="98" t="s">
        <v>68</v>
      </c>
      <c r="F20" s="97">
        <v>284423583</v>
      </c>
      <c r="G20" s="89">
        <f>1289745800+1301196008</f>
        <v>2590941808</v>
      </c>
      <c r="H20" s="24">
        <f t="shared" si="6"/>
        <v>2875365391</v>
      </c>
      <c r="I20" s="24"/>
      <c r="J20" s="26"/>
      <c r="K20" s="24"/>
      <c r="L20" s="24"/>
      <c r="M20" s="24"/>
      <c r="N20" s="24">
        <v>15121222</v>
      </c>
      <c r="O20" s="24"/>
      <c r="P20" s="25"/>
      <c r="Q20" s="24"/>
      <c r="R20" s="24">
        <f t="shared" si="0"/>
        <v>15121222</v>
      </c>
      <c r="S20" s="24">
        <v>0</v>
      </c>
      <c r="T20" s="24">
        <v>0</v>
      </c>
      <c r="U20" s="25">
        <f t="shared" si="1"/>
        <v>2860244169</v>
      </c>
      <c r="V20" s="24"/>
      <c r="W20" s="27">
        <f t="shared" si="2"/>
        <v>0.5258887113036133</v>
      </c>
      <c r="X20" s="11">
        <f>+'[3]06-0900-02'!$I$47</f>
        <v>278664190.78</v>
      </c>
      <c r="Y20" s="136">
        <v>2430399466.984</v>
      </c>
      <c r="Z20" s="24">
        <v>1325172375</v>
      </c>
      <c r="AA20" s="24">
        <f>17690975-3733200</f>
        <v>13957775</v>
      </c>
      <c r="AB20" s="24">
        <v>13957775</v>
      </c>
      <c r="AC20" s="137">
        <f t="shared" si="3"/>
        <v>444965924.0159998</v>
      </c>
      <c r="AD20" s="138">
        <f t="shared" si="4"/>
        <v>9.691435796376668</v>
      </c>
      <c r="AE20" s="138">
        <f t="shared" si="5"/>
        <v>84.52489115265978</v>
      </c>
    </row>
    <row r="21" spans="1:31" ht="22.5" customHeight="1">
      <c r="A21" s="95" t="s">
        <v>1</v>
      </c>
      <c r="B21" s="5"/>
      <c r="C21" s="17"/>
      <c r="D21" s="6"/>
      <c r="E21" s="99"/>
      <c r="F21" s="97"/>
      <c r="G21" s="89"/>
      <c r="H21" s="24"/>
      <c r="I21" s="24"/>
      <c r="J21" s="26"/>
      <c r="K21" s="24"/>
      <c r="L21" s="24"/>
      <c r="M21" s="24"/>
      <c r="N21" s="24"/>
      <c r="O21" s="24"/>
      <c r="P21" s="25"/>
      <c r="Q21" s="24"/>
      <c r="R21" s="24"/>
      <c r="S21" s="24"/>
      <c r="T21" s="24"/>
      <c r="U21" s="24"/>
      <c r="V21" s="24"/>
      <c r="W21" s="27"/>
      <c r="X21" s="11"/>
      <c r="Y21" s="11"/>
      <c r="Z21" s="11"/>
      <c r="AA21" s="11"/>
      <c r="AB21" s="11"/>
      <c r="AC21" s="11"/>
      <c r="AD21" s="16" t="s">
        <v>1</v>
      </c>
      <c r="AE21" s="16" t="s">
        <v>1</v>
      </c>
    </row>
    <row r="22" spans="1:32" ht="22.5" customHeight="1" thickBot="1">
      <c r="A22" s="100"/>
      <c r="B22" s="101"/>
      <c r="C22" s="102"/>
      <c r="D22" s="103"/>
      <c r="E22" s="104" t="s">
        <v>70</v>
      </c>
      <c r="F22" s="105">
        <f>SUM(F6:F21)</f>
        <v>12394038216</v>
      </c>
      <c r="G22" s="105">
        <f>SUM(G6:G21)</f>
        <v>9952296912</v>
      </c>
      <c r="H22" s="105">
        <f>SUM(H6:H21)</f>
        <v>22346335128</v>
      </c>
      <c r="I22" s="24"/>
      <c r="J22" s="26"/>
      <c r="K22" s="24"/>
      <c r="L22" s="24"/>
      <c r="M22" s="24"/>
      <c r="N22" s="24"/>
      <c r="O22" s="24"/>
      <c r="P22" s="25"/>
      <c r="Q22" s="24"/>
      <c r="R22" s="24"/>
      <c r="S22" s="24"/>
      <c r="T22" s="24"/>
      <c r="U22" s="24"/>
      <c r="V22" s="24"/>
      <c r="W22" s="27"/>
      <c r="X22" s="89">
        <f>SUM(X6:X21)+1</f>
        <v>21742841706.483997</v>
      </c>
      <c r="Y22" s="89">
        <f>SUM(Y6:Y21)</f>
        <v>13447240399.427998</v>
      </c>
      <c r="Z22" s="89">
        <f>SUM(Z6:Z21)</f>
        <v>9448616230</v>
      </c>
      <c r="AA22" s="89">
        <f>SUM(AA6:AA21)</f>
        <v>3143710984</v>
      </c>
      <c r="AB22" s="89">
        <f>SUM(AB6:AB21)</f>
        <v>3078658602</v>
      </c>
      <c r="AC22" s="89">
        <f>SUM(AC6:AC21)</f>
        <v>8899094728.572</v>
      </c>
      <c r="AD22" s="15">
        <f>+X22/H22*100</f>
        <v>97.29936287959889</v>
      </c>
      <c r="AE22" s="15">
        <f>+Y22/H22*100</f>
        <v>60.17649123403049</v>
      </c>
      <c r="AF22" t="s">
        <v>1</v>
      </c>
    </row>
    <row r="23" spans="6:31" ht="12.75">
      <c r="F23" s="42" t="s">
        <v>1</v>
      </c>
      <c r="G23" s="42" t="s">
        <v>1</v>
      </c>
      <c r="H23" s="7"/>
      <c r="Y23" s="42"/>
      <c r="Z23" s="42" t="s">
        <v>1</v>
      </c>
      <c r="AA23" s="42" t="s">
        <v>1</v>
      </c>
      <c r="AB23" s="42" t="s">
        <v>1</v>
      </c>
      <c r="AC23" s="42" t="s">
        <v>26</v>
      </c>
      <c r="AD23" s="79"/>
      <c r="AE23" s="79" t="s">
        <v>1</v>
      </c>
    </row>
    <row r="24" spans="6:30" ht="12.75">
      <c r="F24" s="42" t="s">
        <v>1</v>
      </c>
      <c r="G24" s="7" t="s">
        <v>1</v>
      </c>
      <c r="H24" s="42"/>
      <c r="X24" s="28"/>
      <c r="Y24" s="28"/>
      <c r="Z24" s="28" t="s">
        <v>1</v>
      </c>
      <c r="AA24" s="28" t="s">
        <v>1</v>
      </c>
      <c r="AB24" s="28"/>
      <c r="AC24" s="28" t="s">
        <v>1</v>
      </c>
      <c r="AD24" s="28">
        <f>+H24-Y24</f>
        <v>0</v>
      </c>
    </row>
    <row r="25" spans="6:29" ht="12.75">
      <c r="F25" s="28"/>
      <c r="G25" s="42" t="s">
        <v>1</v>
      </c>
      <c r="H25" s="42"/>
      <c r="Y25" s="28"/>
      <c r="Z25" s="28" t="s">
        <v>1</v>
      </c>
      <c r="AA25" s="28" t="s">
        <v>1</v>
      </c>
      <c r="AB25" s="28"/>
      <c r="AC25" s="87" t="s">
        <v>1</v>
      </c>
    </row>
    <row r="26" spans="5:31" ht="12.75">
      <c r="E26" s="121"/>
      <c r="F26" s="28"/>
      <c r="G26" s="42" t="s">
        <v>1</v>
      </c>
      <c r="H26" s="2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5:31" ht="12.75">
      <c r="E27" s="121"/>
      <c r="G27" s="7" t="s">
        <v>26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7"/>
      <c r="Y27" s="1"/>
      <c r="Z27" s="1"/>
      <c r="AA27" s="1"/>
      <c r="AB27" s="1"/>
      <c r="AC27" s="1"/>
      <c r="AD27" s="1"/>
      <c r="AE27" s="1"/>
    </row>
    <row r="28" spans="5:31" ht="12.75">
      <c r="E28" s="121"/>
      <c r="G28" s="7" t="s">
        <v>1</v>
      </c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7"/>
      <c r="Y28" s="1"/>
      <c r="Z28" s="1"/>
      <c r="AA28" s="1"/>
      <c r="AB28" s="1"/>
      <c r="AC28" s="1"/>
      <c r="AD28" s="1"/>
      <c r="AE28" s="1"/>
    </row>
    <row r="29" spans="5:31" ht="12.75">
      <c r="E29" s="121"/>
      <c r="G29" s="7" t="s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7"/>
      <c r="Y29" s="1"/>
      <c r="Z29" s="1"/>
      <c r="AA29" s="1" t="s">
        <v>1</v>
      </c>
      <c r="AB29" s="1"/>
      <c r="AC29" s="1"/>
      <c r="AD29" s="1"/>
      <c r="AE29" s="1"/>
    </row>
    <row r="30" spans="5:31" ht="12.75">
      <c r="E30" s="122"/>
      <c r="G30" s="7" t="s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5:31" ht="12.75">
      <c r="E31" s="18"/>
      <c r="G31" s="7" t="s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7:31" ht="12.75">
      <c r="G32" s="7" t="s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7:31" ht="12.75">
      <c r="G33" s="7" t="s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2"/>
      <c r="B34" s="2"/>
      <c r="C34" s="2"/>
      <c r="D34" s="2"/>
      <c r="E34" s="146" t="s">
        <v>0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80"/>
    </row>
    <row r="35" spans="1:31" ht="12.75">
      <c r="A35" s="2"/>
      <c r="B35" s="2"/>
      <c r="C35" s="2"/>
      <c r="D35" s="2"/>
      <c r="E35" s="146" t="s">
        <v>89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80"/>
    </row>
    <row r="36" spans="1:31" ht="12.75">
      <c r="A36" s="2"/>
      <c r="B36" s="2"/>
      <c r="C36" s="2"/>
      <c r="D36" s="2"/>
      <c r="E36" s="39"/>
      <c r="F36" s="39"/>
      <c r="G36" s="4" t="s">
        <v>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80"/>
    </row>
    <row r="37" spans="1:31" ht="25.5">
      <c r="A37" s="2"/>
      <c r="B37" s="2"/>
      <c r="C37" s="2"/>
      <c r="D37" s="85"/>
      <c r="E37" s="106" t="s">
        <v>25</v>
      </c>
      <c r="F37" s="107" t="s">
        <v>71</v>
      </c>
      <c r="G37" s="68" t="s">
        <v>2</v>
      </c>
      <c r="H37" s="68" t="s">
        <v>72</v>
      </c>
      <c r="I37" s="69"/>
      <c r="J37" s="26"/>
      <c r="K37" s="69"/>
      <c r="L37" s="69"/>
      <c r="M37" s="69"/>
      <c r="N37" s="69" t="s">
        <v>1</v>
      </c>
      <c r="O37" s="69"/>
      <c r="P37" s="70"/>
      <c r="Q37" s="69"/>
      <c r="R37" s="69"/>
      <c r="S37" s="69"/>
      <c r="T37" s="69"/>
      <c r="U37" s="69" t="s">
        <v>1</v>
      </c>
      <c r="V37" s="69"/>
      <c r="W37" s="69"/>
      <c r="X37" s="72" t="s">
        <v>73</v>
      </c>
      <c r="Y37" s="73" t="s">
        <v>78</v>
      </c>
      <c r="Z37" s="73" t="s">
        <v>35</v>
      </c>
      <c r="AA37" s="73" t="s">
        <v>84</v>
      </c>
      <c r="AB37" s="73" t="s">
        <v>85</v>
      </c>
      <c r="AC37" s="73" t="s">
        <v>75</v>
      </c>
      <c r="AD37" s="73" t="s">
        <v>74</v>
      </c>
      <c r="AE37" s="73" t="s">
        <v>48</v>
      </c>
    </row>
    <row r="38" spans="1:31" ht="12.75">
      <c r="A38" s="2"/>
      <c r="B38" s="2"/>
      <c r="C38" s="2"/>
      <c r="D38" s="2"/>
      <c r="E38" s="106"/>
      <c r="F38" s="107"/>
      <c r="G38" s="68"/>
      <c r="H38" s="68"/>
      <c r="I38" s="69"/>
      <c r="J38" s="26"/>
      <c r="K38" s="69"/>
      <c r="L38" s="69"/>
      <c r="M38" s="69"/>
      <c r="N38" s="69"/>
      <c r="O38" s="69"/>
      <c r="P38" s="70"/>
      <c r="Q38" s="69"/>
      <c r="R38" s="69"/>
      <c r="S38" s="69"/>
      <c r="T38" s="69"/>
      <c r="U38" s="69"/>
      <c r="V38" s="69"/>
      <c r="W38" s="69"/>
      <c r="X38" s="72"/>
      <c r="Y38" s="72"/>
      <c r="Z38" s="108"/>
      <c r="AA38" s="108"/>
      <c r="AB38" s="108"/>
      <c r="AC38" s="108"/>
      <c r="AD38" s="72"/>
      <c r="AE38" s="80"/>
    </row>
    <row r="39" spans="1:33" ht="26.25">
      <c r="A39" s="8" t="s">
        <v>24</v>
      </c>
      <c r="B39" s="2">
        <v>213</v>
      </c>
      <c r="C39" s="2">
        <v>906</v>
      </c>
      <c r="D39" s="2">
        <v>1</v>
      </c>
      <c r="E39" s="109" t="s">
        <v>77</v>
      </c>
      <c r="F39" s="39">
        <v>1540000000</v>
      </c>
      <c r="G39" s="4">
        <v>0</v>
      </c>
      <c r="H39" s="39">
        <f>+F39+G39</f>
        <v>1540000000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>
        <f>+'[5]013-000-2-906-1'!$E$55-'[5]013-000-2-906-1'!$E$49-'[5]013-000-2-906-1'!$E$50</f>
        <v>-678923032</v>
      </c>
      <c r="Y39" s="139">
        <v>1363335542</v>
      </c>
      <c r="Z39" s="111">
        <v>786270865</v>
      </c>
      <c r="AA39" s="111">
        <v>290947861</v>
      </c>
      <c r="AB39" s="111">
        <v>110517135</v>
      </c>
      <c r="AC39" s="110">
        <f>+H39-Y39</f>
        <v>176664458</v>
      </c>
      <c r="AD39" s="35">
        <v>0</v>
      </c>
      <c r="AE39" s="80">
        <f>+Y39/H39*100</f>
        <v>88.52828194805194</v>
      </c>
      <c r="AF39" t="s">
        <v>1</v>
      </c>
      <c r="AG39" t="s">
        <v>1</v>
      </c>
    </row>
    <row r="40" spans="1:31" ht="12.75">
      <c r="A40" s="2"/>
      <c r="B40" s="2"/>
      <c r="C40" s="2"/>
      <c r="D40" s="2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111"/>
      <c r="AA40" s="111"/>
      <c r="AB40" s="111"/>
      <c r="AC40" s="110"/>
      <c r="AD40" s="35"/>
      <c r="AE40" s="80"/>
    </row>
    <row r="41" spans="1:31" ht="12.75">
      <c r="A41" s="2"/>
      <c r="B41" s="2"/>
      <c r="C41" s="2"/>
      <c r="D41" s="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111"/>
      <c r="AA41" s="111"/>
      <c r="AB41" s="111"/>
      <c r="AC41" s="110"/>
      <c r="AD41" s="35"/>
      <c r="AE41" s="80"/>
    </row>
    <row r="42" spans="1:32" ht="12.75">
      <c r="A42" s="2"/>
      <c r="B42" s="2"/>
      <c r="C42" s="2"/>
      <c r="D42" s="2"/>
      <c r="E42" s="4" t="s">
        <v>70</v>
      </c>
      <c r="F42" s="39">
        <v>1540000000</v>
      </c>
      <c r="G42" s="39">
        <f>+G39</f>
        <v>0</v>
      </c>
      <c r="H42" s="39">
        <f>+H39</f>
        <v>1540000000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>
        <f aca="true" t="shared" si="8" ref="X42:AD42">+X39</f>
        <v>-678923032</v>
      </c>
      <c r="Y42" s="39">
        <f t="shared" si="8"/>
        <v>1363335542</v>
      </c>
      <c r="Z42" s="111">
        <f t="shared" si="8"/>
        <v>786270865</v>
      </c>
      <c r="AA42" s="111">
        <f t="shared" si="8"/>
        <v>290947861</v>
      </c>
      <c r="AB42" s="111">
        <f t="shared" si="8"/>
        <v>110517135</v>
      </c>
      <c r="AC42" s="110">
        <f t="shared" si="8"/>
        <v>176664458</v>
      </c>
      <c r="AD42" s="35">
        <f t="shared" si="8"/>
        <v>0</v>
      </c>
      <c r="AE42" s="80">
        <f>+Y42/H42*100</f>
        <v>88.52828194805194</v>
      </c>
      <c r="AF42" s="141" t="s">
        <v>1</v>
      </c>
    </row>
    <row r="43" spans="1:31" ht="12.75">
      <c r="A43" s="2"/>
      <c r="B43" s="2"/>
      <c r="C43" s="2"/>
      <c r="D43" s="2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111"/>
      <c r="AA43" s="111"/>
      <c r="AB43" s="111"/>
      <c r="AC43" s="111"/>
      <c r="AD43" s="39"/>
      <c r="AE43" s="80"/>
    </row>
    <row r="44" spans="1:31" ht="12.75">
      <c r="A44" s="2"/>
      <c r="B44" s="2"/>
      <c r="C44" s="2"/>
      <c r="D44" s="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111"/>
      <c r="AA44" s="111"/>
      <c r="AB44" s="111"/>
      <c r="AC44" s="111"/>
      <c r="AD44" s="39"/>
      <c r="AE44" s="80"/>
    </row>
    <row r="45" spans="1:31" ht="12.75">
      <c r="A45" s="2"/>
      <c r="B45" s="2"/>
      <c r="C45" s="2"/>
      <c r="D45" s="2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111"/>
      <c r="AA45" s="111"/>
      <c r="AB45" s="111"/>
      <c r="AC45" s="111"/>
      <c r="AD45" s="39"/>
      <c r="AE45" s="80"/>
    </row>
    <row r="46" spans="1:31" ht="12.75">
      <c r="A46" s="2"/>
      <c r="B46" s="2"/>
      <c r="C46" s="2"/>
      <c r="D46" s="2"/>
      <c r="E46" s="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110"/>
      <c r="AA46" s="110"/>
      <c r="AB46" s="110"/>
      <c r="AC46" s="110"/>
      <c r="AD46" s="35"/>
      <c r="AE46" s="80"/>
    </row>
    <row r="47" spans="1:31" ht="12.75">
      <c r="A47" s="2"/>
      <c r="B47" s="2"/>
      <c r="C47" s="2"/>
      <c r="D47" s="2"/>
      <c r="E47" s="2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110"/>
      <c r="AA47" s="110"/>
      <c r="AB47" s="110"/>
      <c r="AC47" s="110"/>
      <c r="AD47" s="35"/>
      <c r="AE47" s="80"/>
    </row>
    <row r="48" spans="7:31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7:31" ht="12.75">
      <c r="G49" s="1"/>
      <c r="H49" s="7" t="s">
        <v>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 t="s">
        <v>1</v>
      </c>
      <c r="Z49" s="1"/>
      <c r="AA49" s="1"/>
      <c r="AB49" s="1"/>
      <c r="AC49" s="1"/>
      <c r="AD49" s="1"/>
      <c r="AE49" s="1"/>
    </row>
    <row r="50" spans="7:31" ht="12.75">
      <c r="G50" s="1"/>
      <c r="H50" s="7">
        <f>+H39+H22</f>
        <v>23886335128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f>+Z39+Z22</f>
        <v>10234887095</v>
      </c>
      <c r="AA50" s="1"/>
      <c r="AB50" s="1"/>
      <c r="AC50" s="1"/>
      <c r="AD50" s="1"/>
      <c r="AE50" s="1">
        <f>+Z50/H50*100</f>
        <v>42.84829397291038</v>
      </c>
    </row>
    <row r="51" spans="7:31" ht="12.75">
      <c r="G51" s="1"/>
      <c r="H51" s="7" t="s">
        <v>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6:31" ht="12.75">
      <c r="F52" s="28">
        <f>+H42+H22</f>
        <v>23886335128</v>
      </c>
      <c r="G52" s="1"/>
      <c r="H52" s="1">
        <f>+Z39+Z22</f>
        <v>10234887095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7:31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7:31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7:31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7:31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7:31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</sheetData>
  <sheetProtection/>
  <mergeCells count="4">
    <mergeCell ref="E1:AD1"/>
    <mergeCell ref="E2:AD2"/>
    <mergeCell ref="E34:AD34"/>
    <mergeCell ref="E35:AD35"/>
  </mergeCells>
  <printOptions/>
  <pageMargins left="0.7874015748031497" right="0.7480314960629921" top="0.984251968503937" bottom="0.984251968503937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2015-07-22T19:49:02Z</cp:lastPrinted>
  <dcterms:created xsi:type="dcterms:W3CDTF">2007-01-13T18:42:48Z</dcterms:created>
  <dcterms:modified xsi:type="dcterms:W3CDTF">2015-07-22T19:49:08Z</dcterms:modified>
  <cp:category/>
  <cp:version/>
  <cp:contentType/>
  <cp:contentStatus/>
</cp:coreProperties>
</file>