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barrera.CAM\Documents\presupuesto2015\EJEUCIONES\INFORME JUNIO\"/>
    </mc:Choice>
  </mc:AlternateContent>
  <bookViews>
    <workbookView xWindow="0" yWindow="0" windowWidth="24000" windowHeight="9135"/>
  </bookViews>
  <sheets>
    <sheet name="Hoja1" sheetId="1" r:id="rId1"/>
    <sheet name="Hoja2" sheetId="2" r:id="rId2"/>
  </sheets>
  <externalReferences>
    <externalReference r:id="rId3"/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0" i="1" l="1"/>
  <c r="K209" i="1"/>
  <c r="K208" i="1"/>
  <c r="K207" i="1"/>
  <c r="K206" i="1"/>
  <c r="J207" i="1"/>
  <c r="G210" i="1"/>
  <c r="G209" i="1"/>
  <c r="G208" i="1"/>
  <c r="G207" i="1"/>
  <c r="G206" i="1"/>
  <c r="F210" i="1"/>
  <c r="F209" i="1"/>
  <c r="F208" i="1"/>
  <c r="F207" i="1"/>
  <c r="F206" i="1"/>
  <c r="E209" i="1"/>
  <c r="D210" i="1"/>
  <c r="D209" i="1"/>
  <c r="D208" i="1"/>
  <c r="D207" i="1"/>
  <c r="D206" i="1"/>
  <c r="K23" i="1" l="1"/>
  <c r="K22" i="1"/>
  <c r="J26" i="1"/>
  <c r="J25" i="1"/>
  <c r="J24" i="1"/>
  <c r="F22" i="1"/>
  <c r="F21" i="1"/>
  <c r="E21" i="1"/>
  <c r="E26" i="1"/>
  <c r="F26" i="1" l="1"/>
  <c r="F23" i="1"/>
  <c r="E25" i="1" l="1"/>
  <c r="G25" i="1"/>
  <c r="G32" i="1" l="1"/>
  <c r="G31" i="1"/>
  <c r="G28" i="1"/>
  <c r="G20" i="1"/>
  <c r="G17" i="1" l="1"/>
  <c r="G16" i="1"/>
  <c r="G14" i="1"/>
  <c r="G13" i="1"/>
  <c r="G11" i="1"/>
  <c r="E29" i="1" l="1"/>
  <c r="E24" i="1"/>
  <c r="D36" i="1"/>
  <c r="D35" i="1"/>
  <c r="D34" i="1"/>
  <c r="D33" i="1"/>
  <c r="D32" i="1"/>
  <c r="D31" i="1"/>
  <c r="D28" i="1"/>
  <c r="D20" i="1"/>
  <c r="D19" i="1"/>
  <c r="D18" i="1"/>
  <c r="D17" i="1"/>
  <c r="D16" i="1"/>
  <c r="D15" i="1"/>
  <c r="D14" i="1"/>
  <c r="D11" i="1"/>
  <c r="D10" i="1"/>
  <c r="K183" i="1" l="1"/>
  <c r="G181" i="1"/>
  <c r="F185" i="1"/>
  <c r="F188" i="1" s="1"/>
  <c r="F181" i="1"/>
  <c r="F182" i="1" s="1"/>
  <c r="K181" i="1" l="1"/>
  <c r="F187" i="1"/>
  <c r="F189" i="1" s="1"/>
  <c r="K48" i="1" l="1"/>
  <c r="J39" i="1" l="1"/>
  <c r="G41" i="1"/>
  <c r="E44" i="1" l="1"/>
  <c r="E43" i="1"/>
  <c r="E42" i="1"/>
  <c r="E41" i="1"/>
  <c r="F25" i="1" l="1"/>
  <c r="K25" i="1" l="1"/>
  <c r="G30" i="1"/>
  <c r="B5" i="2" l="1"/>
  <c r="A3" i="2"/>
  <c r="A2" i="2"/>
  <c r="A1" i="2"/>
  <c r="A4" i="2" l="1"/>
  <c r="A5" i="2" s="1"/>
  <c r="F24" i="1" l="1"/>
  <c r="G24" i="1" l="1"/>
  <c r="G21" i="1" s="1"/>
  <c r="F29" i="1"/>
  <c r="F16" i="1"/>
  <c r="J16" i="1" s="1"/>
  <c r="D21" i="1"/>
  <c r="F35" i="1"/>
  <c r="J35" i="1" s="1"/>
  <c r="F34" i="1"/>
  <c r="F32" i="1"/>
  <c r="J32" i="1" s="1"/>
  <c r="F31" i="1"/>
  <c r="J31" i="1" s="1"/>
  <c r="F28" i="1"/>
  <c r="J28" i="1" s="1"/>
  <c r="F20" i="1"/>
  <c r="J20" i="1" s="1"/>
  <c r="F15" i="1"/>
  <c r="J15" i="1" s="1"/>
  <c r="F14" i="1"/>
  <c r="J14" i="1" s="1"/>
  <c r="F10" i="1"/>
  <c r="J10" i="1" s="1"/>
  <c r="G9" i="1"/>
  <c r="G8" i="1" s="1"/>
  <c r="E30" i="1"/>
  <c r="E27" i="1" s="1"/>
  <c r="E13" i="1"/>
  <c r="E12" i="1" s="1"/>
  <c r="E9" i="1"/>
  <c r="E8" i="1" s="1"/>
  <c r="F36" i="1"/>
  <c r="C36" i="1"/>
  <c r="B36" i="1"/>
  <c r="F33" i="1"/>
  <c r="J33" i="1" s="1"/>
  <c r="C32" i="1"/>
  <c r="C31" i="1"/>
  <c r="B30" i="1"/>
  <c r="B27" i="1" s="1"/>
  <c r="C21" i="1"/>
  <c r="B21" i="1"/>
  <c r="C20" i="1"/>
  <c r="F19" i="1"/>
  <c r="J19" i="1" s="1"/>
  <c r="C19" i="1"/>
  <c r="F18" i="1"/>
  <c r="J18" i="1" s="1"/>
  <c r="C17" i="1"/>
  <c r="F17" i="1" s="1"/>
  <c r="J17" i="1" s="1"/>
  <c r="C15" i="1"/>
  <c r="C14" i="1"/>
  <c r="B13" i="1"/>
  <c r="F11" i="1"/>
  <c r="J11" i="1" s="1"/>
  <c r="D9" i="1"/>
  <c r="D8" i="1" s="1"/>
  <c r="C9" i="1"/>
  <c r="B9" i="1"/>
  <c r="E7" i="1" l="1"/>
  <c r="E6" i="1" s="1"/>
  <c r="E37" i="1" s="1"/>
  <c r="I18" i="1"/>
  <c r="K182" i="1"/>
  <c r="J36" i="1"/>
  <c r="K24" i="1"/>
  <c r="I34" i="1"/>
  <c r="J34" i="1"/>
  <c r="H20" i="1"/>
  <c r="K20" i="1"/>
  <c r="I28" i="1"/>
  <c r="K28" i="1"/>
  <c r="H31" i="1"/>
  <c r="K31" i="1"/>
  <c r="H18" i="1"/>
  <c r="K18" i="1"/>
  <c r="E40" i="1"/>
  <c r="D44" i="1"/>
  <c r="F44" i="1" s="1"/>
  <c r="K34" i="1"/>
  <c r="I11" i="1"/>
  <c r="K11" i="1"/>
  <c r="I14" i="1"/>
  <c r="G45" i="1"/>
  <c r="D41" i="1"/>
  <c r="F41" i="1" s="1"/>
  <c r="K14" i="1"/>
  <c r="H34" i="1"/>
  <c r="I36" i="1"/>
  <c r="K36" i="1"/>
  <c r="I15" i="1"/>
  <c r="D42" i="1"/>
  <c r="F42" i="1" s="1"/>
  <c r="K15" i="1"/>
  <c r="H17" i="1"/>
  <c r="J40" i="1"/>
  <c r="K17" i="1"/>
  <c r="K16" i="1"/>
  <c r="I32" i="1"/>
  <c r="K32" i="1"/>
  <c r="H33" i="1"/>
  <c r="K33" i="1"/>
  <c r="H10" i="1"/>
  <c r="K10" i="1"/>
  <c r="I35" i="1"/>
  <c r="K35" i="1"/>
  <c r="D43" i="1"/>
  <c r="F43" i="1" s="1"/>
  <c r="G29" i="1"/>
  <c r="H19" i="1"/>
  <c r="K19" i="1"/>
  <c r="I17" i="1"/>
  <c r="H11" i="1"/>
  <c r="I19" i="1"/>
  <c r="I20" i="1"/>
  <c r="I31" i="1"/>
  <c r="I33" i="1"/>
  <c r="I16" i="1"/>
  <c r="H16" i="1"/>
  <c r="H14" i="1"/>
  <c r="H28" i="1"/>
  <c r="I10" i="1"/>
  <c r="H15" i="1"/>
  <c r="H35" i="1"/>
  <c r="H32" i="1"/>
  <c r="H36" i="1"/>
  <c r="F9" i="1"/>
  <c r="F8" i="1" s="1"/>
  <c r="C13" i="1"/>
  <c r="D30" i="1"/>
  <c r="C30" i="1"/>
  <c r="C27" i="1" s="1"/>
  <c r="B37" i="1"/>
  <c r="D13" i="1"/>
  <c r="D12" i="1" s="1"/>
  <c r="D7" i="1" s="1"/>
  <c r="G27" i="1" l="1"/>
  <c r="K9" i="1"/>
  <c r="J9" i="1"/>
  <c r="J8" i="1" s="1"/>
  <c r="D27" i="1"/>
  <c r="D6" i="1" s="1"/>
  <c r="D37" i="1" s="1"/>
  <c r="K29" i="1"/>
  <c r="J29" i="1"/>
  <c r="I9" i="1"/>
  <c r="H9" i="1"/>
  <c r="D40" i="1"/>
  <c r="F40" i="1" s="1"/>
  <c r="H24" i="1"/>
  <c r="I24" i="1"/>
  <c r="F30" i="1"/>
  <c r="J30" i="1" s="1"/>
  <c r="C37" i="1"/>
  <c r="F13" i="1"/>
  <c r="J13" i="1" l="1"/>
  <c r="F12" i="1"/>
  <c r="F7" i="1" s="1"/>
  <c r="F27" i="1"/>
  <c r="J27" i="1" s="1"/>
  <c r="K13" i="1"/>
  <c r="K30" i="1"/>
  <c r="I30" i="1"/>
  <c r="H30" i="1"/>
  <c r="I13" i="1"/>
  <c r="H13" i="1"/>
  <c r="E180" i="1"/>
  <c r="F6" i="1" l="1"/>
  <c r="K27" i="1"/>
  <c r="H27" i="1"/>
  <c r="I27" i="1"/>
  <c r="F37" i="1" l="1"/>
  <c r="F38" i="1" l="1"/>
  <c r="G43" i="1" s="1"/>
  <c r="G44" i="1" s="1"/>
  <c r="G46" i="1" s="1"/>
  <c r="J46" i="1" s="1"/>
  <c r="K21" i="1" l="1"/>
  <c r="J21" i="1"/>
  <c r="J12" i="1" s="1"/>
  <c r="H21" i="1"/>
  <c r="H12" i="1" s="1"/>
  <c r="I21" i="1"/>
  <c r="I12" i="1" s="1"/>
  <c r="G12" i="1"/>
  <c r="G7" i="1" s="1"/>
  <c r="J7" i="1" l="1"/>
  <c r="G6" i="1"/>
  <c r="K7" i="1"/>
  <c r="K12" i="1"/>
  <c r="J6" i="1" l="1"/>
  <c r="G37" i="1"/>
  <c r="K6" i="1"/>
  <c r="H37" i="1" l="1"/>
  <c r="J37" i="1"/>
  <c r="K37" i="1"/>
  <c r="G183" i="1"/>
  <c r="G184" i="1" s="1"/>
  <c r="I37" i="1"/>
  <c r="G38" i="1"/>
  <c r="G39" i="1" s="1"/>
</calcChain>
</file>

<file path=xl/sharedStrings.xml><?xml version="1.0" encoding="utf-8"?>
<sst xmlns="http://schemas.openxmlformats.org/spreadsheetml/2006/main" count="80" uniqueCount="60">
  <si>
    <t>CORPORACION AUTONOMA REGIONAL DEL ALTO MAGDALENA CAM</t>
  </si>
  <si>
    <t xml:space="preserve"> </t>
  </si>
  <si>
    <t>CONCEPTO</t>
  </si>
  <si>
    <t>VALOR PRESUPUESTADO</t>
  </si>
  <si>
    <t>EJECUCION  NOVIEMBRE 15</t>
  </si>
  <si>
    <t>PORCENTAJE SOBRETASA IMPREDIAL</t>
  </si>
  <si>
    <t>NEIVA</t>
  </si>
  <si>
    <t>VENTA DE BIENES Y SERVICIOS</t>
  </si>
  <si>
    <t>TASA UTILIZACION AGUAS</t>
  </si>
  <si>
    <t>TASAS RETRIBUTIVAS Y COMPENSATORIAS</t>
  </si>
  <si>
    <t>MULTAS</t>
  </si>
  <si>
    <t>TASAS FORESTALES</t>
  </si>
  <si>
    <t>LICENCIAS Y PERMISOS AMBIENTALES</t>
  </si>
  <si>
    <t>TRANSFERENCIAS SECTOR ELECTRICO</t>
  </si>
  <si>
    <t>OTROS INGRESOS</t>
  </si>
  <si>
    <t>APORTES  DE OTRAS ENTIDADES</t>
  </si>
  <si>
    <t>RECURSOS DE CAPITAL</t>
  </si>
  <si>
    <t>RENDIMIENTOS FINANCIEROS</t>
  </si>
  <si>
    <t>RECUPERACION DE CARTERA</t>
  </si>
  <si>
    <t>TASAS POR USO DEL RECURSO AGUA</t>
  </si>
  <si>
    <t>INGRESOS NACION</t>
  </si>
  <si>
    <t>TOTAL PRESUPUESTO 2014</t>
  </si>
  <si>
    <t>PRESUPUESTO INICIAL</t>
  </si>
  <si>
    <t>MODIFICACIONES</t>
  </si>
  <si>
    <t>PRESUPUESTO DEFINITIVO</t>
  </si>
  <si>
    <t>RECAUDOS</t>
  </si>
  <si>
    <t>SALDO POR RECAUDAR</t>
  </si>
  <si>
    <t>% DE RECAUDO</t>
  </si>
  <si>
    <t>ECOPETROL</t>
  </si>
  <si>
    <t>EXC EDENTES FINANCIEROS</t>
  </si>
  <si>
    <t>% DE EJECUCION</t>
  </si>
  <si>
    <t>predial</t>
  </si>
  <si>
    <t>aguas</t>
  </si>
  <si>
    <t>tr</t>
  </si>
  <si>
    <t>tse</t>
  </si>
  <si>
    <t>multas</t>
  </si>
  <si>
    <t>%</t>
  </si>
  <si>
    <t>RENTA</t>
  </si>
  <si>
    <t>PRESUPUESTADO</t>
  </si>
  <si>
    <t>EJECUTADO</t>
  </si>
  <si>
    <t>MUNICIPIOS</t>
  </si>
  <si>
    <t>INGRESOS PROPIOS</t>
  </si>
  <si>
    <t>INGRESOS CORRIENTES</t>
  </si>
  <si>
    <t>TRIBUTARIOS</t>
  </si>
  <si>
    <t>NO TRIBUTARIOS</t>
  </si>
  <si>
    <t>EJECUCION PRESUPUESTAL  DE INGRESOS A JUNIO 30 DE 2015</t>
  </si>
  <si>
    <t>CONVENIOS MUNICIPALES</t>
  </si>
  <si>
    <t>MINISTERIO MEDIO AMBIENTE CONV.270-15</t>
  </si>
  <si>
    <t>DPTO.ADTIVO.PROSPERIDAD SOCIAL</t>
  </si>
  <si>
    <t>DEPARTAMENTO DEL HUILA</t>
  </si>
  <si>
    <t>AGUAS</t>
  </si>
  <si>
    <t>VIGENCIA</t>
  </si>
  <si>
    <t>CARTERA</t>
  </si>
  <si>
    <t>EJEUCUTADO</t>
  </si>
  <si>
    <t>TR</t>
  </si>
  <si>
    <t>TSE</t>
  </si>
  <si>
    <t>PREDIAL</t>
  </si>
  <si>
    <t>% EJECUCION</t>
  </si>
  <si>
    <t>% EJEUCION</t>
  </si>
  <si>
    <t>RECAUDOS A JULIO 23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</si>
</sst>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3" xfId="0" applyFont="1" applyFill="1" applyBorder="1" applyAlignment="1">
      <alignment wrapText="1"/>
    </xf>
    <xf numFmtId="3" fontId="3" fillId="0" borderId="4" xfId="0" applyNumberFormat="1" applyFont="1" applyFill="1" applyBorder="1"/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3" fontId="3" fillId="0" borderId="2" xfId="0" applyNumberFormat="1" applyFont="1" applyFill="1" applyBorder="1"/>
    <xf numFmtId="3" fontId="2" fillId="0" borderId="4" xfId="0" applyNumberFormat="1" applyFont="1" applyFill="1" applyBorder="1" applyAlignment="1">
      <alignment wrapText="1"/>
    </xf>
    <xf numFmtId="3" fontId="0" fillId="0" borderId="0" xfId="0" applyNumberFormat="1"/>
    <xf numFmtId="3" fontId="2" fillId="0" borderId="4" xfId="0" applyNumberFormat="1" applyFont="1" applyFill="1" applyBorder="1"/>
    <xf numFmtId="3" fontId="2" fillId="0" borderId="2" xfId="0" applyNumberFormat="1" applyFont="1" applyFill="1" applyBorder="1"/>
    <xf numFmtId="3" fontId="2" fillId="0" borderId="4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3" fontId="4" fillId="0" borderId="4" xfId="0" applyNumberFormat="1" applyFont="1" applyFill="1" applyBorder="1"/>
    <xf numFmtId="3" fontId="5" fillId="0" borderId="4" xfId="0" applyNumberFormat="1" applyFont="1" applyFill="1" applyBorder="1"/>
    <xf numFmtId="3" fontId="6" fillId="0" borderId="4" xfId="0" applyNumberFormat="1" applyFont="1" applyFill="1" applyBorder="1"/>
    <xf numFmtId="0" fontId="2" fillId="0" borderId="5" xfId="0" applyNumberFormat="1" applyFont="1" applyFill="1" applyBorder="1" applyAlignment="1">
      <alignment horizontal="center" wrapText="1"/>
    </xf>
    <xf numFmtId="4" fontId="0" fillId="0" borderId="0" xfId="0" applyNumberFormat="1" applyProtection="1">
      <protection locked="0"/>
    </xf>
    <xf numFmtId="4" fontId="2" fillId="0" borderId="4" xfId="0" applyNumberFormat="1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4" fontId="0" fillId="0" borderId="4" xfId="0" applyNumberFormat="1" applyFill="1" applyBorder="1" applyProtection="1">
      <protection locked="0"/>
    </xf>
    <xf numFmtId="0" fontId="0" fillId="0" borderId="4" xfId="0" applyFill="1" applyBorder="1"/>
    <xf numFmtId="3" fontId="1" fillId="0" borderId="4" xfId="0" applyNumberFormat="1" applyFont="1" applyFill="1" applyBorder="1"/>
    <xf numFmtId="4" fontId="1" fillId="0" borderId="5" xfId="0" applyNumberFormat="1" applyFont="1" applyFill="1" applyBorder="1"/>
    <xf numFmtId="3" fontId="1" fillId="0" borderId="5" xfId="0" applyNumberFormat="1" applyFont="1" applyFill="1" applyBorder="1"/>
    <xf numFmtId="3" fontId="0" fillId="0" borderId="4" xfId="0" applyNumberFormat="1" applyFill="1" applyBorder="1"/>
    <xf numFmtId="4" fontId="0" fillId="0" borderId="5" xfId="0" applyNumberFormat="1" applyFill="1" applyBorder="1"/>
    <xf numFmtId="3" fontId="1" fillId="0" borderId="2" xfId="0" applyNumberFormat="1" applyFont="1" applyFill="1" applyBorder="1"/>
    <xf numFmtId="4" fontId="1" fillId="0" borderId="6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 applyProtection="1">
      <protection locked="0"/>
    </xf>
    <xf numFmtId="0" fontId="1" fillId="0" borderId="4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4" fontId="0" fillId="0" borderId="4" xfId="0" applyNumberFormat="1" applyFill="1" applyBorder="1"/>
    <xf numFmtId="4" fontId="0" fillId="0" borderId="0" xfId="0" applyNumberFormat="1" applyFill="1"/>
    <xf numFmtId="0" fontId="1" fillId="0" borderId="4" xfId="0" applyFont="1" applyFill="1" applyBorder="1"/>
    <xf numFmtId="0" fontId="1" fillId="0" borderId="5" xfId="0" applyFont="1" applyFill="1" applyBorder="1"/>
    <xf numFmtId="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3" fontId="0" fillId="0" borderId="4" xfId="0" applyNumberFormat="1" applyBorder="1"/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0" fillId="0" borderId="3" xfId="0" applyNumberFormat="1" applyFill="1" applyBorder="1"/>
    <xf numFmtId="4" fontId="1" fillId="0" borderId="12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0" fillId="0" borderId="12" xfId="0" applyNumberFormat="1" applyFill="1" applyBorder="1" applyProtection="1">
      <protection locked="0"/>
    </xf>
    <xf numFmtId="4" fontId="0" fillId="0" borderId="1" xfId="0" applyNumberFormat="1" applyFill="1" applyBorder="1"/>
    <xf numFmtId="4" fontId="0" fillId="0" borderId="2" xfId="0" applyNumberFormat="1" applyFill="1" applyBorder="1"/>
    <xf numFmtId="3" fontId="0" fillId="0" borderId="2" xfId="0" applyNumberFormat="1" applyBorder="1"/>
    <xf numFmtId="4" fontId="0" fillId="0" borderId="13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arrera.CAM/Documents/presupuesto2015/EJEUCIONES/DIRECTOR/ANASIS%20DIRECTIVOCAMMARZO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arrera/Documents/presupuesto2013/ejecuciones/ejeucioningresosseptiembre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arrera.CAM/Documents/presupuesto2014/EJECUCIONES/EJECUCION%20PRESUPUESTALDEINGRESOSAjunio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as 2014"/>
      <sheetName val="Gastos 2015"/>
      <sheetName val="INGRESOS A MARZO"/>
    </sheetNames>
    <sheetDataSet>
      <sheetData sheetId="0"/>
      <sheetData sheetId="1"/>
      <sheetData sheetId="2">
        <row r="10">
          <cell r="D10">
            <v>5153808828</v>
          </cell>
        </row>
        <row r="11">
          <cell r="D11">
            <v>2351008792</v>
          </cell>
        </row>
        <row r="13">
          <cell r="D13">
            <v>949981524</v>
          </cell>
        </row>
        <row r="14">
          <cell r="D14">
            <v>919346208</v>
          </cell>
        </row>
        <row r="15">
          <cell r="D15">
            <v>321630192</v>
          </cell>
        </row>
        <row r="16">
          <cell r="D16">
            <v>46305000</v>
          </cell>
        </row>
        <row r="17">
          <cell r="D17">
            <v>388224373</v>
          </cell>
        </row>
        <row r="18">
          <cell r="D18">
            <v>3461573029</v>
          </cell>
        </row>
        <row r="19">
          <cell r="D19">
            <v>62002395</v>
          </cell>
        </row>
        <row r="21">
          <cell r="E21">
            <v>2444639650</v>
          </cell>
        </row>
        <row r="24">
          <cell r="E24">
            <v>6488128161</v>
          </cell>
        </row>
        <row r="25">
          <cell r="D25">
            <v>333711102</v>
          </cell>
        </row>
        <row r="27">
          <cell r="D27">
            <v>661567147</v>
          </cell>
        </row>
        <row r="28">
          <cell r="D28">
            <v>369487128</v>
          </cell>
        </row>
        <row r="29">
          <cell r="D29">
            <v>852097710</v>
          </cell>
        </row>
        <row r="30">
          <cell r="D30">
            <v>224400000</v>
          </cell>
        </row>
        <row r="31">
          <cell r="D31">
            <v>548591172</v>
          </cell>
        </row>
        <row r="35">
          <cell r="D35">
            <v>3280302000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</sheetNames>
    <sheetDataSet>
      <sheetData sheetId="0">
        <row r="40">
          <cell r="C40">
            <v>1637500000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0">
          <cell r="G30">
            <v>51846650.5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8"/>
  <sheetViews>
    <sheetView tabSelected="1" topLeftCell="A4" workbookViewId="0">
      <selection activeCell="A26" sqref="A26"/>
    </sheetView>
  </sheetViews>
  <sheetFormatPr baseColWidth="10" defaultRowHeight="15" x14ac:dyDescent="0.25"/>
  <cols>
    <col min="1" max="1" width="42.42578125" customWidth="1"/>
    <col min="2" max="2" width="20.5703125" hidden="1" customWidth="1"/>
    <col min="3" max="3" width="0" hidden="1" customWidth="1"/>
    <col min="4" max="4" width="19.28515625" customWidth="1"/>
    <col min="5" max="5" width="19.5703125" customWidth="1"/>
    <col min="6" max="6" width="19.7109375" customWidth="1"/>
    <col min="7" max="7" width="20.140625" customWidth="1"/>
    <col min="8" max="8" width="20.28515625" hidden="1" customWidth="1"/>
    <col min="9" max="9" width="0" hidden="1" customWidth="1"/>
    <col min="10" max="10" width="18.140625" customWidth="1"/>
    <col min="11" max="11" width="17.140625" style="17" customWidth="1"/>
  </cols>
  <sheetData>
    <row r="1" spans="1:12" x14ac:dyDescent="0.2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2" x14ac:dyDescent="0.25">
      <c r="A2" s="42" t="s">
        <v>45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2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20"/>
      <c r="K3" s="21"/>
    </row>
    <row r="4" spans="1:12" x14ac:dyDescent="0.25">
      <c r="A4" s="19"/>
      <c r="B4" s="10"/>
      <c r="C4" s="20" t="s">
        <v>1</v>
      </c>
      <c r="D4" s="20"/>
      <c r="E4" s="22"/>
      <c r="F4" s="22"/>
      <c r="G4" s="22"/>
      <c r="H4" s="22"/>
      <c r="I4" s="22"/>
      <c r="J4" s="22"/>
      <c r="K4" s="21"/>
    </row>
    <row r="5" spans="1:12" ht="60" x14ac:dyDescent="0.25">
      <c r="A5" s="12" t="s">
        <v>2</v>
      </c>
      <c r="B5" s="10" t="s">
        <v>3</v>
      </c>
      <c r="C5" s="11" t="s">
        <v>4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16" t="s">
        <v>27</v>
      </c>
      <c r="J5" s="16" t="s">
        <v>26</v>
      </c>
      <c r="K5" s="18" t="s">
        <v>30</v>
      </c>
    </row>
    <row r="6" spans="1:12" x14ac:dyDescent="0.25">
      <c r="A6" s="3" t="s">
        <v>41</v>
      </c>
      <c r="B6" s="6"/>
      <c r="C6" s="2" t="s">
        <v>1</v>
      </c>
      <c r="D6" s="8">
        <f>+D7+D27</f>
        <v>16643734600</v>
      </c>
      <c r="E6" s="8">
        <f>+E7+E27</f>
        <v>11109675271</v>
      </c>
      <c r="F6" s="8">
        <f>+F7+F27</f>
        <v>27753409871</v>
      </c>
      <c r="G6" s="8">
        <f>+G7+G27</f>
        <v>19966603343.139999</v>
      </c>
      <c r="H6" s="37"/>
      <c r="I6" s="38"/>
      <c r="J6" s="25">
        <f>+F6-G6</f>
        <v>7786806527.8600006</v>
      </c>
      <c r="K6" s="39">
        <f>+G6/F6*100</f>
        <v>71.94288354456738</v>
      </c>
    </row>
    <row r="7" spans="1:12" x14ac:dyDescent="0.25">
      <c r="A7" s="3" t="s">
        <v>42</v>
      </c>
      <c r="B7" s="6"/>
      <c r="C7" s="2"/>
      <c r="D7" s="8">
        <f>+D8+D12</f>
        <v>13653880341</v>
      </c>
      <c r="E7" s="8">
        <f>+E8+E12</f>
        <v>4621547110</v>
      </c>
      <c r="F7" s="8">
        <f>+F8+F12</f>
        <v>18275427451</v>
      </c>
      <c r="G7" s="8">
        <f>+G8+G12</f>
        <v>9714095073.9400005</v>
      </c>
      <c r="H7" s="37"/>
      <c r="I7" s="38"/>
      <c r="J7" s="25">
        <f>+F7-G7</f>
        <v>8561332377.0599995</v>
      </c>
      <c r="K7" s="39">
        <f>+G7/F7*100</f>
        <v>53.153859738632057</v>
      </c>
    </row>
    <row r="8" spans="1:12" x14ac:dyDescent="0.25">
      <c r="A8" s="3" t="s">
        <v>43</v>
      </c>
      <c r="B8" s="6"/>
      <c r="C8" s="2"/>
      <c r="D8" s="8">
        <f>+D9</f>
        <v>7504817620</v>
      </c>
      <c r="E8" s="23">
        <f>+E9</f>
        <v>0</v>
      </c>
      <c r="F8" s="23">
        <f>+F9</f>
        <v>7504817620</v>
      </c>
      <c r="G8" s="23">
        <f>+G9</f>
        <v>3796736344.9400001</v>
      </c>
      <c r="H8" s="37"/>
      <c r="I8" s="38"/>
      <c r="J8" s="25">
        <f>+J9</f>
        <v>3708081275.0599999</v>
      </c>
      <c r="K8" s="39">
        <v>0.4</v>
      </c>
      <c r="L8" s="40"/>
    </row>
    <row r="9" spans="1:12" x14ac:dyDescent="0.25">
      <c r="A9" s="3" t="s">
        <v>5</v>
      </c>
      <c r="B9" s="8">
        <f>+B10+B11</f>
        <v>3990720028</v>
      </c>
      <c r="C9" s="8">
        <f>+C10+C11</f>
        <v>5773324426</v>
      </c>
      <c r="D9" s="8">
        <f>+D10+D11</f>
        <v>7504817620</v>
      </c>
      <c r="E9" s="8">
        <f>+E10+E11</f>
        <v>0</v>
      </c>
      <c r="F9" s="8">
        <f>+D9+E9</f>
        <v>7504817620</v>
      </c>
      <c r="G9" s="8">
        <f>+G10+G11</f>
        <v>3796736344.9400001</v>
      </c>
      <c r="H9" s="23">
        <f>+F9-G9</f>
        <v>3708081275.0599999</v>
      </c>
      <c r="I9" s="24">
        <f>+G9/F9*100</f>
        <v>50.590654392744597</v>
      </c>
      <c r="J9" s="25">
        <f>+F9-G9</f>
        <v>3708081275.0599999</v>
      </c>
      <c r="K9" s="21">
        <f>+G9/F9*100</f>
        <v>50.590654392744597</v>
      </c>
    </row>
    <row r="10" spans="1:12" x14ac:dyDescent="0.25">
      <c r="A10" s="1" t="s">
        <v>6</v>
      </c>
      <c r="B10" s="2">
        <v>2554571331</v>
      </c>
      <c r="C10" s="2">
        <v>3982615749</v>
      </c>
      <c r="D10" s="2">
        <f>+'[1]INGRESOS A MARZO'!$D$10</f>
        <v>5153808828</v>
      </c>
      <c r="E10" s="2">
        <v>0</v>
      </c>
      <c r="F10" s="2">
        <f t="shared" ref="F10:F36" si="0">+D10+E10</f>
        <v>5153808828</v>
      </c>
      <c r="G10" s="14">
        <v>2277930493.9400001</v>
      </c>
      <c r="H10" s="26">
        <f t="shared" ref="H10:H37" si="1">+F10-G10</f>
        <v>2875878334.0599999</v>
      </c>
      <c r="I10" s="27">
        <f t="shared" ref="I10:I37" si="2">+G10/F10*100</f>
        <v>44.198971478419772</v>
      </c>
      <c r="J10" s="25">
        <f t="shared" ref="J10:J37" si="3">+F10-G10</f>
        <v>2875878334.0599999</v>
      </c>
      <c r="K10" s="21">
        <f t="shared" ref="K10:K35" si="4">+G10/F10*100</f>
        <v>44.198971478419772</v>
      </c>
    </row>
    <row r="11" spans="1:12" x14ac:dyDescent="0.25">
      <c r="A11" s="1" t="s">
        <v>40</v>
      </c>
      <c r="B11" s="2">
        <v>1436148697</v>
      </c>
      <c r="C11" s="2">
        <v>1790708677</v>
      </c>
      <c r="D11" s="2">
        <f>+'[1]INGRESOS A MARZO'!$D$11</f>
        <v>2351008792</v>
      </c>
      <c r="E11" s="2">
        <v>0</v>
      </c>
      <c r="F11" s="2">
        <f t="shared" si="0"/>
        <v>2351008792</v>
      </c>
      <c r="G11" s="14">
        <f>1522090183-3284332</f>
        <v>1518805851</v>
      </c>
      <c r="H11" s="26">
        <f t="shared" si="1"/>
        <v>832202941</v>
      </c>
      <c r="I11" s="27">
        <f t="shared" si="2"/>
        <v>64.602304175474984</v>
      </c>
      <c r="J11" s="25">
        <f t="shared" si="3"/>
        <v>832202941</v>
      </c>
      <c r="K11" s="21">
        <f t="shared" si="4"/>
        <v>64.602304175474984</v>
      </c>
    </row>
    <row r="12" spans="1:12" x14ac:dyDescent="0.25">
      <c r="A12" s="3" t="s">
        <v>44</v>
      </c>
      <c r="B12" s="8"/>
      <c r="C12" s="8"/>
      <c r="D12" s="8">
        <f>+D13+D19+D20+D21</f>
        <v>6149062721</v>
      </c>
      <c r="E12" s="8">
        <f t="shared" ref="E12:J12" si="5">+E13+E19+E20+E21</f>
        <v>4621547110</v>
      </c>
      <c r="F12" s="8">
        <f t="shared" si="5"/>
        <v>10770609831</v>
      </c>
      <c r="G12" s="8">
        <f t="shared" si="5"/>
        <v>5917358729</v>
      </c>
      <c r="H12" s="8">
        <f t="shared" si="5"/>
        <v>4853251102</v>
      </c>
      <c r="I12" s="8">
        <f t="shared" si="5"/>
        <v>225.72780603728259</v>
      </c>
      <c r="J12" s="8">
        <f t="shared" si="5"/>
        <v>4853251102</v>
      </c>
      <c r="K12" s="8">
        <f>+G12/D12*100</f>
        <v>96.231881141678798</v>
      </c>
    </row>
    <row r="13" spans="1:12" x14ac:dyDescent="0.25">
      <c r="A13" s="3" t="s">
        <v>7</v>
      </c>
      <c r="B13" s="8">
        <f t="shared" ref="B13:D13" si="6">SUM(B14:B18)</f>
        <v>4083130951</v>
      </c>
      <c r="C13" s="8">
        <f t="shared" si="6"/>
        <v>2572031685</v>
      </c>
      <c r="D13" s="8">
        <f t="shared" si="6"/>
        <v>2625487297</v>
      </c>
      <c r="E13" s="8">
        <f t="shared" ref="E13" si="7">SUM(E14:E18)</f>
        <v>0</v>
      </c>
      <c r="F13" s="8">
        <f t="shared" si="0"/>
        <v>2625487297</v>
      </c>
      <c r="G13" s="15">
        <f>SUM(G14:G18)-1</f>
        <v>2439563540</v>
      </c>
      <c r="H13" s="23">
        <f t="shared" si="1"/>
        <v>185923757</v>
      </c>
      <c r="I13" s="24">
        <f t="shared" si="2"/>
        <v>92.918504796711645</v>
      </c>
      <c r="J13" s="25">
        <f t="shared" si="3"/>
        <v>185923757</v>
      </c>
      <c r="K13" s="21">
        <f t="shared" si="4"/>
        <v>92.918504796711645</v>
      </c>
    </row>
    <row r="14" spans="1:12" x14ac:dyDescent="0.25">
      <c r="A14" s="1" t="s">
        <v>8</v>
      </c>
      <c r="B14" s="2">
        <v>1482000000</v>
      </c>
      <c r="C14" s="2">
        <f>540317343+300000000</f>
        <v>840317343</v>
      </c>
      <c r="D14" s="2">
        <f>+'[1]INGRESOS A MARZO'!$D$13</f>
        <v>949981524</v>
      </c>
      <c r="E14" s="2">
        <v>0</v>
      </c>
      <c r="F14" s="2">
        <f t="shared" si="0"/>
        <v>949981524</v>
      </c>
      <c r="G14" s="14">
        <f>212852801+30000</f>
        <v>212882801</v>
      </c>
      <c r="H14" s="26">
        <f t="shared" si="1"/>
        <v>737098723</v>
      </c>
      <c r="I14" s="27">
        <f t="shared" si="2"/>
        <v>22.409151717354874</v>
      </c>
      <c r="J14" s="25">
        <f t="shared" si="3"/>
        <v>737098723</v>
      </c>
      <c r="K14" s="21">
        <f t="shared" si="4"/>
        <v>22.409151717354874</v>
      </c>
    </row>
    <row r="15" spans="1:12" ht="29.25" x14ac:dyDescent="0.25">
      <c r="A15" s="1" t="s">
        <v>9</v>
      </c>
      <c r="B15" s="2">
        <v>1607000000</v>
      </c>
      <c r="C15" s="2">
        <f>934639741+300000000</f>
        <v>1234639741</v>
      </c>
      <c r="D15" s="2">
        <f>+'[1]INGRESOS A MARZO'!$D$14</f>
        <v>919346208</v>
      </c>
      <c r="E15" s="2">
        <v>0</v>
      </c>
      <c r="F15" s="2">
        <f t="shared" si="0"/>
        <v>919346208</v>
      </c>
      <c r="G15" s="14">
        <v>248908320</v>
      </c>
      <c r="H15" s="26">
        <f t="shared" si="1"/>
        <v>670437888</v>
      </c>
      <c r="I15" s="27">
        <f t="shared" si="2"/>
        <v>27.074492485425033</v>
      </c>
      <c r="J15" s="25">
        <f t="shared" si="3"/>
        <v>670437888</v>
      </c>
      <c r="K15" s="21">
        <f t="shared" si="4"/>
        <v>27.074492485425033</v>
      </c>
    </row>
    <row r="16" spans="1:12" x14ac:dyDescent="0.25">
      <c r="A16" s="1" t="s">
        <v>10</v>
      </c>
      <c r="B16" s="2">
        <v>600000000</v>
      </c>
      <c r="C16" s="2">
        <v>153157235</v>
      </c>
      <c r="D16" s="2">
        <f>+'[1]INGRESOS A MARZO'!$D$15</f>
        <v>321630192</v>
      </c>
      <c r="E16" s="2">
        <v>0</v>
      </c>
      <c r="F16" s="2">
        <f>+D16+E16</f>
        <v>321630192</v>
      </c>
      <c r="G16" s="14">
        <f>78017840+1956810</f>
        <v>79974650</v>
      </c>
      <c r="H16" s="26">
        <f t="shared" si="1"/>
        <v>241655542</v>
      </c>
      <c r="I16" s="27">
        <f t="shared" si="2"/>
        <v>24.8654050487897</v>
      </c>
      <c r="J16" s="25">
        <f t="shared" si="3"/>
        <v>241655542</v>
      </c>
      <c r="K16" s="21">
        <f t="shared" si="4"/>
        <v>24.8654050487897</v>
      </c>
    </row>
    <row r="17" spans="1:13" x14ac:dyDescent="0.25">
      <c r="A17" s="1" t="s">
        <v>11</v>
      </c>
      <c r="B17" s="2">
        <v>42000000</v>
      </c>
      <c r="C17" s="2">
        <f>7081824+62162613</f>
        <v>69244437</v>
      </c>
      <c r="D17" s="2">
        <f>+'[1]INGRESOS A MARZO'!$D$16</f>
        <v>46305000</v>
      </c>
      <c r="E17" s="2">
        <v>0</v>
      </c>
      <c r="F17" s="2">
        <f t="shared" si="0"/>
        <v>46305000</v>
      </c>
      <c r="G17" s="14">
        <f>1678464994+35000</f>
        <v>1678499994</v>
      </c>
      <c r="H17" s="26">
        <f t="shared" si="1"/>
        <v>-1632194994</v>
      </c>
      <c r="I17" s="27">
        <f t="shared" si="2"/>
        <v>3624.8785098801427</v>
      </c>
      <c r="J17" s="25">
        <f t="shared" si="3"/>
        <v>-1632194994</v>
      </c>
      <c r="K17" s="21">
        <f t="shared" si="4"/>
        <v>3624.8785098801427</v>
      </c>
    </row>
    <row r="18" spans="1:13" x14ac:dyDescent="0.25">
      <c r="A18" s="1" t="s">
        <v>12</v>
      </c>
      <c r="B18" s="2">
        <v>352130951</v>
      </c>
      <c r="C18" s="2">
        <v>274672929</v>
      </c>
      <c r="D18" s="2">
        <f>+'[1]INGRESOS A MARZO'!$D$17</f>
        <v>388224373</v>
      </c>
      <c r="E18" s="2">
        <v>0</v>
      </c>
      <c r="F18" s="2">
        <f t="shared" si="0"/>
        <v>388224373</v>
      </c>
      <c r="G18" s="14">
        <v>219297776</v>
      </c>
      <c r="H18" s="26">
        <f t="shared" si="1"/>
        <v>168926597</v>
      </c>
      <c r="I18" s="27">
        <f t="shared" si="2"/>
        <v>56.487379786430871</v>
      </c>
      <c r="J18" s="25">
        <f t="shared" si="3"/>
        <v>168926597</v>
      </c>
      <c r="K18" s="21">
        <f t="shared" si="4"/>
        <v>56.487379786430871</v>
      </c>
    </row>
    <row r="19" spans="1:13" ht="30" x14ac:dyDescent="0.25">
      <c r="A19" s="3" t="s">
        <v>13</v>
      </c>
      <c r="B19" s="8">
        <v>3559746688</v>
      </c>
      <c r="C19" s="8">
        <f>2340876848+405356184</f>
        <v>2746233032</v>
      </c>
      <c r="D19" s="8">
        <f>+'[1]INGRESOS A MARZO'!$D$18</f>
        <v>3461573029</v>
      </c>
      <c r="E19" s="8">
        <v>0</v>
      </c>
      <c r="F19" s="8">
        <f t="shared" si="0"/>
        <v>3461573029</v>
      </c>
      <c r="G19" s="15">
        <v>852889658</v>
      </c>
      <c r="H19" s="23">
        <f t="shared" si="1"/>
        <v>2608683371</v>
      </c>
      <c r="I19" s="24">
        <f t="shared" si="2"/>
        <v>24.638788517669607</v>
      </c>
      <c r="J19" s="25">
        <f t="shared" si="3"/>
        <v>2608683371</v>
      </c>
      <c r="K19" s="21">
        <f t="shared" si="4"/>
        <v>24.638788517669607</v>
      </c>
    </row>
    <row r="20" spans="1:13" x14ac:dyDescent="0.25">
      <c r="A20" s="3" t="s">
        <v>14</v>
      </c>
      <c r="B20" s="8">
        <v>56238000</v>
      </c>
      <c r="C20" s="8">
        <f>28453518*1.004</f>
        <v>28567332.072000001</v>
      </c>
      <c r="D20" s="8">
        <f>+'[1]INGRESOS A MARZO'!$D$19</f>
        <v>62002395</v>
      </c>
      <c r="E20" s="8">
        <v>0</v>
      </c>
      <c r="F20" s="8">
        <f t="shared" si="0"/>
        <v>62002395</v>
      </c>
      <c r="G20" s="15">
        <f>14000407+12384407+5847067+54000</f>
        <v>32285881</v>
      </c>
      <c r="H20" s="23">
        <f t="shared" si="1"/>
        <v>29716514</v>
      </c>
      <c r="I20" s="24">
        <f t="shared" si="2"/>
        <v>52.071990122317047</v>
      </c>
      <c r="J20" s="25">
        <f t="shared" si="3"/>
        <v>29716514</v>
      </c>
      <c r="K20" s="21">
        <f t="shared" si="4"/>
        <v>52.071990122317047</v>
      </c>
    </row>
    <row r="21" spans="1:13" x14ac:dyDescent="0.25">
      <c r="A21" s="3" t="s">
        <v>15</v>
      </c>
      <c r="B21" s="2" t="e">
        <f>+#REF!+#REF!</f>
        <v>#REF!</v>
      </c>
      <c r="C21" s="2" t="e">
        <f>+#REF!+#REF!</f>
        <v>#REF!</v>
      </c>
      <c r="D21" s="2">
        <f>+D24</f>
        <v>0</v>
      </c>
      <c r="E21" s="8">
        <f>SUM(E22:E26)</f>
        <v>4621547110</v>
      </c>
      <c r="F21" s="8">
        <f>SUM(F22:F26)</f>
        <v>4621547110</v>
      </c>
      <c r="G21" s="8">
        <f>SUM(G24:G26)</f>
        <v>2592619650</v>
      </c>
      <c r="H21" s="26">
        <f t="shared" si="1"/>
        <v>2028927460</v>
      </c>
      <c r="I21" s="27">
        <f t="shared" si="2"/>
        <v>56.098522600584289</v>
      </c>
      <c r="J21" s="25">
        <f t="shared" si="3"/>
        <v>2028927460</v>
      </c>
      <c r="K21" s="21">
        <f t="shared" si="4"/>
        <v>56.098522600584289</v>
      </c>
    </row>
    <row r="22" spans="1:13" x14ac:dyDescent="0.25">
      <c r="A22" s="1" t="s">
        <v>48</v>
      </c>
      <c r="B22" s="2"/>
      <c r="C22" s="2"/>
      <c r="D22" s="2"/>
      <c r="E22" s="2">
        <v>1301196008</v>
      </c>
      <c r="F22" s="8">
        <f>+E22</f>
        <v>1301196008</v>
      </c>
      <c r="G22" s="8">
        <v>0</v>
      </c>
      <c r="H22" s="26"/>
      <c r="I22" s="27"/>
      <c r="J22" s="25">
        <v>0</v>
      </c>
      <c r="K22" s="21">
        <f t="shared" si="4"/>
        <v>0</v>
      </c>
    </row>
    <row r="23" spans="1:13" ht="29.25" x14ac:dyDescent="0.25">
      <c r="A23" s="1" t="s">
        <v>47</v>
      </c>
      <c r="B23" s="2"/>
      <c r="C23" s="2"/>
      <c r="D23" s="2"/>
      <c r="E23" s="2">
        <v>372731452</v>
      </c>
      <c r="F23" s="2">
        <f>+E23</f>
        <v>372731452</v>
      </c>
      <c r="G23" s="8">
        <v>0</v>
      </c>
      <c r="H23" s="26"/>
      <c r="I23" s="27"/>
      <c r="J23" s="25"/>
      <c r="K23" s="21">
        <f t="shared" si="4"/>
        <v>0</v>
      </c>
    </row>
    <row r="24" spans="1:13" x14ac:dyDescent="0.25">
      <c r="A24" s="1" t="s">
        <v>28</v>
      </c>
      <c r="B24" s="2"/>
      <c r="C24" s="2"/>
      <c r="D24" s="2">
        <v>0</v>
      </c>
      <c r="E24" s="2">
        <f>+'[1]INGRESOS A MARZO'!$E$21</f>
        <v>2444639650</v>
      </c>
      <c r="F24" s="2">
        <f>+E24</f>
        <v>2444639650</v>
      </c>
      <c r="G24" s="14">
        <f>+F24</f>
        <v>2444639650</v>
      </c>
      <c r="H24" s="26">
        <f t="shared" si="1"/>
        <v>0</v>
      </c>
      <c r="I24" s="27">
        <f t="shared" si="2"/>
        <v>100</v>
      </c>
      <c r="J24" s="25">
        <f t="shared" si="3"/>
        <v>0</v>
      </c>
      <c r="K24" s="21">
        <f>+G24/F24*100</f>
        <v>100</v>
      </c>
    </row>
    <row r="25" spans="1:13" x14ac:dyDescent="0.25">
      <c r="A25" s="1" t="s">
        <v>49</v>
      </c>
      <c r="B25" s="2"/>
      <c r="C25" s="2"/>
      <c r="D25" s="2">
        <v>0</v>
      </c>
      <c r="E25" s="2">
        <f>42980000</f>
        <v>42980000</v>
      </c>
      <c r="F25" s="2">
        <f>+E25</f>
        <v>42980000</v>
      </c>
      <c r="G25" s="14">
        <f>42980000</f>
        <v>42980000</v>
      </c>
      <c r="H25" s="26"/>
      <c r="I25" s="27"/>
      <c r="J25" s="25">
        <f t="shared" si="3"/>
        <v>0</v>
      </c>
      <c r="K25" s="21">
        <f t="shared" si="4"/>
        <v>100</v>
      </c>
      <c r="M25" t="s">
        <v>1</v>
      </c>
    </row>
    <row r="26" spans="1:13" x14ac:dyDescent="0.25">
      <c r="A26" s="1" t="s">
        <v>46</v>
      </c>
      <c r="B26" s="2"/>
      <c r="C26" s="2"/>
      <c r="D26" s="2"/>
      <c r="E26" s="2">
        <f>250000000+210000000</f>
        <v>460000000</v>
      </c>
      <c r="F26" s="2">
        <f>+E26</f>
        <v>460000000</v>
      </c>
      <c r="G26" s="14">
        <v>105000000</v>
      </c>
      <c r="H26" s="26"/>
      <c r="I26" s="27"/>
      <c r="J26" s="25">
        <f t="shared" si="3"/>
        <v>355000000</v>
      </c>
      <c r="K26" s="21"/>
    </row>
    <row r="27" spans="1:13" x14ac:dyDescent="0.25">
      <c r="A27" s="3" t="s">
        <v>16</v>
      </c>
      <c r="B27" s="8">
        <f>+B28+B30</f>
        <v>3621351324</v>
      </c>
      <c r="C27" s="8">
        <f>+C28+C30</f>
        <v>3226173481</v>
      </c>
      <c r="D27" s="8">
        <f>+D28+D30+D29</f>
        <v>2989854259</v>
      </c>
      <c r="E27" s="8">
        <f>+E28+E30+E29</f>
        <v>6488128161</v>
      </c>
      <c r="F27" s="8">
        <f t="shared" si="0"/>
        <v>9477982420</v>
      </c>
      <c r="G27" s="8">
        <f>+G28+G30+G29</f>
        <v>10252508269.200001</v>
      </c>
      <c r="H27" s="23">
        <f t="shared" si="1"/>
        <v>-774525849.20000076</v>
      </c>
      <c r="I27" s="24">
        <f t="shared" si="2"/>
        <v>108.17184306615333</v>
      </c>
      <c r="J27" s="25">
        <f t="shared" si="3"/>
        <v>-774525849.20000076</v>
      </c>
      <c r="K27" s="21">
        <f t="shared" si="4"/>
        <v>108.17184306615333</v>
      </c>
    </row>
    <row r="28" spans="1:13" x14ac:dyDescent="0.25">
      <c r="A28" s="1" t="s">
        <v>17</v>
      </c>
      <c r="B28" s="2">
        <v>186018000</v>
      </c>
      <c r="C28" s="2">
        <v>483000000</v>
      </c>
      <c r="D28" s="2">
        <f>+'[1]INGRESOS A MARZO'!$D$25</f>
        <v>333711102</v>
      </c>
      <c r="E28" s="2">
        <v>0</v>
      </c>
      <c r="F28" s="2">
        <f t="shared" si="0"/>
        <v>333711102</v>
      </c>
      <c r="G28" s="14">
        <f>197277134.6-3184726.4</f>
        <v>194092408.19999999</v>
      </c>
      <c r="H28" s="26">
        <f t="shared" si="1"/>
        <v>139618693.80000001</v>
      </c>
      <c r="I28" s="27">
        <f t="shared" si="2"/>
        <v>58.161807334776647</v>
      </c>
      <c r="J28" s="25">
        <f t="shared" si="3"/>
        <v>139618693.80000001</v>
      </c>
      <c r="K28" s="21">
        <f t="shared" si="4"/>
        <v>58.161807334776647</v>
      </c>
    </row>
    <row r="29" spans="1:13" x14ac:dyDescent="0.25">
      <c r="A29" s="1" t="s">
        <v>29</v>
      </c>
      <c r="B29" s="2"/>
      <c r="C29" s="2"/>
      <c r="D29" s="2"/>
      <c r="E29" s="2">
        <f>+'[1]INGRESOS A MARZO'!$E$24</f>
        <v>6488128161</v>
      </c>
      <c r="F29" s="2">
        <f t="shared" ref="F29:G29" si="8">+E29</f>
        <v>6488128161</v>
      </c>
      <c r="G29" s="14">
        <f t="shared" si="8"/>
        <v>6488128161</v>
      </c>
      <c r="H29" s="26"/>
      <c r="I29" s="27"/>
      <c r="J29" s="25">
        <f t="shared" si="3"/>
        <v>0</v>
      </c>
      <c r="K29" s="21">
        <f t="shared" si="4"/>
        <v>100</v>
      </c>
    </row>
    <row r="30" spans="1:13" x14ac:dyDescent="0.25">
      <c r="A30" s="3" t="s">
        <v>18</v>
      </c>
      <c r="B30" s="2">
        <f>+B31+B32+B33+B34+B35</f>
        <v>3435333324</v>
      </c>
      <c r="C30" s="2">
        <f>+C31+C32+C33+C34+C35</f>
        <v>2743173481</v>
      </c>
      <c r="D30" s="8">
        <f>SUM(D31:D35)</f>
        <v>2656143157</v>
      </c>
      <c r="E30" s="8">
        <f>SUM(E31:E35)</f>
        <v>0</v>
      </c>
      <c r="F30" s="8">
        <f t="shared" si="0"/>
        <v>2656143157</v>
      </c>
      <c r="G30" s="8">
        <f>SUM(G31:G35)</f>
        <v>3570287700</v>
      </c>
      <c r="H30" s="26">
        <f t="shared" si="1"/>
        <v>-914144543</v>
      </c>
      <c r="I30" s="27">
        <f t="shared" si="2"/>
        <v>134.41623771636191</v>
      </c>
      <c r="J30" s="25">
        <f t="shared" si="3"/>
        <v>-914144543</v>
      </c>
      <c r="K30" s="21">
        <f t="shared" si="4"/>
        <v>134.41623771636191</v>
      </c>
    </row>
    <row r="31" spans="1:13" x14ac:dyDescent="0.25">
      <c r="A31" s="1" t="s">
        <v>19</v>
      </c>
      <c r="B31" s="2">
        <v>594000000</v>
      </c>
      <c r="C31" s="2">
        <f>438940542+50000000</f>
        <v>488940542</v>
      </c>
      <c r="D31" s="2">
        <f>+'[1]INGRESOS A MARZO'!$D$27</f>
        <v>661567147</v>
      </c>
      <c r="E31" s="2">
        <v>0</v>
      </c>
      <c r="F31" s="2">
        <f t="shared" si="0"/>
        <v>661567147</v>
      </c>
      <c r="G31" s="14">
        <f>345034044+105570</f>
        <v>345139614</v>
      </c>
      <c r="H31" s="26">
        <f t="shared" si="1"/>
        <v>316427533</v>
      </c>
      <c r="I31" s="27">
        <f t="shared" si="2"/>
        <v>52.170005050144972</v>
      </c>
      <c r="J31" s="25">
        <f t="shared" si="3"/>
        <v>316427533</v>
      </c>
      <c r="K31" s="21">
        <f t="shared" si="4"/>
        <v>52.170005050144972</v>
      </c>
    </row>
    <row r="32" spans="1:13" ht="29.25" x14ac:dyDescent="0.25">
      <c r="A32" s="1" t="s">
        <v>9</v>
      </c>
      <c r="B32" s="2">
        <v>1015350000</v>
      </c>
      <c r="C32" s="2">
        <f>200328232+500000000</f>
        <v>700328232</v>
      </c>
      <c r="D32" s="2">
        <f>+'[1]INGRESOS A MARZO'!$D$28</f>
        <v>369487128</v>
      </c>
      <c r="E32" s="2">
        <v>0</v>
      </c>
      <c r="F32" s="2">
        <f t="shared" si="0"/>
        <v>369487128</v>
      </c>
      <c r="G32" s="14">
        <f>95987649-1399714</f>
        <v>94587935</v>
      </c>
      <c r="H32" s="26">
        <f t="shared" si="1"/>
        <v>274899193</v>
      </c>
      <c r="I32" s="27">
        <f t="shared" si="2"/>
        <v>25.599791665814131</v>
      </c>
      <c r="J32" s="25">
        <f t="shared" si="3"/>
        <v>274899193</v>
      </c>
      <c r="K32" s="21">
        <f t="shared" si="4"/>
        <v>25.599791665814131</v>
      </c>
    </row>
    <row r="33" spans="1:11" ht="29.25" x14ac:dyDescent="0.25">
      <c r="A33" s="1" t="s">
        <v>13</v>
      </c>
      <c r="B33" s="2">
        <v>1186582000</v>
      </c>
      <c r="C33" s="2">
        <v>751381744</v>
      </c>
      <c r="D33" s="2">
        <f>+'[1]INGRESOS A MARZO'!$D$29</f>
        <v>852097710</v>
      </c>
      <c r="E33" s="2">
        <v>0</v>
      </c>
      <c r="F33" s="2">
        <f t="shared" si="0"/>
        <v>852097710</v>
      </c>
      <c r="G33" s="14">
        <v>854753703</v>
      </c>
      <c r="H33" s="26">
        <f t="shared" si="1"/>
        <v>-2655993</v>
      </c>
      <c r="I33" s="27">
        <f t="shared" si="2"/>
        <v>100.31170052082408</v>
      </c>
      <c r="J33" s="25">
        <f t="shared" si="3"/>
        <v>-2655993</v>
      </c>
      <c r="K33" s="21">
        <f t="shared" si="4"/>
        <v>100.31170052082408</v>
      </c>
    </row>
    <row r="34" spans="1:11" x14ac:dyDescent="0.25">
      <c r="A34" s="1" t="s">
        <v>10</v>
      </c>
      <c r="B34" s="2">
        <v>200000000</v>
      </c>
      <c r="C34" s="2">
        <v>121750963</v>
      </c>
      <c r="D34" s="2">
        <f>+'[1]INGRESOS A MARZO'!$D$30</f>
        <v>224400000</v>
      </c>
      <c r="E34" s="2">
        <v>0</v>
      </c>
      <c r="F34" s="2">
        <f t="shared" si="0"/>
        <v>224400000</v>
      </c>
      <c r="G34" s="14">
        <v>144547814</v>
      </c>
      <c r="H34" s="26">
        <f t="shared" si="1"/>
        <v>79852186</v>
      </c>
      <c r="I34" s="27">
        <f t="shared" si="2"/>
        <v>64.415246880570407</v>
      </c>
      <c r="J34" s="25">
        <f t="shared" si="3"/>
        <v>79852186</v>
      </c>
      <c r="K34" s="21">
        <f t="shared" si="4"/>
        <v>64.415246880570407</v>
      </c>
    </row>
    <row r="35" spans="1:11" x14ac:dyDescent="0.25">
      <c r="A35" s="1" t="s">
        <v>5</v>
      </c>
      <c r="B35" s="2">
        <v>439401324</v>
      </c>
      <c r="C35" s="2">
        <v>680772000</v>
      </c>
      <c r="D35" s="2">
        <f>+'[1]INGRESOS A MARZO'!$D$31</f>
        <v>548591172</v>
      </c>
      <c r="E35" s="2">
        <v>0</v>
      </c>
      <c r="F35" s="2">
        <f t="shared" si="0"/>
        <v>548591172</v>
      </c>
      <c r="G35" s="14">
        <v>2131258634</v>
      </c>
      <c r="H35" s="26">
        <f t="shared" si="1"/>
        <v>-1582667462</v>
      </c>
      <c r="I35" s="27">
        <f t="shared" si="2"/>
        <v>388.49670625031496</v>
      </c>
      <c r="J35" s="25">
        <f t="shared" si="3"/>
        <v>-1582667462</v>
      </c>
      <c r="K35" s="21">
        <f t="shared" si="4"/>
        <v>388.49670625031496</v>
      </c>
    </row>
    <row r="36" spans="1:11" x14ac:dyDescent="0.25">
      <c r="A36" s="3" t="s">
        <v>20</v>
      </c>
      <c r="B36" s="2">
        <f>+[2]Hoja2!$C$40</f>
        <v>1637500000</v>
      </c>
      <c r="C36" s="2">
        <f>+[2]Hoja2!$C$40</f>
        <v>1637500000</v>
      </c>
      <c r="D36" s="8">
        <f>+'[1]INGRESOS A MARZO'!$D$35</f>
        <v>3280302000</v>
      </c>
      <c r="E36" s="8">
        <v>0</v>
      </c>
      <c r="F36" s="8">
        <f t="shared" si="0"/>
        <v>3280302000</v>
      </c>
      <c r="G36" s="15">
        <v>682759171</v>
      </c>
      <c r="H36" s="23">
        <f t="shared" si="1"/>
        <v>2597542829</v>
      </c>
      <c r="I36" s="24">
        <f t="shared" si="2"/>
        <v>20.813911981274895</v>
      </c>
      <c r="J36" s="25">
        <f t="shared" si="3"/>
        <v>2597542829</v>
      </c>
      <c r="K36" s="21">
        <f>+G36/F36*100</f>
        <v>20.813911981274895</v>
      </c>
    </row>
    <row r="37" spans="1:11" ht="15.75" thickBot="1" x14ac:dyDescent="0.3">
      <c r="A37" s="4" t="s">
        <v>21</v>
      </c>
      <c r="B37" s="5" t="e">
        <f>+#REF!+B36</f>
        <v>#REF!</v>
      </c>
      <c r="C37" s="5" t="e">
        <f>+#REF!+C36</f>
        <v>#REF!</v>
      </c>
      <c r="D37" s="9">
        <f>+D6+D36</f>
        <v>19924036600</v>
      </c>
      <c r="E37" s="9">
        <f t="shared" ref="E37:G37" si="9">+E6+E36</f>
        <v>11109675271</v>
      </c>
      <c r="F37" s="9">
        <f t="shared" si="9"/>
        <v>31033711871</v>
      </c>
      <c r="G37" s="9">
        <f t="shared" si="9"/>
        <v>20649362514.139999</v>
      </c>
      <c r="H37" s="28">
        <f t="shared" si="1"/>
        <v>10384349356.860001</v>
      </c>
      <c r="I37" s="29">
        <f t="shared" si="2"/>
        <v>66.53848756466725</v>
      </c>
      <c r="J37" s="25">
        <f t="shared" si="3"/>
        <v>10384349356.860001</v>
      </c>
      <c r="K37" s="21">
        <f>+G37/F37*100</f>
        <v>66.53848756466725</v>
      </c>
    </row>
    <row r="38" spans="1:11" hidden="1" x14ac:dyDescent="0.25">
      <c r="A38" s="30"/>
      <c r="B38" s="30"/>
      <c r="C38" s="30"/>
      <c r="D38" s="30"/>
      <c r="E38" s="30"/>
      <c r="F38" s="31">
        <f>+F37-F29-F21-1900000000</f>
        <v>18024036600</v>
      </c>
      <c r="G38" s="31">
        <f>+G37-G29-G21-1155869513</f>
        <v>10412745190.139999</v>
      </c>
      <c r="H38" s="30"/>
      <c r="I38" s="30"/>
      <c r="J38" s="30"/>
      <c r="K38" s="32"/>
    </row>
    <row r="39" spans="1:11" hidden="1" x14ac:dyDescent="0.25">
      <c r="A39" s="19" t="s">
        <v>37</v>
      </c>
      <c r="B39" s="22"/>
      <c r="C39" s="22"/>
      <c r="D39" s="33" t="s">
        <v>38</v>
      </c>
      <c r="E39" s="33" t="s">
        <v>39</v>
      </c>
      <c r="F39" s="34" t="s">
        <v>36</v>
      </c>
      <c r="G39" s="31">
        <f>+G38/F38*100</f>
        <v>57.771438336626545</v>
      </c>
      <c r="H39" s="30"/>
      <c r="I39" s="30"/>
      <c r="J39" s="31">
        <f>+G17-1155869513</f>
        <v>522630481</v>
      </c>
      <c r="K39" s="32"/>
    </row>
    <row r="40" spans="1:11" hidden="1" x14ac:dyDescent="0.25">
      <c r="A40" s="22" t="s">
        <v>31</v>
      </c>
      <c r="B40" s="22"/>
      <c r="C40" s="22"/>
      <c r="D40" s="26">
        <f>+F9+F35</f>
        <v>8053408792</v>
      </c>
      <c r="E40" s="26">
        <f>+G9+G35</f>
        <v>5927994978.9400005</v>
      </c>
      <c r="F40" s="35">
        <f>+E40/D40*100</f>
        <v>73.608519473501488</v>
      </c>
      <c r="G40" s="31">
        <v>8.3333333333333339</v>
      </c>
      <c r="H40" s="30"/>
      <c r="I40" s="30"/>
      <c r="J40" s="30">
        <f>+J39/F17*100</f>
        <v>1128.6696490659756</v>
      </c>
      <c r="K40" s="32"/>
    </row>
    <row r="41" spans="1:11" hidden="1" x14ac:dyDescent="0.25">
      <c r="A41" s="22" t="s">
        <v>32</v>
      </c>
      <c r="B41" s="22"/>
      <c r="C41" s="22"/>
      <c r="D41" s="26">
        <f>+F14+F31</f>
        <v>1611548671</v>
      </c>
      <c r="E41" s="26">
        <f>+G14+G31</f>
        <v>558022415</v>
      </c>
      <c r="F41" s="35">
        <f t="shared" ref="F41:F44" si="10">+E41/D41*100</f>
        <v>34.62646986973936</v>
      </c>
      <c r="G41" s="31">
        <f>+G40*9</f>
        <v>75</v>
      </c>
      <c r="H41" s="30"/>
      <c r="I41" s="30"/>
      <c r="J41" s="30"/>
      <c r="K41" s="32"/>
    </row>
    <row r="42" spans="1:11" hidden="1" x14ac:dyDescent="0.25">
      <c r="A42" s="22" t="s">
        <v>33</v>
      </c>
      <c r="B42" s="22"/>
      <c r="C42" s="22"/>
      <c r="D42" s="26">
        <f>+F15+F32</f>
        <v>1288833336</v>
      </c>
      <c r="E42" s="26">
        <f>+G15+G32</f>
        <v>343496255</v>
      </c>
      <c r="F42" s="35">
        <f t="shared" si="10"/>
        <v>26.65172023452379</v>
      </c>
      <c r="G42" s="31" t="s">
        <v>1</v>
      </c>
      <c r="H42" s="30"/>
      <c r="I42" s="30"/>
      <c r="J42" s="30"/>
      <c r="K42" s="32"/>
    </row>
    <row r="43" spans="1:11" hidden="1" x14ac:dyDescent="0.25">
      <c r="A43" s="22" t="s">
        <v>34</v>
      </c>
      <c r="B43" s="22"/>
      <c r="C43" s="22"/>
      <c r="D43" s="26">
        <f>+F19+F33</f>
        <v>4313670739</v>
      </c>
      <c r="E43" s="26">
        <f>+G19+G33</f>
        <v>1707643361</v>
      </c>
      <c r="F43" s="35">
        <f t="shared" si="10"/>
        <v>39.586780362283001</v>
      </c>
      <c r="G43" s="31">
        <f>+F38-F14</f>
        <v>17074055076</v>
      </c>
      <c r="H43" s="30"/>
      <c r="I43" s="30"/>
      <c r="J43" s="30"/>
      <c r="K43" s="32"/>
    </row>
    <row r="44" spans="1:11" hidden="1" x14ac:dyDescent="0.25">
      <c r="A44" s="22" t="s">
        <v>35</v>
      </c>
      <c r="B44" s="22"/>
      <c r="C44" s="22"/>
      <c r="D44" s="26">
        <f>+F34+F16</f>
        <v>546030192</v>
      </c>
      <c r="E44" s="26">
        <f>+G16+G34</f>
        <v>224522464</v>
      </c>
      <c r="F44" s="35">
        <f t="shared" si="10"/>
        <v>41.119056654654727</v>
      </c>
      <c r="G44" s="31">
        <f>+G43/12*9</f>
        <v>12805541307</v>
      </c>
      <c r="H44" s="30"/>
      <c r="I44" s="30"/>
      <c r="J44" s="30"/>
      <c r="K44" s="32"/>
    </row>
    <row r="45" spans="1:11" hidden="1" x14ac:dyDescent="0.25">
      <c r="A45" s="30"/>
      <c r="B45" s="30"/>
      <c r="C45" s="30"/>
      <c r="D45" s="30"/>
      <c r="E45" s="30"/>
      <c r="F45" s="36"/>
      <c r="G45" s="31">
        <f>+F14/3*2</f>
        <v>633321016</v>
      </c>
      <c r="H45" s="30"/>
      <c r="I45" s="30"/>
      <c r="J45" s="30"/>
      <c r="K45" s="32"/>
    </row>
    <row r="46" spans="1:11" hidden="1" x14ac:dyDescent="0.25">
      <c r="A46" s="30"/>
      <c r="B46" s="30"/>
      <c r="C46" s="30"/>
      <c r="D46" s="30"/>
      <c r="E46" s="30"/>
      <c r="F46" s="30"/>
      <c r="G46" s="31">
        <f>+G44+G45</f>
        <v>13438862323</v>
      </c>
      <c r="H46" s="30"/>
      <c r="I46" s="30"/>
      <c r="J46" s="30">
        <f>+G46/F38*100</f>
        <v>74.560780258291302</v>
      </c>
      <c r="K46" s="32"/>
    </row>
    <row r="47" spans="1:11" hidden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2"/>
    </row>
    <row r="48" spans="1:11" hidden="1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2">
        <f>75-81.34</f>
        <v>-6.3400000000000034</v>
      </c>
    </row>
    <row r="49" spans="1:11" hidden="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2"/>
    </row>
    <row r="50" spans="1:11" hidden="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2"/>
    </row>
    <row r="51" spans="1:11" hidden="1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2"/>
    </row>
    <row r="52" spans="1:11" hidden="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2"/>
    </row>
    <row r="53" spans="1:11" hidden="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2"/>
    </row>
    <row r="54" spans="1:11" hidden="1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2"/>
    </row>
    <row r="55" spans="1:11" hidden="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2"/>
    </row>
    <row r="56" spans="1:11" hidden="1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2"/>
    </row>
    <row r="57" spans="1:11" hidden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2"/>
    </row>
    <row r="58" spans="1:11" hidden="1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2"/>
    </row>
    <row r="59" spans="1:11" hidden="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2"/>
    </row>
    <row r="60" spans="1:11" hidden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2"/>
    </row>
    <row r="61" spans="1:11" hidden="1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2"/>
    </row>
    <row r="62" spans="1:11" hidden="1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2"/>
    </row>
    <row r="63" spans="1:11" hidden="1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2"/>
    </row>
    <row r="64" spans="1:11" hidden="1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2"/>
    </row>
    <row r="65" spans="1:11" hidden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2"/>
    </row>
    <row r="66" spans="1:11" hidden="1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2"/>
    </row>
    <row r="67" spans="1:11" hidden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2"/>
    </row>
    <row r="68" spans="1:11" hidden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2"/>
    </row>
    <row r="69" spans="1:11" hidden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2"/>
    </row>
    <row r="70" spans="1:11" hidden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2"/>
    </row>
    <row r="71" spans="1:11" hidden="1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2"/>
    </row>
    <row r="72" spans="1:11" hidden="1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2"/>
    </row>
    <row r="73" spans="1:11" hidden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2"/>
    </row>
    <row r="74" spans="1:11" hidden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2"/>
    </row>
    <row r="75" spans="1:11" hidden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2"/>
    </row>
    <row r="76" spans="1:11" hidden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2"/>
    </row>
    <row r="77" spans="1:11" hidden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2"/>
    </row>
    <row r="78" spans="1:11" hidden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2"/>
    </row>
    <row r="79" spans="1:11" hidden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2"/>
    </row>
    <row r="80" spans="1:11" hidden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2"/>
    </row>
    <row r="81" spans="1:11" hidden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2"/>
    </row>
    <row r="82" spans="1:11" hidden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2"/>
    </row>
    <row r="83" spans="1:11" hidden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2"/>
    </row>
    <row r="84" spans="1:11" hidden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2"/>
    </row>
    <row r="85" spans="1:11" hidden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2"/>
    </row>
    <row r="86" spans="1:11" hidden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2"/>
    </row>
    <row r="87" spans="1:11" hidden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2"/>
    </row>
    <row r="88" spans="1:11" hidden="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2"/>
    </row>
    <row r="89" spans="1:11" hidden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2"/>
    </row>
    <row r="90" spans="1:11" hidden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2"/>
    </row>
    <row r="91" spans="1:11" hidden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2"/>
    </row>
    <row r="92" spans="1:11" hidden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2"/>
    </row>
    <row r="93" spans="1:11" hidden="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2"/>
    </row>
    <row r="94" spans="1:11" hidden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2"/>
    </row>
    <row r="95" spans="1:11" hidden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2"/>
    </row>
    <row r="96" spans="1:11" hidden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2"/>
    </row>
    <row r="97" spans="1:11" hidden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2"/>
    </row>
    <row r="98" spans="1:11" hidden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2"/>
    </row>
    <row r="99" spans="1:11" hidden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2"/>
    </row>
    <row r="100" spans="1:11" hidden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2"/>
    </row>
    <row r="101" spans="1:11" hidden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2"/>
    </row>
    <row r="102" spans="1:11" hidden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2"/>
    </row>
    <row r="103" spans="1:11" hidden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2"/>
    </row>
    <row r="104" spans="1:11" hidden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2"/>
    </row>
    <row r="105" spans="1:11" hidden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2"/>
    </row>
    <row r="106" spans="1:11" hidden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2"/>
    </row>
    <row r="107" spans="1:11" hidden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2"/>
    </row>
    <row r="108" spans="1:11" hidden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2"/>
    </row>
    <row r="109" spans="1:11" hidden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2"/>
    </row>
    <row r="110" spans="1:11" hidden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2"/>
    </row>
    <row r="111" spans="1:11" hidden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2"/>
    </row>
    <row r="112" spans="1:11" hidden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2"/>
    </row>
    <row r="113" spans="1:11" hidden="1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2"/>
    </row>
    <row r="114" spans="1:11" hidden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2"/>
    </row>
    <row r="115" spans="1:11" hidden="1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2"/>
    </row>
    <row r="116" spans="1:11" hidden="1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2"/>
    </row>
    <row r="117" spans="1:11" hidden="1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2"/>
    </row>
    <row r="118" spans="1:11" hidden="1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2"/>
    </row>
    <row r="119" spans="1:11" hidden="1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2"/>
    </row>
    <row r="120" spans="1:11" hidden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2"/>
    </row>
    <row r="121" spans="1:11" hidden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2"/>
    </row>
    <row r="122" spans="1:11" hidden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2"/>
    </row>
    <row r="123" spans="1:11" hidden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2"/>
    </row>
    <row r="124" spans="1:11" hidden="1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2"/>
    </row>
    <row r="125" spans="1:11" hidden="1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2"/>
    </row>
    <row r="126" spans="1:11" hidden="1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2"/>
    </row>
    <row r="127" spans="1:11" hidden="1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2"/>
    </row>
    <row r="128" spans="1:11" hidden="1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2"/>
    </row>
    <row r="129" spans="1:11" hidden="1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2"/>
    </row>
    <row r="130" spans="1:11" hidden="1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2"/>
    </row>
    <row r="131" spans="1:11" hidden="1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2"/>
    </row>
    <row r="132" spans="1:11" hidden="1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2"/>
    </row>
    <row r="133" spans="1:11" hidden="1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2"/>
    </row>
    <row r="134" spans="1:11" hidden="1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2"/>
    </row>
    <row r="135" spans="1:11" hidden="1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2"/>
    </row>
    <row r="136" spans="1:11" hidden="1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2"/>
    </row>
    <row r="137" spans="1:11" hidden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2"/>
    </row>
    <row r="138" spans="1:11" hidden="1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2"/>
    </row>
    <row r="139" spans="1:11" hidden="1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2"/>
    </row>
    <row r="140" spans="1:11" hidden="1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2"/>
    </row>
    <row r="141" spans="1:11" hidden="1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2"/>
    </row>
    <row r="142" spans="1:11" hidden="1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2"/>
    </row>
    <row r="143" spans="1:11" hidden="1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2"/>
    </row>
    <row r="144" spans="1:11" hidden="1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2"/>
    </row>
    <row r="145" spans="1:11" hidden="1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2"/>
    </row>
    <row r="146" spans="1:11" hidden="1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2"/>
    </row>
    <row r="147" spans="1:11" hidden="1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2"/>
    </row>
    <row r="148" spans="1:11" hidden="1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2"/>
    </row>
    <row r="149" spans="1:11" hidden="1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2"/>
    </row>
    <row r="150" spans="1:11" hidden="1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2"/>
    </row>
    <row r="151" spans="1:11" hidden="1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2"/>
    </row>
    <row r="152" spans="1:11" hidden="1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2"/>
    </row>
    <row r="153" spans="1:11" hidden="1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2"/>
    </row>
    <row r="154" spans="1:11" hidden="1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2"/>
    </row>
    <row r="155" spans="1:11" hidden="1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2"/>
    </row>
    <row r="156" spans="1:11" hidden="1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2"/>
    </row>
    <row r="157" spans="1:11" hidden="1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2"/>
    </row>
    <row r="158" spans="1:11" hidden="1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2"/>
    </row>
    <row r="159" spans="1:11" hidden="1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2"/>
    </row>
    <row r="160" spans="1:11" hidden="1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2"/>
    </row>
    <row r="161" spans="1:11" hidden="1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2"/>
    </row>
    <row r="162" spans="1:11" hidden="1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2"/>
    </row>
    <row r="163" spans="1:11" hidden="1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2"/>
    </row>
    <row r="164" spans="1:11" hidden="1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2"/>
    </row>
    <row r="165" spans="1:11" hidden="1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2"/>
    </row>
    <row r="166" spans="1:11" hidden="1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2"/>
    </row>
    <row r="167" spans="1:11" hidden="1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2"/>
    </row>
    <row r="168" spans="1:11" hidden="1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2"/>
    </row>
    <row r="169" spans="1:11" hidden="1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2"/>
    </row>
    <row r="170" spans="1:11" hidden="1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2"/>
    </row>
    <row r="171" spans="1:11" hidden="1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2"/>
    </row>
    <row r="172" spans="1:11" hidden="1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2"/>
    </row>
    <row r="173" spans="1:11" hidden="1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2"/>
    </row>
    <row r="174" spans="1:11" hidden="1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2"/>
    </row>
    <row r="175" spans="1:11" hidden="1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2"/>
    </row>
    <row r="176" spans="1:11" hidden="1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2"/>
    </row>
    <row r="177" spans="1:11" hidden="1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2"/>
    </row>
    <row r="178" spans="1:11" hidden="1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2"/>
    </row>
    <row r="179" spans="1:11" hidden="1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2"/>
    </row>
    <row r="180" spans="1:11" hidden="1" x14ac:dyDescent="0.25">
      <c r="A180" s="36"/>
      <c r="B180" s="36"/>
      <c r="C180" s="36"/>
      <c r="D180" s="36"/>
      <c r="E180" s="36">
        <f>+E37/D37*100</f>
        <v>55.760162933047411</v>
      </c>
      <c r="F180" s="36">
        <v>1798748000</v>
      </c>
      <c r="G180" s="36"/>
      <c r="H180" s="36"/>
      <c r="I180" s="36"/>
      <c r="J180" s="36"/>
      <c r="K180" s="32"/>
    </row>
    <row r="181" spans="1:11" hidden="1" x14ac:dyDescent="0.25">
      <c r="A181" s="36"/>
      <c r="B181" s="36"/>
      <c r="C181" s="36"/>
      <c r="D181" s="36"/>
      <c r="E181" s="36" t="s">
        <v>1</v>
      </c>
      <c r="F181" s="36">
        <f>+F180-39071290</f>
        <v>1759676710</v>
      </c>
      <c r="G181" s="36">
        <f>1510997480+1526229045+17032249.8</f>
        <v>3054258774.8000002</v>
      </c>
      <c r="H181" s="36"/>
      <c r="I181" s="36"/>
      <c r="J181" s="36"/>
      <c r="K181" s="32">
        <f>+F181+F185</f>
        <v>3405425378</v>
      </c>
    </row>
    <row r="182" spans="1:11" hidden="1" x14ac:dyDescent="0.25">
      <c r="A182" s="36"/>
      <c r="B182" s="36"/>
      <c r="C182" s="36"/>
      <c r="D182" s="36"/>
      <c r="E182" s="36"/>
      <c r="F182" s="36">
        <f>+F180-F181</f>
        <v>39071290</v>
      </c>
      <c r="G182" s="36">
        <v>29698354288.990002</v>
      </c>
      <c r="H182" s="36"/>
      <c r="I182" s="36"/>
      <c r="J182" s="36"/>
      <c r="K182" s="32">
        <f>+K181-F36</f>
        <v>125123378</v>
      </c>
    </row>
    <row r="183" spans="1:11" hidden="1" x14ac:dyDescent="0.25">
      <c r="A183" s="36"/>
      <c r="B183" s="36"/>
      <c r="C183" s="36"/>
      <c r="D183" s="36"/>
      <c r="E183" s="36"/>
      <c r="F183" s="36">
        <v>1900000000</v>
      </c>
      <c r="G183" s="36">
        <f>+G182-G37</f>
        <v>9048991774.8500023</v>
      </c>
      <c r="H183" s="36"/>
      <c r="I183" s="36"/>
      <c r="J183" s="36"/>
      <c r="K183" s="32">
        <f>39071290+254251332</f>
        <v>293322622</v>
      </c>
    </row>
    <row r="184" spans="1:11" hidden="1" x14ac:dyDescent="0.25">
      <c r="A184" s="36"/>
      <c r="B184" s="36"/>
      <c r="C184" s="36"/>
      <c r="D184" s="36"/>
      <c r="E184" s="36"/>
      <c r="F184" s="36">
        <v>254251332</v>
      </c>
      <c r="G184" s="36">
        <f>+G183/G182*100</f>
        <v>30.469674133440833</v>
      </c>
      <c r="H184" s="36"/>
      <c r="I184" s="36"/>
      <c r="J184" s="36"/>
      <c r="K184" s="32"/>
    </row>
    <row r="185" spans="1:11" hidden="1" x14ac:dyDescent="0.25">
      <c r="A185" s="36"/>
      <c r="B185" s="36"/>
      <c r="C185" s="36"/>
      <c r="D185" s="36"/>
      <c r="E185" s="36"/>
      <c r="F185" s="36">
        <f>+F183-F184</f>
        <v>1645748668</v>
      </c>
      <c r="G185" s="36"/>
      <c r="H185" s="36"/>
      <c r="I185" s="36"/>
      <c r="J185" s="36"/>
      <c r="K185" s="32"/>
    </row>
    <row r="186" spans="1:11" hidden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2"/>
    </row>
    <row r="187" spans="1:11" hidden="1" x14ac:dyDescent="0.25">
      <c r="A187" s="36"/>
      <c r="B187" s="36"/>
      <c r="C187" s="36"/>
      <c r="D187" s="36"/>
      <c r="E187" s="36"/>
      <c r="F187" s="36">
        <f>+F181-1526229045-119808968-5900000.2-17032249.8</f>
        <v>90706447</v>
      </c>
      <c r="G187" s="36"/>
      <c r="H187" s="36"/>
      <c r="I187" s="36"/>
      <c r="J187" s="36"/>
      <c r="K187" s="32"/>
    </row>
    <row r="188" spans="1:11" hidden="1" x14ac:dyDescent="0.25">
      <c r="A188" s="36"/>
      <c r="B188" s="36"/>
      <c r="C188" s="36"/>
      <c r="D188" s="36"/>
      <c r="E188" s="36"/>
      <c r="F188" s="36">
        <f>+F185-1510997480-9062520</f>
        <v>125688668</v>
      </c>
      <c r="G188" s="36"/>
      <c r="H188" s="36"/>
      <c r="I188" s="36"/>
      <c r="J188" s="36"/>
      <c r="K188" s="32"/>
    </row>
    <row r="189" spans="1:11" hidden="1" x14ac:dyDescent="0.25">
      <c r="A189" s="36"/>
      <c r="B189" s="36"/>
      <c r="C189" s="36"/>
      <c r="D189" s="36"/>
      <c r="E189" s="36"/>
      <c r="F189" s="36">
        <f>+F187+F188</f>
        <v>216395115</v>
      </c>
      <c r="G189" s="36"/>
      <c r="H189" s="36"/>
      <c r="I189" s="36"/>
      <c r="J189" s="36"/>
      <c r="K189" s="32"/>
    </row>
    <row r="190" spans="1:11" hidden="1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2"/>
    </row>
    <row r="191" spans="1:11" hidden="1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2"/>
    </row>
    <row r="192" spans="1:11" hidden="1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2"/>
    </row>
    <row r="193" spans="1:11" hidden="1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2"/>
    </row>
    <row r="194" spans="1:11" hidden="1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2"/>
    </row>
    <row r="195" spans="1:11" hidden="1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2"/>
    </row>
    <row r="196" spans="1:11" hidden="1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2"/>
    </row>
    <row r="197" spans="1:11" hidden="1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2"/>
    </row>
    <row r="198" spans="1:11" hidden="1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2"/>
    </row>
    <row r="199" spans="1:11" hidden="1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2"/>
    </row>
    <row r="200" spans="1:11" x14ac:dyDescent="0.25">
      <c r="A200" s="36"/>
      <c r="B200" s="36"/>
      <c r="C200" s="36"/>
      <c r="D200" s="36" t="s">
        <v>1</v>
      </c>
      <c r="E200" s="36"/>
      <c r="F200" s="36" t="s">
        <v>1</v>
      </c>
      <c r="G200" s="36"/>
      <c r="H200" s="36"/>
      <c r="I200" s="36"/>
      <c r="J200" s="31"/>
      <c r="K200" s="32"/>
    </row>
    <row r="201" spans="1:11" ht="15.75" thickBot="1" x14ac:dyDescent="0.3">
      <c r="A201" s="36"/>
      <c r="B201" s="36"/>
      <c r="C201" s="36"/>
      <c r="D201" s="36" t="s">
        <v>1</v>
      </c>
      <c r="E201" s="36"/>
      <c r="F201" s="36" t="s">
        <v>1</v>
      </c>
      <c r="G201" s="36"/>
      <c r="H201" s="36"/>
      <c r="I201" s="36"/>
      <c r="J201" s="36"/>
      <c r="K201" s="32"/>
    </row>
    <row r="202" spans="1:11" x14ac:dyDescent="0.25">
      <c r="A202" s="48" t="s">
        <v>59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50"/>
    </row>
    <row r="203" spans="1:11" x14ac:dyDescent="0.25">
      <c r="A203" s="51"/>
      <c r="B203" s="35"/>
      <c r="C203" s="35"/>
      <c r="D203" s="45" t="s">
        <v>51</v>
      </c>
      <c r="E203" s="45"/>
      <c r="F203" s="45"/>
      <c r="G203" s="45" t="s">
        <v>52</v>
      </c>
      <c r="H203" s="45"/>
      <c r="I203" s="45"/>
      <c r="J203" s="45"/>
      <c r="K203" s="52"/>
    </row>
    <row r="204" spans="1:11" x14ac:dyDescent="0.25">
      <c r="A204" s="53" t="s">
        <v>37</v>
      </c>
      <c r="B204" s="35"/>
      <c r="C204" s="35"/>
      <c r="D204" s="46" t="s">
        <v>38</v>
      </c>
      <c r="E204" s="46" t="s">
        <v>53</v>
      </c>
      <c r="F204" s="46" t="s">
        <v>58</v>
      </c>
      <c r="G204" s="46" t="s">
        <v>38</v>
      </c>
      <c r="H204" s="35"/>
      <c r="I204" s="35"/>
      <c r="J204" s="46" t="s">
        <v>39</v>
      </c>
      <c r="K204" s="54" t="s">
        <v>57</v>
      </c>
    </row>
    <row r="205" spans="1:11" x14ac:dyDescent="0.25">
      <c r="A205" s="51"/>
      <c r="B205" s="35"/>
      <c r="C205" s="35"/>
      <c r="D205" s="35"/>
      <c r="E205" s="35"/>
      <c r="F205" s="35"/>
      <c r="G205" s="35"/>
      <c r="H205" s="35"/>
      <c r="I205" s="35"/>
      <c r="J205" s="47"/>
      <c r="K205" s="55"/>
    </row>
    <row r="206" spans="1:11" x14ac:dyDescent="0.25">
      <c r="A206" s="51" t="s">
        <v>50</v>
      </c>
      <c r="B206" s="35"/>
      <c r="C206" s="35"/>
      <c r="D206" s="35">
        <f>+D14</f>
        <v>949981524</v>
      </c>
      <c r="E206" s="35">
        <v>258973771</v>
      </c>
      <c r="F206" s="35">
        <f>+E206/D206*100</f>
        <v>27.260927129357519</v>
      </c>
      <c r="G206" s="35">
        <f>+F31</f>
        <v>661567147</v>
      </c>
      <c r="H206" s="35"/>
      <c r="I206" s="35"/>
      <c r="J206" s="47">
        <v>378809696</v>
      </c>
      <c r="K206" s="55">
        <f>+J206/G206*100</f>
        <v>57.259447921164686</v>
      </c>
    </row>
    <row r="207" spans="1:11" x14ac:dyDescent="0.25">
      <c r="A207" s="51" t="s">
        <v>54</v>
      </c>
      <c r="B207" s="35"/>
      <c r="C207" s="35"/>
      <c r="D207" s="35">
        <f>+D15</f>
        <v>919346208</v>
      </c>
      <c r="E207" s="35">
        <v>256370753</v>
      </c>
      <c r="F207" s="35">
        <f>+E207/D207*100</f>
        <v>27.886203344192179</v>
      </c>
      <c r="G207" s="35">
        <f>+F32</f>
        <v>369487128</v>
      </c>
      <c r="H207" s="35"/>
      <c r="I207" s="35"/>
      <c r="J207" s="47">
        <f>95987649-1399714</f>
        <v>94587935</v>
      </c>
      <c r="K207" s="55">
        <f>+J207/G207*100</f>
        <v>25.599791665814131</v>
      </c>
    </row>
    <row r="208" spans="1:11" x14ac:dyDescent="0.25">
      <c r="A208" s="51" t="s">
        <v>55</v>
      </c>
      <c r="B208" s="35"/>
      <c r="C208" s="35"/>
      <c r="D208" s="35">
        <f>+D19</f>
        <v>3461573029</v>
      </c>
      <c r="E208" s="35">
        <v>852889658</v>
      </c>
      <c r="F208" s="35">
        <f>+E208/D208*100</f>
        <v>24.638788517669607</v>
      </c>
      <c r="G208" s="35">
        <f>+F33</f>
        <v>852097710</v>
      </c>
      <c r="H208" s="35"/>
      <c r="I208" s="35"/>
      <c r="J208" s="47">
        <v>854753703</v>
      </c>
      <c r="K208" s="55">
        <f>+J208/G208*100</f>
        <v>100.31170052082408</v>
      </c>
    </row>
    <row r="209" spans="1:11" x14ac:dyDescent="0.25">
      <c r="A209" s="51" t="s">
        <v>56</v>
      </c>
      <c r="B209" s="35"/>
      <c r="C209" s="35"/>
      <c r="D209" s="35">
        <f>+D9</f>
        <v>7504817620</v>
      </c>
      <c r="E209" s="35">
        <f>2277930494-3284332+1880773274</f>
        <v>4155419436</v>
      </c>
      <c r="F209" s="35">
        <f>+E209/D209*100</f>
        <v>55.370025580981405</v>
      </c>
      <c r="G209" s="35">
        <f>+F35</f>
        <v>548591172</v>
      </c>
      <c r="H209" s="35"/>
      <c r="I209" s="35"/>
      <c r="J209" s="47">
        <v>2131258634</v>
      </c>
      <c r="K209" s="55">
        <f>+J209/G209*100</f>
        <v>388.49670625031496</v>
      </c>
    </row>
    <row r="210" spans="1:11" ht="15.75" thickBot="1" x14ac:dyDescent="0.3">
      <c r="A210" s="56" t="s">
        <v>10</v>
      </c>
      <c r="B210" s="57"/>
      <c r="C210" s="57"/>
      <c r="D210" s="57">
        <f>+D16</f>
        <v>321630192</v>
      </c>
      <c r="E210" s="57">
        <v>79513197</v>
      </c>
      <c r="F210" s="57">
        <f>+E210/D210*100</f>
        <v>24.721931888782382</v>
      </c>
      <c r="G210" s="57">
        <f>+F34</f>
        <v>224400000</v>
      </c>
      <c r="H210" s="57"/>
      <c r="I210" s="57"/>
      <c r="J210" s="58">
        <v>161155334</v>
      </c>
      <c r="K210" s="59">
        <f>+J210/G210*100</f>
        <v>71.816102495543674</v>
      </c>
    </row>
    <row r="211" spans="1:11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2"/>
    </row>
    <row r="212" spans="1:11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2"/>
    </row>
    <row r="213" spans="1:11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2"/>
    </row>
    <row r="214" spans="1:11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2"/>
    </row>
    <row r="215" spans="1:11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2"/>
    </row>
    <row r="216" spans="1:11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2"/>
    </row>
    <row r="217" spans="1:11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2"/>
    </row>
    <row r="218" spans="1:11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2"/>
    </row>
    <row r="219" spans="1:11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2"/>
    </row>
    <row r="220" spans="1:11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2"/>
    </row>
    <row r="221" spans="1:11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2"/>
    </row>
    <row r="222" spans="1:11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2"/>
    </row>
    <row r="223" spans="1:11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2"/>
    </row>
    <row r="224" spans="1:11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2"/>
    </row>
    <row r="225" spans="1:11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2"/>
    </row>
    <row r="226" spans="1:11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2"/>
    </row>
    <row r="227" spans="1:11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2"/>
    </row>
    <row r="228" spans="1:11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2"/>
    </row>
  </sheetData>
  <mergeCells count="6">
    <mergeCell ref="A3:I3"/>
    <mergeCell ref="A1:K1"/>
    <mergeCell ref="A2:K2"/>
    <mergeCell ref="D203:F203"/>
    <mergeCell ref="G203:K203"/>
    <mergeCell ref="A202:K202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6"/>
    </sheetView>
  </sheetViews>
  <sheetFormatPr baseColWidth="10" defaultRowHeight="15" x14ac:dyDescent="0.25"/>
  <cols>
    <col min="1" max="1" width="12.42578125" bestFit="1" customWidth="1"/>
  </cols>
  <sheetData>
    <row r="1" spans="1:2" x14ac:dyDescent="0.25">
      <c r="A1" s="13">
        <f>166968136.3+1200135+241869793+13633313+1200135</f>
        <v>424871512.30000001</v>
      </c>
    </row>
    <row r="2" spans="1:2" x14ac:dyDescent="0.25">
      <c r="A2" s="7">
        <f>+B5</f>
        <v>477854426.80000001</v>
      </c>
      <c r="B2" s="7">
        <v>1200135</v>
      </c>
    </row>
    <row r="3" spans="1:2" x14ac:dyDescent="0.25">
      <c r="A3" s="7">
        <f>+[3]Hoja1!$G$30</f>
        <v>51846650.5</v>
      </c>
      <c r="B3">
        <v>175975755.30000001</v>
      </c>
    </row>
    <row r="4" spans="1:2" x14ac:dyDescent="0.25">
      <c r="A4" s="7">
        <f>+A2-A3</f>
        <v>426007776.30000001</v>
      </c>
      <c r="B4">
        <v>300678536.5</v>
      </c>
    </row>
    <row r="5" spans="1:2" x14ac:dyDescent="0.25">
      <c r="A5" s="7">
        <f>+A4+A3</f>
        <v>477854426.80000001</v>
      </c>
      <c r="B5" s="7">
        <f>SUM(B2:B4)</f>
        <v>477854426.80000001</v>
      </c>
    </row>
    <row r="6" spans="1:2" x14ac:dyDescent="0.25">
      <c r="B6" s="7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Vitelio Barrera Alvarez</dc:creator>
  <cp:lastModifiedBy>Vitelio Barrera Alvarez</cp:lastModifiedBy>
  <cp:lastPrinted>2015-07-22T19:46:03Z</cp:lastPrinted>
  <dcterms:created xsi:type="dcterms:W3CDTF">2014-03-26T14:38:10Z</dcterms:created>
  <dcterms:modified xsi:type="dcterms:W3CDTF">2015-07-24T12:37:16Z</dcterms:modified>
</cp:coreProperties>
</file>