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1"/>
  </bookViews>
  <sheets>
    <sheet name="CAUSACION PREDIAL" sheetId="1" r:id="rId1"/>
    <sheet name="INGRESOS" sheetId="2" r:id="rId2"/>
  </sheets>
  <externalReferences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<sst xmlns="http://schemas.openxmlformats.org/spreadsheetml/2006/main" count="191" uniqueCount="109">
  <si>
    <t>CORPORACION AUTONOMA REGIONAL DEL ALTO MAGDALENA CAM</t>
  </si>
  <si>
    <t xml:space="preserve"> </t>
  </si>
  <si>
    <t>MODIFICACIONES</t>
  </si>
  <si>
    <t>TRIBUTARIOS</t>
  </si>
  <si>
    <t>NO TRIBUTARIOS</t>
  </si>
  <si>
    <t>VENTA DE BIENES Y SERVICIOS</t>
  </si>
  <si>
    <t>RENDIMIENTOS FINANCIEROS</t>
  </si>
  <si>
    <t>INGRESOS</t>
  </si>
  <si>
    <t>MAYO</t>
  </si>
  <si>
    <t>EXCEDENTES FINANCIEROS</t>
  </si>
  <si>
    <t>PRESUPUESTO INICIAL</t>
  </si>
  <si>
    <t>EJECUTADO</t>
  </si>
  <si>
    <t>PRESUPUESTO DEFINITIVO</t>
  </si>
  <si>
    <t>ENERO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</si>
  <si>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</si>
  <si>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</si>
  <si>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</si>
  <si>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</si>
  <si>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</si>
  <si>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</si>
  <si>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</si>
  <si>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</si>
  <si>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</si>
  <si>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</si>
  <si>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INGRESOS CORRIENTES</t>
  </si>
  <si>
    <t>PREDIAL</t>
  </si>
  <si>
    <t>Neiva</t>
  </si>
  <si>
    <t>Municipios</t>
  </si>
  <si>
    <t>CHB</t>
  </si>
  <si>
    <t>TASAS</t>
  </si>
  <si>
    <t>TASAS RETRIBUTIVAS</t>
  </si>
  <si>
    <t>TASAS POR USO DEL RECURSO AGUA</t>
  </si>
  <si>
    <t>TASAS FORESTALES</t>
  </si>
  <si>
    <t>MULTAS Y SANCIONES</t>
  </si>
  <si>
    <t>VENTA DE BIENES PRODUCIDOS</t>
  </si>
  <si>
    <t>VENTA DE OTROS SERVICIOS</t>
  </si>
  <si>
    <t>LICENCIAS Y PERMISOS</t>
  </si>
  <si>
    <t>OTROS INGRESOS NO TRIBUTARIOS</t>
  </si>
  <si>
    <t>RECURSOS DE CAPITAL</t>
  </si>
  <si>
    <t>RECUPERACION CARTERA</t>
  </si>
  <si>
    <t>TOTAL INGRESOS PROPIOS</t>
  </si>
  <si>
    <t>APORTES DE OTRAS ENTIDADES</t>
  </si>
  <si>
    <t>RECAUDOS ACUMULADOS</t>
  </si>
  <si>
    <t>CAUSACIONES</t>
  </si>
  <si>
    <t xml:space="preserve">  </t>
  </si>
  <si>
    <t>TOTAL</t>
  </si>
  <si>
    <t>NEIVA</t>
  </si>
  <si>
    <t>VITELIO BARRERA ALVAREZ</t>
  </si>
  <si>
    <t>Contador</t>
  </si>
  <si>
    <t>RECAUDOS MES</t>
  </si>
  <si>
    <t>RECAUDOS DEL MES</t>
  </si>
  <si>
    <t>PHILIPS MORRIS</t>
  </si>
  <si>
    <t>INGEOMINAS</t>
  </si>
  <si>
    <t>TASA RETRIBUTIVA</t>
  </si>
  <si>
    <t>SALDO POR EJECUTAR</t>
  </si>
  <si>
    <t>CRC</t>
  </si>
  <si>
    <t>CORTOLIMA</t>
  </si>
  <si>
    <t>DEPARTAMENTO DEL HUILA</t>
  </si>
  <si>
    <t>MUNICIPIO DE NEIVA</t>
  </si>
  <si>
    <t>CAUSACION SOBRETASA PREDIAL MUNICIPIOS</t>
  </si>
  <si>
    <t>VIGENCIA 2009</t>
  </si>
  <si>
    <t>MUNICIPIO</t>
  </si>
  <si>
    <t>VALOR</t>
  </si>
  <si>
    <t>SUAZA</t>
  </si>
  <si>
    <t>RIVERA</t>
  </si>
  <si>
    <t>YAGUARA</t>
  </si>
  <si>
    <t>LA ARGENTINA</t>
  </si>
  <si>
    <t>TARQUI</t>
  </si>
  <si>
    <t>HOBO</t>
  </si>
  <si>
    <t>TIMANA</t>
  </si>
  <si>
    <t>BARAYA</t>
  </si>
  <si>
    <t>NATAGA</t>
  </si>
  <si>
    <t>TESALIA</t>
  </si>
  <si>
    <t>COLOMBIA</t>
  </si>
  <si>
    <t>GARZON</t>
  </si>
  <si>
    <t>VILLAVIEJA</t>
  </si>
  <si>
    <t>TELLO</t>
  </si>
  <si>
    <t>AIPE</t>
  </si>
  <si>
    <t>CAMPOALEGRE</t>
  </si>
  <si>
    <t>GIGANTE</t>
  </si>
  <si>
    <t>ALTAMIRA</t>
  </si>
  <si>
    <t>GUADALUPE</t>
  </si>
  <si>
    <t>ACEVEDO</t>
  </si>
  <si>
    <t>PITALITO</t>
  </si>
  <si>
    <t>SAN AGUSTIN</t>
  </si>
  <si>
    <t>PALERMO</t>
  </si>
  <si>
    <t>SANTA MARIA</t>
  </si>
  <si>
    <t>TERUEL</t>
  </si>
  <si>
    <t>IQUIRA</t>
  </si>
  <si>
    <t>LA PLATA</t>
  </si>
  <si>
    <t>AGRADO</t>
  </si>
  <si>
    <t>PITAL</t>
  </si>
  <si>
    <t>ISNOS</t>
  </si>
  <si>
    <t>PALESTINA</t>
  </si>
  <si>
    <t>ELIAS</t>
  </si>
  <si>
    <t>OPORAPA</t>
  </si>
  <si>
    <t>SALADOBLANCO</t>
  </si>
  <si>
    <t>PAICOL</t>
  </si>
  <si>
    <t>ALGECIRAS</t>
  </si>
  <si>
    <t>RECAUDOS ACUMULADOS MAS CAUSACIONES</t>
  </si>
  <si>
    <t>% DE EJEUCION</t>
  </si>
  <si>
    <t>TOTAL INGRESOS  2009</t>
  </si>
  <si>
    <t>REY ARIEL BORBON ARDILA</t>
  </si>
  <si>
    <t>Director General</t>
  </si>
  <si>
    <t>Profesional Especializado-Contador</t>
  </si>
  <si>
    <t>T.P. 31.683-T</t>
  </si>
  <si>
    <t>CORPORACIÓN AUTÓNOMA REGIONAL DEL ALTO MAGDALENA CAM</t>
  </si>
  <si>
    <t>EJECUCIÓN DE INGRESOS 2009</t>
  </si>
  <si>
    <t>INGRESOS NACIÓN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</si>
</sst>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;[Red]0.00"/>
    <numFmt numFmtId="173" formatCode="#,##0.00;[Red]#,##0.00"/>
    <numFmt numFmtId="174" formatCode="#,##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" fontId="0" fillId="0" borderId="0" xfId="0" applyNumberFormat="1" applyFill="1" applyAlignment="1">
      <alignment/>
    </xf>
    <xf numFmtId="4" fontId="1" fillId="0" borderId="0" xfId="0" applyNumberFormat="1" applyFont="1" applyAlignment="1">
      <alignment/>
    </xf>
    <xf numFmtId="17" fontId="1" fillId="0" borderId="0" xfId="0" applyNumberFormat="1" applyFont="1" applyFill="1" applyAlignment="1">
      <alignment horizont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4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Border="1" applyAlignment="1">
      <alignment/>
    </xf>
    <xf numFmtId="0" fontId="1" fillId="0" borderId="4" xfId="0" applyFont="1" applyFill="1" applyBorder="1" applyAlignment="1">
      <alignment/>
    </xf>
    <xf numFmtId="4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4" fontId="1" fillId="0" borderId="5" xfId="0" applyNumberFormat="1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BYG\Escritorio\Cam Logo 75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0</xdr:row>
      <xdr:rowOff>38100</xdr:rowOff>
    </xdr:from>
    <xdr:to>
      <xdr:col>1</xdr:col>
      <xdr:colOff>1028700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219450" y="38100"/>
          <a:ext cx="409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O%202.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barrera\Configuraci&#243;n%20local\Archivos%20temporales%20de%20Internet\OLK3\INGRESOS-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barrera\Configuraci&#243;n%20local\Archivos%20temporales%20de%20Internet\OLK1\INGRESOS-2009%20(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EJECUIN%20PRESUPUESTAL2009GASTOS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STEO"/>
      <sheetName val="anexos"/>
      <sheetName val="ingresos"/>
      <sheetName val="fuentes  y usos"/>
      <sheetName val="COMPARATIVO"/>
      <sheetName val="INGRESOS 2009"/>
      <sheetName val="COMPOSICION D EINGRESOS"/>
      <sheetName val="INGRESOS PROPIOS2009"/>
      <sheetName val="SOBRETASA2009"/>
      <sheetName val="VENTA BIENES SERVICIOS2009"/>
      <sheetName val="RECUPERACION CARTERA 2009"/>
      <sheetName val="GASTOS 2009"/>
      <sheetName val="COMPOSICION GOS 2009"/>
      <sheetName val="GTOSD FUNCIONAMIENTO"/>
      <sheetName val="COMAPRATIVO2008-2009"/>
      <sheetName val="COMPOSICION GASTOS2009"/>
      <sheetName val="tablas"/>
      <sheetName val="Hoja16"/>
    </sheetNames>
    <sheetDataSet>
      <sheetData sheetId="2">
        <row r="10">
          <cell r="C10">
            <v>2232678000</v>
          </cell>
        </row>
        <row r="11">
          <cell r="C11">
            <v>1446900000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RO 09"/>
      <sheetName val="FEBRERO09"/>
      <sheetName val="MARZO08"/>
      <sheetName val="ABRIL08"/>
      <sheetName val="MAYO08"/>
      <sheetName val="JUNIO08"/>
      <sheetName val="JULIO08"/>
      <sheetName val="AGOSTO08"/>
      <sheetName val="SEPTIEMBRE08"/>
      <sheetName val="OCTUBRE08"/>
      <sheetName val="NOVIEMBRE08"/>
      <sheetName val="DICIEMBRE06"/>
      <sheetName val="ENERO2008"/>
    </sheetNames>
    <sheetDataSet>
      <sheetData sheetId="0">
        <row r="32">
          <cell r="B32">
            <v>0</v>
          </cell>
        </row>
        <row r="44">
          <cell r="B44">
            <v>0</v>
          </cell>
        </row>
        <row r="98">
          <cell r="F9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O 09"/>
      <sheetName val="FEBRERO09"/>
      <sheetName val="MARZO09"/>
      <sheetName val="ABRIL09"/>
      <sheetName val="MAYO09"/>
      <sheetName val="T.U.A.2008"/>
      <sheetName val="JUNIO09"/>
      <sheetName val="JULIO09"/>
      <sheetName val="AGOSTO08"/>
      <sheetName val="SEPTIEMBRE08"/>
      <sheetName val="OCTUBRE08"/>
      <sheetName val="NOVIEMBRE08"/>
      <sheetName val="DICIEMBRE06"/>
      <sheetName val="ENERO2008"/>
    </sheetNames>
    <sheetDataSet>
      <sheetData sheetId="8">
        <row r="5">
          <cell r="B5">
            <v>8414491</v>
          </cell>
        </row>
        <row r="9">
          <cell r="B9">
            <v>3800000</v>
          </cell>
        </row>
        <row r="11">
          <cell r="B11">
            <v>2567869</v>
          </cell>
        </row>
        <row r="18">
          <cell r="B18">
            <v>43145</v>
          </cell>
        </row>
        <row r="24">
          <cell r="B24">
            <v>105810739</v>
          </cell>
        </row>
        <row r="27">
          <cell r="B27">
            <v>1246800</v>
          </cell>
        </row>
        <row r="33">
          <cell r="B33">
            <v>864000</v>
          </cell>
        </row>
        <row r="35">
          <cell r="B35">
            <v>12190</v>
          </cell>
        </row>
        <row r="39">
          <cell r="B39">
            <v>6890776</v>
          </cell>
        </row>
        <row r="57">
          <cell r="B57">
            <v>11798481</v>
          </cell>
        </row>
        <row r="60">
          <cell r="B60">
            <v>3208960</v>
          </cell>
        </row>
        <row r="65">
          <cell r="F65">
            <v>21159450</v>
          </cell>
          <cell r="G65">
            <v>47154877</v>
          </cell>
        </row>
        <row r="79">
          <cell r="B79">
            <v>150660473</v>
          </cell>
          <cell r="C79">
            <v>7500180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STOS"/>
    </sheetNames>
    <sheetDataSet>
      <sheetData sheetId="0">
        <row r="11">
          <cell r="G11">
            <v>1356355632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workbookViewId="0" topLeftCell="A27">
      <selection activeCell="C57" sqref="C57"/>
    </sheetView>
  </sheetViews>
  <sheetFormatPr defaultColWidth="11.421875" defaultRowHeight="12.75"/>
  <cols>
    <col min="1" max="1" width="17.28125" style="0" customWidth="1"/>
    <col min="3" max="3" width="16.28125" style="0" customWidth="1"/>
    <col min="5" max="5" width="14.00390625" style="0" customWidth="1"/>
    <col min="6" max="6" width="12.7109375" style="0" bestFit="1" customWidth="1"/>
  </cols>
  <sheetData>
    <row r="1" spans="1:5" ht="12.75">
      <c r="A1" s="35" t="s">
        <v>0</v>
      </c>
      <c r="B1" s="35"/>
      <c r="C1" s="35"/>
      <c r="D1" s="35"/>
      <c r="E1" s="35"/>
    </row>
    <row r="2" spans="1:5" ht="12.75">
      <c r="A2" s="35" t="s">
        <v>59</v>
      </c>
      <c r="B2" s="35"/>
      <c r="C2" s="35"/>
      <c r="D2" s="35"/>
      <c r="E2" s="35"/>
    </row>
    <row r="3" spans="1:5" ht="12.75">
      <c r="A3" s="35" t="s">
        <v>60</v>
      </c>
      <c r="B3" s="35"/>
      <c r="C3" s="35"/>
      <c r="D3" s="35"/>
      <c r="E3" s="35"/>
    </row>
    <row r="4" spans="1:3" ht="12.75">
      <c r="A4" s="12"/>
      <c r="B4" s="12"/>
      <c r="C4" s="12"/>
    </row>
    <row r="5" spans="1:3" ht="12.75">
      <c r="A5" s="11" t="s">
        <v>61</v>
      </c>
      <c r="B5" s="11"/>
      <c r="C5" s="11" t="s">
        <v>62</v>
      </c>
    </row>
    <row r="6" spans="3:9" ht="12.75">
      <c r="C6" s="1"/>
      <c r="D6" s="1"/>
      <c r="E6" s="1"/>
      <c r="F6" s="1"/>
      <c r="G6" s="1"/>
      <c r="H6" s="1"/>
      <c r="I6" s="1"/>
    </row>
    <row r="7" spans="1:9" ht="12.75">
      <c r="A7" t="s">
        <v>63</v>
      </c>
      <c r="C7" s="5">
        <v>281970</v>
      </c>
      <c r="D7" s="1"/>
      <c r="E7" s="1"/>
      <c r="F7" s="1"/>
      <c r="G7" s="1"/>
      <c r="H7" s="1"/>
      <c r="I7" s="1"/>
    </row>
    <row r="8" spans="1:9" ht="12.75">
      <c r="A8" t="s">
        <v>64</v>
      </c>
      <c r="C8" s="5">
        <v>4696300</v>
      </c>
      <c r="D8" s="1"/>
      <c r="E8" s="1"/>
      <c r="F8" s="1"/>
      <c r="G8" s="1"/>
      <c r="H8" s="1"/>
      <c r="I8" s="1"/>
    </row>
    <row r="9" spans="1:9" ht="12.75">
      <c r="A9" t="s">
        <v>65</v>
      </c>
      <c r="C9" s="5">
        <v>8214734</v>
      </c>
      <c r="D9" s="1"/>
      <c r="E9" s="1"/>
      <c r="F9" s="1"/>
      <c r="G9" s="1"/>
      <c r="H9" s="1"/>
      <c r="I9" s="1"/>
    </row>
    <row r="10" spans="1:9" ht="12.75">
      <c r="A10" t="s">
        <v>66</v>
      </c>
      <c r="C10" s="5">
        <v>436677</v>
      </c>
      <c r="D10" s="1"/>
      <c r="E10" s="1"/>
      <c r="F10" s="1"/>
      <c r="G10" s="1"/>
      <c r="H10" s="1"/>
      <c r="I10" s="1"/>
    </row>
    <row r="11" spans="1:9" ht="12.75">
      <c r="A11" t="s">
        <v>67</v>
      </c>
      <c r="C11" s="5">
        <v>7054315</v>
      </c>
      <c r="D11" s="1"/>
      <c r="E11" s="1"/>
      <c r="F11" s="1"/>
      <c r="G11" s="1"/>
      <c r="H11" s="1"/>
      <c r="I11" s="1"/>
    </row>
    <row r="12" spans="1:9" ht="12.75">
      <c r="A12" t="s">
        <v>68</v>
      </c>
      <c r="C12" s="5">
        <v>1188133</v>
      </c>
      <c r="D12" s="1"/>
      <c r="E12" s="1"/>
      <c r="F12" s="1"/>
      <c r="G12" s="1"/>
      <c r="H12" s="1"/>
      <c r="I12" s="1"/>
    </row>
    <row r="13" spans="1:9" ht="12.75">
      <c r="A13" t="s">
        <v>69</v>
      </c>
      <c r="C13" s="5">
        <v>4117182</v>
      </c>
      <c r="D13" s="1"/>
      <c r="E13" s="1"/>
      <c r="F13" s="1"/>
      <c r="G13" s="1"/>
      <c r="H13" s="1"/>
      <c r="I13" s="1"/>
    </row>
    <row r="14" spans="1:9" ht="12.75">
      <c r="A14" t="s">
        <v>70</v>
      </c>
      <c r="C14" s="5">
        <v>3849603</v>
      </c>
      <c r="D14" s="1"/>
      <c r="E14" s="1"/>
      <c r="F14" s="1"/>
      <c r="G14" s="1"/>
      <c r="H14" s="1"/>
      <c r="I14" s="1"/>
    </row>
    <row r="15" spans="1:9" ht="12.75">
      <c r="A15" t="s">
        <v>71</v>
      </c>
      <c r="C15" s="5">
        <v>718502</v>
      </c>
      <c r="D15" s="1"/>
      <c r="E15" s="1"/>
      <c r="F15" s="1"/>
      <c r="G15" s="1"/>
      <c r="H15" s="1"/>
      <c r="I15" s="1"/>
    </row>
    <row r="16" spans="1:9" ht="12.75">
      <c r="A16" t="s">
        <v>72</v>
      </c>
      <c r="C16" s="5">
        <v>2774110</v>
      </c>
      <c r="D16" s="1"/>
      <c r="E16" s="1"/>
      <c r="F16" s="1"/>
      <c r="G16" s="1"/>
      <c r="H16" s="1"/>
      <c r="I16" s="1"/>
    </row>
    <row r="17" spans="1:9" ht="12.75">
      <c r="A17" t="s">
        <v>73</v>
      </c>
      <c r="C17" s="5">
        <v>1429000</v>
      </c>
      <c r="D17" s="1"/>
      <c r="E17" s="1"/>
      <c r="F17" s="1">
        <f>+C17</f>
        <v>1429000</v>
      </c>
      <c r="G17" s="1"/>
      <c r="H17" s="1"/>
      <c r="I17" s="1"/>
    </row>
    <row r="18" spans="1:9" ht="12.75">
      <c r="A18" t="s">
        <v>74</v>
      </c>
      <c r="C18" s="5">
        <v>81793606</v>
      </c>
      <c r="D18" s="1"/>
      <c r="E18" s="1"/>
      <c r="F18" s="1" t="s">
        <v>1</v>
      </c>
      <c r="G18" s="1"/>
      <c r="H18" s="1"/>
      <c r="I18" s="1"/>
    </row>
    <row r="19" spans="1:9" ht="12.75">
      <c r="A19" t="s">
        <v>46</v>
      </c>
      <c r="C19" s="5">
        <v>146458285.73</v>
      </c>
      <c r="D19" s="1" t="s">
        <v>1</v>
      </c>
      <c r="E19" s="1" t="s">
        <v>1</v>
      </c>
      <c r="F19" s="1"/>
      <c r="G19" s="1"/>
      <c r="H19" s="1"/>
      <c r="I19" s="1"/>
    </row>
    <row r="20" spans="1:9" ht="12.75">
      <c r="A20" t="s">
        <v>85</v>
      </c>
      <c r="C20" s="5">
        <v>10749042</v>
      </c>
      <c r="D20" s="1" t="s">
        <v>1</v>
      </c>
      <c r="E20" s="1" t="s">
        <v>1</v>
      </c>
      <c r="F20" s="1"/>
      <c r="G20" s="1"/>
      <c r="H20" s="1"/>
      <c r="I20" s="1"/>
    </row>
    <row r="21" spans="1:9" ht="12.75">
      <c r="A21" t="s">
        <v>86</v>
      </c>
      <c r="C21" s="5">
        <v>2382211</v>
      </c>
      <c r="D21" s="1" t="s">
        <v>1</v>
      </c>
      <c r="E21" s="1"/>
      <c r="F21" s="1"/>
      <c r="G21" s="1"/>
      <c r="H21" s="1"/>
      <c r="I21" s="1"/>
    </row>
    <row r="22" spans="1:9" ht="12.75">
      <c r="A22" t="s">
        <v>87</v>
      </c>
      <c r="C22" s="5">
        <v>808596</v>
      </c>
      <c r="D22" s="1" t="s">
        <v>1</v>
      </c>
      <c r="E22" s="1"/>
      <c r="F22" s="1"/>
      <c r="G22" s="1"/>
      <c r="H22" s="1"/>
      <c r="I22" s="1"/>
    </row>
    <row r="23" spans="1:9" ht="12.75">
      <c r="A23" t="s">
        <v>88</v>
      </c>
      <c r="C23" s="5">
        <v>2364353</v>
      </c>
      <c r="D23" s="1" t="s">
        <v>1</v>
      </c>
      <c r="E23" s="1"/>
      <c r="F23" s="1">
        <f>+C23</f>
        <v>2364353</v>
      </c>
      <c r="G23" s="1"/>
      <c r="H23" s="1"/>
      <c r="I23" s="1"/>
    </row>
    <row r="24" spans="1:9" ht="12.75">
      <c r="A24" t="s">
        <v>89</v>
      </c>
      <c r="C24" s="5">
        <v>10760199</v>
      </c>
      <c r="D24" s="1" t="s">
        <v>1</v>
      </c>
      <c r="E24" s="1"/>
      <c r="F24" s="1"/>
      <c r="G24" s="1"/>
      <c r="H24" s="1"/>
      <c r="I24" s="1"/>
    </row>
    <row r="25" spans="1:9" ht="12.75">
      <c r="A25" t="s">
        <v>90</v>
      </c>
      <c r="C25" s="5">
        <v>2552582</v>
      </c>
      <c r="D25" s="1" t="s">
        <v>1</v>
      </c>
      <c r="E25" s="1">
        <f>+C25</f>
        <v>2552582</v>
      </c>
      <c r="F25" s="1"/>
      <c r="G25" s="1"/>
      <c r="H25" s="1"/>
      <c r="I25" s="1"/>
    </row>
    <row r="26" spans="1:9" ht="12.75">
      <c r="A26" t="s">
        <v>91</v>
      </c>
      <c r="C26" s="5">
        <v>4012321</v>
      </c>
      <c r="D26" s="1" t="s">
        <v>1</v>
      </c>
      <c r="E26" s="1"/>
      <c r="F26" s="1">
        <f>+C26</f>
        <v>4012321</v>
      </c>
      <c r="G26" s="1"/>
      <c r="H26" s="1"/>
      <c r="I26" s="1"/>
    </row>
    <row r="27" spans="1:9" ht="12.75">
      <c r="A27" t="s">
        <v>75</v>
      </c>
      <c r="C27" s="5">
        <v>5499558</v>
      </c>
      <c r="D27" s="1" t="s">
        <v>1</v>
      </c>
      <c r="E27" s="1"/>
      <c r="F27" s="1">
        <f>+C27</f>
        <v>5499558</v>
      </c>
      <c r="G27" s="1"/>
      <c r="H27" s="1"/>
      <c r="I27" s="1"/>
    </row>
    <row r="28" spans="1:9" ht="12.75">
      <c r="A28" t="s">
        <v>76</v>
      </c>
      <c r="C28" s="5">
        <v>3555900</v>
      </c>
      <c r="D28" s="1" t="s">
        <v>1</v>
      </c>
      <c r="E28" s="1"/>
      <c r="F28" s="1"/>
      <c r="G28" s="1"/>
      <c r="H28" s="1"/>
      <c r="I28" s="1"/>
    </row>
    <row r="29" spans="1:9" ht="12.75">
      <c r="A29" t="s">
        <v>77</v>
      </c>
      <c r="C29" s="5">
        <v>1494329</v>
      </c>
      <c r="D29" s="1" t="s">
        <v>1</v>
      </c>
      <c r="E29" s="1"/>
      <c r="F29" s="1"/>
      <c r="G29" s="1"/>
      <c r="H29" s="1"/>
      <c r="I29" s="1"/>
    </row>
    <row r="30" spans="1:9" ht="12.75">
      <c r="A30" t="s">
        <v>78</v>
      </c>
      <c r="C30" s="5">
        <v>13921988</v>
      </c>
      <c r="D30" s="1" t="s">
        <v>44</v>
      </c>
      <c r="E30" s="1"/>
      <c r="F30" s="1"/>
      <c r="G30" s="1"/>
      <c r="H30" s="1"/>
      <c r="I30" s="1"/>
    </row>
    <row r="31" spans="1:9" ht="12.75">
      <c r="A31" t="s">
        <v>79</v>
      </c>
      <c r="C31" s="5">
        <v>5666800</v>
      </c>
      <c r="D31" s="1" t="s">
        <v>1</v>
      </c>
      <c r="E31" s="1"/>
      <c r="F31" s="1"/>
      <c r="G31" s="1"/>
      <c r="H31" s="1"/>
      <c r="I31" s="1"/>
    </row>
    <row r="32" spans="1:9" ht="12.75">
      <c r="A32" t="s">
        <v>80</v>
      </c>
      <c r="C32" s="5">
        <v>7922549</v>
      </c>
      <c r="D32" s="1" t="s">
        <v>1</v>
      </c>
      <c r="E32" s="1" t="s">
        <v>1</v>
      </c>
      <c r="F32" s="1">
        <f>+C32</f>
        <v>7922549</v>
      </c>
      <c r="G32" s="1"/>
      <c r="H32" s="1"/>
      <c r="I32" s="1"/>
    </row>
    <row r="33" spans="1:9" ht="12.75">
      <c r="A33" t="s">
        <v>81</v>
      </c>
      <c r="C33" s="5">
        <v>2826069</v>
      </c>
      <c r="D33" s="1" t="s">
        <v>1</v>
      </c>
      <c r="E33" s="1">
        <f>+C33</f>
        <v>2826069</v>
      </c>
      <c r="F33" s="1" t="s">
        <v>1</v>
      </c>
      <c r="G33" s="1"/>
      <c r="H33" s="1"/>
      <c r="I33" s="1"/>
    </row>
    <row r="34" spans="1:9" ht="12.75">
      <c r="A34" t="s">
        <v>82</v>
      </c>
      <c r="C34" s="5">
        <v>435956</v>
      </c>
      <c r="D34" s="1" t="s">
        <v>1</v>
      </c>
      <c r="E34" s="1" t="s">
        <v>1</v>
      </c>
      <c r="F34" s="1"/>
      <c r="G34" s="1"/>
      <c r="H34" s="1"/>
      <c r="I34" s="1"/>
    </row>
    <row r="35" spans="1:9" ht="12.75">
      <c r="A35" t="s">
        <v>83</v>
      </c>
      <c r="C35" s="5">
        <v>1093211</v>
      </c>
      <c r="D35" s="1" t="s">
        <v>1</v>
      </c>
      <c r="E35" s="1">
        <f>+C35</f>
        <v>1093211</v>
      </c>
      <c r="F35" s="1"/>
      <c r="G35" s="1"/>
      <c r="H35" s="1"/>
      <c r="I35" s="1"/>
    </row>
    <row r="36" spans="1:9" ht="12.75">
      <c r="A36" t="s">
        <v>84</v>
      </c>
      <c r="C36" s="5">
        <v>47376948</v>
      </c>
      <c r="D36" s="1" t="s">
        <v>1</v>
      </c>
      <c r="E36" s="1" t="s">
        <v>1</v>
      </c>
      <c r="F36" s="1"/>
      <c r="G36" s="1"/>
      <c r="H36" s="1"/>
      <c r="I36" s="1"/>
    </row>
    <row r="37" spans="1:9" ht="12.75">
      <c r="A37" t="s">
        <v>92</v>
      </c>
      <c r="C37" s="5">
        <v>7793852</v>
      </c>
      <c r="D37" s="1" t="s">
        <v>1</v>
      </c>
      <c r="E37" s="1"/>
      <c r="F37" s="1"/>
      <c r="G37" s="1"/>
      <c r="H37" s="1"/>
      <c r="I37" s="1"/>
    </row>
    <row r="38" spans="1:9" ht="12.75">
      <c r="A38" t="s">
        <v>93</v>
      </c>
      <c r="C38" s="5">
        <v>1355633</v>
      </c>
      <c r="D38" s="1" t="s">
        <v>1</v>
      </c>
      <c r="E38" s="1"/>
      <c r="F38" s="1">
        <f>+C38</f>
        <v>1355633</v>
      </c>
      <c r="G38" s="1"/>
      <c r="H38" s="1"/>
      <c r="I38" s="1"/>
    </row>
    <row r="39" spans="1:9" ht="12.75">
      <c r="A39" t="s">
        <v>94</v>
      </c>
      <c r="C39" s="5">
        <f>7300002+6422937+2550248+1378940</f>
        <v>17652127</v>
      </c>
      <c r="D39" s="1" t="s">
        <v>1</v>
      </c>
      <c r="E39" s="1">
        <f>+C39</f>
        <v>17652127</v>
      </c>
      <c r="F39" s="1"/>
      <c r="G39" s="1"/>
      <c r="H39" s="1"/>
      <c r="I39" s="1"/>
    </row>
    <row r="40" spans="1:9" ht="12.75">
      <c r="A40" t="s">
        <v>95</v>
      </c>
      <c r="C40" s="5">
        <v>4356500</v>
      </c>
      <c r="D40" s="1" t="s">
        <v>1</v>
      </c>
      <c r="E40" s="1">
        <f>+C40</f>
        <v>4356500</v>
      </c>
      <c r="F40" s="1"/>
      <c r="G40" s="1"/>
      <c r="H40" s="1"/>
      <c r="I40" s="1"/>
    </row>
    <row r="41" spans="1:9" ht="12.75">
      <c r="A41" t="s">
        <v>96</v>
      </c>
      <c r="C41" s="5">
        <v>1214800</v>
      </c>
      <c r="D41" s="1" t="s">
        <v>1</v>
      </c>
      <c r="E41" s="1" t="s">
        <v>1</v>
      </c>
      <c r="F41" s="1">
        <f>+C41</f>
        <v>1214800</v>
      </c>
      <c r="G41" s="1"/>
      <c r="H41" s="1"/>
      <c r="I41" s="1"/>
    </row>
    <row r="42" spans="1:9" ht="12.75">
      <c r="A42" t="s">
        <v>97</v>
      </c>
      <c r="C42" s="5">
        <v>965245</v>
      </c>
      <c r="D42" s="1" t="s">
        <v>1</v>
      </c>
      <c r="E42" s="1"/>
      <c r="F42" s="1"/>
      <c r="G42" s="1"/>
      <c r="H42" s="1"/>
      <c r="I42" s="1"/>
    </row>
    <row r="43" spans="1:9" ht="12.75">
      <c r="A43" t="s">
        <v>98</v>
      </c>
      <c r="C43" s="5">
        <v>2606993</v>
      </c>
      <c r="D43" s="1" t="s">
        <v>1</v>
      </c>
      <c r="E43" s="1" t="s">
        <v>1</v>
      </c>
      <c r="F43" s="1"/>
      <c r="G43" s="1"/>
      <c r="H43" s="1"/>
      <c r="I43" s="1"/>
    </row>
    <row r="44" spans="1:9" ht="12.75">
      <c r="A44" t="s">
        <v>1</v>
      </c>
      <c r="C44" s="1"/>
      <c r="D44" s="1"/>
      <c r="E44" s="1"/>
      <c r="F44" s="1"/>
      <c r="G44" s="1"/>
      <c r="H44" s="1"/>
      <c r="I44" s="1"/>
    </row>
    <row r="45" spans="1:9" ht="12.75">
      <c r="A45" s="2" t="s">
        <v>45</v>
      </c>
      <c r="B45" s="2"/>
      <c r="C45" s="6">
        <f>SUM(C7:C43)</f>
        <v>422380179.73</v>
      </c>
      <c r="D45" s="1"/>
      <c r="E45" s="1"/>
      <c r="F45" s="1"/>
      <c r="G45" s="1"/>
      <c r="H45" s="1"/>
      <c r="I45" s="1"/>
    </row>
    <row r="46" spans="3:9" ht="12.75">
      <c r="C46" s="1" t="s">
        <v>1</v>
      </c>
      <c r="D46" s="1"/>
      <c r="E46" s="1"/>
      <c r="F46" s="1"/>
      <c r="G46" s="1"/>
      <c r="H46" s="1"/>
      <c r="I46" s="1"/>
    </row>
    <row r="47" spans="3:9" ht="12.75">
      <c r="C47" s="1" t="s">
        <v>1</v>
      </c>
      <c r="D47" s="1"/>
      <c r="E47" s="1"/>
      <c r="F47" s="1"/>
      <c r="G47" s="1"/>
      <c r="H47" s="1"/>
      <c r="I47" s="1"/>
    </row>
    <row r="48" spans="3:9" ht="12.75">
      <c r="C48" s="1"/>
      <c r="D48" s="1"/>
      <c r="E48" s="1"/>
      <c r="F48" s="1"/>
      <c r="G48" s="1"/>
      <c r="H48" s="1"/>
      <c r="I48" s="1"/>
    </row>
    <row r="49" spans="1:9" ht="12.75">
      <c r="A49" s="2" t="s">
        <v>47</v>
      </c>
      <c r="B49" s="2"/>
      <c r="C49" s="1"/>
      <c r="D49" s="1"/>
      <c r="E49" s="1"/>
      <c r="F49" s="1"/>
      <c r="G49" s="1"/>
      <c r="H49" s="1"/>
      <c r="I49" s="1"/>
    </row>
    <row r="50" spans="1:9" ht="12.75">
      <c r="A50" s="2" t="s">
        <v>48</v>
      </c>
      <c r="B50" s="2"/>
      <c r="C50" s="1"/>
      <c r="D50" s="1"/>
      <c r="E50" s="1"/>
      <c r="F50" s="1"/>
      <c r="G50" s="1"/>
      <c r="H50" s="1"/>
      <c r="I50" s="1"/>
    </row>
    <row r="51" spans="3:9" ht="12.75">
      <c r="C51" s="1"/>
      <c r="D51" s="1"/>
      <c r="E51" s="1"/>
      <c r="F51" s="1"/>
      <c r="G51" s="1"/>
      <c r="H51" s="1"/>
      <c r="I51" s="1"/>
    </row>
    <row r="52" spans="3:9" ht="12.75">
      <c r="C52" s="1">
        <v>3742195312.97</v>
      </c>
      <c r="D52" s="1"/>
      <c r="E52" s="1"/>
      <c r="F52" s="1"/>
      <c r="G52" s="1"/>
      <c r="H52" s="1"/>
      <c r="I52" s="1"/>
    </row>
    <row r="53" spans="3:9" ht="12.75">
      <c r="C53" s="1">
        <f>+C52-C45</f>
        <v>3319815133.24</v>
      </c>
      <c r="D53" s="1"/>
      <c r="E53" s="1"/>
      <c r="F53" s="1"/>
      <c r="G53" s="1"/>
      <c r="H53" s="1"/>
      <c r="I53" s="1"/>
    </row>
    <row r="54" spans="3:9" ht="12.75">
      <c r="C54" s="1">
        <v>2152308686.47</v>
      </c>
      <c r="D54" s="1"/>
      <c r="E54" s="1"/>
      <c r="F54" s="1"/>
      <c r="G54" s="1"/>
      <c r="H54" s="1"/>
      <c r="I54" s="1"/>
    </row>
    <row r="55" spans="3:9" ht="12.75">
      <c r="C55" s="1">
        <f>+C54-C19</f>
        <v>2005850400.7399998</v>
      </c>
      <c r="D55" s="1"/>
      <c r="E55" s="1"/>
      <c r="F55" s="1"/>
      <c r="G55" s="1"/>
      <c r="H55" s="1"/>
      <c r="I55" s="1"/>
    </row>
    <row r="56" spans="3:9" ht="12.75">
      <c r="C56" s="1">
        <f>+C53-C55</f>
        <v>1313964732.5</v>
      </c>
      <c r="D56" s="1"/>
      <c r="E56" s="1"/>
      <c r="F56" s="1"/>
      <c r="G56" s="1"/>
      <c r="H56" s="1"/>
      <c r="I56" s="1"/>
    </row>
    <row r="57" spans="3:9" ht="12.75">
      <c r="C57" s="1"/>
      <c r="D57" s="1"/>
      <c r="E57" s="1"/>
      <c r="F57" s="1"/>
      <c r="G57" s="1"/>
      <c r="H57" s="1"/>
      <c r="I57" s="1"/>
    </row>
    <row r="58" spans="3:9" ht="12.75">
      <c r="C58" s="1"/>
      <c r="D58" s="1"/>
      <c r="E58" s="1"/>
      <c r="F58" s="1"/>
      <c r="G58" s="1"/>
      <c r="H58" s="1"/>
      <c r="I58" s="1"/>
    </row>
    <row r="59" spans="3:9" ht="12.75">
      <c r="C59" s="1"/>
      <c r="D59" s="1"/>
      <c r="E59" s="1"/>
      <c r="F59" s="1"/>
      <c r="G59" s="1"/>
      <c r="H59" s="1"/>
      <c r="I59" s="1"/>
    </row>
    <row r="60" spans="3:9" ht="12.75">
      <c r="C60" s="1"/>
      <c r="D60" s="1"/>
      <c r="E60" s="1"/>
      <c r="F60" s="1"/>
      <c r="G60" s="1"/>
      <c r="H60" s="1"/>
      <c r="I60" s="1"/>
    </row>
    <row r="61" spans="3:9" ht="12.75">
      <c r="C61" s="1"/>
      <c r="D61" s="1"/>
      <c r="E61" s="1"/>
      <c r="F61" s="1"/>
      <c r="G61" s="1"/>
      <c r="H61" s="1"/>
      <c r="I61" s="1"/>
    </row>
    <row r="62" spans="3:9" ht="12.75">
      <c r="C62" s="1"/>
      <c r="D62" s="1"/>
      <c r="E62" s="1"/>
      <c r="F62" s="1"/>
      <c r="G62" s="1"/>
      <c r="H62" s="1"/>
      <c r="I62" s="1"/>
    </row>
    <row r="63" spans="3:9" ht="12.75">
      <c r="C63" s="1"/>
      <c r="D63" s="1"/>
      <c r="E63" s="1"/>
      <c r="F63" s="1"/>
      <c r="G63" s="1"/>
      <c r="H63" s="1"/>
      <c r="I63" s="1"/>
    </row>
    <row r="64" spans="3:9" ht="12.75">
      <c r="C64" s="1"/>
      <c r="D64" s="1"/>
      <c r="E64" s="1"/>
      <c r="F64" s="1"/>
      <c r="G64" s="1"/>
      <c r="H64" s="1"/>
      <c r="I64" s="1"/>
    </row>
    <row r="65" spans="3:9" ht="12.75">
      <c r="C65" s="1"/>
      <c r="D65" s="1"/>
      <c r="E65" s="1"/>
      <c r="F65" s="1"/>
      <c r="G65" s="1"/>
      <c r="H65" s="1"/>
      <c r="I65" s="1"/>
    </row>
    <row r="66" spans="3:9" ht="12.75">
      <c r="C66" s="1"/>
      <c r="D66" s="1"/>
      <c r="E66" s="1"/>
      <c r="F66" s="1"/>
      <c r="G66" s="1"/>
      <c r="H66" s="1"/>
      <c r="I66" s="1"/>
    </row>
    <row r="67" spans="3:9" ht="12.75">
      <c r="C67" s="1"/>
      <c r="D67" s="1"/>
      <c r="E67" s="1"/>
      <c r="F67" s="1"/>
      <c r="G67" s="1"/>
      <c r="H67" s="1"/>
      <c r="I67" s="1"/>
    </row>
    <row r="68" spans="3:9" ht="12.75">
      <c r="C68" s="1"/>
      <c r="D68" s="1"/>
      <c r="E68" s="1"/>
      <c r="F68" s="1"/>
      <c r="G68" s="1"/>
      <c r="H68" s="1"/>
      <c r="I68" s="1"/>
    </row>
    <row r="69" spans="3:9" ht="12.75">
      <c r="C69" s="1"/>
      <c r="D69" s="1"/>
      <c r="E69" s="1"/>
      <c r="F69" s="1"/>
      <c r="G69" s="1"/>
      <c r="H69" s="1"/>
      <c r="I69" s="1"/>
    </row>
    <row r="70" spans="3:9" ht="12.75">
      <c r="C70" s="1"/>
      <c r="D70" s="1"/>
      <c r="E70" s="1"/>
      <c r="F70" s="1"/>
      <c r="G70" s="1"/>
      <c r="H70" s="1"/>
      <c r="I70" s="1"/>
    </row>
    <row r="71" spans="3:9" ht="12.75">
      <c r="C71" s="1"/>
      <c r="D71" s="1"/>
      <c r="E71" s="1"/>
      <c r="F71" s="1"/>
      <c r="G71" s="1"/>
      <c r="H71" s="1"/>
      <c r="I71" s="1"/>
    </row>
    <row r="72" spans="3:9" ht="12.75">
      <c r="C72" s="1"/>
      <c r="D72" s="1"/>
      <c r="E72" s="1"/>
      <c r="F72" s="1"/>
      <c r="G72" s="1"/>
      <c r="H72" s="1"/>
      <c r="I72" s="1"/>
    </row>
    <row r="73" spans="3:9" ht="12.75">
      <c r="C73" s="1"/>
      <c r="D73" s="1"/>
      <c r="E73" s="1"/>
      <c r="F73" s="1"/>
      <c r="G73" s="1"/>
      <c r="H73" s="1"/>
      <c r="I73" s="1"/>
    </row>
    <row r="74" spans="3:9" ht="12.75">
      <c r="C74" s="1"/>
      <c r="D74" s="1"/>
      <c r="E74" s="1"/>
      <c r="F74" s="1"/>
      <c r="G74" s="1"/>
      <c r="H74" s="1"/>
      <c r="I74" s="1"/>
    </row>
    <row r="75" spans="3:9" ht="12.75">
      <c r="C75" s="1"/>
      <c r="D75" s="1"/>
      <c r="E75" s="1"/>
      <c r="F75" s="1"/>
      <c r="G75" s="1"/>
      <c r="H75" s="1"/>
      <c r="I75" s="1"/>
    </row>
    <row r="76" spans="3:9" ht="12.75">
      <c r="C76" s="1"/>
      <c r="D76" s="1"/>
      <c r="E76" s="1"/>
      <c r="F76" s="1"/>
      <c r="G76" s="1"/>
      <c r="H76" s="1"/>
      <c r="I76" s="1"/>
    </row>
    <row r="77" spans="3:9" ht="12.75">
      <c r="C77" s="1"/>
      <c r="D77" s="1"/>
      <c r="E77" s="1"/>
      <c r="F77" s="1"/>
      <c r="G77" s="1"/>
      <c r="H77" s="1"/>
      <c r="I77" s="1"/>
    </row>
    <row r="78" spans="3:9" ht="12.75">
      <c r="C78" s="1"/>
      <c r="D78" s="1"/>
      <c r="E78" s="1"/>
      <c r="F78" s="1"/>
      <c r="G78" s="1"/>
      <c r="H78" s="1"/>
      <c r="I78" s="1"/>
    </row>
    <row r="79" spans="3:9" ht="12.75">
      <c r="C79" s="1"/>
      <c r="D79" s="1"/>
      <c r="E79" s="1"/>
      <c r="F79" s="1"/>
      <c r="G79" s="1"/>
      <c r="H79" s="1"/>
      <c r="I79" s="1"/>
    </row>
    <row r="80" spans="3:9" ht="12.75">
      <c r="C80" s="1"/>
      <c r="D80" s="1"/>
      <c r="E80" s="1"/>
      <c r="F80" s="1"/>
      <c r="G80" s="1"/>
      <c r="H80" s="1"/>
      <c r="I80" s="1"/>
    </row>
    <row r="81" spans="3:9" ht="12.75">
      <c r="C81" s="1"/>
      <c r="D81" s="1"/>
      <c r="E81" s="1"/>
      <c r="F81" s="1"/>
      <c r="G81" s="1"/>
      <c r="H81" s="1"/>
      <c r="I81" s="1"/>
    </row>
    <row r="82" spans="3:9" ht="12.75">
      <c r="C82" s="1"/>
      <c r="D82" s="1"/>
      <c r="E82" s="1"/>
      <c r="F82" s="1"/>
      <c r="G82" s="1"/>
      <c r="H82" s="1"/>
      <c r="I82" s="1"/>
    </row>
    <row r="83" spans="3:9" ht="12.75">
      <c r="C83" s="1"/>
      <c r="D83" s="1"/>
      <c r="E83" s="1"/>
      <c r="F83" s="1"/>
      <c r="G83" s="1"/>
      <c r="H83" s="1"/>
      <c r="I83" s="1"/>
    </row>
    <row r="84" spans="3:9" ht="12.75">
      <c r="C84" s="1"/>
      <c r="D84" s="1"/>
      <c r="E84" s="1"/>
      <c r="F84" s="1"/>
      <c r="G84" s="1"/>
      <c r="H84" s="1"/>
      <c r="I84" s="1"/>
    </row>
    <row r="85" spans="3:9" ht="12.75">
      <c r="C85" s="1"/>
      <c r="D85" s="1"/>
      <c r="E85" s="1"/>
      <c r="F85" s="1"/>
      <c r="G85" s="1"/>
      <c r="H85" s="1"/>
      <c r="I85" s="1"/>
    </row>
    <row r="86" spans="3:9" ht="12.75">
      <c r="C86" s="1"/>
      <c r="D86" s="1"/>
      <c r="E86" s="1"/>
      <c r="F86" s="1"/>
      <c r="G86" s="1"/>
      <c r="H86" s="1"/>
      <c r="I86" s="1"/>
    </row>
    <row r="87" spans="3:9" ht="12.75">
      <c r="C87" s="1"/>
      <c r="D87" s="1"/>
      <c r="E87" s="1"/>
      <c r="F87" s="1"/>
      <c r="G87" s="1"/>
      <c r="H87" s="1"/>
      <c r="I87" s="1"/>
    </row>
    <row r="88" spans="3:9" ht="12.75">
      <c r="C88" s="1"/>
      <c r="D88" s="1"/>
      <c r="E88" s="1"/>
      <c r="F88" s="1"/>
      <c r="G88" s="1"/>
      <c r="H88" s="1"/>
      <c r="I88" s="1"/>
    </row>
    <row r="89" spans="3:9" ht="12.75">
      <c r="C89" s="1"/>
      <c r="D89" s="1"/>
      <c r="E89" s="1"/>
      <c r="F89" s="1"/>
      <c r="G89" s="1"/>
      <c r="H89" s="1"/>
      <c r="I89" s="1"/>
    </row>
    <row r="90" spans="3:9" ht="12.75">
      <c r="C90" s="1"/>
      <c r="D90" s="1"/>
      <c r="E90" s="1"/>
      <c r="F90" s="1"/>
      <c r="G90" s="1"/>
      <c r="H90" s="1"/>
      <c r="I90" s="1"/>
    </row>
    <row r="91" spans="3:9" ht="12.75">
      <c r="C91" s="1"/>
      <c r="D91" s="1"/>
      <c r="E91" s="1"/>
      <c r="F91" s="1"/>
      <c r="G91" s="1"/>
      <c r="H91" s="1"/>
      <c r="I91" s="1"/>
    </row>
    <row r="92" spans="3:9" ht="12.75">
      <c r="C92" s="1"/>
      <c r="D92" s="1"/>
      <c r="E92" s="1"/>
      <c r="F92" s="1"/>
      <c r="G92" s="1"/>
      <c r="H92" s="1"/>
      <c r="I92" s="1"/>
    </row>
    <row r="93" spans="3:9" ht="12.75">
      <c r="C93" s="1"/>
      <c r="D93" s="1"/>
      <c r="E93" s="1"/>
      <c r="F93" s="1"/>
      <c r="G93" s="1"/>
      <c r="H93" s="1"/>
      <c r="I93" s="1"/>
    </row>
    <row r="94" spans="3:9" ht="12.75">
      <c r="C94" s="1"/>
      <c r="D94" s="1"/>
      <c r="E94" s="1"/>
      <c r="F94" s="1"/>
      <c r="G94" s="1"/>
      <c r="H94" s="1"/>
      <c r="I94" s="1"/>
    </row>
    <row r="95" spans="3:9" ht="12.75">
      <c r="C95" s="1"/>
      <c r="D95" s="1"/>
      <c r="E95" s="1"/>
      <c r="F95" s="1"/>
      <c r="G95" s="1"/>
      <c r="H95" s="1"/>
      <c r="I95" s="1"/>
    </row>
    <row r="96" spans="3:9" ht="12.75">
      <c r="C96" s="1"/>
      <c r="D96" s="1"/>
      <c r="E96" s="1"/>
      <c r="F96" s="1"/>
      <c r="G96" s="1"/>
      <c r="H96" s="1"/>
      <c r="I96" s="1"/>
    </row>
    <row r="97" spans="3:9" ht="12.75">
      <c r="C97" s="1"/>
      <c r="D97" s="1"/>
      <c r="E97" s="1"/>
      <c r="F97" s="1"/>
      <c r="G97" s="1"/>
      <c r="H97" s="1"/>
      <c r="I97" s="1"/>
    </row>
    <row r="98" spans="3:9" ht="12.75">
      <c r="C98" s="1"/>
      <c r="D98" s="1"/>
      <c r="E98" s="1"/>
      <c r="F98" s="1"/>
      <c r="G98" s="1"/>
      <c r="H98" s="1"/>
      <c r="I98" s="1"/>
    </row>
    <row r="99" spans="3:9" ht="12.75">
      <c r="C99" s="1"/>
      <c r="D99" s="1"/>
      <c r="E99" s="1"/>
      <c r="F99" s="1"/>
      <c r="G99" s="1"/>
      <c r="H99" s="1"/>
      <c r="I99" s="1"/>
    </row>
    <row r="100" spans="3:9" ht="12.75">
      <c r="C100" s="1"/>
      <c r="D100" s="1"/>
      <c r="E100" s="1"/>
      <c r="F100" s="1"/>
      <c r="G100" s="1"/>
      <c r="H100" s="1"/>
      <c r="I100" s="1"/>
    </row>
    <row r="101" spans="3:9" ht="12.75">
      <c r="C101" s="1"/>
      <c r="D101" s="1"/>
      <c r="E101" s="1"/>
      <c r="F101" s="1"/>
      <c r="G101" s="1"/>
      <c r="H101" s="1"/>
      <c r="I101" s="1"/>
    </row>
    <row r="102" spans="3:9" ht="12.75">
      <c r="C102" s="1"/>
      <c r="D102" s="1"/>
      <c r="E102" s="1"/>
      <c r="F102" s="1"/>
      <c r="G102" s="1"/>
      <c r="H102" s="1"/>
      <c r="I102" s="1"/>
    </row>
    <row r="103" spans="3:9" ht="12.75">
      <c r="C103" s="1"/>
      <c r="D103" s="1"/>
      <c r="E103" s="1"/>
      <c r="F103" s="1"/>
      <c r="G103" s="1"/>
      <c r="H103" s="1"/>
      <c r="I103" s="1"/>
    </row>
    <row r="104" spans="3:9" ht="12.75">
      <c r="C104" s="1"/>
      <c r="D104" s="1"/>
      <c r="E104" s="1"/>
      <c r="F104" s="1"/>
      <c r="G104" s="1"/>
      <c r="H104" s="1"/>
      <c r="I104" s="1"/>
    </row>
    <row r="105" spans="3:9" ht="12.75">
      <c r="C105" s="1"/>
      <c r="D105" s="1"/>
      <c r="E105" s="1"/>
      <c r="F105" s="1"/>
      <c r="G105" s="1"/>
      <c r="H105" s="1"/>
      <c r="I105" s="1"/>
    </row>
    <row r="106" spans="3:9" ht="12.75">
      <c r="C106" s="1"/>
      <c r="D106" s="1"/>
      <c r="E106" s="1"/>
      <c r="F106" s="1"/>
      <c r="G106" s="1"/>
      <c r="H106" s="1"/>
      <c r="I106" s="1"/>
    </row>
    <row r="107" spans="3:9" ht="12.75">
      <c r="C107" s="1"/>
      <c r="D107" s="1"/>
      <c r="E107" s="1"/>
      <c r="F107" s="1"/>
      <c r="G107" s="1"/>
      <c r="H107" s="1"/>
      <c r="I107" s="1"/>
    </row>
    <row r="108" spans="3:9" ht="12.75">
      <c r="C108" s="1"/>
      <c r="D108" s="1"/>
      <c r="E108" s="1"/>
      <c r="F108" s="1"/>
      <c r="G108" s="1"/>
      <c r="H108" s="1"/>
      <c r="I108" s="1"/>
    </row>
    <row r="109" spans="3:9" ht="12.75">
      <c r="C109" s="1"/>
      <c r="D109" s="1"/>
      <c r="E109" s="1"/>
      <c r="F109" s="1"/>
      <c r="G109" s="1"/>
      <c r="H109" s="1"/>
      <c r="I109" s="1"/>
    </row>
    <row r="110" spans="3:9" ht="12.75">
      <c r="C110" s="1"/>
      <c r="D110" s="1"/>
      <c r="E110" s="1"/>
      <c r="F110" s="1"/>
      <c r="G110" s="1"/>
      <c r="H110" s="1"/>
      <c r="I110" s="1"/>
    </row>
    <row r="111" spans="3:9" ht="12.75">
      <c r="C111" s="1"/>
      <c r="D111" s="1"/>
      <c r="E111" s="1"/>
      <c r="F111" s="1"/>
      <c r="G111" s="1"/>
      <c r="H111" s="1"/>
      <c r="I111" s="1"/>
    </row>
    <row r="112" spans="3:9" ht="12.75">
      <c r="C112" s="1"/>
      <c r="D112" s="1"/>
      <c r="E112" s="1"/>
      <c r="F112" s="1"/>
      <c r="G112" s="1"/>
      <c r="H112" s="1"/>
      <c r="I112" s="1"/>
    </row>
    <row r="113" spans="3:9" ht="12.75">
      <c r="C113" s="1"/>
      <c r="D113" s="1"/>
      <c r="E113" s="1"/>
      <c r="F113" s="1"/>
      <c r="G113" s="1"/>
      <c r="H113" s="1"/>
      <c r="I113" s="1"/>
    </row>
    <row r="114" spans="3:9" ht="12.75">
      <c r="C114" s="1"/>
      <c r="D114" s="1"/>
      <c r="E114" s="1"/>
      <c r="F114" s="1"/>
      <c r="G114" s="1"/>
      <c r="H114" s="1"/>
      <c r="I114" s="1"/>
    </row>
    <row r="115" spans="3:9" ht="12.75">
      <c r="C115" s="1"/>
      <c r="D115" s="1"/>
      <c r="E115" s="1"/>
      <c r="F115" s="1"/>
      <c r="G115" s="1"/>
      <c r="H115" s="1"/>
      <c r="I115" s="1"/>
    </row>
    <row r="116" spans="3:9" ht="12.75">
      <c r="C116" s="1"/>
      <c r="D116" s="1"/>
      <c r="E116" s="1"/>
      <c r="F116" s="1"/>
      <c r="G116" s="1"/>
      <c r="H116" s="1"/>
      <c r="I116" s="1"/>
    </row>
    <row r="117" spans="3:9" ht="12.75">
      <c r="C117" s="1"/>
      <c r="D117" s="1"/>
      <c r="E117" s="1"/>
      <c r="F117" s="1"/>
      <c r="G117" s="1"/>
      <c r="H117" s="1"/>
      <c r="I117" s="1"/>
    </row>
    <row r="118" spans="3:9" ht="12.75">
      <c r="C118" s="1"/>
      <c r="D118" s="1"/>
      <c r="E118" s="1"/>
      <c r="F118" s="1"/>
      <c r="G118" s="1"/>
      <c r="H118" s="1"/>
      <c r="I118" s="1"/>
    </row>
    <row r="119" spans="3:9" ht="12.75">
      <c r="C119" s="1"/>
      <c r="D119" s="1"/>
      <c r="E119" s="1"/>
      <c r="F119" s="1"/>
      <c r="G119" s="1"/>
      <c r="H119" s="1"/>
      <c r="I119" s="1"/>
    </row>
    <row r="120" spans="3:9" ht="12.75">
      <c r="C120" s="1"/>
      <c r="D120" s="1"/>
      <c r="E120" s="1"/>
      <c r="F120" s="1"/>
      <c r="G120" s="1"/>
      <c r="H120" s="1"/>
      <c r="I120" s="1"/>
    </row>
    <row r="121" spans="3:9" ht="12.75">
      <c r="C121" s="1"/>
      <c r="D121" s="1"/>
      <c r="E121" s="1"/>
      <c r="F121" s="1"/>
      <c r="G121" s="1"/>
      <c r="H121" s="1"/>
      <c r="I121" s="1"/>
    </row>
    <row r="122" spans="3:9" ht="12.75">
      <c r="C122" s="1"/>
      <c r="D122" s="1"/>
      <c r="E122" s="1"/>
      <c r="F122" s="1"/>
      <c r="G122" s="1"/>
      <c r="H122" s="1"/>
      <c r="I122" s="1"/>
    </row>
    <row r="123" spans="3:9" ht="12.75">
      <c r="C123" s="1"/>
      <c r="D123" s="1"/>
      <c r="E123" s="1"/>
      <c r="F123" s="1"/>
      <c r="G123" s="1"/>
      <c r="H123" s="1"/>
      <c r="I123" s="1"/>
    </row>
    <row r="124" spans="3:9" ht="12.75">
      <c r="C124" s="1"/>
      <c r="D124" s="1"/>
      <c r="E124" s="1"/>
      <c r="F124" s="1"/>
      <c r="G124" s="1"/>
      <c r="H124" s="1"/>
      <c r="I124" s="1"/>
    </row>
    <row r="125" spans="3:9" ht="12.75">
      <c r="C125" s="1"/>
      <c r="D125" s="1"/>
      <c r="E125" s="1"/>
      <c r="F125" s="1"/>
      <c r="G125" s="1"/>
      <c r="H125" s="1"/>
      <c r="I125" s="1"/>
    </row>
    <row r="126" spans="3:9" ht="12.75">
      <c r="C126" s="1"/>
      <c r="D126" s="1"/>
      <c r="E126" s="1"/>
      <c r="F126" s="1"/>
      <c r="G126" s="1"/>
      <c r="H126" s="1"/>
      <c r="I126" s="1"/>
    </row>
    <row r="127" spans="3:9" ht="12.75">
      <c r="C127" s="1"/>
      <c r="D127" s="1"/>
      <c r="E127" s="1"/>
      <c r="F127" s="1"/>
      <c r="G127" s="1"/>
      <c r="H127" s="1"/>
      <c r="I127" s="1"/>
    </row>
    <row r="128" spans="3:9" ht="12.75">
      <c r="C128" s="1"/>
      <c r="D128" s="1"/>
      <c r="E128" s="1"/>
      <c r="F128" s="1"/>
      <c r="G128" s="1"/>
      <c r="H128" s="1"/>
      <c r="I128" s="1"/>
    </row>
    <row r="129" spans="3:9" ht="12.75">
      <c r="C129" s="1"/>
      <c r="D129" s="1"/>
      <c r="E129" s="1"/>
      <c r="F129" s="1"/>
      <c r="G129" s="1"/>
      <c r="H129" s="1"/>
      <c r="I129" s="1"/>
    </row>
    <row r="130" spans="3:9" ht="12.75">
      <c r="C130" s="1"/>
      <c r="D130" s="1"/>
      <c r="E130" s="1"/>
      <c r="F130" s="1"/>
      <c r="G130" s="1"/>
      <c r="H130" s="1"/>
      <c r="I130" s="1"/>
    </row>
    <row r="131" spans="3:9" ht="12.75">
      <c r="C131" s="1"/>
      <c r="D131" s="1"/>
      <c r="E131" s="1"/>
      <c r="F131" s="1"/>
      <c r="G131" s="1"/>
      <c r="H131" s="1"/>
      <c r="I131" s="1"/>
    </row>
    <row r="132" spans="3:9" ht="12.75">
      <c r="C132" s="1"/>
      <c r="D132" s="1"/>
      <c r="E132" s="1"/>
      <c r="F132" s="1"/>
      <c r="G132" s="1"/>
      <c r="H132" s="1"/>
      <c r="I132" s="1"/>
    </row>
    <row r="133" spans="3:9" ht="12.75">
      <c r="C133" s="1"/>
      <c r="D133" s="1"/>
      <c r="E133" s="1"/>
      <c r="F133" s="1"/>
      <c r="G133" s="1"/>
      <c r="H133" s="1"/>
      <c r="I133" s="1"/>
    </row>
    <row r="134" spans="3:9" ht="12.75">
      <c r="C134" s="1"/>
      <c r="D134" s="1"/>
      <c r="E134" s="1"/>
      <c r="F134" s="1"/>
      <c r="G134" s="1"/>
      <c r="H134" s="1"/>
      <c r="I134" s="1"/>
    </row>
    <row r="135" spans="3:9" ht="12.75">
      <c r="C135" s="1"/>
      <c r="D135" s="1"/>
      <c r="E135" s="1"/>
      <c r="F135" s="1"/>
      <c r="G135" s="1"/>
      <c r="H135" s="1"/>
      <c r="I135" s="1"/>
    </row>
    <row r="136" spans="3:9" ht="12.75">
      <c r="C136" s="1"/>
      <c r="D136" s="1"/>
      <c r="E136" s="1"/>
      <c r="F136" s="1"/>
      <c r="G136" s="1"/>
      <c r="H136" s="1"/>
      <c r="I136" s="1"/>
    </row>
    <row r="137" spans="3:9" ht="12.75">
      <c r="C137" s="1"/>
      <c r="D137" s="1"/>
      <c r="E137" s="1"/>
      <c r="F137" s="1"/>
      <c r="G137" s="1"/>
      <c r="H137" s="1"/>
      <c r="I137" s="1"/>
    </row>
    <row r="138" spans="3:9" ht="12.75">
      <c r="C138" s="1"/>
      <c r="D138" s="1"/>
      <c r="E138" s="1"/>
      <c r="F138" s="1"/>
      <c r="G138" s="1"/>
      <c r="H138" s="1"/>
      <c r="I138" s="1"/>
    </row>
    <row r="139" spans="3:9" ht="12.75">
      <c r="C139" s="1"/>
      <c r="D139" s="1"/>
      <c r="E139" s="1"/>
      <c r="F139" s="1"/>
      <c r="G139" s="1"/>
      <c r="H139" s="1"/>
      <c r="I139" s="1"/>
    </row>
    <row r="140" spans="3:9" ht="12.75">
      <c r="C140" s="1"/>
      <c r="D140" s="1"/>
      <c r="E140" s="1"/>
      <c r="F140" s="1"/>
      <c r="G140" s="1"/>
      <c r="H140" s="1"/>
      <c r="I140" s="1"/>
    </row>
    <row r="141" spans="3:9" ht="12.75">
      <c r="C141" s="1"/>
      <c r="D141" s="1"/>
      <c r="E141" s="1"/>
      <c r="F141" s="1"/>
      <c r="G141" s="1"/>
      <c r="H141" s="1"/>
      <c r="I141" s="1"/>
    </row>
    <row r="142" spans="3:9" ht="12.75">
      <c r="C142" s="1"/>
      <c r="D142" s="1"/>
      <c r="E142" s="1"/>
      <c r="F142" s="1"/>
      <c r="G142" s="1"/>
      <c r="H142" s="1"/>
      <c r="I142" s="1"/>
    </row>
    <row r="143" spans="3:9" ht="12.75">
      <c r="C143" s="1"/>
      <c r="D143" s="1"/>
      <c r="E143" s="1"/>
      <c r="F143" s="1"/>
      <c r="G143" s="1"/>
      <c r="H143" s="1"/>
      <c r="I143" s="1"/>
    </row>
    <row r="144" spans="3:9" ht="12.75">
      <c r="C144" s="1"/>
      <c r="D144" s="1"/>
      <c r="E144" s="1"/>
      <c r="F144" s="1"/>
      <c r="G144" s="1"/>
      <c r="H144" s="1"/>
      <c r="I144" s="1"/>
    </row>
    <row r="145" spans="3:9" ht="12.75">
      <c r="C145" s="1"/>
      <c r="D145" s="1"/>
      <c r="E145" s="1"/>
      <c r="F145" s="1"/>
      <c r="G145" s="1"/>
      <c r="H145" s="1"/>
      <c r="I145" s="1"/>
    </row>
    <row r="146" spans="3:9" ht="12.75">
      <c r="C146" s="1"/>
      <c r="D146" s="1"/>
      <c r="E146" s="1"/>
      <c r="F146" s="1"/>
      <c r="G146" s="1"/>
      <c r="H146" s="1"/>
      <c r="I146" s="1"/>
    </row>
    <row r="147" spans="3:9" ht="12.75">
      <c r="C147" s="1"/>
      <c r="D147" s="1"/>
      <c r="E147" s="1"/>
      <c r="F147" s="1"/>
      <c r="G147" s="1"/>
      <c r="H147" s="1"/>
      <c r="I147" s="1"/>
    </row>
    <row r="148" spans="3:9" ht="12.75">
      <c r="C148" s="1"/>
      <c r="D148" s="1"/>
      <c r="E148" s="1"/>
      <c r="F148" s="1"/>
      <c r="G148" s="1"/>
      <c r="H148" s="1"/>
      <c r="I148" s="1"/>
    </row>
    <row r="149" spans="3:9" ht="12.75">
      <c r="C149" s="1"/>
      <c r="D149" s="1"/>
      <c r="E149" s="1"/>
      <c r="F149" s="1"/>
      <c r="G149" s="1"/>
      <c r="H149" s="1"/>
      <c r="I149" s="1"/>
    </row>
    <row r="150" spans="3:9" ht="12.75">
      <c r="C150" s="1"/>
      <c r="D150" s="1"/>
      <c r="E150" s="1"/>
      <c r="F150" s="1"/>
      <c r="G150" s="1"/>
      <c r="H150" s="1"/>
      <c r="I150" s="1"/>
    </row>
    <row r="151" spans="3:9" ht="12.75">
      <c r="C151" s="1"/>
      <c r="D151" s="1"/>
      <c r="E151" s="1"/>
      <c r="F151" s="1"/>
      <c r="G151" s="1"/>
      <c r="H151" s="1"/>
      <c r="I151" s="1"/>
    </row>
    <row r="152" spans="3:9" ht="12.75">
      <c r="C152" s="1"/>
      <c r="D152" s="1"/>
      <c r="E152" s="1"/>
      <c r="F152" s="1"/>
      <c r="G152" s="1"/>
      <c r="H152" s="1"/>
      <c r="I152" s="1"/>
    </row>
    <row r="153" spans="3:9" ht="12.75">
      <c r="C153" s="1"/>
      <c r="D153" s="1"/>
      <c r="E153" s="1"/>
      <c r="F153" s="1"/>
      <c r="G153" s="1"/>
      <c r="H153" s="1"/>
      <c r="I153" s="1"/>
    </row>
    <row r="154" spans="3:9" ht="12.75">
      <c r="C154" s="1"/>
      <c r="D154" s="1"/>
      <c r="E154" s="1"/>
      <c r="F154" s="1"/>
      <c r="G154" s="1"/>
      <c r="H154" s="1"/>
      <c r="I154" s="1"/>
    </row>
    <row r="155" spans="3:9" ht="12.75">
      <c r="C155" s="1"/>
      <c r="D155" s="1"/>
      <c r="E155" s="1"/>
      <c r="F155" s="1"/>
      <c r="G155" s="1"/>
      <c r="H155" s="1"/>
      <c r="I155" s="1"/>
    </row>
    <row r="156" spans="3:9" ht="12.75">
      <c r="C156" s="1"/>
      <c r="D156" s="1"/>
      <c r="E156" s="1"/>
      <c r="F156" s="1"/>
      <c r="G156" s="1"/>
      <c r="H156" s="1"/>
      <c r="I156" s="1"/>
    </row>
    <row r="157" spans="3:9" ht="12.75">
      <c r="C157" s="1"/>
      <c r="D157" s="1"/>
      <c r="E157" s="1"/>
      <c r="F157" s="1"/>
      <c r="G157" s="1"/>
      <c r="H157" s="1"/>
      <c r="I157" s="1"/>
    </row>
    <row r="158" spans="3:9" ht="12.75">
      <c r="C158" s="1"/>
      <c r="D158" s="1"/>
      <c r="E158" s="1"/>
      <c r="F158" s="1"/>
      <c r="G158" s="1"/>
      <c r="H158" s="1"/>
      <c r="I158" s="1"/>
    </row>
    <row r="159" spans="3:9" ht="12.75">
      <c r="C159" s="1"/>
      <c r="D159" s="1"/>
      <c r="E159" s="1"/>
      <c r="F159" s="1"/>
      <c r="G159" s="1"/>
      <c r="H159" s="1"/>
      <c r="I159" s="1"/>
    </row>
    <row r="160" spans="3:9" ht="12.75">
      <c r="C160" s="1"/>
      <c r="D160" s="1"/>
      <c r="E160" s="1"/>
      <c r="F160" s="1"/>
      <c r="G160" s="1"/>
      <c r="H160" s="1"/>
      <c r="I160" s="1"/>
    </row>
    <row r="161" spans="3:9" ht="12.75">
      <c r="C161" s="1"/>
      <c r="D161" s="1"/>
      <c r="E161" s="1"/>
      <c r="F161" s="1"/>
      <c r="G161" s="1"/>
      <c r="H161" s="1"/>
      <c r="I161" s="1"/>
    </row>
    <row r="162" spans="3:9" ht="12.75">
      <c r="C162" s="1"/>
      <c r="D162" s="1"/>
      <c r="E162" s="1"/>
      <c r="F162" s="1"/>
      <c r="G162" s="1"/>
      <c r="H162" s="1"/>
      <c r="I162" s="1"/>
    </row>
    <row r="163" spans="3:9" ht="12.75">
      <c r="C163" s="1"/>
      <c r="D163" s="1"/>
      <c r="E163" s="1"/>
      <c r="F163" s="1"/>
      <c r="G163" s="1"/>
      <c r="H163" s="1"/>
      <c r="I163" s="1"/>
    </row>
    <row r="164" spans="3:9" ht="12.75">
      <c r="C164" s="1"/>
      <c r="D164" s="1"/>
      <c r="E164" s="1"/>
      <c r="F164" s="1"/>
      <c r="G164" s="1"/>
      <c r="H164" s="1"/>
      <c r="I164" s="1"/>
    </row>
    <row r="165" spans="3:9" ht="12.75">
      <c r="C165" s="1"/>
      <c r="D165" s="1"/>
      <c r="E165" s="1"/>
      <c r="F165" s="1"/>
      <c r="G165" s="1"/>
      <c r="H165" s="1"/>
      <c r="I165" s="1"/>
    </row>
    <row r="166" spans="3:9" ht="12.75">
      <c r="C166" s="1"/>
      <c r="D166" s="1"/>
      <c r="E166" s="1"/>
      <c r="F166" s="1"/>
      <c r="G166" s="1"/>
      <c r="H166" s="1"/>
      <c r="I166" s="1"/>
    </row>
    <row r="167" spans="3:9" ht="12.75">
      <c r="C167" s="1"/>
      <c r="D167" s="1"/>
      <c r="E167" s="1"/>
      <c r="F167" s="1"/>
      <c r="G167" s="1"/>
      <c r="H167" s="1"/>
      <c r="I167" s="1"/>
    </row>
    <row r="168" spans="3:9" ht="12.75">
      <c r="C168" s="1"/>
      <c r="D168" s="1"/>
      <c r="E168" s="1"/>
      <c r="F168" s="1"/>
      <c r="G168" s="1"/>
      <c r="H168" s="1"/>
      <c r="I168" s="1"/>
    </row>
    <row r="169" spans="3:9" ht="12.75">
      <c r="C169" s="1"/>
      <c r="D169" s="1"/>
      <c r="E169" s="1"/>
      <c r="F169" s="1"/>
      <c r="G169" s="1"/>
      <c r="H169" s="1"/>
      <c r="I169" s="1"/>
    </row>
    <row r="170" spans="3:9" ht="12.75">
      <c r="C170" s="1"/>
      <c r="D170" s="1"/>
      <c r="E170" s="1"/>
      <c r="F170" s="1"/>
      <c r="G170" s="1"/>
      <c r="H170" s="1"/>
      <c r="I170" s="1"/>
    </row>
    <row r="171" spans="3:9" ht="12.75">
      <c r="C171" s="1"/>
      <c r="D171" s="1"/>
      <c r="E171" s="1"/>
      <c r="F171" s="1"/>
      <c r="G171" s="1"/>
      <c r="H171" s="1"/>
      <c r="I171" s="1"/>
    </row>
  </sheetData>
  <mergeCells count="3">
    <mergeCell ref="A1:E1"/>
    <mergeCell ref="A2:E2"/>
    <mergeCell ref="A3:E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Z52"/>
  <sheetViews>
    <sheetView tabSelected="1" zoomScale="75" zoomScaleNormal="75" workbookViewId="0" topLeftCell="A7">
      <selection activeCell="A38" sqref="A38"/>
    </sheetView>
  </sheetViews>
  <sheetFormatPr defaultColWidth="11.421875" defaultRowHeight="12.75"/>
  <cols>
    <col min="1" max="1" width="39.00390625" style="0" customWidth="1"/>
    <col min="2" max="2" width="22.57421875" style="0" customWidth="1"/>
    <col min="3" max="3" width="16.28125" style="0" hidden="1" customWidth="1"/>
    <col min="4" max="4" width="18.28125" style="0" hidden="1" customWidth="1"/>
    <col min="5" max="5" width="17.57421875" style="0" hidden="1" customWidth="1"/>
    <col min="6" max="6" width="21.140625" style="0" hidden="1" customWidth="1"/>
    <col min="7" max="7" width="15.7109375" style="0" hidden="1" customWidth="1"/>
    <col min="8" max="8" width="15.8515625" style="0" hidden="1" customWidth="1"/>
    <col min="9" max="14" width="11.421875" style="0" hidden="1" customWidth="1"/>
    <col min="15" max="15" width="21.140625" style="0" customWidth="1"/>
    <col min="16" max="16" width="21.00390625" style="0" customWidth="1"/>
    <col min="17" max="19" width="21.00390625" style="0" hidden="1" customWidth="1"/>
    <col min="20" max="20" width="21.8515625" style="0" customWidth="1"/>
    <col min="21" max="22" width="18.28125" style="0" hidden="1" customWidth="1"/>
    <col min="23" max="24" width="19.8515625" style="0" customWidth="1"/>
    <col min="25" max="25" width="18.28125" style="0" customWidth="1"/>
    <col min="26" max="26" width="17.57421875" style="0" customWidth="1"/>
    <col min="27" max="27" width="13.00390625" style="0" customWidth="1"/>
    <col min="29" max="29" width="13.7109375" style="0" bestFit="1" customWidth="1"/>
    <col min="30" max="30" width="12.7109375" style="0" bestFit="1" customWidth="1"/>
  </cols>
  <sheetData>
    <row r="3" spans="1:26" ht="18">
      <c r="A3" s="38" t="s">
        <v>106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18">
      <c r="A4" s="38" t="s">
        <v>107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13.5" thickBot="1">
      <c r="A5" s="4"/>
      <c r="B5" s="3" t="s">
        <v>1</v>
      </c>
      <c r="C5" s="4" t="s">
        <v>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3" t="s">
        <v>1</v>
      </c>
      <c r="U5" s="3"/>
      <c r="V5" s="3"/>
      <c r="W5" s="3"/>
      <c r="X5" s="3"/>
      <c r="Y5" s="3"/>
      <c r="Z5" s="7" t="s">
        <v>1</v>
      </c>
    </row>
    <row r="6" spans="1:26" ht="64.5" customHeight="1">
      <c r="A6" s="30" t="s">
        <v>7</v>
      </c>
      <c r="B6" s="31" t="s">
        <v>10</v>
      </c>
      <c r="C6" s="39" t="s">
        <v>11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2"/>
      <c r="O6" s="31" t="s">
        <v>2</v>
      </c>
      <c r="P6" s="31" t="s">
        <v>12</v>
      </c>
      <c r="Q6" s="31" t="s">
        <v>49</v>
      </c>
      <c r="R6" s="31" t="s">
        <v>50</v>
      </c>
      <c r="S6" s="31" t="s">
        <v>43</v>
      </c>
      <c r="T6" s="33" t="s">
        <v>42</v>
      </c>
      <c r="U6" s="33"/>
      <c r="V6" s="33"/>
      <c r="W6" s="33" t="s">
        <v>43</v>
      </c>
      <c r="X6" s="33" t="s">
        <v>99</v>
      </c>
      <c r="Y6" s="33" t="s">
        <v>54</v>
      </c>
      <c r="Z6" s="34" t="s">
        <v>100</v>
      </c>
    </row>
    <row r="7" spans="1:26" ht="12.75">
      <c r="A7" s="18" t="s">
        <v>1</v>
      </c>
      <c r="B7" s="13" t="s">
        <v>1</v>
      </c>
      <c r="C7" s="13" t="s">
        <v>13</v>
      </c>
      <c r="D7" s="13" t="s">
        <v>14</v>
      </c>
      <c r="E7" s="13" t="s">
        <v>15</v>
      </c>
      <c r="F7" s="13" t="s">
        <v>16</v>
      </c>
      <c r="G7" s="13" t="s">
        <v>8</v>
      </c>
      <c r="H7" s="13" t="s">
        <v>17</v>
      </c>
      <c r="I7" s="13" t="s">
        <v>18</v>
      </c>
      <c r="J7" s="13" t="s">
        <v>19</v>
      </c>
      <c r="K7" s="13" t="s">
        <v>20</v>
      </c>
      <c r="L7" s="13" t="s">
        <v>21</v>
      </c>
      <c r="M7" s="13" t="s">
        <v>22</v>
      </c>
      <c r="N7" s="13" t="s">
        <v>23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9"/>
    </row>
    <row r="8" spans="1:26" ht="12.75">
      <c r="A8" s="1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5"/>
      <c r="U8" s="15"/>
      <c r="V8" s="15"/>
      <c r="W8" s="15" t="s">
        <v>1</v>
      </c>
      <c r="X8" s="15"/>
      <c r="Y8" s="15"/>
      <c r="Z8" s="20"/>
    </row>
    <row r="9" spans="1:26" ht="12.75">
      <c r="A9" s="21" t="s">
        <v>24</v>
      </c>
      <c r="B9" s="15">
        <f>+B11+B16</f>
        <v>8331515258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5">
        <f aca="true" t="shared" si="0" ref="O9:T9">+O11+O16</f>
        <v>546787276</v>
      </c>
      <c r="P9" s="15">
        <f t="shared" si="0"/>
        <v>8878302534</v>
      </c>
      <c r="Q9" s="15">
        <f t="shared" si="0"/>
        <v>5028404</v>
      </c>
      <c r="R9" s="15">
        <f t="shared" si="0"/>
        <v>717204359</v>
      </c>
      <c r="S9" s="15">
        <f t="shared" si="0"/>
        <v>640049685</v>
      </c>
      <c r="T9" s="15">
        <f t="shared" si="0"/>
        <v>8061310294.2</v>
      </c>
      <c r="U9" s="15"/>
      <c r="V9" s="15"/>
      <c r="W9" s="15">
        <f>+W11+W16</f>
        <v>1164994280.73</v>
      </c>
      <c r="X9" s="15">
        <f>+T9+W9</f>
        <v>9226304574.93</v>
      </c>
      <c r="Y9" s="15">
        <f>+P9-T9-W9</f>
        <v>-348002040.9299998</v>
      </c>
      <c r="Z9" s="20">
        <f>+X9/P9*100</f>
        <v>103.91969117516896</v>
      </c>
    </row>
    <row r="10" spans="1:26" ht="12.75">
      <c r="A10" s="21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5" t="s">
        <v>1</v>
      </c>
      <c r="U10" s="15"/>
      <c r="V10" s="15"/>
      <c r="W10" s="15" t="s">
        <v>1</v>
      </c>
      <c r="X10" s="15" t="s">
        <v>1</v>
      </c>
      <c r="Y10" s="15" t="s">
        <v>1</v>
      </c>
      <c r="Z10" s="20" t="s">
        <v>1</v>
      </c>
    </row>
    <row r="11" spans="1:26" ht="12.75">
      <c r="A11" s="22" t="s">
        <v>3</v>
      </c>
      <c r="B11" s="16">
        <f>+B12</f>
        <v>3679578000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6">
        <f>+O12</f>
        <v>0</v>
      </c>
      <c r="P11" s="17">
        <f>+B11+O11</f>
        <v>3679578000</v>
      </c>
      <c r="Q11" s="16">
        <f>+Q12</f>
        <v>0</v>
      </c>
      <c r="R11" s="16">
        <f>+R12</f>
        <v>225053016</v>
      </c>
      <c r="S11" s="16">
        <f>+S12</f>
        <v>0</v>
      </c>
      <c r="T11" s="15">
        <f>+T12</f>
        <v>3321872723.24</v>
      </c>
      <c r="U11" s="15"/>
      <c r="V11" s="15"/>
      <c r="W11" s="15">
        <f>+W12</f>
        <v>422380179.73</v>
      </c>
      <c r="X11" s="15">
        <f aca="true" t="shared" si="1" ref="X11:X45">+T11+W11</f>
        <v>3744252902.97</v>
      </c>
      <c r="Y11" s="15">
        <f aca="true" t="shared" si="2" ref="Y11:Y43">+P11-T11-W11</f>
        <v>-64674902.96999979</v>
      </c>
      <c r="Z11" s="20">
        <f aca="true" t="shared" si="3" ref="Z11:Z45">+X11/P11*100</f>
        <v>101.7576717484994</v>
      </c>
    </row>
    <row r="12" spans="1:26" ht="12.75">
      <c r="A12" s="22" t="s">
        <v>25</v>
      </c>
      <c r="B12" s="16">
        <f>+B13+B14</f>
        <v>3679578000</v>
      </c>
      <c r="C12" s="17"/>
      <c r="D12" s="17">
        <v>177520</v>
      </c>
      <c r="E12" s="17"/>
      <c r="F12" s="17">
        <v>165006728</v>
      </c>
      <c r="G12" s="17">
        <v>1414514385</v>
      </c>
      <c r="H12" s="17">
        <v>4948458</v>
      </c>
      <c r="I12" s="17">
        <v>573117327</v>
      </c>
      <c r="J12" s="17">
        <f>139033811-14448995.38</f>
        <v>124584815.62</v>
      </c>
      <c r="K12" s="17">
        <v>93361900</v>
      </c>
      <c r="L12" s="17">
        <v>25720312</v>
      </c>
      <c r="M12" s="17">
        <v>242733948</v>
      </c>
      <c r="N12" s="17">
        <f>65086606+14219504.38-900076.38-6867260+6687809</f>
        <v>78226583</v>
      </c>
      <c r="O12" s="16">
        <f>+O13+O14</f>
        <v>0</v>
      </c>
      <c r="P12" s="17">
        <f>+B12+O12</f>
        <v>3679578000</v>
      </c>
      <c r="Q12" s="16">
        <f>+Q13+Q14</f>
        <v>0</v>
      </c>
      <c r="R12" s="16">
        <f>+R13+R14</f>
        <v>225053016</v>
      </c>
      <c r="S12" s="16">
        <f>+S13+S14</f>
        <v>0</v>
      </c>
      <c r="T12" s="15">
        <f>+T13+T14</f>
        <v>3321872723.24</v>
      </c>
      <c r="U12" s="15"/>
      <c r="V12" s="15"/>
      <c r="W12" s="15">
        <f>+W13+W14</f>
        <v>422380179.73</v>
      </c>
      <c r="X12" s="15">
        <f t="shared" si="1"/>
        <v>3744252902.97</v>
      </c>
      <c r="Y12" s="15">
        <f t="shared" si="2"/>
        <v>-64674902.96999979</v>
      </c>
      <c r="Z12" s="20">
        <f t="shared" si="3"/>
        <v>101.7576717484994</v>
      </c>
    </row>
    <row r="13" spans="1:26" ht="12.75">
      <c r="A13" s="23" t="s">
        <v>26</v>
      </c>
      <c r="B13" s="17">
        <f>+'[1]ingresos'!$C$10</f>
        <v>2232678000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>
        <v>0</v>
      </c>
      <c r="P13" s="17">
        <f>+B13+O13</f>
        <v>2232678000</v>
      </c>
      <c r="Q13" s="17">
        <v>0</v>
      </c>
      <c r="R13" s="17">
        <v>0</v>
      </c>
      <c r="S13" s="17">
        <v>0</v>
      </c>
      <c r="T13" s="15">
        <v>2005850400.74</v>
      </c>
      <c r="U13" s="15"/>
      <c r="V13" s="15"/>
      <c r="W13" s="15">
        <f>+'CAUSACION PREDIAL'!C19</f>
        <v>146458285.73</v>
      </c>
      <c r="X13" s="15">
        <f t="shared" si="1"/>
        <v>2152308686.47</v>
      </c>
      <c r="Y13" s="15">
        <f t="shared" si="2"/>
        <v>80369313.53</v>
      </c>
      <c r="Z13" s="20">
        <f t="shared" si="3"/>
        <v>96.40031775607588</v>
      </c>
    </row>
    <row r="14" spans="1:26" ht="12.75">
      <c r="A14" s="23" t="s">
        <v>27</v>
      </c>
      <c r="B14" s="17">
        <f>+'[1]ingresos'!$C$11</f>
        <v>1446900000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>
        <f>+'[2]ENERO 09'!$B$44</f>
        <v>0</v>
      </c>
      <c r="P14" s="17">
        <f>+B14+O14</f>
        <v>1446900000</v>
      </c>
      <c r="Q14" s="17">
        <v>0</v>
      </c>
      <c r="R14" s="17">
        <f>2531124885.85-1546425752.85-759646117</f>
        <v>225053016</v>
      </c>
      <c r="S14" s="17">
        <v>0</v>
      </c>
      <c r="T14" s="15">
        <f>1313964732.5+2056866+724</f>
        <v>1316022322.5</v>
      </c>
      <c r="U14" s="15"/>
      <c r="V14" s="15"/>
      <c r="W14" s="15">
        <f>+'CAUSACION PREDIAL'!C45-'CAUSACION PREDIAL'!C19</f>
        <v>275921894</v>
      </c>
      <c r="X14" s="15">
        <f t="shared" si="1"/>
        <v>1591944216.5</v>
      </c>
      <c r="Y14" s="15">
        <f t="shared" si="2"/>
        <v>-145044216.5</v>
      </c>
      <c r="Z14" s="20">
        <f t="shared" si="3"/>
        <v>110.02448106296218</v>
      </c>
    </row>
    <row r="15" spans="1:26" ht="12.75">
      <c r="A15" s="22"/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 t="s">
        <v>1</v>
      </c>
      <c r="Q15" s="16"/>
      <c r="R15" s="17"/>
      <c r="S15" s="17"/>
      <c r="T15" s="15" t="s">
        <v>1</v>
      </c>
      <c r="U15" s="15"/>
      <c r="V15" s="15"/>
      <c r="W15" s="15" t="s">
        <v>1</v>
      </c>
      <c r="X15" s="15" t="s">
        <v>1</v>
      </c>
      <c r="Y15" s="15" t="s">
        <v>1</v>
      </c>
      <c r="Z15" s="20" t="s">
        <v>1</v>
      </c>
    </row>
    <row r="16" spans="1:26" ht="12.75">
      <c r="A16" s="22" t="s">
        <v>4</v>
      </c>
      <c r="B16" s="16">
        <f>+B17+B18+B27+B28</f>
        <v>4651937258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6">
        <f aca="true" t="shared" si="4" ref="O16:T16">+O17+O18+O27+O28</f>
        <v>546787276</v>
      </c>
      <c r="P16" s="16">
        <f t="shared" si="4"/>
        <v>5198724534</v>
      </c>
      <c r="Q16" s="16">
        <f t="shared" si="4"/>
        <v>5028404</v>
      </c>
      <c r="R16" s="16">
        <f t="shared" si="4"/>
        <v>492151343</v>
      </c>
      <c r="S16" s="16">
        <f t="shared" si="4"/>
        <v>640049685</v>
      </c>
      <c r="T16" s="15">
        <f t="shared" si="4"/>
        <v>4739437570.96</v>
      </c>
      <c r="U16" s="15"/>
      <c r="V16" s="15"/>
      <c r="W16" s="15">
        <f>+W17+W18+W27+W28</f>
        <v>742614101</v>
      </c>
      <c r="X16" s="15">
        <f t="shared" si="1"/>
        <v>5482051671.96</v>
      </c>
      <c r="Y16" s="15">
        <f t="shared" si="2"/>
        <v>-283327137.96000004</v>
      </c>
      <c r="Z16" s="20">
        <f t="shared" si="3"/>
        <v>105.4499355776022</v>
      </c>
    </row>
    <row r="17" spans="1:26" ht="12.75">
      <c r="A17" s="22" t="s">
        <v>28</v>
      </c>
      <c r="B17" s="16">
        <v>2917925258</v>
      </c>
      <c r="C17" s="17">
        <v>0</v>
      </c>
      <c r="D17" s="17">
        <v>0</v>
      </c>
      <c r="E17" s="17">
        <v>0</v>
      </c>
      <c r="F17" s="17">
        <v>196495882</v>
      </c>
      <c r="G17" s="17">
        <v>164927418</v>
      </c>
      <c r="H17" s="17">
        <v>262941303</v>
      </c>
      <c r="I17" s="17">
        <v>280282246</v>
      </c>
      <c r="J17" s="17">
        <v>246192273</v>
      </c>
      <c r="K17" s="17">
        <v>308626989</v>
      </c>
      <c r="L17" s="17">
        <v>243645342</v>
      </c>
      <c r="M17" s="17">
        <v>247491577</v>
      </c>
      <c r="N17" s="17">
        <v>165492691</v>
      </c>
      <c r="O17" s="17">
        <v>0</v>
      </c>
      <c r="P17" s="17">
        <f aca="true" t="shared" si="5" ref="P17:P38">+B17+O17</f>
        <v>2917925258</v>
      </c>
      <c r="Q17" s="16">
        <v>0</v>
      </c>
      <c r="R17" s="17">
        <v>218548643</v>
      </c>
      <c r="S17" s="17">
        <v>640049685</v>
      </c>
      <c r="T17" s="15">
        <f>2831437371-W17</f>
        <v>2450224056</v>
      </c>
      <c r="U17" s="15"/>
      <c r="V17" s="15"/>
      <c r="W17" s="15">
        <v>381213315</v>
      </c>
      <c r="X17" s="15">
        <f t="shared" si="1"/>
        <v>2831437371</v>
      </c>
      <c r="Y17" s="15">
        <f t="shared" si="2"/>
        <v>86487887</v>
      </c>
      <c r="Z17" s="20">
        <f t="shared" si="3"/>
        <v>97.03598004222766</v>
      </c>
    </row>
    <row r="18" spans="1:26" ht="12.75">
      <c r="A18" s="22" t="s">
        <v>5</v>
      </c>
      <c r="B18" s="16">
        <f>+B19+B23+B24+B25</f>
        <v>1653024000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">
        <f>+O19+O23+O24+O25</f>
        <v>0</v>
      </c>
      <c r="P18" s="17">
        <f t="shared" si="5"/>
        <v>1653024000</v>
      </c>
      <c r="Q18" s="16">
        <f>+Q19+Q23+Q24+Q25</f>
        <v>3440508</v>
      </c>
      <c r="R18" s="16">
        <f>+R19+R23+R24+R25</f>
        <v>198598501</v>
      </c>
      <c r="S18" s="16">
        <f>+S19+S23+S24+S25</f>
        <v>0</v>
      </c>
      <c r="T18" s="15">
        <f>+T19+T23+T24+T25</f>
        <v>1972031323.96</v>
      </c>
      <c r="U18" s="15"/>
      <c r="V18" s="15"/>
      <c r="W18" s="15">
        <f>+W19+W23+W24+W25</f>
        <v>0</v>
      </c>
      <c r="X18" s="15">
        <f t="shared" si="1"/>
        <v>1972031323.96</v>
      </c>
      <c r="Y18" s="15">
        <f t="shared" si="2"/>
        <v>-319007323.96000004</v>
      </c>
      <c r="Z18" s="20">
        <f t="shared" si="3"/>
        <v>119.29840849013686</v>
      </c>
    </row>
    <row r="19" spans="1:26" ht="12.75">
      <c r="A19" s="22" t="s">
        <v>29</v>
      </c>
      <c r="B19" s="16">
        <f>SUM(B20:B22)</f>
        <v>1419629000</v>
      </c>
      <c r="C19" s="17">
        <f>SUM(C20:C22)</f>
        <v>0</v>
      </c>
      <c r="D19" s="17">
        <f aca="true" t="shared" si="6" ref="D19:N19">SUM(D20:D22)</f>
        <v>9764370</v>
      </c>
      <c r="E19" s="17">
        <f t="shared" si="6"/>
        <v>1633088</v>
      </c>
      <c r="F19" s="17">
        <f t="shared" si="6"/>
        <v>9527326</v>
      </c>
      <c r="G19" s="17">
        <f t="shared" si="6"/>
        <v>5166613</v>
      </c>
      <c r="H19" s="17">
        <f t="shared" si="6"/>
        <v>8550758</v>
      </c>
      <c r="I19" s="17">
        <f t="shared" si="6"/>
        <v>19667967</v>
      </c>
      <c r="J19" s="17">
        <f t="shared" si="6"/>
        <v>32121947.88</v>
      </c>
      <c r="K19" s="17">
        <f t="shared" si="6"/>
        <v>57803883</v>
      </c>
      <c r="L19" s="17">
        <f t="shared" si="6"/>
        <v>248550137</v>
      </c>
      <c r="M19" s="17">
        <f t="shared" si="6"/>
        <v>56476839</v>
      </c>
      <c r="N19" s="17">
        <f t="shared" si="6"/>
        <v>203635166</v>
      </c>
      <c r="O19" s="16">
        <f>SUM(O20:O22)</f>
        <v>0</v>
      </c>
      <c r="P19" s="17">
        <f t="shared" si="5"/>
        <v>1419629000</v>
      </c>
      <c r="Q19" s="16">
        <f>SUM(Q20:Q22)</f>
        <v>0</v>
      </c>
      <c r="R19" s="16">
        <f>SUM(R20:R22)</f>
        <v>174124615</v>
      </c>
      <c r="S19" s="16">
        <f>SUM(S20:S22)</f>
        <v>0</v>
      </c>
      <c r="T19" s="15">
        <f>+T20+T21+T22</f>
        <v>1678319185.32</v>
      </c>
      <c r="U19" s="15"/>
      <c r="V19" s="15"/>
      <c r="W19" s="15">
        <f>+W20+W21+W22</f>
        <v>0</v>
      </c>
      <c r="X19" s="15">
        <f t="shared" si="1"/>
        <v>1678319185.32</v>
      </c>
      <c r="Y19" s="15">
        <f t="shared" si="2"/>
        <v>-258690185.31999993</v>
      </c>
      <c r="Z19" s="20">
        <f t="shared" si="3"/>
        <v>118.2223796019946</v>
      </c>
    </row>
    <row r="20" spans="1:26" ht="12.75">
      <c r="A20" s="23" t="s">
        <v>30</v>
      </c>
      <c r="B20" s="17">
        <v>895837000</v>
      </c>
      <c r="C20" s="17">
        <v>0</v>
      </c>
      <c r="D20" s="17">
        <v>9764370</v>
      </c>
      <c r="E20" s="17">
        <v>0</v>
      </c>
      <c r="F20" s="17">
        <f>274606+765092</f>
        <v>1039698</v>
      </c>
      <c r="G20" s="17">
        <v>4660304</v>
      </c>
      <c r="H20" s="17">
        <v>7848958</v>
      </c>
      <c r="I20" s="17">
        <v>15343416</v>
      </c>
      <c r="J20" s="17">
        <v>22521927</v>
      </c>
      <c r="K20" s="17">
        <v>33311437</v>
      </c>
      <c r="L20" s="17">
        <f>309295398-94490110</f>
        <v>214805288</v>
      </c>
      <c r="M20" s="17">
        <v>28836508</v>
      </c>
      <c r="N20" s="17">
        <f>98225097-2027734+2337372</f>
        <v>98534735</v>
      </c>
      <c r="O20" s="17">
        <f>+'[2]ENERO 09'!$B$32</f>
        <v>0</v>
      </c>
      <c r="P20" s="17">
        <f t="shared" si="5"/>
        <v>895837000</v>
      </c>
      <c r="Q20" s="17">
        <v>0</v>
      </c>
      <c r="R20" s="17">
        <f>+'[3]AGOSTO08'!$B$79</f>
        <v>150660473</v>
      </c>
      <c r="S20" s="17">
        <v>0</v>
      </c>
      <c r="T20" s="15">
        <v>1200734770</v>
      </c>
      <c r="U20" s="15"/>
      <c r="V20" s="15"/>
      <c r="W20" s="15">
        <v>0</v>
      </c>
      <c r="X20" s="15">
        <f t="shared" si="1"/>
        <v>1200734770</v>
      </c>
      <c r="Y20" s="15">
        <f t="shared" si="2"/>
        <v>-304897770</v>
      </c>
      <c r="Z20" s="20">
        <f t="shared" si="3"/>
        <v>134.0349606010915</v>
      </c>
    </row>
    <row r="21" spans="1:26" ht="12.75">
      <c r="A21" s="23" t="s">
        <v>31</v>
      </c>
      <c r="B21" s="17">
        <v>511069000</v>
      </c>
      <c r="C21" s="17"/>
      <c r="D21" s="17">
        <v>0</v>
      </c>
      <c r="E21" s="17">
        <v>0</v>
      </c>
      <c r="F21" s="17">
        <v>0</v>
      </c>
      <c r="G21" s="17">
        <v>0</v>
      </c>
      <c r="H21" s="17">
        <v>25090</v>
      </c>
      <c r="I21" s="17">
        <v>946365</v>
      </c>
      <c r="J21" s="17">
        <v>8764131</v>
      </c>
      <c r="K21" s="17">
        <v>21523596</v>
      </c>
      <c r="L21" s="17">
        <v>33159819</v>
      </c>
      <c r="M21" s="17">
        <v>27504331</v>
      </c>
      <c r="N21" s="17">
        <f>101300092+707323</f>
        <v>102007415</v>
      </c>
      <c r="O21" s="17">
        <f>+'[2]ENERO 09'!$F$98</f>
        <v>0</v>
      </c>
      <c r="P21" s="17">
        <f t="shared" si="5"/>
        <v>511069000</v>
      </c>
      <c r="Q21" s="17">
        <v>0</v>
      </c>
      <c r="R21" s="17">
        <f>+'[3]AGOSTO08'!$F$65</f>
        <v>21159450</v>
      </c>
      <c r="S21" s="17">
        <v>0</v>
      </c>
      <c r="T21" s="15">
        <f>462939554+3551262</f>
        <v>466490816</v>
      </c>
      <c r="U21" s="15"/>
      <c r="V21" s="15"/>
      <c r="W21" s="15">
        <v>0</v>
      </c>
      <c r="X21" s="15">
        <f t="shared" si="1"/>
        <v>466490816</v>
      </c>
      <c r="Y21" s="15">
        <f t="shared" si="2"/>
        <v>44578184</v>
      </c>
      <c r="Z21" s="20">
        <f t="shared" si="3"/>
        <v>91.27746273008145</v>
      </c>
    </row>
    <row r="22" spans="1:26" ht="12.75">
      <c r="A22" s="23" t="s">
        <v>32</v>
      </c>
      <c r="B22" s="17">
        <v>12723000</v>
      </c>
      <c r="C22" s="17"/>
      <c r="D22" s="17"/>
      <c r="E22" s="17">
        <v>1633088</v>
      </c>
      <c r="F22" s="17">
        <v>8487628</v>
      </c>
      <c r="G22" s="17">
        <v>506309</v>
      </c>
      <c r="H22" s="17">
        <v>676710</v>
      </c>
      <c r="I22" s="17">
        <v>3378186</v>
      </c>
      <c r="J22" s="17">
        <f>628640+207249.88</f>
        <v>835889.88</v>
      </c>
      <c r="K22" s="17">
        <v>2968850</v>
      </c>
      <c r="L22" s="17">
        <v>585030</v>
      </c>
      <c r="M22" s="17">
        <v>136000</v>
      </c>
      <c r="N22" s="17">
        <f>22300706.88-19207690.88</f>
        <v>3093016</v>
      </c>
      <c r="O22" s="17">
        <v>0</v>
      </c>
      <c r="P22" s="17">
        <f t="shared" si="5"/>
        <v>12723000</v>
      </c>
      <c r="Q22" s="17">
        <v>0</v>
      </c>
      <c r="R22" s="17">
        <f>+'[3]AGOSTO08'!$B$27+1057892</f>
        <v>2304692</v>
      </c>
      <c r="S22" s="17">
        <v>0</v>
      </c>
      <c r="T22" s="15">
        <v>11093599.32</v>
      </c>
      <c r="U22" s="15"/>
      <c r="V22" s="15"/>
      <c r="W22" s="15">
        <v>0</v>
      </c>
      <c r="X22" s="15">
        <f t="shared" si="1"/>
        <v>11093599.32</v>
      </c>
      <c r="Y22" s="15">
        <f t="shared" si="2"/>
        <v>1629400.6799999997</v>
      </c>
      <c r="Z22" s="20">
        <f t="shared" si="3"/>
        <v>87.19326668238622</v>
      </c>
    </row>
    <row r="23" spans="1:26" ht="12.75">
      <c r="A23" s="22" t="s">
        <v>33</v>
      </c>
      <c r="B23" s="16">
        <v>54428000</v>
      </c>
      <c r="C23" s="17">
        <v>426256</v>
      </c>
      <c r="D23" s="17">
        <v>177520</v>
      </c>
      <c r="E23" s="17">
        <v>815304</v>
      </c>
      <c r="F23" s="17">
        <v>1044670</v>
      </c>
      <c r="G23" s="17">
        <v>210000</v>
      </c>
      <c r="H23" s="17">
        <v>497000</v>
      </c>
      <c r="I23" s="17">
        <v>1908400</v>
      </c>
      <c r="J23" s="17">
        <v>2080000</v>
      </c>
      <c r="K23" s="17">
        <v>1960300</v>
      </c>
      <c r="L23" s="17">
        <v>1071750</v>
      </c>
      <c r="M23" s="17">
        <v>486631</v>
      </c>
      <c r="N23" s="17">
        <v>3040000</v>
      </c>
      <c r="O23" s="17"/>
      <c r="P23" s="17">
        <f t="shared" si="5"/>
        <v>54428000</v>
      </c>
      <c r="Q23" s="16">
        <v>850652</v>
      </c>
      <c r="R23" s="17">
        <f>+'[3]AGOSTO08'!$B$11+1290082</f>
        <v>3857951</v>
      </c>
      <c r="S23" s="17">
        <v>0</v>
      </c>
      <c r="T23" s="15">
        <v>112439056</v>
      </c>
      <c r="U23" s="15"/>
      <c r="V23" s="15"/>
      <c r="W23" s="15">
        <v>0</v>
      </c>
      <c r="X23" s="15">
        <f t="shared" si="1"/>
        <v>112439056</v>
      </c>
      <c r="Y23" s="15">
        <f t="shared" si="2"/>
        <v>-58011056</v>
      </c>
      <c r="Z23" s="20">
        <f t="shared" si="3"/>
        <v>206.58311163371792</v>
      </c>
    </row>
    <row r="24" spans="1:26" ht="12.75">
      <c r="A24" s="22" t="s">
        <v>34</v>
      </c>
      <c r="B24" s="16">
        <v>1000000</v>
      </c>
      <c r="C24" s="17">
        <v>7540000</v>
      </c>
      <c r="D24" s="17"/>
      <c r="E24" s="17"/>
      <c r="F24" s="17"/>
      <c r="G24" s="17"/>
      <c r="H24" s="17"/>
      <c r="I24" s="17">
        <v>294000</v>
      </c>
      <c r="J24" s="17"/>
      <c r="K24" s="17"/>
      <c r="L24" s="17">
        <v>29000</v>
      </c>
      <c r="M24" s="17"/>
      <c r="N24" s="17"/>
      <c r="O24" s="17"/>
      <c r="P24" s="17">
        <f t="shared" si="5"/>
        <v>1000000</v>
      </c>
      <c r="Q24" s="16">
        <v>0</v>
      </c>
      <c r="R24" s="17">
        <v>0</v>
      </c>
      <c r="S24" s="17">
        <v>0</v>
      </c>
      <c r="T24" s="15">
        <v>0</v>
      </c>
      <c r="U24" s="15"/>
      <c r="V24" s="15"/>
      <c r="W24" s="15">
        <v>0</v>
      </c>
      <c r="X24" s="15">
        <f t="shared" si="1"/>
        <v>0</v>
      </c>
      <c r="Y24" s="15">
        <f t="shared" si="2"/>
        <v>1000000</v>
      </c>
      <c r="Z24" s="20">
        <f t="shared" si="3"/>
        <v>0</v>
      </c>
    </row>
    <row r="25" spans="1:26" ht="12.75">
      <c r="A25" s="22" t="s">
        <v>35</v>
      </c>
      <c r="B25" s="16">
        <f aca="true" t="shared" si="7" ref="B25:O25">SUM(B26:B26)</f>
        <v>177967000</v>
      </c>
      <c r="C25" s="17">
        <f t="shared" si="7"/>
        <v>4768052</v>
      </c>
      <c r="D25" s="17">
        <f t="shared" si="7"/>
        <v>8290086</v>
      </c>
      <c r="E25" s="17">
        <f t="shared" si="7"/>
        <v>10672897</v>
      </c>
      <c r="F25" s="17">
        <f t="shared" si="7"/>
        <v>13361106</v>
      </c>
      <c r="G25" s="17">
        <f t="shared" si="7"/>
        <v>5435392</v>
      </c>
      <c r="H25" s="17">
        <f t="shared" si="7"/>
        <v>6359364</v>
      </c>
      <c r="I25" s="17">
        <f t="shared" si="7"/>
        <v>17667466</v>
      </c>
      <c r="J25" s="17">
        <f t="shared" si="7"/>
        <v>22629676</v>
      </c>
      <c r="K25" s="17">
        <f t="shared" si="7"/>
        <v>24318846</v>
      </c>
      <c r="L25" s="17">
        <f t="shared" si="7"/>
        <v>14234424</v>
      </c>
      <c r="M25" s="17">
        <f t="shared" si="7"/>
        <v>14378768</v>
      </c>
      <c r="N25" s="17">
        <f t="shared" si="7"/>
        <v>23388888</v>
      </c>
      <c r="O25" s="16">
        <f t="shared" si="7"/>
        <v>0</v>
      </c>
      <c r="P25" s="17">
        <f t="shared" si="5"/>
        <v>177967000</v>
      </c>
      <c r="Q25" s="16">
        <f>+Q26</f>
        <v>2589856</v>
      </c>
      <c r="R25" s="16">
        <f>SUM(R26:R26)</f>
        <v>20615935</v>
      </c>
      <c r="S25" s="16">
        <f>SUM(S26:S26)</f>
        <v>0</v>
      </c>
      <c r="T25" s="15">
        <f>+T26</f>
        <v>181273082.64</v>
      </c>
      <c r="U25" s="15"/>
      <c r="V25" s="15"/>
      <c r="W25" s="15">
        <f>+W26</f>
        <v>0</v>
      </c>
      <c r="X25" s="15">
        <f t="shared" si="1"/>
        <v>181273082.64</v>
      </c>
      <c r="Y25" s="15">
        <f t="shared" si="2"/>
        <v>-3306082.6399999857</v>
      </c>
      <c r="Z25" s="20">
        <f t="shared" si="3"/>
        <v>101.85769420173403</v>
      </c>
    </row>
    <row r="26" spans="1:26" ht="12.75">
      <c r="A26" s="23" t="s">
        <v>36</v>
      </c>
      <c r="B26" s="17">
        <v>177967000</v>
      </c>
      <c r="C26" s="17">
        <v>4768052</v>
      </c>
      <c r="D26" s="17">
        <v>8290086</v>
      </c>
      <c r="E26" s="17">
        <v>10672897</v>
      </c>
      <c r="F26" s="17">
        <v>13361106</v>
      </c>
      <c r="G26" s="17">
        <v>5435392</v>
      </c>
      <c r="H26" s="17">
        <v>6359364</v>
      </c>
      <c r="I26" s="17">
        <v>17667466</v>
      </c>
      <c r="J26" s="17">
        <f>15777671+6852005</f>
        <v>22629676</v>
      </c>
      <c r="K26" s="17">
        <v>24318846</v>
      </c>
      <c r="L26" s="17">
        <v>14234424</v>
      </c>
      <c r="M26" s="17">
        <f>14378768</f>
        <v>14378768</v>
      </c>
      <c r="N26" s="17">
        <f>165504965-142116077</f>
        <v>23388888</v>
      </c>
      <c r="O26" s="17">
        <v>0</v>
      </c>
      <c r="P26" s="17">
        <f t="shared" si="5"/>
        <v>177967000</v>
      </c>
      <c r="Q26" s="17">
        <v>2589856</v>
      </c>
      <c r="R26" s="17">
        <f>+'[3]AGOSTO08'!$B$5+'[3]AGOSTO08'!$B$33+11337444</f>
        <v>20615935</v>
      </c>
      <c r="S26" s="17">
        <v>0</v>
      </c>
      <c r="T26" s="15">
        <f>167294124+13978958.64</f>
        <v>181273082.64</v>
      </c>
      <c r="U26" s="15"/>
      <c r="V26" s="15"/>
      <c r="W26" s="15">
        <v>0</v>
      </c>
      <c r="X26" s="15">
        <f t="shared" si="1"/>
        <v>181273082.64</v>
      </c>
      <c r="Y26" s="15">
        <f t="shared" si="2"/>
        <v>-3306082.6399999857</v>
      </c>
      <c r="Z26" s="20">
        <f t="shared" si="3"/>
        <v>101.85769420173403</v>
      </c>
    </row>
    <row r="27" spans="1:26" ht="12.75">
      <c r="A27" s="22" t="s">
        <v>37</v>
      </c>
      <c r="B27" s="16">
        <v>80988000</v>
      </c>
      <c r="C27" s="17" t="e">
        <f>SUM(#REF!)</f>
        <v>#REF!</v>
      </c>
      <c r="D27" s="17" t="e">
        <f>SUM(#REF!)</f>
        <v>#REF!</v>
      </c>
      <c r="E27" s="17" t="e">
        <f>SUM(#REF!)</f>
        <v>#REF!</v>
      </c>
      <c r="F27" s="17" t="e">
        <f>SUM(#REF!)</f>
        <v>#REF!</v>
      </c>
      <c r="G27" s="17" t="e">
        <f>SUM(#REF!)</f>
        <v>#REF!</v>
      </c>
      <c r="H27" s="17" t="e">
        <f>SUM(#REF!)</f>
        <v>#REF!</v>
      </c>
      <c r="I27" s="17" t="e">
        <f>SUM(#REF!)</f>
        <v>#REF!</v>
      </c>
      <c r="J27" s="17" t="e">
        <f>SUM(#REF!)</f>
        <v>#REF!</v>
      </c>
      <c r="K27" s="17" t="e">
        <f>SUM(#REF!)</f>
        <v>#REF!</v>
      </c>
      <c r="L27" s="17" t="e">
        <f>SUM(#REF!)</f>
        <v>#REF!</v>
      </c>
      <c r="M27" s="17" t="e">
        <f>SUM(#REF!)</f>
        <v>#REF!</v>
      </c>
      <c r="N27" s="17" t="e">
        <f>SUM(#REF!)</f>
        <v>#REF!</v>
      </c>
      <c r="O27" s="16">
        <v>0</v>
      </c>
      <c r="P27" s="17">
        <f t="shared" si="5"/>
        <v>80988000</v>
      </c>
      <c r="Q27" s="17">
        <v>1587896</v>
      </c>
      <c r="R27" s="16">
        <f>+'[3]AGOSTO08'!$B$9+'[3]AGOSTO08'!$B$18+'[3]AGOSTO08'!$B$35+'[3]AGOSTO08'!$B$60+'[3]AGOSTO08'!$B$86+67939904</f>
        <v>75004199</v>
      </c>
      <c r="S27" s="16">
        <v>0</v>
      </c>
      <c r="T27" s="15">
        <f>156033+28305000+256347+509089+102569232</f>
        <v>131795701</v>
      </c>
      <c r="U27" s="15"/>
      <c r="V27" s="15"/>
      <c r="W27" s="15">
        <v>0</v>
      </c>
      <c r="X27" s="15">
        <f t="shared" si="1"/>
        <v>131795701</v>
      </c>
      <c r="Y27" s="15">
        <f t="shared" si="2"/>
        <v>-50807701</v>
      </c>
      <c r="Z27" s="20">
        <f t="shared" si="3"/>
        <v>162.73485084210006</v>
      </c>
    </row>
    <row r="28" spans="1:26" ht="12.75">
      <c r="A28" s="22" t="s">
        <v>41</v>
      </c>
      <c r="B28" s="16">
        <f>+B29</f>
        <v>0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6">
        <f>SUM(O29:O34)</f>
        <v>546787276</v>
      </c>
      <c r="P28" s="17">
        <f>+B28+O28</f>
        <v>546787276</v>
      </c>
      <c r="Q28" s="16">
        <f>+Q29</f>
        <v>0</v>
      </c>
      <c r="R28" s="16">
        <f>+R29</f>
        <v>0</v>
      </c>
      <c r="S28" s="16">
        <v>0</v>
      </c>
      <c r="T28" s="16">
        <f>SUM(T29:T34)</f>
        <v>185386490</v>
      </c>
      <c r="U28" s="15"/>
      <c r="V28" s="15"/>
      <c r="W28" s="16">
        <f>SUM(W29:W34)</f>
        <v>361400786</v>
      </c>
      <c r="X28" s="15">
        <f t="shared" si="1"/>
        <v>546787276</v>
      </c>
      <c r="Y28" s="15">
        <f>+P28-T28-W28</f>
        <v>0</v>
      </c>
      <c r="Z28" s="20">
        <f t="shared" si="3"/>
        <v>100</v>
      </c>
    </row>
    <row r="29" spans="1:26" ht="12.75">
      <c r="A29" s="22" t="s">
        <v>51</v>
      </c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6">
        <v>56086490</v>
      </c>
      <c r="P29" s="17">
        <f t="shared" si="5"/>
        <v>56086490</v>
      </c>
      <c r="Q29" s="16">
        <v>0</v>
      </c>
      <c r="R29" s="16">
        <v>0</v>
      </c>
      <c r="S29" s="16">
        <v>0</v>
      </c>
      <c r="T29" s="15">
        <f>56086490+R29</f>
        <v>56086490</v>
      </c>
      <c r="U29" s="15"/>
      <c r="V29" s="15"/>
      <c r="W29" s="15">
        <v>0</v>
      </c>
      <c r="X29" s="15">
        <f t="shared" si="1"/>
        <v>56086490</v>
      </c>
      <c r="Y29" s="15">
        <f t="shared" si="2"/>
        <v>0</v>
      </c>
      <c r="Z29" s="20">
        <f t="shared" si="3"/>
        <v>100</v>
      </c>
    </row>
    <row r="30" spans="1:26" ht="12.75">
      <c r="A30" s="22" t="s">
        <v>52</v>
      </c>
      <c r="B30" s="16">
        <v>0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6">
        <v>3200000</v>
      </c>
      <c r="P30" s="17">
        <f aca="true" t="shared" si="8" ref="P30:P35">+B30+O30</f>
        <v>3200000</v>
      </c>
      <c r="Q30" s="16"/>
      <c r="R30" s="16">
        <v>0</v>
      </c>
      <c r="S30" s="16">
        <v>0</v>
      </c>
      <c r="T30" s="15">
        <f>1600000+R30</f>
        <v>1600000</v>
      </c>
      <c r="U30" s="15"/>
      <c r="V30" s="15"/>
      <c r="W30" s="15">
        <f>+T30</f>
        <v>1600000</v>
      </c>
      <c r="X30" s="15">
        <f t="shared" si="1"/>
        <v>3200000</v>
      </c>
      <c r="Y30" s="15">
        <f t="shared" si="2"/>
        <v>0</v>
      </c>
      <c r="Z30" s="20">
        <f t="shared" si="3"/>
        <v>100</v>
      </c>
    </row>
    <row r="31" spans="1:26" ht="12.75">
      <c r="A31" s="22" t="s">
        <v>55</v>
      </c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6">
        <v>30000000</v>
      </c>
      <c r="P31" s="17">
        <f t="shared" si="8"/>
        <v>30000000</v>
      </c>
      <c r="Q31" s="16"/>
      <c r="R31" s="16"/>
      <c r="S31" s="16"/>
      <c r="T31" s="15">
        <v>0</v>
      </c>
      <c r="U31" s="15"/>
      <c r="V31" s="15"/>
      <c r="W31" s="15">
        <f>+P31</f>
        <v>30000000</v>
      </c>
      <c r="X31" s="15">
        <f t="shared" si="1"/>
        <v>30000000</v>
      </c>
      <c r="Y31" s="15">
        <f t="shared" si="2"/>
        <v>0</v>
      </c>
      <c r="Z31" s="20">
        <f t="shared" si="3"/>
        <v>100</v>
      </c>
    </row>
    <row r="32" spans="1:26" ht="12.75">
      <c r="A32" s="22" t="s">
        <v>56</v>
      </c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6">
        <v>49800786</v>
      </c>
      <c r="P32" s="17">
        <f t="shared" si="8"/>
        <v>49800786</v>
      </c>
      <c r="Q32" s="16"/>
      <c r="R32" s="16"/>
      <c r="S32" s="16"/>
      <c r="T32" s="15">
        <v>0</v>
      </c>
      <c r="U32" s="15"/>
      <c r="V32" s="15"/>
      <c r="W32" s="15">
        <f>+P32</f>
        <v>49800786</v>
      </c>
      <c r="X32" s="15">
        <f t="shared" si="1"/>
        <v>49800786</v>
      </c>
      <c r="Y32" s="15">
        <f t="shared" si="2"/>
        <v>0</v>
      </c>
      <c r="Z32" s="20">
        <f t="shared" si="3"/>
        <v>100</v>
      </c>
    </row>
    <row r="33" spans="1:26" ht="12.75">
      <c r="A33" s="22" t="s">
        <v>57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6">
        <v>127700000</v>
      </c>
      <c r="P33" s="17">
        <f t="shared" si="8"/>
        <v>127700000</v>
      </c>
      <c r="Q33" s="16"/>
      <c r="R33" s="16"/>
      <c r="S33" s="16"/>
      <c r="T33" s="15">
        <f>+P33</f>
        <v>127700000</v>
      </c>
      <c r="U33" s="15"/>
      <c r="V33" s="15"/>
      <c r="W33" s="15">
        <f>+S33</f>
        <v>0</v>
      </c>
      <c r="X33" s="15">
        <f t="shared" si="1"/>
        <v>127700000</v>
      </c>
      <c r="Y33" s="15">
        <f t="shared" si="2"/>
        <v>0</v>
      </c>
      <c r="Z33" s="20">
        <f t="shared" si="3"/>
        <v>100</v>
      </c>
    </row>
    <row r="34" spans="1:26" ht="12.75">
      <c r="A34" s="22" t="s">
        <v>58</v>
      </c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6">
        <v>280000000</v>
      </c>
      <c r="P34" s="17">
        <f t="shared" si="8"/>
        <v>280000000</v>
      </c>
      <c r="Q34" s="16"/>
      <c r="R34" s="16"/>
      <c r="S34" s="16"/>
      <c r="T34" s="15">
        <v>0</v>
      </c>
      <c r="U34" s="15"/>
      <c r="V34" s="15"/>
      <c r="W34" s="15">
        <f>+P34</f>
        <v>280000000</v>
      </c>
      <c r="X34" s="15">
        <f t="shared" si="1"/>
        <v>280000000</v>
      </c>
      <c r="Y34" s="15">
        <f t="shared" si="2"/>
        <v>0</v>
      </c>
      <c r="Z34" s="20">
        <f t="shared" si="3"/>
        <v>100</v>
      </c>
    </row>
    <row r="35" spans="1:26" ht="12.75">
      <c r="A35" s="22" t="s">
        <v>38</v>
      </c>
      <c r="B35" s="16">
        <f>+B36+B37+B38</f>
        <v>1932248000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6">
        <f>+O36+O37+O38</f>
        <v>406010741</v>
      </c>
      <c r="P35" s="17">
        <f t="shared" si="8"/>
        <v>2338258741</v>
      </c>
      <c r="Q35" s="16" t="e">
        <f>+Q36+Q37+Q38</f>
        <v>#REF!</v>
      </c>
      <c r="R35" s="16">
        <f>+R36+R37+R38</f>
        <v>53155179.45</v>
      </c>
      <c r="S35" s="16">
        <f>+S36+S37+S38</f>
        <v>0</v>
      </c>
      <c r="T35" s="15">
        <f>+T36+T37+T38</f>
        <v>2181844866.83</v>
      </c>
      <c r="U35" s="15"/>
      <c r="V35" s="15"/>
      <c r="W35" s="15">
        <f>+W36+W37+W38</f>
        <v>0</v>
      </c>
      <c r="X35" s="15">
        <f t="shared" si="1"/>
        <v>2181844866.83</v>
      </c>
      <c r="Y35" s="15">
        <f>+P35-T35-W35</f>
        <v>156413874.17000008</v>
      </c>
      <c r="Z35" s="20">
        <f t="shared" si="3"/>
        <v>93.31066868574575</v>
      </c>
    </row>
    <row r="36" spans="1:26" ht="12.75">
      <c r="A36" s="22" t="s">
        <v>6</v>
      </c>
      <c r="B36" s="16">
        <v>171248000</v>
      </c>
      <c r="C36" s="17">
        <v>898886</v>
      </c>
      <c r="D36" s="17">
        <f>4306726+216132</f>
        <v>4522858</v>
      </c>
      <c r="E36" s="17">
        <f>751140+23292827</f>
        <v>24043967</v>
      </c>
      <c r="F36" s="17">
        <v>8452240</v>
      </c>
      <c r="G36" s="17">
        <v>4422172</v>
      </c>
      <c r="H36" s="17">
        <f>7484642+234363</f>
        <v>7719005</v>
      </c>
      <c r="I36" s="17">
        <f>102855+5416914</f>
        <v>5519769</v>
      </c>
      <c r="J36" s="17">
        <f>6098966+444960+3514791+65855</f>
        <v>10124572</v>
      </c>
      <c r="K36" s="17">
        <f>191152+1348022+3219820.01</f>
        <v>4758994.01</v>
      </c>
      <c r="L36" s="17">
        <f>350566+9695840</f>
        <v>10046406</v>
      </c>
      <c r="M36" s="17">
        <f>579536+7833208+436291+345639</f>
        <v>9194674</v>
      </c>
      <c r="N36" s="17">
        <f>112132152.5-89703543.01</f>
        <v>22428609.489999995</v>
      </c>
      <c r="O36" s="17"/>
      <c r="P36" s="17">
        <f t="shared" si="5"/>
        <v>171248000</v>
      </c>
      <c r="Q36" s="16" t="e">
        <f>+'[2]ENERO 09'!$A$69</f>
        <v>#REF!</v>
      </c>
      <c r="R36" s="17">
        <f>+'[3]AGOSTO08'!$B$39+'[3]AGOSTO08'!$B$57-4486934.55</f>
        <v>14202322.45</v>
      </c>
      <c r="S36" s="17">
        <v>0</v>
      </c>
      <c r="T36" s="15">
        <v>165355135.83</v>
      </c>
      <c r="U36" s="15"/>
      <c r="V36" s="15"/>
      <c r="W36" s="15">
        <v>0</v>
      </c>
      <c r="X36" s="15">
        <f t="shared" si="1"/>
        <v>165355135.83</v>
      </c>
      <c r="Y36" s="15">
        <f t="shared" si="2"/>
        <v>5892864.169999987</v>
      </c>
      <c r="Z36" s="20">
        <f t="shared" si="3"/>
        <v>96.55887124521163</v>
      </c>
    </row>
    <row r="37" spans="1:26" ht="12.75">
      <c r="A37" s="22" t="s">
        <v>9</v>
      </c>
      <c r="B37" s="16">
        <v>0</v>
      </c>
      <c r="C37" s="17"/>
      <c r="D37" s="17"/>
      <c r="E37" s="17"/>
      <c r="F37" s="17">
        <f>+B37</f>
        <v>0</v>
      </c>
      <c r="G37" s="17"/>
      <c r="H37" s="17"/>
      <c r="I37" s="17"/>
      <c r="J37" s="17"/>
      <c r="K37" s="17"/>
      <c r="L37" s="17"/>
      <c r="M37" s="17"/>
      <c r="N37" s="17"/>
      <c r="O37" s="17">
        <f>515409946-109399205</f>
        <v>406010741</v>
      </c>
      <c r="P37" s="17">
        <f t="shared" si="5"/>
        <v>406010741</v>
      </c>
      <c r="Q37" s="17">
        <v>0</v>
      </c>
      <c r="R37" s="17">
        <v>0</v>
      </c>
      <c r="S37" s="17">
        <v>0</v>
      </c>
      <c r="T37" s="15">
        <f>+P37</f>
        <v>406010741</v>
      </c>
      <c r="U37" s="15"/>
      <c r="V37" s="15"/>
      <c r="W37" s="15">
        <f>+S37</f>
        <v>0</v>
      </c>
      <c r="X37" s="15">
        <f t="shared" si="1"/>
        <v>406010741</v>
      </c>
      <c r="Y37" s="15">
        <f t="shared" si="2"/>
        <v>0</v>
      </c>
      <c r="Z37" s="20">
        <f t="shared" si="3"/>
        <v>100</v>
      </c>
    </row>
    <row r="38" spans="1:26" ht="12.75">
      <c r="A38" s="22" t="s">
        <v>39</v>
      </c>
      <c r="B38" s="16">
        <f>+B39+B40</f>
        <v>1761000000</v>
      </c>
      <c r="C38" s="17" t="e">
        <f>+#REF!+#REF!</f>
        <v>#REF!</v>
      </c>
      <c r="D38" s="17" t="e">
        <f>+#REF!+#REF!</f>
        <v>#REF!</v>
      </c>
      <c r="E38" s="17" t="e">
        <f>+#REF!+#REF!</f>
        <v>#REF!</v>
      </c>
      <c r="F38" s="17" t="e">
        <f>+#REF!+#REF!</f>
        <v>#REF!</v>
      </c>
      <c r="G38" s="17" t="e">
        <f>+#REF!+#REF!</f>
        <v>#REF!</v>
      </c>
      <c r="H38" s="17" t="e">
        <f>+#REF!+#REF!</f>
        <v>#REF!</v>
      </c>
      <c r="I38" s="17" t="e">
        <f>+#REF!+#REF!</f>
        <v>#REF!</v>
      </c>
      <c r="J38" s="17" t="e">
        <f>+#REF!+#REF!</f>
        <v>#REF!</v>
      </c>
      <c r="K38" s="17" t="e">
        <f>+#REF!+#REF!</f>
        <v>#REF!</v>
      </c>
      <c r="L38" s="17" t="e">
        <f>+#REF!+#REF!</f>
        <v>#REF!</v>
      </c>
      <c r="M38" s="17" t="e">
        <f>+#REF!+#REF!</f>
        <v>#REF!</v>
      </c>
      <c r="N38" s="17" t="e">
        <f>+#REF!+#REF!</f>
        <v>#REF!</v>
      </c>
      <c r="O38" s="16">
        <v>0</v>
      </c>
      <c r="P38" s="17">
        <f t="shared" si="5"/>
        <v>1761000000</v>
      </c>
      <c r="Q38" s="16">
        <v>120584565</v>
      </c>
      <c r="R38" s="16">
        <f>+R39+R40</f>
        <v>38952857</v>
      </c>
      <c r="S38" s="16">
        <v>0</v>
      </c>
      <c r="T38" s="15">
        <f>+T39+T40</f>
        <v>1610478990</v>
      </c>
      <c r="U38" s="15"/>
      <c r="V38" s="15"/>
      <c r="W38" s="15">
        <v>0</v>
      </c>
      <c r="X38" s="15">
        <f t="shared" si="1"/>
        <v>1610478990</v>
      </c>
      <c r="Y38" s="15">
        <f t="shared" si="2"/>
        <v>150521010</v>
      </c>
      <c r="Z38" s="20">
        <f t="shared" si="3"/>
        <v>91.45252640545145</v>
      </c>
    </row>
    <row r="39" spans="1:26" ht="12.75">
      <c r="A39" s="23" t="s">
        <v>31</v>
      </c>
      <c r="B39" s="16">
        <v>680000000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6">
        <v>0</v>
      </c>
      <c r="P39" s="17">
        <f>+B39+O39</f>
        <v>680000000</v>
      </c>
      <c r="Q39" s="16"/>
      <c r="R39" s="16">
        <f>+'[3]AGOSTO08'!$G$65-15702200</f>
        <v>31452677</v>
      </c>
      <c r="S39" s="16"/>
      <c r="T39" s="15">
        <v>689152624</v>
      </c>
      <c r="U39" s="15"/>
      <c r="V39" s="15"/>
      <c r="W39" s="15">
        <v>0</v>
      </c>
      <c r="X39" s="15">
        <f t="shared" si="1"/>
        <v>689152624</v>
      </c>
      <c r="Y39" s="15">
        <f t="shared" si="2"/>
        <v>-9152624</v>
      </c>
      <c r="Z39" s="20">
        <f t="shared" si="3"/>
        <v>101.34597411764705</v>
      </c>
    </row>
    <row r="40" spans="1:26" ht="12.75">
      <c r="A40" s="23" t="s">
        <v>53</v>
      </c>
      <c r="B40" s="16">
        <v>1081000000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6">
        <v>0</v>
      </c>
      <c r="P40" s="17">
        <f>+B40+O40</f>
        <v>1081000000</v>
      </c>
      <c r="Q40" s="16"/>
      <c r="R40" s="16">
        <f>+'[3]AGOSTO08'!$C$79</f>
        <v>7500180</v>
      </c>
      <c r="S40" s="16"/>
      <c r="T40" s="15">
        <v>921326366</v>
      </c>
      <c r="U40" s="15"/>
      <c r="V40" s="15"/>
      <c r="W40" s="15">
        <v>0</v>
      </c>
      <c r="X40" s="15">
        <f t="shared" si="1"/>
        <v>921326366</v>
      </c>
      <c r="Y40" s="15">
        <f t="shared" si="2"/>
        <v>159673634</v>
      </c>
      <c r="Z40" s="20">
        <f t="shared" si="3"/>
        <v>85.2290810360777</v>
      </c>
    </row>
    <row r="41" spans="1:26" ht="12.75">
      <c r="A41" s="23"/>
      <c r="B41" s="17"/>
      <c r="C41" s="17"/>
      <c r="D41" s="17"/>
      <c r="E41" s="17" t="s">
        <v>1</v>
      </c>
      <c r="F41" s="17" t="s">
        <v>1</v>
      </c>
      <c r="G41" s="17" t="s">
        <v>1</v>
      </c>
      <c r="H41" s="17" t="s">
        <v>1</v>
      </c>
      <c r="I41" s="17" t="s">
        <v>1</v>
      </c>
      <c r="J41" s="17" t="s">
        <v>1</v>
      </c>
      <c r="K41" s="17" t="s">
        <v>1</v>
      </c>
      <c r="L41" s="17" t="s">
        <v>1</v>
      </c>
      <c r="M41" s="17" t="s">
        <v>1</v>
      </c>
      <c r="N41" s="17" t="s">
        <v>1</v>
      </c>
      <c r="O41" s="17"/>
      <c r="P41" s="17" t="s">
        <v>1</v>
      </c>
      <c r="Q41" s="17" t="s">
        <v>1</v>
      </c>
      <c r="R41" s="17"/>
      <c r="S41" s="17"/>
      <c r="T41" s="15" t="s">
        <v>1</v>
      </c>
      <c r="U41" s="15"/>
      <c r="V41" s="15"/>
      <c r="W41" s="15" t="s">
        <v>1</v>
      </c>
      <c r="X41" s="15" t="s">
        <v>1</v>
      </c>
      <c r="Y41" s="15" t="s">
        <v>1</v>
      </c>
      <c r="Z41" s="20" t="s">
        <v>1</v>
      </c>
    </row>
    <row r="42" spans="1:26" ht="12.75">
      <c r="A42" s="22" t="s">
        <v>40</v>
      </c>
      <c r="B42" s="16">
        <f>+B9+B35</f>
        <v>10263763258</v>
      </c>
      <c r="C42" s="16" t="e">
        <f>+C12+C17+C19+C23+C24+C25+C27+#REF!+#REF!+C36+C37+C38+#REF!</f>
        <v>#REF!</v>
      </c>
      <c r="D42" s="16" t="e">
        <f>+D12+D17+D19+D23+D24+D25+D27+#REF!+#REF!+D36+D37+D38+#REF!</f>
        <v>#REF!</v>
      </c>
      <c r="E42" s="16" t="e">
        <f>+E12+E17+E19+E23+E24+E25+E27+#REF!+#REF!+E36+E37+E38+#REF!</f>
        <v>#REF!</v>
      </c>
      <c r="F42" s="16" t="e">
        <f>+F12+F17+F19+F23+F24+F25+F27+#REF!+#REF!+F36+F37+F38+#REF!</f>
        <v>#REF!</v>
      </c>
      <c r="G42" s="16" t="e">
        <f>+G12+G17+G19+G23+G24+G25+G27+#REF!+#REF!+G36+G37+G38+#REF!</f>
        <v>#REF!</v>
      </c>
      <c r="H42" s="16" t="e">
        <f>+H12+H17+H19+H23+H24+H25+H27+#REF!+#REF!+H36+H37+H38+#REF!</f>
        <v>#REF!</v>
      </c>
      <c r="I42" s="16" t="e">
        <f>+I12+I17+I19+I23+I24+I25+I27+#REF!+#REF!+I36+I37+I38+#REF!</f>
        <v>#REF!</v>
      </c>
      <c r="J42" s="16" t="e">
        <f>+J12+J17+J19+J23+J24+J25+J27+#REF!+#REF!+J36+J37+J38+#REF!</f>
        <v>#REF!</v>
      </c>
      <c r="K42" s="16" t="e">
        <f>+K12+K17+K19+K23+K24+K25+K27+#REF!+#REF!+K36+K37+K38+#REF!</f>
        <v>#REF!</v>
      </c>
      <c r="L42" s="16" t="e">
        <f>+L12+L17+L19+L23+L24+L25+L27+#REF!+#REF!+L36+L37+L38+#REF!</f>
        <v>#REF!</v>
      </c>
      <c r="M42" s="16" t="e">
        <f>+M12+M17+M19+M23+M24+M25+M27+#REF!+#REF!+M36+M37+M38+#REF!</f>
        <v>#REF!</v>
      </c>
      <c r="N42" s="16" t="e">
        <f>+N12+N17+N19+N23+N24+N25+N27+#REF!+#REF!+N36+N37+N38+#REF!</f>
        <v>#REF!</v>
      </c>
      <c r="O42" s="16">
        <f>+O9+O35</f>
        <v>952798017</v>
      </c>
      <c r="P42" s="16">
        <f>+P9+P35</f>
        <v>11216561275</v>
      </c>
      <c r="Q42" s="10" t="e">
        <f>+Q35+Q9</f>
        <v>#REF!</v>
      </c>
      <c r="R42" s="16">
        <f>+R9+R35</f>
        <v>770359538.45</v>
      </c>
      <c r="S42" s="16">
        <f>+S9+S35</f>
        <v>640049685</v>
      </c>
      <c r="T42" s="15">
        <f>+T9+T35</f>
        <v>10243155161.029999</v>
      </c>
      <c r="U42" s="15"/>
      <c r="V42" s="15"/>
      <c r="W42" s="15">
        <f>+W9+W35</f>
        <v>1164994280.73</v>
      </c>
      <c r="X42" s="15">
        <f>+X9+X35</f>
        <v>11408149441.76</v>
      </c>
      <c r="Y42" s="15">
        <f>+P42-T42-W42</f>
        <v>-191588166.7599988</v>
      </c>
      <c r="Z42" s="20">
        <f t="shared" si="3"/>
        <v>101.7080829147434</v>
      </c>
    </row>
    <row r="43" spans="1:26" ht="12.75">
      <c r="A43" s="22" t="s">
        <v>108</v>
      </c>
      <c r="B43" s="17">
        <f>+'[4]GASTOS'!$G$11</f>
        <v>1356355632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9">
        <f>1243847230+218723748</f>
        <v>1462570978</v>
      </c>
      <c r="P43" s="9">
        <f>+B43+O43</f>
        <v>2818926610</v>
      </c>
      <c r="Q43" s="9">
        <v>83587896</v>
      </c>
      <c r="R43" s="9">
        <f>+'[3]AGOSTO08'!$B$24-10160688</f>
        <v>95650051</v>
      </c>
      <c r="S43" s="9">
        <v>0</v>
      </c>
      <c r="T43" s="15">
        <f>1312988640+218723748+1243847230</f>
        <v>2775559618</v>
      </c>
      <c r="U43" s="15"/>
      <c r="V43" s="15"/>
      <c r="W43" s="15">
        <v>43366992</v>
      </c>
      <c r="X43" s="15">
        <f t="shared" si="1"/>
        <v>2818926610</v>
      </c>
      <c r="Y43" s="15">
        <f t="shared" si="2"/>
        <v>0</v>
      </c>
      <c r="Z43" s="20">
        <f t="shared" si="3"/>
        <v>100</v>
      </c>
    </row>
    <row r="44" spans="1:26" ht="12.75">
      <c r="A44" s="24"/>
      <c r="B44" s="9" t="s">
        <v>1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9" t="s">
        <v>1</v>
      </c>
      <c r="P44" s="8"/>
      <c r="Q44" s="9"/>
      <c r="R44" s="9" t="s">
        <v>1</v>
      </c>
      <c r="S44" s="9"/>
      <c r="T44" s="15" t="s">
        <v>1</v>
      </c>
      <c r="U44" s="15"/>
      <c r="V44" s="15"/>
      <c r="W44" s="15" t="s">
        <v>1</v>
      </c>
      <c r="X44" s="15" t="s">
        <v>1</v>
      </c>
      <c r="Y44" s="15" t="s">
        <v>1</v>
      </c>
      <c r="Z44" s="20" t="s">
        <v>1</v>
      </c>
    </row>
    <row r="45" spans="1:26" ht="13.5" thickBot="1">
      <c r="A45" s="25" t="s">
        <v>101</v>
      </c>
      <c r="B45" s="26">
        <f>+B42+B43</f>
        <v>11620118890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6">
        <f aca="true" t="shared" si="9" ref="O45:T45">+O42+O43</f>
        <v>2415368995</v>
      </c>
      <c r="P45" s="26">
        <f t="shared" si="9"/>
        <v>14035487885</v>
      </c>
      <c r="Q45" s="26" t="e">
        <f t="shared" si="9"/>
        <v>#REF!</v>
      </c>
      <c r="R45" s="26">
        <f t="shared" si="9"/>
        <v>866009589.45</v>
      </c>
      <c r="S45" s="26">
        <f t="shared" si="9"/>
        <v>640049685</v>
      </c>
      <c r="T45" s="28">
        <f t="shared" si="9"/>
        <v>13018714779.029999</v>
      </c>
      <c r="U45" s="28"/>
      <c r="V45" s="28"/>
      <c r="W45" s="28">
        <f>+W42+W43</f>
        <v>1208361272.73</v>
      </c>
      <c r="X45" s="28">
        <f t="shared" si="1"/>
        <v>14227076051.759998</v>
      </c>
      <c r="Y45" s="28">
        <f>+P45-T45-W45</f>
        <v>-191588166.7599988</v>
      </c>
      <c r="Z45" s="29">
        <f t="shared" si="3"/>
        <v>101.36502676878622</v>
      </c>
    </row>
    <row r="46" ht="12.75">
      <c r="X46" s="1" t="s">
        <v>1</v>
      </c>
    </row>
    <row r="47" ht="12.75">
      <c r="X47" s="1"/>
    </row>
    <row r="48" ht="12.75">
      <c r="X48" s="1"/>
    </row>
    <row r="50" spans="2:24" ht="12.75">
      <c r="B50" s="35" t="s">
        <v>102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W50" s="35" t="s">
        <v>47</v>
      </c>
      <c r="X50" s="35"/>
    </row>
    <row r="51" spans="2:24" ht="12.75">
      <c r="B51" s="37" t="s">
        <v>103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W51" s="37" t="s">
        <v>104</v>
      </c>
      <c r="X51" s="37"/>
    </row>
    <row r="52" spans="23:24" ht="12.75">
      <c r="W52" s="36" t="s">
        <v>105</v>
      </c>
      <c r="X52" s="36"/>
    </row>
  </sheetData>
  <mergeCells count="8">
    <mergeCell ref="A3:Z3"/>
    <mergeCell ref="A4:Z4"/>
    <mergeCell ref="C6:M6"/>
    <mergeCell ref="B50:O50"/>
    <mergeCell ref="W52:X52"/>
    <mergeCell ref="B51:O51"/>
    <mergeCell ref="W50:X50"/>
    <mergeCell ref="W51:X51"/>
  </mergeCells>
  <printOptions/>
  <pageMargins left="0.3937007874015748" right="0" top="0.5905511811023623" bottom="0.3937007874015748" header="0" footer="0"/>
  <pageSetup horizontalDpi="120" verticalDpi="12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mcbahamon</cp:lastModifiedBy>
  <cp:lastPrinted>2010-02-09T20:26:15Z</cp:lastPrinted>
  <dcterms:created xsi:type="dcterms:W3CDTF">2007-01-13T18:42:48Z</dcterms:created>
  <dcterms:modified xsi:type="dcterms:W3CDTF">2010-02-24T17:06:06Z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