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'GASTOS'!$A$56:$L$93</definedName>
  </definedNames>
  <calcPr fullCalcOnLoad="1"/>
</workbook>
</file>

<file path=xl/sharedStrings.xml><?xml version="1.0" encoding="utf-8"?>
<sst xmlns="http://schemas.openxmlformats.org/spreadsheetml/2006/main" count="211" uniqueCount="78">
  <si>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</si>
  <si>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</si>
  <si>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</si>
  <si>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</si>
  <si>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</si>
  <si>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</si>
  <si>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</si>
  <si>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</si>
  <si>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</si>
  <si>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</si>
  <si>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</si>
  <si>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</si>
  <si>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</si>
  <si>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</si>
  <si>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</si>
  <si>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</si>
  <si>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</si>
  <si>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</si>
  <si>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</si>
  <si>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</si>
  <si>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Prima Tecnica</t>
  </si>
  <si>
    <t>Otros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</si>
  <si>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</si>
  <si>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</si>
  <si>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</si>
  <si>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</si>
  <si>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</si>
  <si>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</si>
  <si>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</si>
  <si>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</si>
  <si>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GASTOS DE FUNCIONAMIENTO </t>
  </si>
  <si>
    <t>Servicios personales indirectos</t>
  </si>
  <si>
    <t>Adquisicion de bienes</t>
  </si>
  <si>
    <t>Aporte al Fondo de Compensacion</t>
  </si>
  <si>
    <t>Aporte Asocars</t>
  </si>
  <si>
    <t>Sentencias Judiciales</t>
  </si>
  <si>
    <t>VITELIO BARRERA ALVAREZ</t>
  </si>
  <si>
    <t>RECURSOS PROPIOS</t>
  </si>
  <si>
    <t>Gestiòn Integral del Territorio Rural y Urbano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</si>
  <si>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</si>
  <si>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</si>
  <si>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</si>
  <si>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</si>
  <si>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</si>
  <si>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</si>
  <si>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</si>
  <si>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</si>
  <si>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CDPS</t>
  </si>
  <si>
    <t xml:space="preserve">  </t>
  </si>
  <si>
    <t>Indemnizaciones  horas extras</t>
  </si>
  <si>
    <t>INFORME DE EJECUCION PRESUPUESTAL DE GASTOS 2009</t>
  </si>
  <si>
    <t>VIGENCIA 2009</t>
  </si>
  <si>
    <t>Gastos de Personal</t>
  </si>
  <si>
    <t>Servicios personales asociados a nomina</t>
  </si>
  <si>
    <t>Sueldos personal de nomina</t>
  </si>
  <si>
    <t>Contribuciones nomina sector privado</t>
  </si>
  <si>
    <t>Contribuciones nomina sector publico</t>
  </si>
  <si>
    <t>Profesional Especializado-Contador</t>
  </si>
  <si>
    <t>T.P. 31.683-T</t>
  </si>
  <si>
    <t xml:space="preserve">INFORME DE EJECUCION PRESUPUESTAL DE GASTOS </t>
  </si>
  <si>
    <t xml:space="preserve">Mejoramiento de la Red de Control para el Aprovechamiento, Trafico Ilegal de Fauna y Flora Silvestre </t>
  </si>
  <si>
    <t>Cuota auditaje contranal</t>
  </si>
  <si>
    <t>Planificacion y Gestiòn de Areas Protegias para la Conservaciòn  y Aprovechamiento Sostenible de la Biodiversidad y los Bienes y Servicios Ambientales.</t>
  </si>
  <si>
    <t>Planificaciòn y Gestiòn Integral del Recurso Hidrico</t>
  </si>
  <si>
    <t>Promociòn y Apoyo a Procesos Competitivos Sostenibles y Aprovechamiento de la Oferta Natural de la Región.</t>
  </si>
  <si>
    <t>Autoridad Ambiental Integral, Oportuna y Efectiva.</t>
  </si>
  <si>
    <t>Educaciòn y Comunicaciòn para la Participaciòn Ciudadana y Comunitaria en la Gestión Ambiental.</t>
  </si>
  <si>
    <t>Transferencias Corrientes</t>
  </si>
  <si>
    <t>01</t>
  </si>
  <si>
    <t>CORPORACIÓN AUTÓNOMA REGIONAL DEL ALTO MAGDALENA CAM</t>
  </si>
  <si>
    <t>RECURSOS NACIÓN</t>
  </si>
  <si>
    <t>Sueldos personal de nómina</t>
  </si>
  <si>
    <t>Horas extras y días festivos</t>
  </si>
  <si>
    <t>Prima Técnica</t>
  </si>
  <si>
    <t>Contribuciones nómina sector privado</t>
  </si>
  <si>
    <t>Contribuciones nómina sector publico</t>
  </si>
  <si>
    <t>Adquisición de servicios</t>
  </si>
  <si>
    <t xml:space="preserve">Implementación  y Fortalecimiento de Estrategias  de Educación Ambiental  en el Departamento del Huila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</si>
</sst>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b/>
      <sz val="8"/>
      <name val="Univers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0" fillId="0" borderId="0" xfId="0" applyNumberFormat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17" fontId="8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8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4</xdr:col>
      <xdr:colOff>161925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5850" y="0"/>
          <a:ext cx="485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54</xdr:row>
      <xdr:rowOff>142875</xdr:rowOff>
    </xdr:from>
    <xdr:to>
      <xdr:col>4</xdr:col>
      <xdr:colOff>276225</xdr:colOff>
      <xdr:row>59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09675" y="9201150"/>
          <a:ext cx="476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CO%20DE%20PROGRAMAS%20Y%20PROYECTOS\INFORME%20DE%20GESTION%202009\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0"/>
  <sheetViews>
    <sheetView tabSelected="1" zoomScale="75" zoomScaleNormal="75" workbookViewId="0" topLeftCell="A73">
      <selection activeCell="F67" sqref="F67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8.421875" style="0" customWidth="1"/>
    <col min="8" max="8" width="20.8515625" style="0" customWidth="1"/>
    <col min="9" max="9" width="18.421875" style="0" customWidth="1"/>
    <col min="10" max="10" width="18.8515625" style="0" hidden="1" customWidth="1"/>
    <col min="11" max="11" width="18.57421875" style="0" customWidth="1"/>
    <col min="12" max="12" width="16.28125" style="0" customWidth="1"/>
    <col min="13" max="13" width="17.28125" style="0" hidden="1" customWidth="1"/>
    <col min="14" max="14" width="17.8515625" style="0" hidden="1" customWidth="1"/>
    <col min="15" max="15" width="11.7109375" style="0" hidden="1" customWidth="1"/>
    <col min="16" max="17" width="0" style="0" hidden="1" customWidth="1"/>
    <col min="21" max="21" width="13.7109375" style="0" bestFit="1" customWidth="1"/>
  </cols>
  <sheetData>
    <row r="2" spans="3:8" ht="18">
      <c r="C2" s="2" t="s">
        <v>0</v>
      </c>
      <c r="D2" s="1" t="s">
        <v>0</v>
      </c>
      <c r="E2" s="1" t="s">
        <v>0</v>
      </c>
      <c r="F2" s="34" t="s">
        <v>69</v>
      </c>
      <c r="G2" s="25"/>
      <c r="H2" s="26"/>
    </row>
    <row r="3" spans="1:12" ht="18">
      <c r="A3" s="11"/>
      <c r="B3" s="11"/>
      <c r="C3" s="32" t="s">
        <v>0</v>
      </c>
      <c r="D3" s="30" t="s">
        <v>0</v>
      </c>
      <c r="E3" s="30" t="s">
        <v>0</v>
      </c>
      <c r="F3" s="35" t="s">
        <v>50</v>
      </c>
      <c r="G3" s="33"/>
      <c r="H3" s="33"/>
      <c r="I3" s="11"/>
      <c r="J3" s="11"/>
      <c r="K3" s="11"/>
      <c r="L3" s="11"/>
    </row>
    <row r="4" spans="1:12" ht="18">
      <c r="A4" s="11"/>
      <c r="B4" s="11"/>
      <c r="C4" s="11"/>
      <c r="D4" s="11"/>
      <c r="E4" s="11"/>
      <c r="F4" s="36" t="s">
        <v>70</v>
      </c>
      <c r="G4" s="30"/>
      <c r="H4" s="30"/>
      <c r="I4" s="11"/>
      <c r="J4" s="11"/>
      <c r="K4" s="47" t="s">
        <v>51</v>
      </c>
      <c r="L4" s="47"/>
    </row>
    <row r="5" spans="6:9" ht="12.75">
      <c r="F5" s="1"/>
      <c r="I5" t="s">
        <v>0</v>
      </c>
    </row>
    <row r="6" spans="1:12" ht="12.75">
      <c r="A6" s="5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/>
      <c r="G6" s="7"/>
      <c r="H6" s="6" t="s">
        <v>0</v>
      </c>
      <c r="I6" s="7"/>
      <c r="J6" s="7"/>
      <c r="K6" s="5" t="s">
        <v>0</v>
      </c>
      <c r="L6" s="7"/>
    </row>
    <row r="7" spans="1:12" ht="12.75">
      <c r="A7" s="6"/>
      <c r="B7" s="5" t="s">
        <v>11</v>
      </c>
      <c r="C7" s="6"/>
      <c r="D7" s="6" t="s">
        <v>12</v>
      </c>
      <c r="E7" s="6"/>
      <c r="F7" s="7"/>
      <c r="G7" s="5" t="s">
        <v>2</v>
      </c>
      <c r="H7" s="5" t="s">
        <v>1</v>
      </c>
      <c r="I7" s="5" t="s">
        <v>2</v>
      </c>
      <c r="J7" s="5" t="s">
        <v>40</v>
      </c>
      <c r="K7" s="5" t="s">
        <v>47</v>
      </c>
      <c r="L7" s="20" t="s">
        <v>45</v>
      </c>
    </row>
    <row r="8" spans="1:12" ht="12.75">
      <c r="A8" s="6"/>
      <c r="B8" s="6"/>
      <c r="C8" s="6"/>
      <c r="D8" s="6" t="s">
        <v>13</v>
      </c>
      <c r="E8" s="6"/>
      <c r="F8" s="5" t="s">
        <v>14</v>
      </c>
      <c r="G8" s="5" t="s">
        <v>3</v>
      </c>
      <c r="H8" s="5" t="s">
        <v>15</v>
      </c>
      <c r="I8" s="5" t="s">
        <v>4</v>
      </c>
      <c r="J8" s="5" t="s">
        <v>44</v>
      </c>
      <c r="K8" s="5" t="s">
        <v>41</v>
      </c>
      <c r="L8" s="21"/>
    </row>
    <row r="9" spans="1:12" ht="12.75">
      <c r="A9" s="6"/>
      <c r="B9" s="6"/>
      <c r="C9" s="6"/>
      <c r="D9" s="6" t="s">
        <v>16</v>
      </c>
      <c r="E9" s="6"/>
      <c r="F9" s="7"/>
      <c r="G9" s="5">
        <v>1</v>
      </c>
      <c r="H9" s="5">
        <v>2</v>
      </c>
      <c r="I9" s="5" t="s">
        <v>17</v>
      </c>
      <c r="J9" s="5"/>
      <c r="K9" s="5"/>
      <c r="L9" s="7"/>
    </row>
    <row r="10" spans="1:12" ht="12.75">
      <c r="A10" s="7"/>
      <c r="B10" s="7"/>
      <c r="C10" s="7"/>
      <c r="D10" s="7"/>
      <c r="E10" s="7"/>
      <c r="F10" s="7"/>
      <c r="G10" s="8" t="s">
        <v>0</v>
      </c>
      <c r="H10" s="8"/>
      <c r="I10" s="8" t="s">
        <v>0</v>
      </c>
      <c r="J10" s="8"/>
      <c r="K10" s="8"/>
      <c r="L10" s="7"/>
    </row>
    <row r="11" spans="1:14" ht="12.75">
      <c r="A11" s="7" t="s">
        <v>18</v>
      </c>
      <c r="B11" s="7"/>
      <c r="C11" s="7"/>
      <c r="D11" s="7"/>
      <c r="E11" s="7"/>
      <c r="F11" s="9" t="s">
        <v>19</v>
      </c>
      <c r="G11" s="10">
        <f>SUM(G12+G21+G25)</f>
        <v>1356355632</v>
      </c>
      <c r="H11" s="10">
        <f>SUM(H12+H21+H24+H25)</f>
        <v>218723748</v>
      </c>
      <c r="I11" s="10">
        <f>+G11+H11</f>
        <v>1575079380</v>
      </c>
      <c r="J11" s="10">
        <f>SUM(J12+J21+J25)</f>
        <v>237698019</v>
      </c>
      <c r="K11" s="10">
        <f>+K12+K21+K25</f>
        <v>1575079380</v>
      </c>
      <c r="L11" s="8">
        <f>+K11/I11*100</f>
        <v>100</v>
      </c>
      <c r="M11" s="3">
        <f>+I11+I65</f>
        <v>4831423059</v>
      </c>
      <c r="N11" s="3">
        <f>+K11+K65</f>
        <v>4789989991</v>
      </c>
    </row>
    <row r="12" spans="1:13" ht="12.75">
      <c r="A12" s="7" t="s">
        <v>18</v>
      </c>
      <c r="B12" s="7">
        <v>1</v>
      </c>
      <c r="C12" s="7">
        <v>1</v>
      </c>
      <c r="D12" s="7">
        <v>0</v>
      </c>
      <c r="E12" s="7">
        <v>0</v>
      </c>
      <c r="F12" s="9" t="s">
        <v>52</v>
      </c>
      <c r="G12" s="10">
        <f>+G13+G19+G20</f>
        <v>1322014364</v>
      </c>
      <c r="H12" s="10">
        <f>+H13+H19+H20</f>
        <v>188723748</v>
      </c>
      <c r="I12" s="10">
        <f>+I13+I19+I20</f>
        <v>1510738112</v>
      </c>
      <c r="J12" s="10">
        <f>+J13+J19+J20</f>
        <v>236146287</v>
      </c>
      <c r="K12" s="10">
        <f>+K13+K19+K20</f>
        <v>1510738112</v>
      </c>
      <c r="L12" s="8">
        <f aca="true" t="shared" si="0" ref="L12:L25">+K12/I12*100</f>
        <v>100</v>
      </c>
      <c r="M12" s="3" t="s">
        <v>0</v>
      </c>
    </row>
    <row r="13" spans="1:13" ht="12.75">
      <c r="A13" s="7" t="s">
        <v>18</v>
      </c>
      <c r="B13" s="7">
        <v>1</v>
      </c>
      <c r="C13" s="7">
        <v>1</v>
      </c>
      <c r="D13" s="7">
        <v>1</v>
      </c>
      <c r="E13" s="7">
        <v>0</v>
      </c>
      <c r="F13" s="7" t="s">
        <v>53</v>
      </c>
      <c r="G13" s="8">
        <f>SUM(G14:G18)</f>
        <v>1061382430</v>
      </c>
      <c r="H13" s="8">
        <f>SUM(H14:H18)</f>
        <v>188723748</v>
      </c>
      <c r="I13" s="8">
        <f>SUM(I14:I18)</f>
        <v>1250106178</v>
      </c>
      <c r="J13" s="8">
        <f>SUM(J14:J18)</f>
        <v>236146287</v>
      </c>
      <c r="K13" s="10">
        <f>+K14+K16+K17+K18+K15</f>
        <v>1250106178</v>
      </c>
      <c r="L13" s="8">
        <f t="shared" si="0"/>
        <v>100</v>
      </c>
      <c r="M13" t="s">
        <v>0</v>
      </c>
    </row>
    <row r="14" spans="1:14" ht="12.75">
      <c r="A14" s="7" t="s">
        <v>18</v>
      </c>
      <c r="B14" s="7">
        <v>1</v>
      </c>
      <c r="C14" s="7">
        <v>1</v>
      </c>
      <c r="D14" s="7">
        <v>1</v>
      </c>
      <c r="E14" s="7">
        <v>1</v>
      </c>
      <c r="F14" s="7" t="s">
        <v>71</v>
      </c>
      <c r="G14" s="8">
        <v>788986238</v>
      </c>
      <c r="H14" s="8">
        <f>788986238-G14</f>
        <v>0</v>
      </c>
      <c r="I14" s="8">
        <f>+G14+H14</f>
        <v>788986238</v>
      </c>
      <c r="J14" s="8">
        <v>105878989</v>
      </c>
      <c r="K14" s="22">
        <f aca="true" t="shared" si="1" ref="K14:K20">+I14</f>
        <v>788986238</v>
      </c>
      <c r="L14" s="8">
        <f t="shared" si="0"/>
        <v>100</v>
      </c>
      <c r="M14" s="3" t="s">
        <v>0</v>
      </c>
      <c r="N14" s="3" t="s">
        <v>0</v>
      </c>
    </row>
    <row r="15" spans="1:14" ht="12.75">
      <c r="A15" s="7"/>
      <c r="B15" s="7">
        <v>1</v>
      </c>
      <c r="C15" s="7">
        <v>1</v>
      </c>
      <c r="D15" s="7">
        <v>1</v>
      </c>
      <c r="E15" s="7">
        <v>1</v>
      </c>
      <c r="F15" s="7" t="s">
        <v>71</v>
      </c>
      <c r="G15" s="8">
        <v>0</v>
      </c>
      <c r="H15" s="8">
        <v>188723748</v>
      </c>
      <c r="I15" s="8">
        <f>+G15+H15</f>
        <v>188723748</v>
      </c>
      <c r="J15" s="8">
        <v>105878989</v>
      </c>
      <c r="K15" s="22">
        <f t="shared" si="1"/>
        <v>188723748</v>
      </c>
      <c r="L15" s="8">
        <f>+K15/I15*100</f>
        <v>100</v>
      </c>
      <c r="M15" s="3"/>
      <c r="N15" s="3"/>
    </row>
    <row r="16" spans="1:15" ht="12.75">
      <c r="A16" s="7" t="s">
        <v>18</v>
      </c>
      <c r="B16" s="7">
        <v>1</v>
      </c>
      <c r="C16" s="7">
        <v>1</v>
      </c>
      <c r="D16" s="7">
        <v>9</v>
      </c>
      <c r="E16" s="7">
        <v>1</v>
      </c>
      <c r="F16" s="7" t="s">
        <v>72</v>
      </c>
      <c r="G16" s="8">
        <v>1109973</v>
      </c>
      <c r="H16" s="8">
        <f>1109973-G16</f>
        <v>0</v>
      </c>
      <c r="I16" s="8">
        <f aca="true" t="shared" si="2" ref="I16:I21">+G16+H16</f>
        <v>1109973</v>
      </c>
      <c r="J16" s="8"/>
      <c r="K16" s="22">
        <f t="shared" si="1"/>
        <v>1109973</v>
      </c>
      <c r="L16" s="8">
        <f t="shared" si="0"/>
        <v>100</v>
      </c>
      <c r="M16" s="3"/>
      <c r="N16" s="3" t="s">
        <v>0</v>
      </c>
      <c r="O16" t="s">
        <v>0</v>
      </c>
    </row>
    <row r="17" spans="1:13" ht="12.75">
      <c r="A17" s="7" t="s">
        <v>18</v>
      </c>
      <c r="B17" s="7">
        <v>1</v>
      </c>
      <c r="C17" s="7">
        <v>1</v>
      </c>
      <c r="D17" s="7">
        <v>4</v>
      </c>
      <c r="E17" s="7">
        <v>2</v>
      </c>
      <c r="F17" s="7" t="s">
        <v>73</v>
      </c>
      <c r="G17" s="8">
        <v>96499234</v>
      </c>
      <c r="H17" s="8">
        <f>96499234-G17</f>
        <v>0</v>
      </c>
      <c r="I17" s="8">
        <f t="shared" si="2"/>
        <v>96499234</v>
      </c>
      <c r="J17" s="8">
        <v>11798520</v>
      </c>
      <c r="K17" s="22">
        <f t="shared" si="1"/>
        <v>96499234</v>
      </c>
      <c r="L17" s="8">
        <f t="shared" si="0"/>
        <v>100</v>
      </c>
      <c r="M17" s="3"/>
    </row>
    <row r="18" spans="1:13" ht="12.75">
      <c r="A18" s="7" t="s">
        <v>18</v>
      </c>
      <c r="B18" s="7">
        <v>1</v>
      </c>
      <c r="C18" s="7">
        <v>1</v>
      </c>
      <c r="D18" s="7">
        <v>5</v>
      </c>
      <c r="E18" s="7">
        <v>0</v>
      </c>
      <c r="F18" s="7" t="s">
        <v>21</v>
      </c>
      <c r="G18" s="8">
        <v>174786985</v>
      </c>
      <c r="H18" s="8">
        <v>0</v>
      </c>
      <c r="I18" s="8">
        <f>+G18+H18</f>
        <v>174786985</v>
      </c>
      <c r="J18" s="8">
        <v>12589789</v>
      </c>
      <c r="K18" s="22">
        <f t="shared" si="1"/>
        <v>174786985</v>
      </c>
      <c r="L18" s="8">
        <f t="shared" si="0"/>
        <v>100</v>
      </c>
      <c r="M18" s="3"/>
    </row>
    <row r="19" spans="1:13" ht="12.75">
      <c r="A19" s="7" t="s">
        <v>18</v>
      </c>
      <c r="B19" s="7">
        <v>1</v>
      </c>
      <c r="C19" s="7">
        <v>5</v>
      </c>
      <c r="D19" s="7">
        <v>0</v>
      </c>
      <c r="E19" s="7">
        <v>1</v>
      </c>
      <c r="F19" s="7" t="s">
        <v>74</v>
      </c>
      <c r="G19" s="8">
        <v>56827811</v>
      </c>
      <c r="H19" s="8">
        <f>56827811-G19</f>
        <v>0</v>
      </c>
      <c r="I19" s="8">
        <f t="shared" si="2"/>
        <v>56827811</v>
      </c>
      <c r="J19" s="8">
        <v>0</v>
      </c>
      <c r="K19" s="22">
        <f t="shared" si="1"/>
        <v>56827811</v>
      </c>
      <c r="L19" s="8">
        <f t="shared" si="0"/>
        <v>100</v>
      </c>
      <c r="M19" s="3"/>
    </row>
    <row r="20" spans="1:13" ht="12.75">
      <c r="A20" s="7" t="s">
        <v>18</v>
      </c>
      <c r="B20" s="7">
        <v>1</v>
      </c>
      <c r="C20" s="7">
        <v>5</v>
      </c>
      <c r="D20" s="7">
        <v>0</v>
      </c>
      <c r="E20" s="7">
        <v>2</v>
      </c>
      <c r="F20" s="7" t="s">
        <v>75</v>
      </c>
      <c r="G20" s="8">
        <v>203804123</v>
      </c>
      <c r="H20" s="8">
        <v>0</v>
      </c>
      <c r="I20" s="8">
        <f t="shared" si="2"/>
        <v>203804123</v>
      </c>
      <c r="J20" s="8">
        <v>0</v>
      </c>
      <c r="K20" s="22">
        <f t="shared" si="1"/>
        <v>203804123</v>
      </c>
      <c r="L20" s="8">
        <f t="shared" si="0"/>
        <v>100</v>
      </c>
      <c r="M20" s="3"/>
    </row>
    <row r="21" spans="1:13" ht="12.75">
      <c r="A21" s="7" t="s">
        <v>18</v>
      </c>
      <c r="B21" s="7">
        <v>2</v>
      </c>
      <c r="C21" s="7">
        <v>0</v>
      </c>
      <c r="D21" s="7">
        <v>0</v>
      </c>
      <c r="E21" s="7">
        <v>0</v>
      </c>
      <c r="F21" s="9" t="s">
        <v>22</v>
      </c>
      <c r="G21" s="10">
        <f>SUM(G22:G24)</f>
        <v>25809912</v>
      </c>
      <c r="H21" s="10">
        <f>SUM(H22:H24)</f>
        <v>30000000</v>
      </c>
      <c r="I21" s="10">
        <f t="shared" si="2"/>
        <v>55809912</v>
      </c>
      <c r="J21" s="10">
        <f>SUM(J22:J24)</f>
        <v>1551732</v>
      </c>
      <c r="K21" s="22">
        <f>+K22+K24+K23</f>
        <v>55809912</v>
      </c>
      <c r="L21" s="8">
        <f t="shared" si="0"/>
        <v>100</v>
      </c>
      <c r="M21" s="3"/>
    </row>
    <row r="22" spans="1:13" ht="12.75">
      <c r="A22" s="7" t="s">
        <v>18</v>
      </c>
      <c r="B22" s="7">
        <v>2</v>
      </c>
      <c r="C22" s="7">
        <v>0</v>
      </c>
      <c r="D22" s="7">
        <v>4</v>
      </c>
      <c r="E22" s="7">
        <v>0</v>
      </c>
      <c r="F22" s="7" t="s">
        <v>76</v>
      </c>
      <c r="G22" s="8">
        <v>24569090</v>
      </c>
      <c r="H22" s="8">
        <f>24569090-G22</f>
        <v>0</v>
      </c>
      <c r="I22" s="8">
        <f>+G22+H22</f>
        <v>24569090</v>
      </c>
      <c r="J22" s="10">
        <f>24286957-23511091</f>
        <v>775866</v>
      </c>
      <c r="K22" s="10">
        <f>+I22</f>
        <v>24569090</v>
      </c>
      <c r="L22" s="8">
        <f t="shared" si="0"/>
        <v>100</v>
      </c>
      <c r="M22" s="3"/>
    </row>
    <row r="23" spans="1:13" ht="12.75">
      <c r="A23" s="7" t="s">
        <v>18</v>
      </c>
      <c r="B23" s="7">
        <v>2</v>
      </c>
      <c r="C23" s="7">
        <v>0</v>
      </c>
      <c r="D23" s="7">
        <v>4</v>
      </c>
      <c r="E23" s="7">
        <v>0</v>
      </c>
      <c r="F23" s="7" t="s">
        <v>76</v>
      </c>
      <c r="G23" s="8">
        <v>0</v>
      </c>
      <c r="H23" s="8">
        <v>30000000</v>
      </c>
      <c r="I23" s="8">
        <f>+G23+H23</f>
        <v>30000000</v>
      </c>
      <c r="J23" s="10">
        <f>24286957-23511091</f>
        <v>775866</v>
      </c>
      <c r="K23" s="10">
        <f>+I23</f>
        <v>30000000</v>
      </c>
      <c r="L23" s="8">
        <f>+K23/I23*100</f>
        <v>100</v>
      </c>
      <c r="M23" s="3"/>
    </row>
    <row r="24" spans="1:13" ht="12.75">
      <c r="A24" s="7" t="s">
        <v>18</v>
      </c>
      <c r="B24" s="7">
        <v>2</v>
      </c>
      <c r="C24" s="7">
        <v>0</v>
      </c>
      <c r="D24" s="7">
        <v>3</v>
      </c>
      <c r="E24" s="7">
        <v>50</v>
      </c>
      <c r="F24" s="7" t="s">
        <v>24</v>
      </c>
      <c r="G24" s="8">
        <v>1240822</v>
      </c>
      <c r="H24" s="8">
        <f>1240822-G24</f>
        <v>0</v>
      </c>
      <c r="I24" s="8">
        <f>+G24+H24</f>
        <v>1240822</v>
      </c>
      <c r="J24" s="8">
        <v>0</v>
      </c>
      <c r="K24" s="10">
        <f>+I24</f>
        <v>1240822</v>
      </c>
      <c r="L24" s="8">
        <f t="shared" si="0"/>
        <v>100</v>
      </c>
      <c r="M24" s="3"/>
    </row>
    <row r="25" spans="1:13" ht="12.75">
      <c r="A25" s="7" t="s">
        <v>18</v>
      </c>
      <c r="B25" s="7">
        <v>3</v>
      </c>
      <c r="C25" s="7">
        <v>2</v>
      </c>
      <c r="D25" s="7">
        <v>1</v>
      </c>
      <c r="E25" s="7">
        <v>1</v>
      </c>
      <c r="F25" s="7" t="s">
        <v>25</v>
      </c>
      <c r="G25" s="8">
        <v>8531356</v>
      </c>
      <c r="H25" s="8">
        <f>8531356-G25</f>
        <v>0</v>
      </c>
      <c r="I25" s="8">
        <f>+G25+H25</f>
        <v>8531356</v>
      </c>
      <c r="J25" s="8">
        <v>0</v>
      </c>
      <c r="K25" s="10">
        <f>+I25</f>
        <v>8531356</v>
      </c>
      <c r="L25" s="8">
        <f t="shared" si="0"/>
        <v>100</v>
      </c>
      <c r="M25" s="3"/>
    </row>
    <row r="26" spans="1:13" ht="12.75">
      <c r="A26" s="48" t="s">
        <v>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3"/>
    </row>
    <row r="27" spans="1:15" ht="12.75">
      <c r="A27" s="7"/>
      <c r="B27" s="7"/>
      <c r="C27" s="7"/>
      <c r="D27" s="7"/>
      <c r="E27" s="7"/>
      <c r="F27" s="27" t="s">
        <v>27</v>
      </c>
      <c r="G27" s="9">
        <f>+G28+G31</f>
        <v>0</v>
      </c>
      <c r="H27" s="10">
        <f>+H28+H31</f>
        <v>1243847230</v>
      </c>
      <c r="I27" s="10">
        <f>+I28+I31</f>
        <v>1243847230</v>
      </c>
      <c r="J27" s="10">
        <f>+J28+J31</f>
        <v>1221590165</v>
      </c>
      <c r="K27" s="10">
        <f>+K28+K31</f>
        <v>1242969178</v>
      </c>
      <c r="L27" s="10">
        <f>+K27/I27*100</f>
        <v>99.92940837276295</v>
      </c>
      <c r="M27" s="23">
        <f>+I27+I85</f>
        <v>9204064826</v>
      </c>
      <c r="N27" s="23">
        <f>+K27+K85</f>
        <v>8946942521</v>
      </c>
      <c r="O27" s="11"/>
    </row>
    <row r="28" spans="1:15" ht="12.75">
      <c r="A28" s="49" t="s">
        <v>26</v>
      </c>
      <c r="B28" s="49">
        <v>630</v>
      </c>
      <c r="C28" s="49">
        <v>900</v>
      </c>
      <c r="D28" s="50" t="s">
        <v>68</v>
      </c>
      <c r="E28" s="49">
        <v>290</v>
      </c>
      <c r="F28" s="41" t="s">
        <v>77</v>
      </c>
      <c r="G28" s="43">
        <v>0</v>
      </c>
      <c r="H28" s="45">
        <v>332329230</v>
      </c>
      <c r="I28" s="45">
        <f>+G28+H28</f>
        <v>332329230</v>
      </c>
      <c r="J28" s="45">
        <v>331962952</v>
      </c>
      <c r="K28" s="45">
        <f>+I28-126478</f>
        <v>332202752</v>
      </c>
      <c r="L28" s="46">
        <f>+K28/I28*100</f>
        <v>99.96194195737763</v>
      </c>
      <c r="M28" s="40">
        <f>+I28-K28</f>
        <v>126478</v>
      </c>
      <c r="N28" s="40">
        <f>+M11+M27</f>
        <v>14035487885</v>
      </c>
      <c r="O28" s="11"/>
    </row>
    <row r="29" spans="1:15" ht="12.75" customHeight="1">
      <c r="A29" s="49"/>
      <c r="B29" s="49"/>
      <c r="C29" s="49"/>
      <c r="D29" s="50"/>
      <c r="E29" s="49"/>
      <c r="F29" s="42"/>
      <c r="G29" s="44"/>
      <c r="H29" s="45"/>
      <c r="I29" s="45"/>
      <c r="J29" s="45"/>
      <c r="K29" s="45"/>
      <c r="L29" s="46"/>
      <c r="M29" s="40"/>
      <c r="N29" s="40"/>
      <c r="O29" s="11"/>
    </row>
    <row r="30" spans="1:15" ht="12.75">
      <c r="A30" s="49"/>
      <c r="B30" s="49"/>
      <c r="C30" s="49"/>
      <c r="D30" s="50"/>
      <c r="E30" s="49"/>
      <c r="F30" s="42"/>
      <c r="G30" s="44"/>
      <c r="H30" s="45"/>
      <c r="I30" s="45"/>
      <c r="J30" s="45"/>
      <c r="K30" s="45"/>
      <c r="L30" s="46"/>
      <c r="M30" s="40"/>
      <c r="N30" s="40"/>
      <c r="O30" s="11"/>
    </row>
    <row r="31" spans="1:15" ht="12.75">
      <c r="A31" s="49" t="s">
        <v>26</v>
      </c>
      <c r="B31" s="49">
        <v>630</v>
      </c>
      <c r="C31" s="49">
        <v>900</v>
      </c>
      <c r="D31" s="50" t="s">
        <v>68</v>
      </c>
      <c r="E31" s="49">
        <v>294</v>
      </c>
      <c r="F31" s="41" t="s">
        <v>60</v>
      </c>
      <c r="G31" s="43">
        <v>0</v>
      </c>
      <c r="H31" s="45">
        <v>911518000</v>
      </c>
      <c r="I31" s="45">
        <f>+H31</f>
        <v>911518000</v>
      </c>
      <c r="J31" s="45">
        <f>+I31-21890787</f>
        <v>889627213</v>
      </c>
      <c r="K31" s="45">
        <f>+I31-751574</f>
        <v>910766426</v>
      </c>
      <c r="L31" s="46">
        <f>+K31/I31*100</f>
        <v>99.91754699303799</v>
      </c>
      <c r="M31" s="40">
        <f>+I31-K31</f>
        <v>751574</v>
      </c>
      <c r="N31" s="40">
        <f>+N11+N27</f>
        <v>13736932512</v>
      </c>
      <c r="O31" s="11"/>
    </row>
    <row r="32" spans="1:15" ht="21.75" customHeight="1">
      <c r="A32" s="49"/>
      <c r="B32" s="49"/>
      <c r="C32" s="49"/>
      <c r="D32" s="50"/>
      <c r="E32" s="49"/>
      <c r="F32" s="41"/>
      <c r="G32" s="43"/>
      <c r="H32" s="45"/>
      <c r="I32" s="45"/>
      <c r="J32" s="45"/>
      <c r="K32" s="45"/>
      <c r="L32" s="46"/>
      <c r="M32" s="40"/>
      <c r="N32" s="40"/>
      <c r="O32" s="11"/>
    </row>
    <row r="33" spans="13:15" ht="12.75">
      <c r="M33" s="24">
        <f>+M28+M31</f>
        <v>878052</v>
      </c>
      <c r="N33" s="11">
        <f>+N31/N28*100</f>
        <v>97.87285361616055</v>
      </c>
      <c r="O33" s="11"/>
    </row>
    <row r="34" spans="13:15" ht="12.75">
      <c r="M34" s="24"/>
      <c r="N34" s="11"/>
      <c r="O34" s="11"/>
    </row>
    <row r="35" spans="13:15" ht="12.75">
      <c r="M35" s="24"/>
      <c r="N35" s="11"/>
      <c r="O35" s="11"/>
    </row>
    <row r="36" spans="13:15" ht="12.75">
      <c r="M36" s="24"/>
      <c r="N36" s="11"/>
      <c r="O36" s="11"/>
    </row>
    <row r="38" spans="6:11" ht="12.75">
      <c r="F38" s="28" t="s">
        <v>5</v>
      </c>
      <c r="G38" s="4"/>
      <c r="H38" s="51" t="s">
        <v>36</v>
      </c>
      <c r="I38" s="51"/>
      <c r="J38" s="4"/>
      <c r="K38" s="4"/>
    </row>
    <row r="39" spans="6:11" ht="12.75">
      <c r="F39" s="29" t="s">
        <v>29</v>
      </c>
      <c r="G39" s="4"/>
      <c r="H39" s="52" t="s">
        <v>57</v>
      </c>
      <c r="I39" s="52"/>
      <c r="J39" s="4"/>
      <c r="K39" s="4"/>
    </row>
    <row r="40" spans="8:9" ht="12.75">
      <c r="H40" s="53" t="s">
        <v>58</v>
      </c>
      <c r="I40" s="53"/>
    </row>
    <row r="44" spans="8:9" ht="12.75">
      <c r="H44" t="s">
        <v>0</v>
      </c>
      <c r="I44" t="s">
        <v>0</v>
      </c>
    </row>
    <row r="45" ht="12.75">
      <c r="H45" t="s">
        <v>0</v>
      </c>
    </row>
    <row r="46" ht="12.75">
      <c r="H46" t="s">
        <v>0</v>
      </c>
    </row>
    <row r="49" ht="12.75">
      <c r="I49" s="3" t="s">
        <v>0</v>
      </c>
    </row>
    <row r="50" ht="12.75">
      <c r="I50" t="s">
        <v>0</v>
      </c>
    </row>
    <row r="51" ht="12.75">
      <c r="I51" s="3" t="s">
        <v>0</v>
      </c>
    </row>
    <row r="52" spans="1:10" ht="12.75">
      <c r="A52" t="s">
        <v>0</v>
      </c>
      <c r="F52" s="1" t="s">
        <v>0</v>
      </c>
      <c r="G52" s="1"/>
      <c r="I52" s="3" t="s">
        <v>48</v>
      </c>
      <c r="J52" s="3"/>
    </row>
    <row r="53" spans="1:9" ht="12.75">
      <c r="A53" t="s">
        <v>0</v>
      </c>
      <c r="E53" s="1" t="s">
        <v>0</v>
      </c>
      <c r="F53" s="1" t="s">
        <v>0</v>
      </c>
      <c r="G53" s="1"/>
      <c r="I53" t="s">
        <v>0</v>
      </c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1:12" ht="18">
      <c r="A56" s="11"/>
      <c r="B56" s="11"/>
      <c r="C56" s="32" t="s">
        <v>0</v>
      </c>
      <c r="D56" s="30" t="s">
        <v>0</v>
      </c>
      <c r="E56" s="30" t="s">
        <v>0</v>
      </c>
      <c r="F56" s="35" t="s">
        <v>69</v>
      </c>
      <c r="G56" s="30"/>
      <c r="H56" s="11"/>
      <c r="I56" s="31"/>
      <c r="J56" s="11"/>
      <c r="K56" s="11" t="s">
        <v>0</v>
      </c>
      <c r="L56" s="11"/>
    </row>
    <row r="57" spans="1:12" ht="18">
      <c r="A57" s="11"/>
      <c r="B57" s="11"/>
      <c r="C57" s="32" t="s">
        <v>0</v>
      </c>
      <c r="D57" s="30" t="s">
        <v>0</v>
      </c>
      <c r="E57" s="30" t="s">
        <v>0</v>
      </c>
      <c r="F57" s="35" t="s">
        <v>59</v>
      </c>
      <c r="G57" s="30"/>
      <c r="H57" s="30"/>
      <c r="I57" s="11"/>
      <c r="J57" s="11"/>
      <c r="K57" s="11" t="s">
        <v>0</v>
      </c>
      <c r="L57" s="11"/>
    </row>
    <row r="58" spans="1:12" ht="18">
      <c r="A58" s="11"/>
      <c r="B58" s="11"/>
      <c r="C58" s="11"/>
      <c r="D58" s="11"/>
      <c r="E58" s="11"/>
      <c r="F58" s="36" t="s">
        <v>37</v>
      </c>
      <c r="G58" s="30"/>
      <c r="H58" s="30" t="s">
        <v>0</v>
      </c>
      <c r="I58" s="31"/>
      <c r="J58" s="24"/>
      <c r="K58" s="31" t="s">
        <v>0</v>
      </c>
      <c r="L58" s="11"/>
    </row>
    <row r="59" spans="1:12" ht="18">
      <c r="A59" s="11"/>
      <c r="B59" s="11"/>
      <c r="C59" s="11"/>
      <c r="D59" s="11"/>
      <c r="E59" s="11"/>
      <c r="F59" s="30"/>
      <c r="G59" s="30"/>
      <c r="H59" s="30"/>
      <c r="I59" s="31"/>
      <c r="J59" s="24"/>
      <c r="K59" s="54" t="s">
        <v>51</v>
      </c>
      <c r="L59" s="54"/>
    </row>
    <row r="60" spans="1:11" ht="12.75">
      <c r="A60" s="11"/>
      <c r="B60" s="11"/>
      <c r="C60" s="11"/>
      <c r="D60" s="11"/>
      <c r="E60" s="11"/>
      <c r="F60" s="30"/>
      <c r="G60" s="30"/>
      <c r="H60" s="30"/>
      <c r="I60" s="31"/>
      <c r="J60" s="24"/>
      <c r="K60" s="31"/>
    </row>
    <row r="61" spans="1:12" ht="12.75">
      <c r="A61" s="6"/>
      <c r="B61" s="5" t="s">
        <v>11</v>
      </c>
      <c r="C61" s="6"/>
      <c r="D61" s="6" t="s">
        <v>12</v>
      </c>
      <c r="E61" s="6"/>
      <c r="F61" s="12"/>
      <c r="G61" s="5" t="s">
        <v>2</v>
      </c>
      <c r="H61" s="5" t="s">
        <v>1</v>
      </c>
      <c r="I61" s="5" t="s">
        <v>2</v>
      </c>
      <c r="J61" s="5" t="s">
        <v>42</v>
      </c>
      <c r="K61" s="13" t="s">
        <v>47</v>
      </c>
      <c r="L61" s="20" t="s">
        <v>46</v>
      </c>
    </row>
    <row r="62" spans="1:12" ht="12.75">
      <c r="A62" s="6"/>
      <c r="B62" s="6"/>
      <c r="C62" s="6"/>
      <c r="D62" s="6" t="s">
        <v>13</v>
      </c>
      <c r="E62" s="6"/>
      <c r="F62" s="5" t="s">
        <v>14</v>
      </c>
      <c r="G62" s="5" t="s">
        <v>3</v>
      </c>
      <c r="H62" s="5" t="s">
        <v>15</v>
      </c>
      <c r="I62" s="5" t="s">
        <v>4</v>
      </c>
      <c r="J62" s="5" t="s">
        <v>43</v>
      </c>
      <c r="K62" s="5" t="s">
        <v>41</v>
      </c>
      <c r="L62" s="21"/>
    </row>
    <row r="63" spans="1:12" ht="12.75">
      <c r="A63" s="6"/>
      <c r="B63" s="6"/>
      <c r="C63" s="6"/>
      <c r="D63" s="6" t="s">
        <v>16</v>
      </c>
      <c r="E63" s="6"/>
      <c r="F63" s="12"/>
      <c r="G63" s="5">
        <v>1</v>
      </c>
      <c r="H63" s="5">
        <v>2</v>
      </c>
      <c r="I63" s="5" t="s">
        <v>17</v>
      </c>
      <c r="J63" s="5"/>
      <c r="K63" s="5"/>
      <c r="L63" s="7"/>
    </row>
    <row r="64" spans="1:12" ht="12.75">
      <c r="A64" s="12"/>
      <c r="B64" s="12"/>
      <c r="C64" s="12"/>
      <c r="D64" s="12"/>
      <c r="E64" s="12"/>
      <c r="F64" s="12"/>
      <c r="G64" s="14" t="s">
        <v>0</v>
      </c>
      <c r="H64" s="14" t="s">
        <v>0</v>
      </c>
      <c r="I64" s="14" t="s">
        <v>0</v>
      </c>
      <c r="J64" s="14"/>
      <c r="K64" s="14" t="s">
        <v>0</v>
      </c>
      <c r="L64" s="7"/>
    </row>
    <row r="65" spans="1:16" ht="12.75">
      <c r="A65" s="12" t="s">
        <v>18</v>
      </c>
      <c r="B65" s="12"/>
      <c r="C65" s="12"/>
      <c r="D65" s="12"/>
      <c r="E65" s="12"/>
      <c r="F65" s="9" t="s">
        <v>30</v>
      </c>
      <c r="G65" s="10">
        <f>SUM(G66+G75+G79)</f>
        <v>3256343679</v>
      </c>
      <c r="H65" s="10">
        <f>SUM(H66+H75+H79)</f>
        <v>0</v>
      </c>
      <c r="I65" s="10">
        <f>SUM(I66+I75+I79)</f>
        <v>3256343679</v>
      </c>
      <c r="J65" s="10">
        <f>SUM(J66+J75+J79)</f>
        <v>204336876</v>
      </c>
      <c r="K65" s="10">
        <f>+K66+K75+K79</f>
        <v>3214910611</v>
      </c>
      <c r="L65" s="10">
        <f>+K65/I65*100</f>
        <v>98.72761992945647</v>
      </c>
      <c r="M65" s="3">
        <f>+I65-K65</f>
        <v>41433068</v>
      </c>
      <c r="P65">
        <f>200*8000*6</f>
        <v>9600000</v>
      </c>
    </row>
    <row r="66" spans="1:16" ht="12.75">
      <c r="A66" s="12" t="s">
        <v>18</v>
      </c>
      <c r="B66" s="12">
        <v>1</v>
      </c>
      <c r="C66" s="12">
        <v>1</v>
      </c>
      <c r="D66" s="12">
        <v>0</v>
      </c>
      <c r="E66" s="12">
        <v>0</v>
      </c>
      <c r="F66" s="9" t="s">
        <v>52</v>
      </c>
      <c r="G66" s="10">
        <f>SUM(G67+G72+G73+G74)</f>
        <v>1423687311</v>
      </c>
      <c r="H66" s="10">
        <f>SUM(H67+H72+H73+H74)</f>
        <v>-130100000</v>
      </c>
      <c r="I66" s="10">
        <f>+I67+I72+I73+I74</f>
        <v>1293587311</v>
      </c>
      <c r="J66" s="10">
        <f>SUM(J67+J72+J73+J74)</f>
        <v>0</v>
      </c>
      <c r="K66" s="10">
        <f>+K67+K72+K73+K74</f>
        <v>1290093268</v>
      </c>
      <c r="L66" s="10">
        <f aca="true" t="shared" si="3" ref="L66:L93">+K66/I66*100</f>
        <v>99.72989507779734</v>
      </c>
      <c r="M66" s="3">
        <f aca="true" t="shared" si="4" ref="M66:M92">+I66-K66</f>
        <v>3494043</v>
      </c>
      <c r="P66">
        <f>9000*200*12</f>
        <v>21600000</v>
      </c>
    </row>
    <row r="67" spans="1:16" ht="12.75">
      <c r="A67" s="12" t="s">
        <v>18</v>
      </c>
      <c r="B67" s="12">
        <v>1</v>
      </c>
      <c r="C67" s="12">
        <v>1</v>
      </c>
      <c r="D67" s="12">
        <v>1</v>
      </c>
      <c r="E67" s="12">
        <v>0</v>
      </c>
      <c r="F67" s="12" t="s">
        <v>53</v>
      </c>
      <c r="G67" s="14">
        <f>SUM(G68:G71)</f>
        <v>909053395</v>
      </c>
      <c r="H67" s="14">
        <f>SUM(H68:H71)</f>
        <v>-213500000</v>
      </c>
      <c r="I67" s="14">
        <f>SUM(I68:I71)</f>
        <v>695553395</v>
      </c>
      <c r="J67" s="14">
        <f>SUM(J68:J71)</f>
        <v>0</v>
      </c>
      <c r="K67" s="14">
        <f>SUM(K68:K71)</f>
        <v>693974959</v>
      </c>
      <c r="L67" s="8">
        <f t="shared" si="3"/>
        <v>99.77306760180504</v>
      </c>
      <c r="M67" s="3">
        <f t="shared" si="4"/>
        <v>1578436</v>
      </c>
      <c r="P67">
        <f>+P66*1.004</f>
        <v>21686400</v>
      </c>
    </row>
    <row r="68" spans="1:13" ht="12.75">
      <c r="A68" s="12" t="s">
        <v>18</v>
      </c>
      <c r="B68" s="12">
        <v>1</v>
      </c>
      <c r="C68" s="12">
        <v>1</v>
      </c>
      <c r="D68" s="12">
        <v>1</v>
      </c>
      <c r="E68" s="12">
        <v>1</v>
      </c>
      <c r="F68" s="12" t="s">
        <v>54</v>
      </c>
      <c r="G68" s="14">
        <v>700765929</v>
      </c>
      <c r="H68" s="14">
        <f>-10000000-54000000-164600000</f>
        <v>-228600000</v>
      </c>
      <c r="I68" s="14">
        <f>SUM(G68+H68)</f>
        <v>472165929</v>
      </c>
      <c r="J68" s="14">
        <v>0</v>
      </c>
      <c r="K68" s="14">
        <v>472081499</v>
      </c>
      <c r="L68" s="8">
        <f t="shared" si="3"/>
        <v>99.98211857425231</v>
      </c>
      <c r="M68" s="3">
        <f t="shared" si="4"/>
        <v>84430</v>
      </c>
    </row>
    <row r="69" spans="1:14" ht="12.75">
      <c r="A69" s="12" t="s">
        <v>18</v>
      </c>
      <c r="B69" s="12">
        <v>1</v>
      </c>
      <c r="C69" s="12">
        <v>1</v>
      </c>
      <c r="D69" s="12">
        <v>9</v>
      </c>
      <c r="E69" s="12">
        <v>3</v>
      </c>
      <c r="F69" s="12" t="s">
        <v>49</v>
      </c>
      <c r="G69" s="14">
        <v>10000000</v>
      </c>
      <c r="H69" s="14">
        <f>10000000+0+500000+8000000</f>
        <v>18500000</v>
      </c>
      <c r="I69" s="14">
        <f>SUM(G69+H69)</f>
        <v>28500000</v>
      </c>
      <c r="J69" s="14">
        <v>0</v>
      </c>
      <c r="K69" s="14">
        <f>480199+27848541</f>
        <v>28328740</v>
      </c>
      <c r="L69" s="8">
        <f t="shared" si="3"/>
        <v>99.39908771929824</v>
      </c>
      <c r="M69" s="3">
        <f t="shared" si="4"/>
        <v>171260</v>
      </c>
      <c r="N69" t="s">
        <v>0</v>
      </c>
    </row>
    <row r="70" spans="1:13" ht="12.75">
      <c r="A70" s="12" t="s">
        <v>18</v>
      </c>
      <c r="B70" s="12">
        <v>1</v>
      </c>
      <c r="C70" s="12">
        <v>1</v>
      </c>
      <c r="D70" s="12">
        <v>4</v>
      </c>
      <c r="E70" s="12">
        <v>2</v>
      </c>
      <c r="F70" s="12" t="s">
        <v>20</v>
      </c>
      <c r="G70" s="14">
        <v>57007680</v>
      </c>
      <c r="H70" s="14">
        <v>-4500000</v>
      </c>
      <c r="I70" s="14">
        <f>SUM(G70+H70)</f>
        <v>52507680</v>
      </c>
      <c r="J70" s="14">
        <v>0</v>
      </c>
      <c r="K70" s="14">
        <v>52267497</v>
      </c>
      <c r="L70" s="8">
        <f t="shared" si="3"/>
        <v>99.54257548610032</v>
      </c>
      <c r="M70" s="3">
        <f t="shared" si="4"/>
        <v>240183</v>
      </c>
    </row>
    <row r="71" spans="1:14" ht="12.75">
      <c r="A71" s="12" t="s">
        <v>18</v>
      </c>
      <c r="B71" s="12">
        <v>1</v>
      </c>
      <c r="C71" s="12">
        <v>1</v>
      </c>
      <c r="D71" s="12">
        <v>5</v>
      </c>
      <c r="E71" s="12">
        <v>0</v>
      </c>
      <c r="F71" s="12" t="s">
        <v>21</v>
      </c>
      <c r="G71" s="14">
        <v>141279786</v>
      </c>
      <c r="H71" s="14">
        <f>-1600000-900000-3000000+100000+500000+500000+4000000+1500000</f>
        <v>1100000</v>
      </c>
      <c r="I71" s="14">
        <f>SUM(G71+H71)</f>
        <v>142379786</v>
      </c>
      <c r="J71" s="14">
        <v>0</v>
      </c>
      <c r="K71" s="14">
        <v>141297223</v>
      </c>
      <c r="L71" s="8">
        <f t="shared" si="3"/>
        <v>99.23966524292992</v>
      </c>
      <c r="M71" s="3">
        <f t="shared" si="4"/>
        <v>1082563</v>
      </c>
      <c r="N71" t="s">
        <v>0</v>
      </c>
    </row>
    <row r="72" spans="1:15" ht="12.75">
      <c r="A72" s="12" t="s">
        <v>18</v>
      </c>
      <c r="B72" s="12">
        <v>1</v>
      </c>
      <c r="C72" s="12">
        <v>0</v>
      </c>
      <c r="D72" s="12">
        <v>2</v>
      </c>
      <c r="E72" s="12">
        <v>0</v>
      </c>
      <c r="F72" s="12" t="s">
        <v>31</v>
      </c>
      <c r="G72" s="14">
        <v>153630000</v>
      </c>
      <c r="H72" s="15">
        <f>10000000+0+54000000-5600000+34700000</f>
        <v>93100000</v>
      </c>
      <c r="I72" s="14">
        <f>SUM(G72+H72)</f>
        <v>246730000</v>
      </c>
      <c r="J72" s="14">
        <v>0</v>
      </c>
      <c r="K72" s="14">
        <v>245205684</v>
      </c>
      <c r="L72" s="8">
        <f t="shared" si="3"/>
        <v>99.38219268025777</v>
      </c>
      <c r="M72" s="3">
        <f t="shared" si="4"/>
        <v>1524316</v>
      </c>
      <c r="N72">
        <f>575334+600000+348982</f>
        <v>1524316</v>
      </c>
      <c r="O72">
        <f>500000-480199</f>
        <v>19801</v>
      </c>
    </row>
    <row r="73" spans="1:15" ht="12.75">
      <c r="A73" s="12" t="s">
        <v>18</v>
      </c>
      <c r="B73" s="12">
        <v>1</v>
      </c>
      <c r="C73" s="12">
        <v>5</v>
      </c>
      <c r="D73" s="12">
        <v>0</v>
      </c>
      <c r="E73" s="12">
        <v>1</v>
      </c>
      <c r="F73" s="12" t="s">
        <v>55</v>
      </c>
      <c r="G73" s="14">
        <v>241216416</v>
      </c>
      <c r="H73" s="15">
        <v>-20400000</v>
      </c>
      <c r="I73" s="14">
        <f>+G73+H73</f>
        <v>220816416</v>
      </c>
      <c r="J73" s="14">
        <v>0</v>
      </c>
      <c r="K73" s="14">
        <v>220542698</v>
      </c>
      <c r="L73" s="8">
        <f t="shared" si="3"/>
        <v>99.87604273044627</v>
      </c>
      <c r="M73" s="3">
        <f t="shared" si="4"/>
        <v>273718</v>
      </c>
      <c r="N73" s="3">
        <f>19424666+15000000+210781018</f>
        <v>245205684</v>
      </c>
      <c r="O73">
        <f>20000000-19424666</f>
        <v>575334</v>
      </c>
    </row>
    <row r="74" spans="1:15" ht="12.75">
      <c r="A74" s="12" t="s">
        <v>18</v>
      </c>
      <c r="B74" s="12">
        <v>1</v>
      </c>
      <c r="C74" s="12">
        <v>5</v>
      </c>
      <c r="D74" s="12">
        <v>0</v>
      </c>
      <c r="E74" s="12">
        <v>2</v>
      </c>
      <c r="F74" s="12" t="s">
        <v>56</v>
      </c>
      <c r="G74" s="14">
        <v>119787500</v>
      </c>
      <c r="H74" s="15">
        <f>2500000+3100000+5100000</f>
        <v>10700000</v>
      </c>
      <c r="I74" s="14">
        <f>+G74+H74</f>
        <v>130487500</v>
      </c>
      <c r="J74" s="14">
        <v>0</v>
      </c>
      <c r="K74" s="14">
        <f>80939115+33686299+15744513</f>
        <v>130369927</v>
      </c>
      <c r="L74" s="8">
        <f t="shared" si="3"/>
        <v>99.90989711658204</v>
      </c>
      <c r="M74" s="3">
        <f t="shared" si="4"/>
        <v>117573</v>
      </c>
      <c r="N74">
        <f>82277122+33741809+15759971</f>
        <v>131778902</v>
      </c>
      <c r="O74">
        <f>46605+55510+15458</f>
        <v>117573</v>
      </c>
    </row>
    <row r="75" spans="1:15" ht="12.75">
      <c r="A75" s="9" t="s">
        <v>18</v>
      </c>
      <c r="B75" s="9">
        <v>2</v>
      </c>
      <c r="C75" s="9">
        <v>0</v>
      </c>
      <c r="D75" s="9">
        <v>0</v>
      </c>
      <c r="E75" s="9">
        <v>0</v>
      </c>
      <c r="F75" s="9" t="s">
        <v>22</v>
      </c>
      <c r="G75" s="10">
        <f>SUM(G76:G78)</f>
        <v>732132319</v>
      </c>
      <c r="H75" s="10">
        <f>+H76+H77</f>
        <v>13100000</v>
      </c>
      <c r="I75" s="10">
        <f>+I76+I77+I78</f>
        <v>745232319</v>
      </c>
      <c r="J75" s="10">
        <f>SUM(J76:J78)</f>
        <v>204336876</v>
      </c>
      <c r="K75" s="10">
        <f>+K76+K77+K78</f>
        <v>720538900</v>
      </c>
      <c r="L75" s="10">
        <f t="shared" si="3"/>
        <v>96.68648039404206</v>
      </c>
      <c r="M75" s="3">
        <f t="shared" si="4"/>
        <v>24693419</v>
      </c>
      <c r="N75" s="3">
        <f>+N74-I74</f>
        <v>1291402</v>
      </c>
      <c r="O75" s="3">
        <f>+O74-G74</f>
        <v>-119669927</v>
      </c>
    </row>
    <row r="76" spans="1:15" ht="12.75">
      <c r="A76" s="12" t="s">
        <v>18</v>
      </c>
      <c r="B76" s="12">
        <v>2</v>
      </c>
      <c r="C76" s="12">
        <v>4</v>
      </c>
      <c r="D76" s="12">
        <v>0</v>
      </c>
      <c r="E76" s="12">
        <v>0</v>
      </c>
      <c r="F76" s="12" t="s">
        <v>32</v>
      </c>
      <c r="G76" s="14">
        <v>112638790</v>
      </c>
      <c r="H76" s="15">
        <f>-10000000-13300000-5000000</f>
        <v>-28300000</v>
      </c>
      <c r="I76" s="14">
        <f>+G76+H76</f>
        <v>84338790</v>
      </c>
      <c r="J76" s="14">
        <v>45878986</v>
      </c>
      <c r="K76" s="14">
        <f>5982354+77637258</f>
        <v>83619612</v>
      </c>
      <c r="L76" s="8">
        <f t="shared" si="3"/>
        <v>99.14727493719082</v>
      </c>
      <c r="M76" s="3">
        <f t="shared" si="4"/>
        <v>719178</v>
      </c>
      <c r="N76">
        <f>717646+1532</f>
        <v>719178</v>
      </c>
      <c r="O76">
        <f>51035313+24850407</f>
        <v>75885720</v>
      </c>
    </row>
    <row r="77" spans="1:15" ht="12.75">
      <c r="A77" s="12" t="s">
        <v>18</v>
      </c>
      <c r="B77" s="12">
        <v>2</v>
      </c>
      <c r="C77" s="12">
        <v>4</v>
      </c>
      <c r="D77" s="12">
        <v>0</v>
      </c>
      <c r="E77" s="12">
        <v>0</v>
      </c>
      <c r="F77" s="12" t="s">
        <v>23</v>
      </c>
      <c r="G77" s="14">
        <v>585760102</v>
      </c>
      <c r="H77" s="15">
        <f>-30000000-38000000+22500000+24000000+15000000+33500000+17500000-3100000</f>
        <v>41400000</v>
      </c>
      <c r="I77" s="14">
        <f>+G77+H77</f>
        <v>627160102</v>
      </c>
      <c r="J77" s="14">
        <v>158457890</v>
      </c>
      <c r="K77" s="14">
        <f>158687945+59011606+60372908+124393043+37429079+22000000+113150759+1558128+39360314</f>
        <v>615963782</v>
      </c>
      <c r="L77" s="8">
        <f t="shared" si="3"/>
        <v>98.21475888464602</v>
      </c>
      <c r="M77" s="3">
        <f t="shared" si="4"/>
        <v>11196320</v>
      </c>
      <c r="O77">
        <f>158980000+60000000+62712059+124393043+39175000+22000000+113500000+6900000+39500000</f>
        <v>627160102</v>
      </c>
    </row>
    <row r="78" spans="1:15" ht="12.75">
      <c r="A78" s="12" t="s">
        <v>18</v>
      </c>
      <c r="B78" s="12">
        <v>2</v>
      </c>
      <c r="C78" s="12">
        <v>0</v>
      </c>
      <c r="D78" s="12">
        <v>3</v>
      </c>
      <c r="E78" s="12">
        <v>0</v>
      </c>
      <c r="F78" s="12" t="s">
        <v>24</v>
      </c>
      <c r="G78" s="14">
        <v>33733427</v>
      </c>
      <c r="H78" s="14">
        <v>0</v>
      </c>
      <c r="I78" s="14">
        <f>+G78+H78</f>
        <v>33733427</v>
      </c>
      <c r="J78" s="14">
        <v>0</v>
      </c>
      <c r="K78" s="14">
        <v>20955506</v>
      </c>
      <c r="L78" s="8">
        <f t="shared" si="3"/>
        <v>62.12089272756071</v>
      </c>
      <c r="M78" s="3">
        <f t="shared" si="4"/>
        <v>12777921</v>
      </c>
      <c r="O78">
        <f>292055+988394+2339151+1745921+349241+5341872+139686+0</f>
        <v>11196320</v>
      </c>
    </row>
    <row r="79" spans="1:15" ht="12.75">
      <c r="A79" s="9" t="s">
        <v>18</v>
      </c>
      <c r="B79" s="9">
        <v>3</v>
      </c>
      <c r="C79" s="9">
        <v>0</v>
      </c>
      <c r="D79" s="9">
        <v>0</v>
      </c>
      <c r="E79" s="9">
        <v>0</v>
      </c>
      <c r="F79" s="9" t="s">
        <v>67</v>
      </c>
      <c r="G79" s="10">
        <f>SUM(G80:G83)</f>
        <v>1100524049</v>
      </c>
      <c r="H79" s="10">
        <f>+H80+H81</f>
        <v>117000000</v>
      </c>
      <c r="I79" s="10">
        <f>SUM(I80:I83)</f>
        <v>1217524049</v>
      </c>
      <c r="J79" s="10">
        <f>SUM(J80:J83)</f>
        <v>0</v>
      </c>
      <c r="K79" s="10">
        <f>SUM(K80:K83)</f>
        <v>1204278443</v>
      </c>
      <c r="L79" s="10">
        <f t="shared" si="3"/>
        <v>98.91208670490911</v>
      </c>
      <c r="M79" s="3">
        <f t="shared" si="4"/>
        <v>13245606</v>
      </c>
      <c r="O79">
        <f>+O77-O78</f>
        <v>615963782</v>
      </c>
    </row>
    <row r="80" spans="1:15" ht="12.75">
      <c r="A80" s="12" t="s">
        <v>18</v>
      </c>
      <c r="B80" s="12">
        <v>3</v>
      </c>
      <c r="C80" s="12">
        <v>2</v>
      </c>
      <c r="D80" s="12">
        <v>1</v>
      </c>
      <c r="E80" s="12">
        <v>1</v>
      </c>
      <c r="F80" s="12" t="s">
        <v>61</v>
      </c>
      <c r="G80" s="14">
        <v>18566612</v>
      </c>
      <c r="H80" s="14">
        <v>11000000</v>
      </c>
      <c r="I80" s="14">
        <f>+G80+H80</f>
        <v>29566612</v>
      </c>
      <c r="J80" s="14">
        <v>0</v>
      </c>
      <c r="K80" s="14">
        <v>29425212</v>
      </c>
      <c r="L80" s="8">
        <f t="shared" si="3"/>
        <v>99.52175785308104</v>
      </c>
      <c r="M80" s="3">
        <f t="shared" si="4"/>
        <v>141400</v>
      </c>
      <c r="O80">
        <f>60471880-471880</f>
        <v>60000000</v>
      </c>
    </row>
    <row r="81" spans="1:15" ht="12.75">
      <c r="A81" s="12" t="s">
        <v>18</v>
      </c>
      <c r="B81" s="12">
        <v>3</v>
      </c>
      <c r="C81" s="12">
        <v>2</v>
      </c>
      <c r="D81" s="12">
        <v>1</v>
      </c>
      <c r="E81" s="12">
        <v>2</v>
      </c>
      <c r="F81" s="12" t="s">
        <v>33</v>
      </c>
      <c r="G81" s="14">
        <v>950211052</v>
      </c>
      <c r="H81" s="14">
        <v>106000000</v>
      </c>
      <c r="I81" s="14">
        <f>+G81+H81</f>
        <v>1056211052</v>
      </c>
      <c r="J81" s="14">
        <v>0</v>
      </c>
      <c r="K81" s="14">
        <v>1043840362</v>
      </c>
      <c r="L81" s="8">
        <f t="shared" si="3"/>
        <v>98.82876722634407</v>
      </c>
      <c r="M81" s="3">
        <f t="shared" si="4"/>
        <v>12370690</v>
      </c>
      <c r="O81">
        <f>59483486-471880</f>
        <v>59011606</v>
      </c>
    </row>
    <row r="82" spans="1:15" ht="12.75">
      <c r="A82" s="12" t="s">
        <v>18</v>
      </c>
      <c r="B82" s="12">
        <v>3</v>
      </c>
      <c r="C82" s="12">
        <v>2</v>
      </c>
      <c r="D82" s="12">
        <v>1</v>
      </c>
      <c r="E82" s="12">
        <v>3</v>
      </c>
      <c r="F82" s="12" t="s">
        <v>34</v>
      </c>
      <c r="G82" s="14">
        <v>21746385</v>
      </c>
      <c r="H82" s="14">
        <v>0</v>
      </c>
      <c r="I82" s="14">
        <f>+G82+H82</f>
        <v>21746385</v>
      </c>
      <c r="J82" s="14">
        <v>0</v>
      </c>
      <c r="K82" s="14">
        <f>17917771+3900000-71386</f>
        <v>21746385</v>
      </c>
      <c r="L82" s="8">
        <f t="shared" si="3"/>
        <v>100</v>
      </c>
      <c r="M82" s="3">
        <f t="shared" si="4"/>
        <v>0</v>
      </c>
      <c r="O82">
        <f>+O80-O81</f>
        <v>988394</v>
      </c>
    </row>
    <row r="83" spans="1:15" ht="12.75">
      <c r="A83" s="12" t="s">
        <v>18</v>
      </c>
      <c r="B83" s="12">
        <v>3</v>
      </c>
      <c r="C83" s="12">
        <v>6</v>
      </c>
      <c r="D83" s="12">
        <v>1</v>
      </c>
      <c r="E83" s="12">
        <v>1</v>
      </c>
      <c r="F83" s="12" t="s">
        <v>35</v>
      </c>
      <c r="G83" s="14">
        <v>110000000</v>
      </c>
      <c r="H83" s="14">
        <v>0</v>
      </c>
      <c r="I83" s="14">
        <f>+G83+H83</f>
        <v>110000000</v>
      </c>
      <c r="J83" s="14">
        <v>0</v>
      </c>
      <c r="K83" s="14">
        <v>109266484</v>
      </c>
      <c r="L83" s="8">
        <f t="shared" si="3"/>
        <v>99.33316727272728</v>
      </c>
      <c r="M83" s="3">
        <f t="shared" si="4"/>
        <v>733516</v>
      </c>
      <c r="O83">
        <f>66928859-4216800</f>
        <v>62712059</v>
      </c>
    </row>
    <row r="84" spans="1:15" ht="12.75">
      <c r="A84" s="12"/>
      <c r="B84" s="12"/>
      <c r="C84" s="12"/>
      <c r="D84" s="12"/>
      <c r="E84" s="12"/>
      <c r="F84" s="12" t="s">
        <v>0</v>
      </c>
      <c r="G84" s="14" t="s">
        <v>0</v>
      </c>
      <c r="H84" s="14" t="s">
        <v>0</v>
      </c>
      <c r="I84" s="14" t="s">
        <v>0</v>
      </c>
      <c r="J84" s="14"/>
      <c r="K84" s="14" t="s">
        <v>0</v>
      </c>
      <c r="L84" s="8" t="s">
        <v>0</v>
      </c>
      <c r="M84" s="3" t="s">
        <v>0</v>
      </c>
      <c r="O84">
        <f>64589708-4216800</f>
        <v>60372908</v>
      </c>
    </row>
    <row r="85" spans="1:15" ht="12.75">
      <c r="A85" s="37" t="s">
        <v>26</v>
      </c>
      <c r="B85" s="12"/>
      <c r="C85" s="12"/>
      <c r="D85" s="12" t="s">
        <v>0</v>
      </c>
      <c r="E85" s="12"/>
      <c r="F85" s="9" t="s">
        <v>27</v>
      </c>
      <c r="G85" s="38">
        <v>7007419579</v>
      </c>
      <c r="H85" s="38">
        <f>SUM(H86:H92)</f>
        <v>952798017</v>
      </c>
      <c r="I85" s="38">
        <f>+G85+H85</f>
        <v>7960217596</v>
      </c>
      <c r="J85" s="38">
        <f>SUM(J86:J92)</f>
        <v>20025013</v>
      </c>
      <c r="K85" s="38">
        <f>SUM(K86:K92)</f>
        <v>7703973343</v>
      </c>
      <c r="L85" s="10">
        <f t="shared" si="3"/>
        <v>96.7809390897962</v>
      </c>
      <c r="M85" s="3">
        <f t="shared" si="4"/>
        <v>256244253</v>
      </c>
      <c r="O85">
        <f>+O83-O84</f>
        <v>2339151</v>
      </c>
    </row>
    <row r="86" spans="1:21" ht="45">
      <c r="A86" s="17" t="s">
        <v>26</v>
      </c>
      <c r="B86" s="17">
        <v>113</v>
      </c>
      <c r="C86" s="17">
        <v>900</v>
      </c>
      <c r="D86" s="17">
        <v>1</v>
      </c>
      <c r="E86" s="17"/>
      <c r="F86" s="39" t="s">
        <v>62</v>
      </c>
      <c r="G86" s="16">
        <v>884106469</v>
      </c>
      <c r="H86" s="19">
        <f>110451608-109399205+207500786</f>
        <v>208553189</v>
      </c>
      <c r="I86" s="16">
        <f>+G86+H86</f>
        <v>1092659658</v>
      </c>
      <c r="J86" s="16">
        <f>+'[1]0113-0900-01 AREAS PROTEGIDAS'!$D$18</f>
        <v>0</v>
      </c>
      <c r="K86" s="19">
        <f>+I86-11315381</f>
        <v>1081344277</v>
      </c>
      <c r="L86" s="8">
        <f t="shared" si="3"/>
        <v>98.9644185252788</v>
      </c>
      <c r="M86" s="3">
        <f t="shared" si="4"/>
        <v>11315381</v>
      </c>
      <c r="O86">
        <f>75988144-36813144</f>
        <v>39175000</v>
      </c>
      <c r="U86" s="3"/>
    </row>
    <row r="87" spans="1:15" ht="22.5">
      <c r="A87" s="17" t="s">
        <v>26</v>
      </c>
      <c r="B87" s="17">
        <v>113</v>
      </c>
      <c r="C87" s="17">
        <v>900</v>
      </c>
      <c r="D87" s="17">
        <v>2</v>
      </c>
      <c r="E87" s="17"/>
      <c r="F87" s="39" t="s">
        <v>63</v>
      </c>
      <c r="G87" s="16">
        <v>4396711060</v>
      </c>
      <c r="H87" s="19">
        <f>137746338+74616196</f>
        <v>212362534</v>
      </c>
      <c r="I87" s="16">
        <f>+G87+H87</f>
        <v>4609073594</v>
      </c>
      <c r="J87" s="16">
        <f>+'[1]0113-0900-02 RECURSO HIDRICO'!$D$13</f>
        <v>1</v>
      </c>
      <c r="K87" s="19">
        <f>+I87-235918317+60563424</f>
        <v>4433718701</v>
      </c>
      <c r="L87" s="8">
        <f t="shared" si="3"/>
        <v>96.19544167773165</v>
      </c>
      <c r="M87" s="3">
        <f t="shared" si="4"/>
        <v>175354893</v>
      </c>
      <c r="O87">
        <f>74242223-36813144</f>
        <v>37429079</v>
      </c>
    </row>
    <row r="88" spans="1:15" ht="33.75">
      <c r="A88" s="17" t="s">
        <v>26</v>
      </c>
      <c r="B88" s="17">
        <v>113</v>
      </c>
      <c r="C88" s="17">
        <v>900</v>
      </c>
      <c r="D88" s="17">
        <v>3</v>
      </c>
      <c r="E88" s="17"/>
      <c r="F88" s="39" t="s">
        <v>64</v>
      </c>
      <c r="G88" s="16">
        <v>400000000</v>
      </c>
      <c r="H88" s="19">
        <v>236086490</v>
      </c>
      <c r="I88" s="16">
        <v>636086490</v>
      </c>
      <c r="J88" s="16">
        <v>0</v>
      </c>
      <c r="K88" s="19">
        <f>+I88-49001</f>
        <v>636037489</v>
      </c>
      <c r="L88" s="8">
        <f t="shared" si="3"/>
        <v>99.99229648785655</v>
      </c>
      <c r="M88" s="3">
        <f t="shared" si="4"/>
        <v>49001</v>
      </c>
      <c r="O88">
        <f>+O86-O87</f>
        <v>1745921</v>
      </c>
    </row>
    <row r="89" spans="1:13" ht="12.75">
      <c r="A89" s="17" t="s">
        <v>26</v>
      </c>
      <c r="B89" s="17">
        <v>310</v>
      </c>
      <c r="C89" s="17">
        <v>900</v>
      </c>
      <c r="D89" s="17">
        <v>4</v>
      </c>
      <c r="E89" s="17"/>
      <c r="F89" s="39" t="s">
        <v>38</v>
      </c>
      <c r="G89" s="16">
        <v>150000000</v>
      </c>
      <c r="H89" s="16">
        <f>6212000+280000000</f>
        <v>286212000</v>
      </c>
      <c r="I89" s="16">
        <f>+G89+H89</f>
        <v>436212000</v>
      </c>
      <c r="J89" s="16">
        <v>0</v>
      </c>
      <c r="K89" s="19">
        <f>+I89-15193</f>
        <v>436196807</v>
      </c>
      <c r="L89" s="8">
        <f t="shared" si="3"/>
        <v>99.99651706051186</v>
      </c>
      <c r="M89" s="3">
        <f t="shared" si="4"/>
        <v>15193</v>
      </c>
    </row>
    <row r="90" spans="1:14" ht="22.5">
      <c r="A90" s="17" t="s">
        <v>26</v>
      </c>
      <c r="B90" s="17">
        <v>310</v>
      </c>
      <c r="C90" s="17">
        <v>900</v>
      </c>
      <c r="D90" s="17">
        <v>5</v>
      </c>
      <c r="E90" s="17"/>
      <c r="F90" s="39" t="s">
        <v>65</v>
      </c>
      <c r="G90" s="16">
        <v>757602050</v>
      </c>
      <c r="H90" s="19">
        <f>3200000-74616196</f>
        <v>-71416196</v>
      </c>
      <c r="I90" s="16">
        <f>+G90+H90</f>
        <v>686185854</v>
      </c>
      <c r="J90" s="16">
        <f>+'[1]0310-0900-05 AUTORIDAD AMBIENTA'!$E$47</f>
        <v>0</v>
      </c>
      <c r="K90" s="19">
        <f>+I90-21881679</f>
        <v>664304175</v>
      </c>
      <c r="L90" s="8">
        <f t="shared" si="3"/>
        <v>96.81111482079606</v>
      </c>
      <c r="M90" s="3">
        <f t="shared" si="4"/>
        <v>21881679</v>
      </c>
      <c r="N90" s="3" t="s">
        <v>0</v>
      </c>
    </row>
    <row r="91" spans="1:13" ht="33.75">
      <c r="A91" s="17" t="s">
        <v>26</v>
      </c>
      <c r="B91" s="17">
        <v>310</v>
      </c>
      <c r="C91" s="17">
        <v>900</v>
      </c>
      <c r="D91" s="17">
        <v>6</v>
      </c>
      <c r="E91" s="17"/>
      <c r="F91" s="39" t="s">
        <v>66</v>
      </c>
      <c r="G91" s="16">
        <v>169000000</v>
      </c>
      <c r="H91" s="16">
        <v>0</v>
      </c>
      <c r="I91" s="16">
        <v>169000000</v>
      </c>
      <c r="J91" s="16">
        <f>+'[1]0310-0900-06 EDUCACION AMBIENTA'!$D$13+'[1]0310-0900-06 EDUCACION AMBIENTA'!$D$14</f>
        <v>25012</v>
      </c>
      <c r="K91" s="16">
        <f>+I91-110457</f>
        <v>168889543</v>
      </c>
      <c r="L91" s="8">
        <f t="shared" si="3"/>
        <v>99.93464082840237</v>
      </c>
      <c r="M91" s="3">
        <f t="shared" si="4"/>
        <v>110457</v>
      </c>
    </row>
    <row r="92" spans="1:13" ht="22.5">
      <c r="A92" s="17" t="s">
        <v>26</v>
      </c>
      <c r="B92" s="17">
        <v>520</v>
      </c>
      <c r="C92" s="17">
        <v>900</v>
      </c>
      <c r="D92" s="17">
        <v>7</v>
      </c>
      <c r="E92" s="17"/>
      <c r="F92" s="39" t="s">
        <v>39</v>
      </c>
      <c r="G92" s="16">
        <v>250000000</v>
      </c>
      <c r="H92" s="16">
        <v>81000000</v>
      </c>
      <c r="I92" s="16">
        <v>331000000</v>
      </c>
      <c r="J92" s="16">
        <f>+'[1]0520-0900-07 FORTALECIMIENTO'!$D$9+'[1]0520-0900-07 FORTALECIMIENTO'!$D$10</f>
        <v>20000000</v>
      </c>
      <c r="K92" s="16">
        <f>+I92-47517649</f>
        <v>283482351</v>
      </c>
      <c r="L92" s="8">
        <f t="shared" si="3"/>
        <v>85.64421480362537</v>
      </c>
      <c r="M92" s="3">
        <f t="shared" si="4"/>
        <v>47517649</v>
      </c>
    </row>
    <row r="93" spans="1:14" ht="12.75">
      <c r="A93" s="7"/>
      <c r="B93" s="7"/>
      <c r="C93" s="7"/>
      <c r="D93" s="7"/>
      <c r="E93" s="7"/>
      <c r="F93" s="18" t="s">
        <v>28</v>
      </c>
      <c r="G93" s="10">
        <f>+G85+G65</f>
        <v>10263763258</v>
      </c>
      <c r="H93" s="10">
        <f>+H85+H65</f>
        <v>952798017</v>
      </c>
      <c r="I93" s="10">
        <f>+I85+I65</f>
        <v>11216561275</v>
      </c>
      <c r="J93" s="10">
        <f>+J85+J65</f>
        <v>224361889</v>
      </c>
      <c r="K93" s="10">
        <f>+K85+K65</f>
        <v>10918883954</v>
      </c>
      <c r="L93" s="8">
        <f t="shared" si="3"/>
        <v>97.34609107281858</v>
      </c>
      <c r="M93" s="3">
        <f>+I93-K93</f>
        <v>297677321</v>
      </c>
      <c r="N93" s="3">
        <f>+M93+M33</f>
        <v>298555373</v>
      </c>
    </row>
    <row r="94" spans="7:14" ht="12.75">
      <c r="G94" s="3" t="s">
        <v>0</v>
      </c>
      <c r="I94" s="3" t="s">
        <v>0</v>
      </c>
      <c r="K94" s="3" t="s">
        <v>0</v>
      </c>
      <c r="L94" s="3"/>
      <c r="M94" s="3" t="e">
        <f>+I94-K94</f>
        <v>#VALUE!</v>
      </c>
      <c r="N94" s="3" t="e">
        <f>+N93-M94</f>
        <v>#VALUE!</v>
      </c>
    </row>
    <row r="95" spans="9:13" ht="12.75">
      <c r="I95" s="3" t="s">
        <v>0</v>
      </c>
      <c r="K95" t="s">
        <v>0</v>
      </c>
      <c r="L95" s="3"/>
      <c r="M95" s="3" t="e">
        <f>+M93-M94</f>
        <v>#VALUE!</v>
      </c>
    </row>
    <row r="96" spans="9:11" ht="12.75">
      <c r="I96" s="3"/>
      <c r="K96" s="3" t="s">
        <v>0</v>
      </c>
    </row>
    <row r="98" spans="6:9" ht="12.75">
      <c r="F98" s="28" t="s">
        <v>5</v>
      </c>
      <c r="G98" s="4"/>
      <c r="H98" s="51" t="s">
        <v>36</v>
      </c>
      <c r="I98" s="51"/>
    </row>
    <row r="99" spans="6:9" ht="12.75">
      <c r="F99" s="29" t="s">
        <v>29</v>
      </c>
      <c r="G99" s="4"/>
      <c r="H99" s="52" t="s">
        <v>57</v>
      </c>
      <c r="I99" s="52"/>
    </row>
    <row r="100" spans="8:9" ht="12.75">
      <c r="H100" s="53" t="s">
        <v>58</v>
      </c>
      <c r="I100" s="53"/>
    </row>
  </sheetData>
  <mergeCells count="37">
    <mergeCell ref="K59:L59"/>
    <mergeCell ref="H98:I98"/>
    <mergeCell ref="H99:I99"/>
    <mergeCell ref="H100:I100"/>
    <mergeCell ref="A31:A32"/>
    <mergeCell ref="H38:I38"/>
    <mergeCell ref="H39:I39"/>
    <mergeCell ref="H40:I40"/>
    <mergeCell ref="E31:E32"/>
    <mergeCell ref="D31:D32"/>
    <mergeCell ref="C31:C32"/>
    <mergeCell ref="B31:B32"/>
    <mergeCell ref="K4:L4"/>
    <mergeCell ref="A26:L26"/>
    <mergeCell ref="B28:B30"/>
    <mergeCell ref="C28:C30"/>
    <mergeCell ref="D28:D30"/>
    <mergeCell ref="E28:E30"/>
    <mergeCell ref="A28:A30"/>
    <mergeCell ref="J28:J30"/>
    <mergeCell ref="K28:K30"/>
    <mergeCell ref="L28:L30"/>
    <mergeCell ref="N28:N30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M28:M30"/>
    <mergeCell ref="F28:F30"/>
    <mergeCell ref="G28:G30"/>
    <mergeCell ref="H28:H30"/>
    <mergeCell ref="I28:I30"/>
  </mergeCells>
  <printOptions/>
  <pageMargins left="0.984251968503937" right="0.7874015748031497" top="0.7874015748031497" bottom="0.7086614173228347" header="0" footer="0.5511811023622047"/>
  <pageSetup horizontalDpi="120" verticalDpi="12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mcbahamon</cp:lastModifiedBy>
  <cp:lastPrinted>2010-02-09T22:36:25Z</cp:lastPrinted>
  <dcterms:created xsi:type="dcterms:W3CDTF">2007-01-13T18:42:48Z</dcterms:created>
  <dcterms:modified xsi:type="dcterms:W3CDTF">2010-02-24T17:09:41Z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