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<sst xmlns="http://schemas.openxmlformats.org/spreadsheetml/2006/main" count="769" uniqueCount="108">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</sst>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INGRESOS-2009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2009GASTOSoctu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8"/>
      <sheetName val="SEPTIEMBRE07"/>
      <sheetName val="OCTUBRE07"/>
      <sheetName val="NOVIEMBRE07"/>
      <sheetName val="DICIEMBRE06"/>
      <sheetName val="ENERO2008"/>
      <sheetName val="AGOSTO07"/>
    </sheetNames>
    <sheetDataSet>
      <sheetData sheetId="5">
        <row r="12">
          <cell r="B12">
            <v>1846000</v>
          </cell>
        </row>
        <row r="20">
          <cell r="B20">
            <v>2556000</v>
          </cell>
        </row>
        <row r="35">
          <cell r="B35">
            <v>5221589</v>
          </cell>
        </row>
        <row r="64">
          <cell r="B64">
            <v>8982520</v>
          </cell>
          <cell r="C64">
            <v>0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Gráfico1GASTOS"/>
      <sheetName val="Gráfico2GASTOS"/>
      <sheetName val="Gráfico3GASTOS"/>
      <sheetName val="Gráfico4GTSOFUNCIONAMIENTO"/>
      <sheetName val="analisis"/>
      <sheetName val="0630-0900-01-81"/>
      <sheetName val="0630-0900-01-82"/>
      <sheetName val="0520-0900-07 FORTALECIMIENTO"/>
    </sheetNames>
    <sheetDataSet>
      <sheetData sheetId="11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8">
        <row r="5">
          <cell r="B5">
            <v>8414491</v>
          </cell>
        </row>
        <row r="9">
          <cell r="B9">
            <v>3800000</v>
          </cell>
        </row>
        <row r="11">
          <cell r="B11">
            <v>2567869</v>
          </cell>
        </row>
        <row r="18">
          <cell r="B18">
            <v>43145</v>
          </cell>
        </row>
        <row r="24">
          <cell r="B24">
            <v>105810739</v>
          </cell>
        </row>
        <row r="27">
          <cell r="B27">
            <v>1246800</v>
          </cell>
        </row>
        <row r="33">
          <cell r="B33">
            <v>864000</v>
          </cell>
        </row>
        <row r="35">
          <cell r="B35">
            <v>12190</v>
          </cell>
        </row>
        <row r="39">
          <cell r="B39">
            <v>6890776</v>
          </cell>
        </row>
        <row r="57">
          <cell r="B57">
            <v>11798481</v>
          </cell>
        </row>
        <row r="60">
          <cell r="B60">
            <v>3208960</v>
          </cell>
        </row>
        <row r="65">
          <cell r="F65">
            <v>21159450</v>
          </cell>
          <cell r="G65">
            <v>47154877</v>
          </cell>
        </row>
        <row r="79">
          <cell r="B79">
            <v>150660473</v>
          </cell>
          <cell r="C79">
            <v>7500180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  <sheetDataSet>
      <sheetData sheetId="0">
        <row r="30">
          <cell r="I30">
            <v>13635627912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3478854238.7200003</v>
      </c>
      <c r="D9" s="22">
        <f>SUM(D10:D11)</f>
        <v>1778533054.378585</v>
      </c>
      <c r="E9" s="22">
        <f>SUM(E10:E11)</f>
        <v>1700321184.341415</v>
      </c>
      <c r="F9" s="22">
        <f>SUM(F10:F11)</f>
        <v>0</v>
      </c>
      <c r="G9" s="22">
        <f>+D9+E9+F9</f>
        <v>3478854238.7200003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1756800893.67</v>
      </c>
      <c r="D10" s="20">
        <f>+C10*55%</f>
        <v>966240491.5185001</v>
      </c>
      <c r="E10" s="20">
        <f>+C10-D10</f>
        <v>790560402.1515</v>
      </c>
      <c r="F10" s="20"/>
      <c r="G10" s="20">
        <f>+D10+E10+F10</f>
        <v>1756800893.67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1722053345.05</v>
      </c>
      <c r="D11" s="20">
        <f>+C11-E11</f>
        <v>812292562.860085</v>
      </c>
      <c r="E11" s="20">
        <f>+C11*52.83%</f>
        <v>909760782.189915</v>
      </c>
      <c r="F11" s="20"/>
      <c r="G11" s="20">
        <f>+D11+E11+F11</f>
        <v>1722053345.05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1606088331.6399999</v>
      </c>
      <c r="D12" s="22">
        <f>SUM(D13:D18)</f>
        <v>1387544935.1759999</v>
      </c>
      <c r="E12" s="22">
        <f>SUM(E13:E18)</f>
        <v>57934563.300000004</v>
      </c>
      <c r="F12" s="22">
        <f>SUM(F13:F18)</f>
        <v>160608833.364</v>
      </c>
      <c r="G12" s="22">
        <f>+D12+E12+F12</f>
        <v>1606088331.84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349155965</v>
      </c>
      <c r="D13" s="20">
        <f>+C13*90%</f>
        <v>314240368.5</v>
      </c>
      <c r="E13" s="20">
        <v>0</v>
      </c>
      <c r="F13" s="20">
        <f>+C13*0.1</f>
        <v>34915596.5</v>
      </c>
      <c r="G13" s="20">
        <f aca="true" t="shared" si="0" ref="G13:G33">+D13+E13+F13</f>
        <v>349155965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1013497393</v>
      </c>
      <c r="D14" s="20">
        <f>+C14*0.9</f>
        <v>912147653.7</v>
      </c>
      <c r="E14" s="20">
        <v>0</v>
      </c>
      <c r="F14" s="20">
        <f>+C14*0.1+0.2</f>
        <v>101349739.50000001</v>
      </c>
      <c r="G14" s="20">
        <f t="shared" si="0"/>
        <v>1013497393.2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64371737</v>
      </c>
      <c r="D15" s="20">
        <v>0</v>
      </c>
      <c r="E15" s="20">
        <f>+C15*90%</f>
        <v>57934563.300000004</v>
      </c>
      <c r="F15" s="20">
        <f>+C15*10%</f>
        <v>6437173.7</v>
      </c>
      <c r="G15" s="20">
        <f t="shared" si="0"/>
        <v>64371737.00000001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9664549</v>
      </c>
      <c r="D17" s="20">
        <f>+C17*0.9</f>
        <v>8698094.1</v>
      </c>
      <c r="E17" s="20"/>
      <c r="F17" s="20">
        <f>+C17*0.1</f>
        <v>966454.9</v>
      </c>
      <c r="G17" s="20">
        <f t="shared" si="0"/>
        <v>9664549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169398687.64</v>
      </c>
      <c r="D18" s="20">
        <f>+C18*0.9</f>
        <v>152458818.876</v>
      </c>
      <c r="E18" s="20">
        <v>0</v>
      </c>
      <c r="F18" s="20">
        <f>+C18*0.1</f>
        <v>16939868.764</v>
      </c>
      <c r="G18" s="20">
        <f t="shared" si="0"/>
        <v>169398687.64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130114929</v>
      </c>
      <c r="D19" s="22">
        <v>0</v>
      </c>
      <c r="E19" s="22">
        <f>+C19*0.9</f>
        <v>117103436.10000001</v>
      </c>
      <c r="F19" s="22">
        <f>+C19*0.1</f>
        <v>13011492.9</v>
      </c>
      <c r="G19" s="22">
        <f t="shared" si="0"/>
        <v>130114929.00000001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3367684221.93</v>
      </c>
      <c r="D24" s="22">
        <f>+D26+D27+D25</f>
        <v>2423862669.8</v>
      </c>
      <c r="E24" s="22">
        <f>+E26+E27+E25</f>
        <v>216222429.837</v>
      </c>
      <c r="F24" s="22">
        <f>+F26+F27+F25</f>
        <v>212189176.29299998</v>
      </c>
      <c r="G24" s="22">
        <f t="shared" si="0"/>
        <v>2852274275.9300003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2095812285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166913810.93</v>
      </c>
      <c r="D26" s="22">
        <v>0</v>
      </c>
      <c r="E26" s="22">
        <f>+C26*0.9</f>
        <v>150222429.837</v>
      </c>
      <c r="F26" s="22">
        <f>+C26*0.1</f>
        <v>16691381.093000002</v>
      </c>
      <c r="G26" s="22">
        <f t="shared" si="0"/>
        <v>166913810.93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1104958126</v>
      </c>
      <c r="D27" s="22">
        <f>SUM(D28:D29)</f>
        <v>994462313.8</v>
      </c>
      <c r="E27" s="22">
        <f>SUM(E28:E29)</f>
        <v>0</v>
      </c>
      <c r="F27" s="22">
        <f>SUM(F28:F29)</f>
        <v>110495812.19999999</v>
      </c>
      <c r="G27" s="22">
        <f>+D27+E27+F27</f>
        <v>1104958126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879234074</v>
      </c>
      <c r="D29" s="20">
        <f>+C29*90%+0.4</f>
        <v>791310667</v>
      </c>
      <c r="E29" s="20"/>
      <c r="F29" s="20">
        <f>+C29-D29</f>
        <v>87923407</v>
      </c>
      <c r="G29" s="20">
        <f t="shared" si="0"/>
        <v>879234074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12235589924.29</v>
      </c>
      <c r="D31" s="22">
        <f>+D8+D9+D12+D19+D24+D20</f>
        <v>8600466144.854584</v>
      </c>
      <c r="E31" s="22">
        <f>+E8+E9+E12+E19+E24+E20</f>
        <v>2305689186.078415</v>
      </c>
      <c r="F31" s="22">
        <f>+F8+F9+F12+F19+F24+F20</f>
        <v>814024647.5569999</v>
      </c>
      <c r="G31" s="22">
        <f>+D31+E31+F31</f>
        <v>11720179978.489998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3796763502</v>
      </c>
      <c r="D33" s="22">
        <v>1155800000</v>
      </c>
      <c r="E33" s="22">
        <f>+C33-D33</f>
        <v>2640963502</v>
      </c>
      <c r="F33" s="22">
        <v>0</v>
      </c>
      <c r="G33" s="22">
        <f t="shared" si="0"/>
        <v>3796763502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16032353426.29</v>
      </c>
      <c r="D35" s="22">
        <f t="shared" si="1"/>
        <v>9756266144.854584</v>
      </c>
      <c r="E35" s="22">
        <f t="shared" si="1"/>
        <v>4946652688.078415</v>
      </c>
      <c r="F35" s="22">
        <f t="shared" si="1"/>
        <v>814024647.5569999</v>
      </c>
      <c r="G35" s="22">
        <f t="shared" si="1"/>
        <v>15516943480.489998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9"/>
  <sheetViews>
    <sheetView tabSelected="1" workbookViewId="0" topLeftCell="B1">
      <selection activeCell="X16" sqref="X16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9" width="21.00390625" style="0" hidden="1" customWidth="1"/>
    <col min="20" max="20" width="21.8515625" style="0" customWidth="1"/>
    <col min="21" max="22" width="18.28125" style="0" hidden="1" customWidth="1"/>
    <col min="23" max="23" width="17.57421875" style="0" customWidth="1"/>
    <col min="24" max="24" width="25.140625" style="0" customWidth="1"/>
    <col min="25" max="25" width="18.140625" style="0" customWidth="1"/>
    <col min="26" max="26" width="19.28125" style="0" customWidth="1"/>
    <col min="27" max="27" width="15.8515625" style="0" bestFit="1" customWidth="1"/>
    <col min="28" max="28" width="18.140625" style="0" customWidth="1"/>
    <col min="29" max="29" width="16.57421875" style="0" customWidth="1"/>
    <col min="30" max="30" width="18.421875" style="0" customWidth="1"/>
    <col min="31" max="31" width="13.7109375" style="0" bestFit="1" customWidth="1"/>
    <col min="32" max="32" width="15.7109375" style="0" customWidth="1"/>
    <col min="33" max="33" width="13.00390625" style="0" customWidth="1"/>
  </cols>
  <sheetData>
    <row r="1" spans="1:2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15" t="s">
        <v>21</v>
      </c>
      <c r="X3" s="3" t="s">
        <v>1</v>
      </c>
      <c r="Y3" s="5"/>
      <c r="Z3" s="5"/>
    </row>
    <row r="4" spans="1:30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96</v>
      </c>
      <c r="X4" s="8"/>
      <c r="Y4" s="6"/>
      <c r="Z4" s="6"/>
      <c r="AA4" s="8"/>
      <c r="AB4" s="8"/>
      <c r="AC4" s="8"/>
      <c r="AD4" s="8"/>
    </row>
    <row r="5" spans="1:26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4"/>
      <c r="Y6" s="4"/>
      <c r="Z6" s="4"/>
      <c r="AC6" s="1"/>
    </row>
    <row r="7" spans="1:26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aca="true" t="shared" si="0" ref="O7:T7">+O9+O14</f>
        <v>59286490</v>
      </c>
      <c r="P7" s="3">
        <f t="shared" si="0"/>
        <v>8390801748</v>
      </c>
      <c r="Q7" s="3">
        <f t="shared" si="0"/>
        <v>5028404</v>
      </c>
      <c r="R7" s="3">
        <f t="shared" si="0"/>
        <v>717204359</v>
      </c>
      <c r="S7" s="3">
        <f t="shared" si="0"/>
        <v>640049685</v>
      </c>
      <c r="T7" s="3">
        <f t="shared" si="0"/>
        <v>6903912946.31</v>
      </c>
      <c r="U7" s="3"/>
      <c r="V7" s="3"/>
      <c r="W7" s="3">
        <f>+T7/P7*100</f>
        <v>82.27953839995791</v>
      </c>
      <c r="X7" s="3"/>
      <c r="Y7" s="3"/>
      <c r="Z7" s="3"/>
    </row>
    <row r="8" spans="1:26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4"/>
      <c r="Y8" s="4"/>
      <c r="Z8" s="4"/>
    </row>
    <row r="9" spans="1:30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225053016</v>
      </c>
      <c r="S9" s="10">
        <f>+S10</f>
        <v>0</v>
      </c>
      <c r="T9" s="3">
        <f>+T10</f>
        <v>2930500690.67</v>
      </c>
      <c r="U9" s="3"/>
      <c r="V9" s="3"/>
      <c r="W9" s="3">
        <f aca="true" t="shared" si="1" ref="W9:W34">+T9/P9*100</f>
        <v>79.64230383674432</v>
      </c>
      <c r="X9" s="10" t="s">
        <v>1</v>
      </c>
      <c r="Y9" s="3"/>
      <c r="Z9" s="10"/>
      <c r="AA9" s="10"/>
      <c r="AB9" s="10"/>
      <c r="AC9" s="10"/>
      <c r="AD9" s="1"/>
    </row>
    <row r="10" spans="1:30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225053016</v>
      </c>
      <c r="S10" s="10">
        <f>+S11+S12</f>
        <v>0</v>
      </c>
      <c r="T10" s="3">
        <f>+T11+T12</f>
        <v>2930500690.67</v>
      </c>
      <c r="U10" s="3"/>
      <c r="V10" s="3"/>
      <c r="W10" s="3">
        <f t="shared" si="1"/>
        <v>79.64230383674432</v>
      </c>
      <c r="X10" s="10"/>
      <c r="Y10" s="3"/>
      <c r="Z10" s="10"/>
      <c r="AA10" s="10"/>
      <c r="AB10" s="10"/>
      <c r="AC10" s="10"/>
      <c r="AD10" s="1"/>
    </row>
    <row r="11" spans="1:30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v>1756800893.67</v>
      </c>
      <c r="U11" s="3"/>
      <c r="V11" s="3"/>
      <c r="W11" s="3">
        <f t="shared" si="1"/>
        <v>78.68581558424458</v>
      </c>
      <c r="X11" s="11"/>
      <c r="Y11" s="3"/>
      <c r="Z11" s="11"/>
      <c r="AA11" s="11"/>
      <c r="AB11" s="11"/>
      <c r="AC11" s="11"/>
      <c r="AD11" s="1"/>
    </row>
    <row r="12" spans="1:30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f>2531124885.85-1546425752.85-759646117</f>
        <v>225053016</v>
      </c>
      <c r="S12" s="11">
        <v>0</v>
      </c>
      <c r="T12" s="3">
        <f>1009427112+164272685</f>
        <v>1173699797</v>
      </c>
      <c r="U12" s="3"/>
      <c r="V12" s="3"/>
      <c r="W12" s="3">
        <f t="shared" si="1"/>
        <v>81.11823878637087</v>
      </c>
      <c r="X12" s="11" t="s">
        <v>1</v>
      </c>
      <c r="Y12" s="3"/>
      <c r="Z12" s="11"/>
      <c r="AA12" s="11"/>
      <c r="AB12" s="11"/>
      <c r="AC12" s="11"/>
      <c r="AD12" s="1"/>
    </row>
    <row r="13" spans="1:30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52</v>
      </c>
      <c r="X13" s="10"/>
      <c r="Y13" s="3"/>
      <c r="Z13" s="10"/>
      <c r="AA13" s="10"/>
      <c r="AB13" s="10"/>
      <c r="AC13" s="10"/>
      <c r="AD13" s="1"/>
    </row>
    <row r="14" spans="1:30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aca="true" t="shared" si="2" ref="O14:T14">+O15+O16+O25+O26</f>
        <v>59286490</v>
      </c>
      <c r="P14" s="10">
        <f t="shared" si="2"/>
        <v>4711223748</v>
      </c>
      <c r="Q14" s="10">
        <f t="shared" si="2"/>
        <v>5028404</v>
      </c>
      <c r="R14" s="10">
        <f t="shared" si="2"/>
        <v>492151343</v>
      </c>
      <c r="S14" s="10">
        <f t="shared" si="2"/>
        <v>640049685</v>
      </c>
      <c r="T14" s="3">
        <f t="shared" si="2"/>
        <v>3973412255.6400003</v>
      </c>
      <c r="U14" s="3"/>
      <c r="V14" s="3"/>
      <c r="W14" s="3">
        <f t="shared" si="1"/>
        <v>84.33928143036692</v>
      </c>
      <c r="X14" s="10"/>
      <c r="Y14" s="3"/>
      <c r="Z14" s="10"/>
      <c r="AA14" s="10"/>
      <c r="AB14" s="10"/>
      <c r="AC14" s="10"/>
      <c r="AD14" s="1"/>
    </row>
    <row r="15" spans="1:30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3" ref="P15:P32">+B15+O15</f>
        <v>2917925258</v>
      </c>
      <c r="Q15" s="10">
        <v>0</v>
      </c>
      <c r="R15" s="11">
        <v>218548643</v>
      </c>
      <c r="S15" s="11">
        <v>640049685</v>
      </c>
      <c r="T15" s="3">
        <f>2450224056+164677153</f>
        <v>2614901209</v>
      </c>
      <c r="U15" s="3"/>
      <c r="V15" s="3"/>
      <c r="W15" s="3">
        <f t="shared" si="1"/>
        <v>89.61508530181824</v>
      </c>
      <c r="X15" s="10">
        <v>2730564755</v>
      </c>
      <c r="Y15" s="3" t="s">
        <v>1</v>
      </c>
      <c r="Z15" s="10"/>
      <c r="AA15" s="10"/>
      <c r="AB15" s="10"/>
      <c r="AC15" s="10"/>
      <c r="AD15" s="1"/>
    </row>
    <row r="16" spans="1:30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3"/>
        <v>1653024000</v>
      </c>
      <c r="Q16" s="10">
        <f>+Q17+Q21+Q22+Q23</f>
        <v>3440508</v>
      </c>
      <c r="R16" s="10">
        <f>+R17+R21+R22+R23</f>
        <v>198598501</v>
      </c>
      <c r="S16" s="10">
        <f>+S17+S21+S22+S23</f>
        <v>0</v>
      </c>
      <c r="T16" s="3">
        <f>+T17+T21+T22+T23</f>
        <v>1179335837.64</v>
      </c>
      <c r="U16" s="3"/>
      <c r="V16" s="3"/>
      <c r="W16" s="3">
        <f t="shared" si="1"/>
        <v>71.34414489081828</v>
      </c>
      <c r="X16" s="10">
        <f>+X15-P15</f>
        <v>-187360503</v>
      </c>
      <c r="Y16" s="3"/>
      <c r="Z16" s="10"/>
      <c r="AA16" s="10"/>
      <c r="AB16" s="10"/>
      <c r="AC16" s="10"/>
      <c r="AD16" s="1"/>
    </row>
    <row r="17" spans="1:30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4" ref="D17:N17">SUM(D18:D20)</f>
        <v>9764370</v>
      </c>
      <c r="E17" s="11">
        <f t="shared" si="4"/>
        <v>1633088</v>
      </c>
      <c r="F17" s="11">
        <f t="shared" si="4"/>
        <v>9527326</v>
      </c>
      <c r="G17" s="11">
        <f t="shared" si="4"/>
        <v>5166613</v>
      </c>
      <c r="H17" s="11">
        <f t="shared" si="4"/>
        <v>8550758</v>
      </c>
      <c r="I17" s="11">
        <f t="shared" si="4"/>
        <v>19667967</v>
      </c>
      <c r="J17" s="11">
        <f t="shared" si="4"/>
        <v>32121947.88</v>
      </c>
      <c r="K17" s="11">
        <f t="shared" si="4"/>
        <v>57803883</v>
      </c>
      <c r="L17" s="11">
        <f t="shared" si="4"/>
        <v>248550137</v>
      </c>
      <c r="M17" s="11">
        <f t="shared" si="4"/>
        <v>56476839</v>
      </c>
      <c r="N17" s="11">
        <f t="shared" si="4"/>
        <v>203635166</v>
      </c>
      <c r="O17" s="10">
        <f>SUM(O18:O20)</f>
        <v>0</v>
      </c>
      <c r="P17" s="11">
        <f t="shared" si="3"/>
        <v>1419629000</v>
      </c>
      <c r="Q17" s="10">
        <f>SUM(Q18:Q20)</f>
        <v>0</v>
      </c>
      <c r="R17" s="10">
        <f>SUM(R18:R20)</f>
        <v>174124615</v>
      </c>
      <c r="S17" s="10">
        <f>SUM(S18:S20)</f>
        <v>0</v>
      </c>
      <c r="T17" s="3">
        <f>+T18+T19+T20</f>
        <v>1017211524</v>
      </c>
      <c r="U17" s="3"/>
      <c r="V17" s="3"/>
      <c r="W17" s="3">
        <f t="shared" si="1"/>
        <v>71.65333506148437</v>
      </c>
      <c r="X17" s="10"/>
      <c r="Y17" s="3"/>
      <c r="Z17" s="10"/>
      <c r="AA17" s="10"/>
      <c r="AB17" s="10"/>
      <c r="AC17" s="10"/>
      <c r="AD17" s="1"/>
    </row>
    <row r="18" spans="1:30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3"/>
        <v>895837000</v>
      </c>
      <c r="Q18" s="11">
        <v>0</v>
      </c>
      <c r="R18" s="11">
        <f>+'[5]AGOSTO08'!$B$79</f>
        <v>150660473</v>
      </c>
      <c r="S18" s="11">
        <v>0</v>
      </c>
      <c r="T18" s="3">
        <f>729916039+25839816</f>
        <v>755755855</v>
      </c>
      <c r="U18" s="3"/>
      <c r="V18" s="3"/>
      <c r="W18" s="3">
        <f t="shared" si="1"/>
        <v>84.36309897894373</v>
      </c>
      <c r="X18" s="11"/>
      <c r="Y18" s="3"/>
      <c r="Z18" s="11"/>
      <c r="AA18" s="11"/>
      <c r="AB18" s="11"/>
      <c r="AC18" s="11"/>
      <c r="AD18" s="1"/>
    </row>
    <row r="19" spans="1:30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3"/>
        <v>511069000</v>
      </c>
      <c r="Q19" s="11">
        <v>0</v>
      </c>
      <c r="R19" s="11">
        <f>+'[5]AGOSTO08'!$F$65</f>
        <v>21159450</v>
      </c>
      <c r="S19" s="11">
        <v>0</v>
      </c>
      <c r="T19" s="3">
        <f>180006772+75582863</f>
        <v>255589635</v>
      </c>
      <c r="U19" s="3"/>
      <c r="V19" s="3"/>
      <c r="W19" s="3">
        <f t="shared" si="1"/>
        <v>50.01078817146022</v>
      </c>
      <c r="X19" s="11"/>
      <c r="Y19" s="3"/>
      <c r="Z19" s="11"/>
      <c r="AA19" s="11"/>
      <c r="AB19" s="11"/>
      <c r="AC19" s="11"/>
      <c r="AD19" s="1"/>
    </row>
    <row r="20" spans="1:30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3"/>
        <v>12723000</v>
      </c>
      <c r="Q20" s="11">
        <v>0</v>
      </c>
      <c r="R20" s="11">
        <f>+'[5]AGOSTO08'!$B$27+1057892</f>
        <v>2304692</v>
      </c>
      <c r="S20" s="11">
        <v>0</v>
      </c>
      <c r="T20" s="3">
        <f>5802253+63781</f>
        <v>5866034</v>
      </c>
      <c r="U20" s="3"/>
      <c r="V20" s="3"/>
      <c r="W20" s="3">
        <f t="shared" si="1"/>
        <v>46.10574550027509</v>
      </c>
      <c r="X20" s="11"/>
      <c r="Y20" s="3"/>
      <c r="Z20" s="11"/>
      <c r="AA20" s="11"/>
      <c r="AB20" s="11"/>
      <c r="AC20" s="11"/>
      <c r="AD20" s="1"/>
    </row>
    <row r="21" spans="1:30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3"/>
        <v>54428000</v>
      </c>
      <c r="Q21" s="10">
        <v>850652</v>
      </c>
      <c r="R21" s="11">
        <f>+'[5]AGOSTO08'!$B$11+1290082</f>
        <v>3857951</v>
      </c>
      <c r="S21" s="11">
        <v>0</v>
      </c>
      <c r="T21" s="3">
        <f>26983356+21419908+3000</f>
        <v>48406264</v>
      </c>
      <c r="U21" s="3"/>
      <c r="V21" s="3"/>
      <c r="W21" s="3">
        <f t="shared" si="1"/>
        <v>88.93632689057102</v>
      </c>
      <c r="X21" s="10"/>
      <c r="Y21" s="3"/>
      <c r="Z21" s="10"/>
      <c r="AA21" s="10"/>
      <c r="AB21" s="10"/>
      <c r="AC21" s="10"/>
      <c r="AD21" s="1"/>
    </row>
    <row r="22" spans="1:30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3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1"/>
        <v>0</v>
      </c>
      <c r="X22" s="10"/>
      <c r="Y22" s="3"/>
      <c r="Z22" s="10"/>
      <c r="AA22" s="10"/>
      <c r="AB22" s="10"/>
      <c r="AC22" s="10"/>
      <c r="AD22" s="1"/>
    </row>
    <row r="23" spans="1:30" ht="12.75">
      <c r="A23" s="7" t="s">
        <v>35</v>
      </c>
      <c r="B23" s="10">
        <f aca="true" t="shared" si="5" ref="B23:O23">SUM(B24:B24)</f>
        <v>177967000</v>
      </c>
      <c r="C23" s="11">
        <f t="shared" si="5"/>
        <v>4768052</v>
      </c>
      <c r="D23" s="11">
        <f t="shared" si="5"/>
        <v>8290086</v>
      </c>
      <c r="E23" s="11">
        <f t="shared" si="5"/>
        <v>10672897</v>
      </c>
      <c r="F23" s="11">
        <f t="shared" si="5"/>
        <v>13361106</v>
      </c>
      <c r="G23" s="11">
        <f t="shared" si="5"/>
        <v>5435392</v>
      </c>
      <c r="H23" s="11">
        <f t="shared" si="5"/>
        <v>6359364</v>
      </c>
      <c r="I23" s="11">
        <f t="shared" si="5"/>
        <v>17667466</v>
      </c>
      <c r="J23" s="11">
        <f t="shared" si="5"/>
        <v>22629676</v>
      </c>
      <c r="K23" s="11">
        <f t="shared" si="5"/>
        <v>24318846</v>
      </c>
      <c r="L23" s="11">
        <f t="shared" si="5"/>
        <v>14234424</v>
      </c>
      <c r="M23" s="11">
        <f t="shared" si="5"/>
        <v>14378768</v>
      </c>
      <c r="N23" s="11">
        <f t="shared" si="5"/>
        <v>23388888</v>
      </c>
      <c r="O23" s="10">
        <f t="shared" si="5"/>
        <v>0</v>
      </c>
      <c r="P23" s="11">
        <f t="shared" si="3"/>
        <v>177967000</v>
      </c>
      <c r="Q23" s="10">
        <f>+Q24</f>
        <v>2589856</v>
      </c>
      <c r="R23" s="10">
        <f>SUM(R24:R24)</f>
        <v>20615935</v>
      </c>
      <c r="S23" s="10">
        <f>SUM(S24:S24)</f>
        <v>0</v>
      </c>
      <c r="T23" s="3">
        <f>+T24</f>
        <v>113718049.64</v>
      </c>
      <c r="U23" s="3"/>
      <c r="V23" s="3"/>
      <c r="W23" s="3">
        <f t="shared" si="1"/>
        <v>63.8983910725022</v>
      </c>
      <c r="X23" s="10"/>
      <c r="Y23" s="3"/>
      <c r="Z23" s="10"/>
      <c r="AA23" s="10"/>
      <c r="AB23" s="10"/>
      <c r="AC23" s="10"/>
      <c r="AD23" s="1"/>
    </row>
    <row r="24" spans="1:30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3"/>
        <v>177967000</v>
      </c>
      <c r="Q24" s="11">
        <v>2589856</v>
      </c>
      <c r="R24" s="11">
        <f>+'[5]AGOSTO08'!$B$5+'[5]AGOSTO08'!$B$33+11337444</f>
        <v>20615935</v>
      </c>
      <c r="S24" s="11">
        <v>0</v>
      </c>
      <c r="T24" s="3">
        <f>105479719.64+8008563+385800-156033</f>
        <v>113718049.64</v>
      </c>
      <c r="U24" s="3"/>
      <c r="V24" s="3"/>
      <c r="W24" s="3">
        <f t="shared" si="1"/>
        <v>63.8983910725022</v>
      </c>
      <c r="X24" s="11"/>
      <c r="Y24" s="3"/>
      <c r="Z24" s="11"/>
      <c r="AA24" s="11"/>
      <c r="AB24" s="11"/>
      <c r="AC24" s="11"/>
      <c r="AD24" s="1"/>
    </row>
    <row r="25" spans="1:30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3"/>
        <v>80988000</v>
      </c>
      <c r="Q25" s="11">
        <v>1587896</v>
      </c>
      <c r="R25" s="10">
        <f>+'[5]AGOSTO08'!$B$9+'[5]AGOSTO08'!$B$18+'[5]AGOSTO08'!$B$35+'[5]AGOSTO08'!$B$60+'[5]AGOSTO08'!$B$86+67939904</f>
        <v>75004199</v>
      </c>
      <c r="S25" s="10">
        <v>0</v>
      </c>
      <c r="T25" s="3">
        <f>119442475+1854000+43145+149099</f>
        <v>121488719</v>
      </c>
      <c r="U25" s="3"/>
      <c r="V25" s="3"/>
      <c r="W25" s="3">
        <f t="shared" si="1"/>
        <v>150.00829629080852</v>
      </c>
      <c r="X25" s="11"/>
      <c r="Y25" s="3"/>
      <c r="Z25" s="11"/>
      <c r="AA25" s="10"/>
      <c r="AB25" s="10"/>
      <c r="AC25" s="10"/>
      <c r="AD25" s="1"/>
    </row>
    <row r="26" spans="1:30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3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1"/>
        <v>97.30124013076167</v>
      </c>
      <c r="X26" s="10"/>
      <c r="Y26" s="3"/>
      <c r="Z26" s="10"/>
      <c r="AA26" s="10"/>
      <c r="AB26" s="10"/>
      <c r="AC26" s="10"/>
      <c r="AD26" s="1"/>
    </row>
    <row r="27" spans="1:30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3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1"/>
        <v>100</v>
      </c>
      <c r="X27" s="10"/>
      <c r="Y27" s="3"/>
      <c r="Z27" s="10"/>
      <c r="AA27" s="10"/>
      <c r="AB27" s="10"/>
      <c r="AC27" s="10"/>
      <c r="AD27" s="1"/>
    </row>
    <row r="28" spans="1:30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10">
        <v>0</v>
      </c>
      <c r="T28" s="3">
        <f>1600000+R28</f>
        <v>1600000</v>
      </c>
      <c r="U28" s="3"/>
      <c r="V28" s="3"/>
      <c r="W28" s="3">
        <f t="shared" si="1"/>
        <v>50</v>
      </c>
      <c r="X28" s="10"/>
      <c r="Y28" s="3"/>
      <c r="Z28" s="10"/>
      <c r="AA28" s="10"/>
      <c r="AB28" s="10"/>
      <c r="AC28" s="10"/>
      <c r="AD28" s="1"/>
    </row>
    <row r="29" spans="1:30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53155179.45</v>
      </c>
      <c r="S29" s="10">
        <f>+S30+S31+S32</f>
        <v>0</v>
      </c>
      <c r="T29" s="3">
        <f>+T30+T31+T32</f>
        <v>1843488764.93</v>
      </c>
      <c r="U29" s="3"/>
      <c r="V29" s="3"/>
      <c r="W29" s="3">
        <f t="shared" si="1"/>
        <v>75.31643741081785</v>
      </c>
      <c r="X29" s="10"/>
      <c r="Y29" s="3"/>
      <c r="Z29" s="10"/>
      <c r="AA29" s="10"/>
      <c r="AB29" s="10"/>
      <c r="AC29" s="10"/>
      <c r="AD29" s="1"/>
    </row>
    <row r="30" spans="1:30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3"/>
        <v>171248000</v>
      </c>
      <c r="Q30" s="10" t="e">
        <f>+'[4]ENERO 09'!$A$69</f>
        <v>#REF!</v>
      </c>
      <c r="R30" s="11">
        <f>+'[5]AGOSTO08'!$B$39+'[5]AGOSTO08'!$B$57-4486934.55</f>
        <v>14202322.45</v>
      </c>
      <c r="S30" s="11">
        <v>0</v>
      </c>
      <c r="T30" s="3">
        <f>132210463.75+8287305+805451.18</f>
        <v>141303219.93</v>
      </c>
      <c r="U30" s="3"/>
      <c r="V30" s="3"/>
      <c r="W30" s="3">
        <f t="shared" si="1"/>
        <v>82.51379282093806</v>
      </c>
      <c r="X30" s="10"/>
      <c r="Y30" s="3"/>
      <c r="Z30" s="10"/>
      <c r="AA30" s="10"/>
      <c r="AB30" s="10"/>
      <c r="AC30" s="10"/>
      <c r="AD30" s="1"/>
    </row>
    <row r="31" spans="1:30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3"/>
        <v>515409946</v>
      </c>
      <c r="Q31" s="11">
        <v>0</v>
      </c>
      <c r="R31" s="11">
        <v>0</v>
      </c>
      <c r="S31" s="11">
        <v>0</v>
      </c>
      <c r="T31" s="3">
        <f>515409946+R31</f>
        <v>515409946</v>
      </c>
      <c r="U31" s="3"/>
      <c r="V31" s="3"/>
      <c r="W31" s="3">
        <f>+T31/P31*100</f>
        <v>100</v>
      </c>
      <c r="X31" s="11"/>
      <c r="Y31" s="3"/>
      <c r="Z31" s="11"/>
      <c r="AA31" s="11"/>
      <c r="AB31" s="11"/>
      <c r="AC31" s="11"/>
      <c r="AD31" s="1"/>
    </row>
    <row r="32" spans="1:30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3"/>
        <v>1761000000</v>
      </c>
      <c r="Q32" s="10">
        <v>120584565</v>
      </c>
      <c r="R32" s="10">
        <f>+R33+R34</f>
        <v>38952857</v>
      </c>
      <c r="S32" s="10">
        <v>0</v>
      </c>
      <c r="T32" s="3">
        <f>+T33+T34</f>
        <v>1186775599</v>
      </c>
      <c r="U32" s="3"/>
      <c r="V32" s="3"/>
      <c r="W32" s="3">
        <f t="shared" si="1"/>
        <v>67.39214077228849</v>
      </c>
      <c r="X32" s="10"/>
      <c r="Y32" s="3"/>
      <c r="Z32" s="10"/>
      <c r="AA32" s="10"/>
      <c r="AB32" s="10"/>
      <c r="AC32" s="10"/>
      <c r="AD32" s="1"/>
    </row>
    <row r="33" spans="1:30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+'[5]AGOSTO08'!$G$65-15702200</f>
        <v>31452677</v>
      </c>
      <c r="S33" s="10"/>
      <c r="T33" s="3">
        <f>467358736+29754735</f>
        <v>497113471</v>
      </c>
      <c r="U33" s="3"/>
      <c r="V33" s="3"/>
      <c r="W33" s="3">
        <f t="shared" si="1"/>
        <v>73.10492220588235</v>
      </c>
      <c r="X33" s="10"/>
      <c r="Y33" s="3"/>
      <c r="Z33" s="10"/>
      <c r="AA33" s="10"/>
      <c r="AB33" s="10"/>
      <c r="AC33" s="10"/>
      <c r="AD33" s="1"/>
    </row>
    <row r="34" spans="1:30" ht="12.75">
      <c r="A34" s="5" t="s">
        <v>101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+'[5]AGOSTO08'!$C$79</f>
        <v>7500180</v>
      </c>
      <c r="S34" s="10"/>
      <c r="T34" s="3">
        <f>682161948+7500180</f>
        <v>689662128</v>
      </c>
      <c r="U34" s="3"/>
      <c r="V34" s="3"/>
      <c r="W34" s="3">
        <f t="shared" si="1"/>
        <v>63.798531729879734</v>
      </c>
      <c r="X34" s="10"/>
      <c r="Y34" s="3"/>
      <c r="Z34" s="10"/>
      <c r="AA34" s="10"/>
      <c r="AB34" s="10"/>
      <c r="AC34" s="10"/>
      <c r="AD34" s="1"/>
    </row>
    <row r="35" spans="1:30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11"/>
      <c r="Y35" s="3"/>
      <c r="Z35" s="11"/>
      <c r="AA35" s="1"/>
      <c r="AB35" s="1"/>
      <c r="AC35" s="1"/>
      <c r="AD35" s="1"/>
    </row>
    <row r="36" spans="1:29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574696436</v>
      </c>
      <c r="P36" s="10">
        <f>+P7+P29</f>
        <v>10838459694</v>
      </c>
      <c r="Q36" s="14" t="e">
        <f>+Q29+Q7</f>
        <v>#REF!</v>
      </c>
      <c r="R36" s="10">
        <f>+R7+R29</f>
        <v>770359538.45</v>
      </c>
      <c r="S36" s="10">
        <f>+S7+S29</f>
        <v>640049685</v>
      </c>
      <c r="T36" s="3">
        <f>+T7+T29</f>
        <v>8747401711.24</v>
      </c>
      <c r="U36" s="3"/>
      <c r="V36" s="3"/>
      <c r="W36" s="3">
        <f>+T36/P36*100</f>
        <v>80.70705578286575</v>
      </c>
      <c r="X36" s="14"/>
      <c r="Y36" s="12"/>
      <c r="Z36" s="14"/>
      <c r="AC36" s="1"/>
    </row>
    <row r="37" spans="1:30" ht="12.75">
      <c r="A37" s="7" t="s">
        <v>80</v>
      </c>
      <c r="B37" s="11">
        <v>1334597240</v>
      </c>
      <c r="O37" s="1">
        <f>1243847230+218723748</f>
        <v>1462570978</v>
      </c>
      <c r="P37" s="1">
        <f>+B37+O37</f>
        <v>2797168218</v>
      </c>
      <c r="Q37" s="1">
        <v>83587896</v>
      </c>
      <c r="R37" s="1">
        <f>+'[5]AGOSTO08'!$B$24-10160688</f>
        <v>95650051</v>
      </c>
      <c r="S37" s="1">
        <v>0</v>
      </c>
      <c r="T37" s="3">
        <f>2177122663+99125959</f>
        <v>2276248622</v>
      </c>
      <c r="U37" s="3"/>
      <c r="V37" s="3"/>
      <c r="W37" s="3">
        <f>+T37/P37*100</f>
        <v>81.37689422295588</v>
      </c>
      <c r="X37" s="1"/>
      <c r="Y37" s="12"/>
      <c r="Z37" s="1"/>
      <c r="AD37" s="1"/>
    </row>
    <row r="38" spans="2:26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1" t="s">
        <v>1</v>
      </c>
      <c r="Y38" s="12"/>
      <c r="Z38" s="1"/>
    </row>
    <row r="39" spans="1:26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6" ref="O39:T39">+O36+O37</f>
        <v>2037267414</v>
      </c>
      <c r="P39" s="14">
        <f t="shared" si="6"/>
        <v>13635627912</v>
      </c>
      <c r="Q39" s="14" t="e">
        <f t="shared" si="6"/>
        <v>#REF!</v>
      </c>
      <c r="R39" s="14">
        <f t="shared" si="6"/>
        <v>866009589.45</v>
      </c>
      <c r="S39" s="14">
        <f t="shared" si="6"/>
        <v>640049685</v>
      </c>
      <c r="T39" s="3">
        <f t="shared" si="6"/>
        <v>11023650333.24</v>
      </c>
      <c r="U39" s="3"/>
      <c r="V39" s="3"/>
      <c r="W39" s="3">
        <f>+T39/P39*100</f>
        <v>80.84446425484127</v>
      </c>
      <c r="X39" s="14"/>
      <c r="Y39" s="12"/>
      <c r="Z39" s="14"/>
    </row>
    <row r="40" spans="16:25" ht="12.75">
      <c r="P40" s="1">
        <f>+P39-'[6]GASTOS'!$I$30</f>
        <v>0</v>
      </c>
      <c r="Q40" s="1"/>
      <c r="R40" s="1" t="s">
        <v>1</v>
      </c>
      <c r="S40" s="1"/>
      <c r="T40" s="1" t="s">
        <v>1</v>
      </c>
      <c r="U40" s="1"/>
      <c r="V40" s="1"/>
      <c r="W40" t="s">
        <v>1</v>
      </c>
      <c r="Y40" s="12"/>
    </row>
    <row r="41" spans="2:25" ht="12.75"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W41" t="s">
        <v>1</v>
      </c>
      <c r="Y41" s="12"/>
    </row>
    <row r="42" spans="1:25" ht="12.75">
      <c r="A42" s="2" t="s">
        <v>1</v>
      </c>
      <c r="Q42" s="1" t="s">
        <v>1</v>
      </c>
      <c r="R42" s="1"/>
      <c r="S42" s="1"/>
      <c r="T42" s="1" t="s">
        <v>1</v>
      </c>
      <c r="Y42" s="12"/>
    </row>
    <row r="43" spans="1:25" ht="12.75">
      <c r="A43" s="2" t="s">
        <v>1</v>
      </c>
      <c r="Y43" s="12"/>
    </row>
    <row r="44" ht="12.75">
      <c r="Y44" s="1"/>
    </row>
    <row r="45" spans="1:25" ht="12.75">
      <c r="A45" s="2" t="s">
        <v>106</v>
      </c>
      <c r="B45" s="13" t="s">
        <v>103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104</v>
      </c>
      <c r="Y45" s="1"/>
    </row>
    <row r="46" ht="12.75">
      <c r="Y46" s="1"/>
    </row>
    <row r="47" spans="1:32" ht="12.75">
      <c r="A47" s="1" t="s">
        <v>105</v>
      </c>
      <c r="B47" s="1">
        <f>+(T18+T34)*90%</f>
        <v>1300876184.7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677432795.4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>
        <v>39448</v>
      </c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 t="s">
        <v>46</v>
      </c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"/>
      <c r="AC53" s="1"/>
      <c r="AD53" s="1"/>
      <c r="AE53" s="1"/>
      <c r="AF53" s="1"/>
    </row>
    <row r="54" spans="1:32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8"/>
      <c r="Y54" s="38"/>
      <c r="Z54" s="38"/>
      <c r="AA54" s="38"/>
      <c r="AB54" s="38"/>
      <c r="AC54" s="38"/>
      <c r="AD54" s="38"/>
      <c r="AE54" s="39"/>
      <c r="AF54" s="38"/>
    </row>
    <row r="55" spans="1:32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>
        <f>+T55/P55*100</f>
        <v>3.6733190385376515</v>
      </c>
      <c r="X55" s="38"/>
      <c r="Y55" s="38"/>
      <c r="Z55" s="38"/>
      <c r="AA55" s="39"/>
      <c r="AB55" s="38"/>
      <c r="AC55" s="39"/>
      <c r="AD55" s="38"/>
      <c r="AE55" s="38"/>
      <c r="AF55" s="38"/>
    </row>
    <row r="56" spans="1:32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8"/>
      <c r="Y56" s="38"/>
      <c r="Z56" s="38"/>
      <c r="AA56" s="39"/>
      <c r="AB56" s="38"/>
      <c r="AC56" s="39"/>
      <c r="AD56" s="38"/>
      <c r="AE56" s="38"/>
      <c r="AF56" s="38"/>
    </row>
    <row r="57" spans="1:33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3">
        <f>+T57/P57*100</f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>
        <f aca="true" t="shared" si="7" ref="AG57:AG62">+Y57-AF57</f>
        <v>0</v>
      </c>
    </row>
    <row r="58" spans="1:33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3">
        <f>+T58/P58*100</f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7"/>
        <v>0</v>
      </c>
    </row>
    <row r="59" spans="1:33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3">
        <f>+T59/P59*100</f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7"/>
        <v>0</v>
      </c>
    </row>
    <row r="60" spans="1:33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3">
        <f>+T60/P60*100</f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7"/>
        <v>0</v>
      </c>
    </row>
    <row r="61" spans="1:33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3" t="s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7"/>
        <v>0</v>
      </c>
    </row>
    <row r="62" spans="1:33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3">
        <f aca="true" t="shared" si="8" ref="W62:W77">+T62/P62*100</f>
        <v>5.826489001771313</v>
      </c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7"/>
        <v>0</v>
      </c>
    </row>
    <row r="63" spans="1:33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9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3">
        <f t="shared" si="8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 t="s">
        <v>1</v>
      </c>
    </row>
    <row r="64" spans="1:33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9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3">
        <f t="shared" si="8"/>
        <v>2.299937766031064</v>
      </c>
      <c r="X64" s="41"/>
      <c r="Y64" s="14"/>
      <c r="Z64" s="14"/>
      <c r="AA64" s="14"/>
      <c r="AB64" s="14"/>
      <c r="AC64" s="14"/>
      <c r="AD64" s="14"/>
      <c r="AE64" s="14"/>
      <c r="AF64" s="14"/>
      <c r="AG64" s="1">
        <f aca="true" t="shared" si="10" ref="AG64:AG73">+Y64-AF64</f>
        <v>0</v>
      </c>
    </row>
    <row r="65" spans="1:33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11" ref="D65:N65">SUM(D66:D68)</f>
        <v>9764370</v>
      </c>
      <c r="E65" s="11">
        <f t="shared" si="11"/>
        <v>1633088</v>
      </c>
      <c r="F65" s="11">
        <f t="shared" si="11"/>
        <v>9527326</v>
      </c>
      <c r="G65" s="11">
        <f t="shared" si="11"/>
        <v>5166613</v>
      </c>
      <c r="H65" s="11">
        <f t="shared" si="11"/>
        <v>8550758</v>
      </c>
      <c r="I65" s="11">
        <f t="shared" si="11"/>
        <v>19667967</v>
      </c>
      <c r="J65" s="11">
        <f t="shared" si="11"/>
        <v>32121947.88</v>
      </c>
      <c r="K65" s="11">
        <f t="shared" si="11"/>
        <v>57803883</v>
      </c>
      <c r="L65" s="11">
        <f t="shared" si="11"/>
        <v>248550137</v>
      </c>
      <c r="M65" s="11">
        <f t="shared" si="11"/>
        <v>56476839</v>
      </c>
      <c r="N65" s="11">
        <f t="shared" si="11"/>
        <v>203635166</v>
      </c>
      <c r="O65" s="10">
        <f>SUM(O66:O68)</f>
        <v>0</v>
      </c>
      <c r="P65" s="11">
        <f t="shared" si="9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3">
        <f t="shared" si="8"/>
        <v>2.5401058375278405</v>
      </c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0"/>
        <v>0</v>
      </c>
    </row>
    <row r="66" spans="1:33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9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3">
        <f t="shared" si="8"/>
        <v>4.542073291047501</v>
      </c>
      <c r="X66" s="41"/>
      <c r="Y66" s="1"/>
      <c r="Z66" s="1"/>
      <c r="AA66" s="1"/>
      <c r="AB66" s="1"/>
      <c r="AC66" s="1"/>
      <c r="AD66" s="1"/>
      <c r="AE66" s="1"/>
      <c r="AF66" s="1"/>
      <c r="AG66" s="1">
        <f t="shared" si="10"/>
        <v>0</v>
      </c>
    </row>
    <row r="67" spans="1:33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9"/>
        <v>724342500</v>
      </c>
      <c r="Q67" s="11">
        <v>0</v>
      </c>
      <c r="R67" s="11"/>
      <c r="S67" s="11"/>
      <c r="T67" s="11">
        <v>0</v>
      </c>
      <c r="U67" s="11"/>
      <c r="V67" s="11"/>
      <c r="W67" s="3">
        <f t="shared" si="8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0"/>
        <v>0</v>
      </c>
    </row>
    <row r="68" spans="1:33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9"/>
        <v>15750000</v>
      </c>
      <c r="Q68" s="11">
        <v>0</v>
      </c>
      <c r="R68" s="11"/>
      <c r="S68" s="11"/>
      <c r="T68" s="11">
        <v>0</v>
      </c>
      <c r="U68" s="11"/>
      <c r="V68" s="11"/>
      <c r="W68" s="3">
        <f t="shared" si="8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0"/>
        <v>0</v>
      </c>
    </row>
    <row r="69" spans="1:33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9"/>
        <v>65100000</v>
      </c>
      <c r="Q69" s="10">
        <v>288860</v>
      </c>
      <c r="R69" s="10"/>
      <c r="S69" s="10"/>
      <c r="T69" s="10">
        <v>288860</v>
      </c>
      <c r="U69" s="10"/>
      <c r="V69" s="10"/>
      <c r="W69" s="3">
        <f t="shared" si="8"/>
        <v>0.4437173579109063</v>
      </c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0"/>
        <v>0</v>
      </c>
    </row>
    <row r="70" spans="1:33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9"/>
        <v>1000000</v>
      </c>
      <c r="Q70" s="10">
        <v>0</v>
      </c>
      <c r="R70" s="10"/>
      <c r="S70" s="10"/>
      <c r="T70" s="10">
        <v>0</v>
      </c>
      <c r="U70" s="10"/>
      <c r="V70" s="10"/>
      <c r="W70" s="3">
        <f t="shared" si="8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0"/>
        <v>0</v>
      </c>
    </row>
    <row r="71" spans="1:33" ht="12.75" hidden="1">
      <c r="A71" s="10" t="s">
        <v>35</v>
      </c>
      <c r="B71" s="10">
        <f aca="true" t="shared" si="12" ref="B71:O71">SUM(B72:B72)</f>
        <v>121800000</v>
      </c>
      <c r="C71" s="11">
        <f t="shared" si="12"/>
        <v>4768052</v>
      </c>
      <c r="D71" s="11">
        <f t="shared" si="12"/>
        <v>8290086</v>
      </c>
      <c r="E71" s="11">
        <f t="shared" si="12"/>
        <v>10672897</v>
      </c>
      <c r="F71" s="11">
        <f t="shared" si="12"/>
        <v>13361106</v>
      </c>
      <c r="G71" s="11">
        <f t="shared" si="12"/>
        <v>5435392</v>
      </c>
      <c r="H71" s="11">
        <f t="shared" si="12"/>
        <v>6359364</v>
      </c>
      <c r="I71" s="11">
        <f t="shared" si="12"/>
        <v>17667466</v>
      </c>
      <c r="J71" s="11">
        <f t="shared" si="12"/>
        <v>22629676</v>
      </c>
      <c r="K71" s="11">
        <f t="shared" si="12"/>
        <v>24318846</v>
      </c>
      <c r="L71" s="11">
        <f t="shared" si="12"/>
        <v>14234424</v>
      </c>
      <c r="M71" s="11">
        <f t="shared" si="12"/>
        <v>14378768</v>
      </c>
      <c r="N71" s="11">
        <f t="shared" si="12"/>
        <v>23388888</v>
      </c>
      <c r="O71" s="10">
        <f t="shared" si="12"/>
        <v>0</v>
      </c>
      <c r="P71" s="11">
        <f t="shared" si="9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3">
        <f t="shared" si="8"/>
        <v>0</v>
      </c>
      <c r="X71" s="41"/>
      <c r="Y71" s="14"/>
      <c r="Z71" s="14"/>
      <c r="AA71" s="14"/>
      <c r="AB71" s="14"/>
      <c r="AC71" s="14"/>
      <c r="AD71" s="14"/>
      <c r="AE71" s="14"/>
      <c r="AF71" s="14"/>
      <c r="AG71" s="1">
        <f t="shared" si="10"/>
        <v>0</v>
      </c>
    </row>
    <row r="72" spans="1:33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9"/>
        <v>121800000</v>
      </c>
      <c r="Q72" s="11">
        <v>0</v>
      </c>
      <c r="R72" s="11"/>
      <c r="S72" s="11"/>
      <c r="T72" s="11">
        <v>0</v>
      </c>
      <c r="U72" s="11"/>
      <c r="V72" s="11"/>
      <c r="W72" s="3">
        <f t="shared" si="8"/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">
        <f t="shared" si="10"/>
        <v>0</v>
      </c>
    </row>
    <row r="73" spans="1:33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9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3">
        <f t="shared" si="8"/>
        <v>0.021390337156760517</v>
      </c>
      <c r="X73" s="14"/>
      <c r="Y73" s="14"/>
      <c r="Z73" s="14"/>
      <c r="AA73" s="14"/>
      <c r="AB73" s="14"/>
      <c r="AC73" s="14"/>
      <c r="AD73" s="14"/>
      <c r="AE73" s="14"/>
      <c r="AF73" s="14"/>
      <c r="AG73" s="1">
        <f t="shared" si="10"/>
        <v>0</v>
      </c>
    </row>
    <row r="74" spans="1:33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9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3">
        <f t="shared" si="8"/>
        <v>24.553435636296015</v>
      </c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9"/>
        <v>1230345600</v>
      </c>
      <c r="Q75" s="10">
        <v>0</v>
      </c>
      <c r="R75" s="10"/>
      <c r="S75" s="10"/>
      <c r="T75" s="10">
        <v>0</v>
      </c>
      <c r="U75" s="10"/>
      <c r="V75" s="10"/>
      <c r="W75" s="3">
        <f t="shared" si="8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3">
        <f t="shared" si="8"/>
        <v>15.720058885475174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3">
        <f t="shared" si="8"/>
        <v>1.69604</v>
      </c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3" t="s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3">
        <f>+T79/P79*100</f>
        <v>16.25238186462406</v>
      </c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3" t="s">
        <v>1</v>
      </c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3">
        <f>+T81/P81*100</f>
        <v>3.040996167984664</v>
      </c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3">
        <f>+T82/P82*100</f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3" t="s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3">
        <f>+T84/P84*100</f>
        <v>2.7199652137511823</v>
      </c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>
        <v>39479</v>
      </c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 t="s">
        <v>46</v>
      </c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>
        <f>+T94/P94*100</f>
        <v>3.878064517000273</v>
      </c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3" ref="T96:T123">+T57+Q96</f>
        <v>0</v>
      </c>
      <c r="U96" s="3"/>
      <c r="V96" s="3"/>
      <c r="W96" s="3">
        <f>+T96/P96*100</f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3"/>
        <v>0</v>
      </c>
      <c r="U97" s="3"/>
      <c r="V97" s="3"/>
      <c r="W97" s="3">
        <f>+T97/P97*100</f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3"/>
        <v>0</v>
      </c>
      <c r="U98" s="3"/>
      <c r="V98" s="3"/>
      <c r="W98" s="3">
        <f>+T98/P98*100</f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3"/>
        <v>0</v>
      </c>
      <c r="U99" s="3"/>
      <c r="V99" s="3"/>
      <c r="W99" s="3">
        <f>+T99/P99*100</f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2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3"/>
        <v>0</v>
      </c>
      <c r="U100" s="3"/>
      <c r="V100" s="3"/>
      <c r="W100" s="3" t="s">
        <v>1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3"/>
        <v>364280393</v>
      </c>
      <c r="U101" s="3"/>
      <c r="V101" s="3"/>
      <c r="W101" s="3">
        <f aca="true" t="shared" si="14" ref="W101:W118">+T101/P101*100</f>
        <v>6.151249052806733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5" ref="P102:P114">+B102+O102</f>
        <v>2752759677</v>
      </c>
      <c r="Q102" s="10">
        <v>0</v>
      </c>
      <c r="R102" s="10"/>
      <c r="S102" s="10"/>
      <c r="T102" s="3">
        <f t="shared" si="13"/>
        <v>0</v>
      </c>
      <c r="U102" s="3"/>
      <c r="V102" s="3"/>
      <c r="W102" s="3">
        <f t="shared" si="14"/>
        <v>0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5"/>
        <v>1867025388</v>
      </c>
      <c r="Q103" s="10">
        <f>+Q104+Q108+Q109+Q110</f>
        <v>17203551</v>
      </c>
      <c r="R103" s="10"/>
      <c r="S103" s="10"/>
      <c r="T103" s="3">
        <f t="shared" si="13"/>
        <v>60143973</v>
      </c>
      <c r="U103" s="3"/>
      <c r="V103" s="3"/>
      <c r="W103" s="3">
        <f t="shared" si="14"/>
        <v>3.2213794941710776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6" ref="D104:N104">SUM(D105:D107)</f>
        <v>9764370</v>
      </c>
      <c r="E104" s="11">
        <f t="shared" si="16"/>
        <v>1633088</v>
      </c>
      <c r="F104" s="11">
        <f t="shared" si="16"/>
        <v>9527326</v>
      </c>
      <c r="G104" s="11">
        <f t="shared" si="16"/>
        <v>5166613</v>
      </c>
      <c r="H104" s="11">
        <f t="shared" si="16"/>
        <v>8550758</v>
      </c>
      <c r="I104" s="11">
        <f t="shared" si="16"/>
        <v>19667967</v>
      </c>
      <c r="J104" s="11">
        <f t="shared" si="16"/>
        <v>32121947.88</v>
      </c>
      <c r="K104" s="11">
        <f t="shared" si="16"/>
        <v>57803883</v>
      </c>
      <c r="L104" s="11">
        <f t="shared" si="16"/>
        <v>248550137</v>
      </c>
      <c r="M104" s="11">
        <f t="shared" si="16"/>
        <v>56476839</v>
      </c>
      <c r="N104" s="11">
        <f t="shared" si="16"/>
        <v>203635166</v>
      </c>
      <c r="O104" s="10">
        <f>SUM(O105:O107)</f>
        <v>0</v>
      </c>
      <c r="P104" s="11">
        <f t="shared" si="15"/>
        <v>1679125388</v>
      </c>
      <c r="Q104" s="10">
        <f>SUM(Q105:Q107)</f>
        <v>196000</v>
      </c>
      <c r="R104" s="10"/>
      <c r="S104" s="10"/>
      <c r="T104" s="3">
        <f t="shared" si="13"/>
        <v>42847562</v>
      </c>
      <c r="U104" s="3"/>
      <c r="V104" s="3"/>
      <c r="W104" s="3">
        <f t="shared" si="14"/>
        <v>2.551778581052578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5"/>
        <v>939032888</v>
      </c>
      <c r="Q105" s="11">
        <v>0</v>
      </c>
      <c r="R105" s="11"/>
      <c r="S105" s="11"/>
      <c r="T105" s="3">
        <f t="shared" si="13"/>
        <v>42651562</v>
      </c>
      <c r="U105" s="3"/>
      <c r="V105" s="3"/>
      <c r="W105" s="3">
        <f t="shared" si="14"/>
        <v>4.542073291047501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5"/>
        <v>724342500</v>
      </c>
      <c r="Q106" s="11">
        <v>0</v>
      </c>
      <c r="R106" s="11"/>
      <c r="S106" s="11"/>
      <c r="T106" s="3">
        <f t="shared" si="13"/>
        <v>0</v>
      </c>
      <c r="U106" s="3"/>
      <c r="V106" s="3"/>
      <c r="W106" s="3">
        <f t="shared" si="14"/>
        <v>0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5"/>
        <v>15750000</v>
      </c>
      <c r="Q107" s="11">
        <v>196000</v>
      </c>
      <c r="R107" s="11"/>
      <c r="S107" s="11"/>
      <c r="T107" s="3">
        <f t="shared" si="13"/>
        <v>196000</v>
      </c>
      <c r="U107" s="3"/>
      <c r="V107" s="3"/>
      <c r="W107" s="3">
        <f t="shared" si="14"/>
        <v>1.2444444444444445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5"/>
        <v>65100000</v>
      </c>
      <c r="Q108" s="10">
        <v>1153750</v>
      </c>
      <c r="R108" s="10"/>
      <c r="S108" s="10"/>
      <c r="T108" s="3">
        <f t="shared" si="13"/>
        <v>1442610</v>
      </c>
      <c r="U108" s="3"/>
      <c r="V108" s="3"/>
      <c r="W108" s="3">
        <f t="shared" si="14"/>
        <v>2.215990783410138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5"/>
        <v>1000000</v>
      </c>
      <c r="Q109" s="10">
        <v>0</v>
      </c>
      <c r="R109" s="10"/>
      <c r="S109" s="10"/>
      <c r="T109" s="3">
        <f t="shared" si="13"/>
        <v>0</v>
      </c>
      <c r="U109" s="3"/>
      <c r="V109" s="3"/>
      <c r="W109" s="3">
        <f t="shared" si="14"/>
        <v>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>
      <c r="A110" s="10" t="s">
        <v>35</v>
      </c>
      <c r="B110" s="10">
        <f aca="true" t="shared" si="17" ref="B110:O110">SUM(B111:B111)</f>
        <v>121800000</v>
      </c>
      <c r="C110" s="11">
        <f t="shared" si="17"/>
        <v>4768052</v>
      </c>
      <c r="D110" s="11">
        <f t="shared" si="17"/>
        <v>8290086</v>
      </c>
      <c r="E110" s="11">
        <f t="shared" si="17"/>
        <v>10672897</v>
      </c>
      <c r="F110" s="11">
        <f t="shared" si="17"/>
        <v>13361106</v>
      </c>
      <c r="G110" s="11">
        <f t="shared" si="17"/>
        <v>5435392</v>
      </c>
      <c r="H110" s="11">
        <f t="shared" si="17"/>
        <v>6359364</v>
      </c>
      <c r="I110" s="11">
        <f t="shared" si="17"/>
        <v>17667466</v>
      </c>
      <c r="J110" s="11">
        <f t="shared" si="17"/>
        <v>22629676</v>
      </c>
      <c r="K110" s="11">
        <f t="shared" si="17"/>
        <v>24318846</v>
      </c>
      <c r="L110" s="11">
        <f t="shared" si="17"/>
        <v>14234424</v>
      </c>
      <c r="M110" s="11">
        <f t="shared" si="17"/>
        <v>14378768</v>
      </c>
      <c r="N110" s="11">
        <f t="shared" si="17"/>
        <v>23388888</v>
      </c>
      <c r="O110" s="10">
        <f t="shared" si="17"/>
        <v>0</v>
      </c>
      <c r="P110" s="11">
        <f t="shared" si="15"/>
        <v>121800000</v>
      </c>
      <c r="Q110" s="10">
        <f>SUM(Q111:Q111)</f>
        <v>15853801</v>
      </c>
      <c r="R110" s="10"/>
      <c r="S110" s="10"/>
      <c r="T110" s="3">
        <f t="shared" si="13"/>
        <v>15853801</v>
      </c>
      <c r="U110" s="3"/>
      <c r="V110" s="3"/>
      <c r="W110" s="3">
        <f t="shared" si="14"/>
        <v>13.016256978653532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5"/>
        <v>121800000</v>
      </c>
      <c r="Q111" s="11">
        <f>15586201+267600</f>
        <v>15853801</v>
      </c>
      <c r="R111" s="11"/>
      <c r="S111" s="11"/>
      <c r="T111" s="3">
        <f t="shared" si="13"/>
        <v>15853801</v>
      </c>
      <c r="U111" s="3"/>
      <c r="V111" s="3"/>
      <c r="W111" s="3">
        <f t="shared" si="14"/>
        <v>13.016256978653532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5"/>
        <v>71925000</v>
      </c>
      <c r="Q112" s="11">
        <f>1530000+0+498920</f>
        <v>2028920</v>
      </c>
      <c r="R112" s="11"/>
      <c r="S112" s="11"/>
      <c r="T112" s="3">
        <f t="shared" si="13"/>
        <v>2044305</v>
      </c>
      <c r="U112" s="3"/>
      <c r="V112" s="3"/>
      <c r="W112" s="3">
        <f t="shared" si="14"/>
        <v>2.8422732012513037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5"/>
        <v>1230345600</v>
      </c>
      <c r="Q113" s="10">
        <f>+Q114</f>
        <v>0</v>
      </c>
      <c r="R113" s="10"/>
      <c r="S113" s="10"/>
      <c r="T113" s="3">
        <f t="shared" si="13"/>
        <v>302092115</v>
      </c>
      <c r="U113" s="3"/>
      <c r="V113" s="3"/>
      <c r="W113" s="3">
        <f t="shared" si="14"/>
        <v>24.553435636296015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5"/>
        <v>1230345600</v>
      </c>
      <c r="Q114" s="10">
        <v>0</v>
      </c>
      <c r="R114" s="10"/>
      <c r="S114" s="10"/>
      <c r="T114" s="3">
        <f t="shared" si="13"/>
        <v>0</v>
      </c>
      <c r="U114" s="3"/>
      <c r="V114" s="3"/>
      <c r="W114" s="3">
        <f t="shared" si="14"/>
        <v>0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3"/>
        <v>662670589</v>
      </c>
      <c r="U115" s="3"/>
      <c r="V115" s="3"/>
      <c r="W115" s="3">
        <f t="shared" si="14"/>
        <v>34.61964604367664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3"/>
        <v>10904749</v>
      </c>
      <c r="U116" s="3"/>
      <c r="V116" s="3"/>
      <c r="W116" s="3">
        <f t="shared" si="14"/>
        <v>15.578212857142857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3"/>
        <v>0</v>
      </c>
      <c r="U117" s="3"/>
      <c r="V117" s="3"/>
      <c r="W117" s="3" t="e">
        <f t="shared" si="14"/>
        <v>#DIV/0!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3"/>
        <v>651765840</v>
      </c>
      <c r="U118" s="3"/>
      <c r="V118" s="3"/>
      <c r="W118" s="3">
        <f t="shared" si="14"/>
        <v>35.34241977379607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 t="s">
        <v>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3"/>
        <v>724858867</v>
      </c>
      <c r="U120" s="3"/>
      <c r="V120" s="3"/>
      <c r="W120" s="3">
        <f>+T120/P120*100</f>
        <v>6.410424556627881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3"/>
        <v>91994880</v>
      </c>
      <c r="U121" s="3"/>
      <c r="V121" s="3"/>
      <c r="W121" s="3">
        <f>+T121/P121*100</f>
        <v>6.893081840930526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3"/>
        <v>0</v>
      </c>
      <c r="U122" s="3"/>
      <c r="V122" s="3"/>
      <c r="W122" s="3" t="s">
        <v>1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3"/>
        <v>816853747</v>
      </c>
      <c r="U123" s="3"/>
      <c r="V123" s="3"/>
      <c r="W123" s="3">
        <f>+T123/P123*100</f>
        <v>6.461377573332965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>
        <v>39508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 t="s">
        <v>46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>
        <f>+T140/P140*100</f>
        <v>4.060889767235275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8" ref="T142:T169">+T96+Q142</f>
        <v>0</v>
      </c>
      <c r="U142" s="3"/>
      <c r="V142" s="3"/>
      <c r="W142" s="3">
        <f>+T142/P142*100</f>
        <v>0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8"/>
        <v>0</v>
      </c>
      <c r="U143" s="3"/>
      <c r="V143" s="3"/>
      <c r="W143" s="3">
        <f>+T143/P143*100</f>
        <v>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8"/>
        <v>0</v>
      </c>
      <c r="U144" s="3"/>
      <c r="V144" s="3"/>
      <c r="W144" s="3">
        <f>+T144/P144*100</f>
        <v>0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8"/>
        <v>0</v>
      </c>
      <c r="U145" s="3"/>
      <c r="V145" s="3"/>
      <c r="W145" s="3">
        <f>+T145/P145*100</f>
        <v>0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8"/>
        <v>0</v>
      </c>
      <c r="U146" s="3"/>
      <c r="V146" s="3"/>
      <c r="W146" s="3" t="s">
        <v>1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8"/>
        <v>381453819</v>
      </c>
      <c r="U147" s="3"/>
      <c r="V147" s="3"/>
      <c r="W147" s="3">
        <f aca="true" t="shared" si="19" ref="W147:W164">+T147/P147*100</f>
        <v>6.44124001154589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20" ref="P148:P160">+B148+O148</f>
        <v>2752759677</v>
      </c>
      <c r="Q148" s="10">
        <v>0</v>
      </c>
      <c r="R148" s="10"/>
      <c r="S148" s="10"/>
      <c r="T148" s="3">
        <f t="shared" si="18"/>
        <v>0</v>
      </c>
      <c r="U148" s="3"/>
      <c r="V148" s="3"/>
      <c r="W148" s="3">
        <f t="shared" si="19"/>
        <v>0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20"/>
        <v>1867025388</v>
      </c>
      <c r="Q149" s="10">
        <f>+Q150+Q154+Q155+Q156</f>
        <v>5959701</v>
      </c>
      <c r="R149" s="10"/>
      <c r="S149" s="10"/>
      <c r="T149" s="3">
        <f t="shared" si="18"/>
        <v>66103674</v>
      </c>
      <c r="U149" s="3"/>
      <c r="V149" s="3"/>
      <c r="W149" s="3">
        <f t="shared" si="19"/>
        <v>3.540587847646344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21" ref="D150:N150">SUM(D151:D153)</f>
        <v>9764370</v>
      </c>
      <c r="E150" s="11">
        <f t="shared" si="21"/>
        <v>1633088</v>
      </c>
      <c r="F150" s="11">
        <f t="shared" si="21"/>
        <v>9527326</v>
      </c>
      <c r="G150" s="11">
        <f t="shared" si="21"/>
        <v>5166613</v>
      </c>
      <c r="H150" s="11">
        <f t="shared" si="21"/>
        <v>8550758</v>
      </c>
      <c r="I150" s="11">
        <f t="shared" si="21"/>
        <v>19667967</v>
      </c>
      <c r="J150" s="11">
        <f t="shared" si="21"/>
        <v>32121947.88</v>
      </c>
      <c r="K150" s="11">
        <f t="shared" si="21"/>
        <v>57803883</v>
      </c>
      <c r="L150" s="11">
        <f t="shared" si="21"/>
        <v>248550137</v>
      </c>
      <c r="M150" s="11">
        <f t="shared" si="21"/>
        <v>56476839</v>
      </c>
      <c r="N150" s="11">
        <f t="shared" si="21"/>
        <v>203635166</v>
      </c>
      <c r="O150" s="10">
        <f>SUM(O151:O153)</f>
        <v>0</v>
      </c>
      <c r="P150" s="11">
        <f t="shared" si="20"/>
        <v>1679125388</v>
      </c>
      <c r="Q150" s="10">
        <f>SUM(Q151:Q153)</f>
        <v>1407355</v>
      </c>
      <c r="R150" s="10"/>
      <c r="S150" s="10"/>
      <c r="T150" s="3">
        <f t="shared" si="18"/>
        <v>44254917</v>
      </c>
      <c r="U150" s="3"/>
      <c r="V150" s="3"/>
      <c r="W150" s="3">
        <f t="shared" si="19"/>
        <v>2.635593346171239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20"/>
        <v>939032888</v>
      </c>
      <c r="Q151" s="11">
        <v>0</v>
      </c>
      <c r="R151" s="11"/>
      <c r="S151" s="11"/>
      <c r="T151" s="3">
        <f t="shared" si="18"/>
        <v>42651562</v>
      </c>
      <c r="U151" s="3"/>
      <c r="V151" s="3"/>
      <c r="W151" s="3">
        <f t="shared" si="19"/>
        <v>4.542073291047501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20"/>
        <v>724342500</v>
      </c>
      <c r="Q152" s="11">
        <v>0</v>
      </c>
      <c r="R152" s="11"/>
      <c r="S152" s="11"/>
      <c r="T152" s="3">
        <f t="shared" si="18"/>
        <v>0</v>
      </c>
      <c r="U152" s="3"/>
      <c r="V152" s="3"/>
      <c r="W152" s="3">
        <f t="shared" si="19"/>
        <v>0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20"/>
        <v>15750000</v>
      </c>
      <c r="Q153" s="11">
        <v>1407355</v>
      </c>
      <c r="R153" s="11"/>
      <c r="S153" s="11"/>
      <c r="T153" s="3">
        <f t="shared" si="18"/>
        <v>1603355</v>
      </c>
      <c r="U153" s="3"/>
      <c r="V153" s="3"/>
      <c r="W153" s="3">
        <f t="shared" si="19"/>
        <v>10.180031746031746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20"/>
        <v>65100000</v>
      </c>
      <c r="Q154" s="10">
        <v>2626000</v>
      </c>
      <c r="R154" s="10"/>
      <c r="S154" s="10"/>
      <c r="T154" s="3">
        <f t="shared" si="18"/>
        <v>4068610</v>
      </c>
      <c r="U154" s="3"/>
      <c r="V154" s="3"/>
      <c r="W154" s="3">
        <f t="shared" si="19"/>
        <v>6.249784946236559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20"/>
        <v>1000000</v>
      </c>
      <c r="Q155" s="10">
        <v>0</v>
      </c>
      <c r="R155" s="10"/>
      <c r="S155" s="10"/>
      <c r="T155" s="3">
        <f t="shared" si="18"/>
        <v>0</v>
      </c>
      <c r="U155" s="3"/>
      <c r="V155" s="3"/>
      <c r="W155" s="3">
        <f t="shared" si="19"/>
        <v>0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hidden="1">
      <c r="A156" s="10" t="s">
        <v>35</v>
      </c>
      <c r="B156" s="10">
        <f aca="true" t="shared" si="22" ref="B156:O156">SUM(B157:B157)</f>
        <v>121800000</v>
      </c>
      <c r="C156" s="11">
        <f t="shared" si="22"/>
        <v>4768052</v>
      </c>
      <c r="D156" s="11">
        <f t="shared" si="22"/>
        <v>8290086</v>
      </c>
      <c r="E156" s="11">
        <f t="shared" si="22"/>
        <v>10672897</v>
      </c>
      <c r="F156" s="11">
        <f t="shared" si="22"/>
        <v>13361106</v>
      </c>
      <c r="G156" s="11">
        <f t="shared" si="22"/>
        <v>5435392</v>
      </c>
      <c r="H156" s="11">
        <f t="shared" si="22"/>
        <v>6359364</v>
      </c>
      <c r="I156" s="11">
        <f t="shared" si="22"/>
        <v>17667466</v>
      </c>
      <c r="J156" s="11">
        <f t="shared" si="22"/>
        <v>22629676</v>
      </c>
      <c r="K156" s="11">
        <f t="shared" si="22"/>
        <v>24318846</v>
      </c>
      <c r="L156" s="11">
        <f t="shared" si="22"/>
        <v>14234424</v>
      </c>
      <c r="M156" s="11">
        <f t="shared" si="22"/>
        <v>14378768</v>
      </c>
      <c r="N156" s="11">
        <f t="shared" si="22"/>
        <v>23388888</v>
      </c>
      <c r="O156" s="10">
        <f t="shared" si="22"/>
        <v>0</v>
      </c>
      <c r="P156" s="11">
        <f t="shared" si="20"/>
        <v>121800000</v>
      </c>
      <c r="Q156" s="10">
        <f>SUM(Q157:Q157)</f>
        <v>1926346</v>
      </c>
      <c r="R156" s="10"/>
      <c r="S156" s="10"/>
      <c r="T156" s="3">
        <f t="shared" si="18"/>
        <v>17780147</v>
      </c>
      <c r="U156" s="3"/>
      <c r="V156" s="3"/>
      <c r="W156" s="3">
        <f t="shared" si="19"/>
        <v>14.59782183908046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20"/>
        <v>121800000</v>
      </c>
      <c r="Q157" s="11">
        <f>1700050+226296</f>
        <v>1926346</v>
      </c>
      <c r="R157" s="11"/>
      <c r="S157" s="11"/>
      <c r="T157" s="3">
        <f t="shared" si="18"/>
        <v>17780147</v>
      </c>
      <c r="U157" s="3"/>
      <c r="V157" s="3"/>
      <c r="W157" s="3">
        <f t="shared" si="19"/>
        <v>14.59782183908046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20"/>
        <v>71925000</v>
      </c>
      <c r="Q158" s="11">
        <f>9149042+2626000-561317</f>
        <v>11213725</v>
      </c>
      <c r="R158" s="11"/>
      <c r="S158" s="11"/>
      <c r="T158" s="3">
        <f t="shared" si="18"/>
        <v>13258030</v>
      </c>
      <c r="U158" s="3"/>
      <c r="V158" s="3"/>
      <c r="W158" s="3">
        <f t="shared" si="19"/>
        <v>18.433131734445602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20"/>
        <v>1230345600</v>
      </c>
      <c r="Q159" s="10">
        <f>+Q160</f>
        <v>0</v>
      </c>
      <c r="R159" s="10"/>
      <c r="S159" s="10"/>
      <c r="T159" s="3">
        <f t="shared" si="18"/>
        <v>302092115</v>
      </c>
      <c r="U159" s="3"/>
      <c r="V159" s="3"/>
      <c r="W159" s="3">
        <f t="shared" si="19"/>
        <v>24.553435636296015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20"/>
        <v>1230345600</v>
      </c>
      <c r="Q160" s="10">
        <v>0</v>
      </c>
      <c r="R160" s="10"/>
      <c r="S160" s="10"/>
      <c r="T160" s="3">
        <f t="shared" si="18"/>
        <v>0</v>
      </c>
      <c r="U160" s="3"/>
      <c r="V160" s="3"/>
      <c r="W160" s="3">
        <f t="shared" si="19"/>
        <v>0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8"/>
        <v>797901754</v>
      </c>
      <c r="U161" s="3"/>
      <c r="V161" s="3"/>
      <c r="W161" s="3">
        <f t="shared" si="19"/>
        <v>30.088037275327157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8"/>
        <v>26204781</v>
      </c>
      <c r="U162" s="3"/>
      <c r="V162" s="3"/>
      <c r="W162" s="3">
        <f t="shared" si="19"/>
        <v>37.43540142857143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8"/>
        <v>0</v>
      </c>
      <c r="U163" s="3"/>
      <c r="V163" s="3"/>
      <c r="W163" s="3">
        <f t="shared" si="19"/>
        <v>0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8"/>
        <v>771696973</v>
      </c>
      <c r="U164" s="3"/>
      <c r="V164" s="3"/>
      <c r="W164" s="3">
        <f t="shared" si="19"/>
        <v>41.84576221106305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 t="s">
        <v>1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8"/>
        <v>877263458</v>
      </c>
      <c r="U166" s="3"/>
      <c r="V166" s="3"/>
      <c r="W166" s="3">
        <f>+T166/P166*100</f>
        <v>7.2830680057165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8"/>
        <v>184510355</v>
      </c>
      <c r="U167" s="3"/>
      <c r="V167" s="3"/>
      <c r="W167" s="3">
        <f>+T167/P167*100</f>
        <v>13.82517133034083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 t="s">
        <v>1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8"/>
        <v>1061773813</v>
      </c>
      <c r="U169" s="3"/>
      <c r="V169" s="3"/>
      <c r="W169" s="3">
        <f>+T169/P169*100</f>
        <v>7.935622215878957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>
        <v>39569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 t="s">
        <v>46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3" ref="T186:T206">+T7+Q186</f>
        <v>7338114478.31</v>
      </c>
      <c r="U186" s="3"/>
      <c r="V186" s="3"/>
      <c r="W186" s="3">
        <f>+T186/P186*100</f>
        <v>78.12026649488098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3"/>
        <v>#VALUE!</v>
      </c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3"/>
        <v>3005559943.67</v>
      </c>
      <c r="U188" s="3"/>
      <c r="V188" s="3"/>
      <c r="W188" s="3">
        <f>+T188/P188*100</f>
        <v>86.58312285512633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3"/>
        <v>3005559943.67</v>
      </c>
      <c r="U189" s="3"/>
      <c r="V189" s="3"/>
      <c r="W189" s="3">
        <f>+T189/P189*100</f>
        <v>86.58312285512633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3"/>
        <v>1756800893.67</v>
      </c>
      <c r="U190" s="3"/>
      <c r="V190" s="3"/>
      <c r="W190" s="3">
        <f>+T190/P190*100</f>
        <v>83.40696451929925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3"/>
        <v>1248759050</v>
      </c>
      <c r="U191" s="3"/>
      <c r="V191" s="3"/>
      <c r="W191" s="3">
        <f>+T191/P191*100</f>
        <v>91.48417948717949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3"/>
        <v>#VALUE!</v>
      </c>
      <c r="U192" s="3"/>
      <c r="V192" s="3"/>
      <c r="W192" s="3" t="s">
        <v>1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3"/>
        <v>4332554534.64</v>
      </c>
      <c r="U193" s="3"/>
      <c r="V193" s="3"/>
      <c r="W193" s="3">
        <f aca="true" t="shared" si="24" ref="W193:W211">+T193/P193*100</f>
        <v>73.15963880998069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5" ref="P194:P207">+B194+O194</f>
        <v>2752759677</v>
      </c>
      <c r="Q194" s="10">
        <v>129152073</v>
      </c>
      <c r="R194" s="10"/>
      <c r="S194" s="10"/>
      <c r="T194" s="3">
        <f t="shared" si="23"/>
        <v>2744053282</v>
      </c>
      <c r="U194" s="3"/>
      <c r="V194" s="3"/>
      <c r="W194" s="3">
        <f t="shared" si="24"/>
        <v>99.6837212099282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5"/>
        <v>1867025388</v>
      </c>
      <c r="Q195" s="10">
        <f>+Q196+Q200+Q201+Q202</f>
        <v>229990206</v>
      </c>
      <c r="R195" s="10"/>
      <c r="S195" s="10"/>
      <c r="T195" s="3">
        <f t="shared" si="23"/>
        <v>1409326043.64</v>
      </c>
      <c r="U195" s="3"/>
      <c r="V195" s="3"/>
      <c r="W195" s="3">
        <f t="shared" si="24"/>
        <v>75.48510334665038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6" ref="D196:N196">SUM(D197:D199)</f>
        <v>9764370</v>
      </c>
      <c r="E196" s="11">
        <f t="shared" si="26"/>
        <v>1633088</v>
      </c>
      <c r="F196" s="11">
        <f t="shared" si="26"/>
        <v>9527326</v>
      </c>
      <c r="G196" s="11">
        <f t="shared" si="26"/>
        <v>5166613</v>
      </c>
      <c r="H196" s="11">
        <f t="shared" si="26"/>
        <v>8550758</v>
      </c>
      <c r="I196" s="11">
        <f t="shared" si="26"/>
        <v>19667967</v>
      </c>
      <c r="J196" s="11">
        <f t="shared" si="26"/>
        <v>32121947.88</v>
      </c>
      <c r="K196" s="11">
        <f t="shared" si="26"/>
        <v>57803883</v>
      </c>
      <c r="L196" s="11">
        <f t="shared" si="26"/>
        <v>248550137</v>
      </c>
      <c r="M196" s="11">
        <f t="shared" si="26"/>
        <v>56476839</v>
      </c>
      <c r="N196" s="11">
        <f t="shared" si="26"/>
        <v>203635166</v>
      </c>
      <c r="O196" s="10">
        <f>SUM(O197:O199)</f>
        <v>0</v>
      </c>
      <c r="P196" s="11">
        <f t="shared" si="25"/>
        <v>1679125388</v>
      </c>
      <c r="Q196" s="10">
        <f>SUM(Q197:Q199)</f>
        <v>229811806</v>
      </c>
      <c r="R196" s="10"/>
      <c r="S196" s="10"/>
      <c r="T196" s="3">
        <f t="shared" si="23"/>
        <v>1247023330</v>
      </c>
      <c r="U196" s="3"/>
      <c r="V196" s="3"/>
      <c r="W196" s="3">
        <f t="shared" si="24"/>
        <v>74.26624234925808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5"/>
        <v>939032888</v>
      </c>
      <c r="Q197" s="11">
        <f>235156271-8242817</f>
        <v>226913454</v>
      </c>
      <c r="R197" s="11"/>
      <c r="S197" s="11"/>
      <c r="T197" s="3">
        <f t="shared" si="23"/>
        <v>982669309</v>
      </c>
      <c r="U197" s="3"/>
      <c r="V197" s="3"/>
      <c r="W197" s="3">
        <f t="shared" si="24"/>
        <v>104.64695343024025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5"/>
        <v>724342500</v>
      </c>
      <c r="Q198" s="11">
        <v>2744732</v>
      </c>
      <c r="R198" s="11"/>
      <c r="S198" s="11"/>
      <c r="T198" s="3">
        <f t="shared" si="23"/>
        <v>258334367</v>
      </c>
      <c r="U198" s="3"/>
      <c r="V198" s="3"/>
      <c r="W198" s="3">
        <f t="shared" si="24"/>
        <v>35.664670649589105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5"/>
        <v>15750000</v>
      </c>
      <c r="Q199" s="11">
        <v>153620</v>
      </c>
      <c r="R199" s="11"/>
      <c r="S199" s="11"/>
      <c r="T199" s="3">
        <f t="shared" si="23"/>
        <v>6019654</v>
      </c>
      <c r="U199" s="3"/>
      <c r="V199" s="3"/>
      <c r="W199" s="3">
        <f t="shared" si="24"/>
        <v>38.2200253968254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5"/>
        <v>65100000</v>
      </c>
      <c r="Q200" s="10">
        <v>0</v>
      </c>
      <c r="R200" s="10"/>
      <c r="S200" s="10"/>
      <c r="T200" s="3">
        <f t="shared" si="23"/>
        <v>48406264</v>
      </c>
      <c r="U200" s="3"/>
      <c r="V200" s="3"/>
      <c r="W200" s="3">
        <f t="shared" si="24"/>
        <v>74.35678033794163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5"/>
        <v>1000000</v>
      </c>
      <c r="Q201" s="10">
        <v>0</v>
      </c>
      <c r="R201" s="10"/>
      <c r="S201" s="10"/>
      <c r="T201" s="3">
        <f t="shared" si="23"/>
        <v>0</v>
      </c>
      <c r="U201" s="3"/>
      <c r="V201" s="3"/>
      <c r="W201" s="3">
        <f t="shared" si="24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>
      <c r="A202" s="10" t="s">
        <v>35</v>
      </c>
      <c r="B202" s="10">
        <f aca="true" t="shared" si="27" ref="B202:O202">SUM(B203:B203)</f>
        <v>121800000</v>
      </c>
      <c r="C202" s="11">
        <f t="shared" si="27"/>
        <v>4768052</v>
      </c>
      <c r="D202" s="11">
        <f t="shared" si="27"/>
        <v>8290086</v>
      </c>
      <c r="E202" s="11">
        <f t="shared" si="27"/>
        <v>10672897</v>
      </c>
      <c r="F202" s="11">
        <f t="shared" si="27"/>
        <v>13361106</v>
      </c>
      <c r="G202" s="11">
        <f t="shared" si="27"/>
        <v>5435392</v>
      </c>
      <c r="H202" s="11">
        <f t="shared" si="27"/>
        <v>6359364</v>
      </c>
      <c r="I202" s="11">
        <f t="shared" si="27"/>
        <v>17667466</v>
      </c>
      <c r="J202" s="11">
        <f t="shared" si="27"/>
        <v>22629676</v>
      </c>
      <c r="K202" s="11">
        <f t="shared" si="27"/>
        <v>24318846</v>
      </c>
      <c r="L202" s="11">
        <f t="shared" si="27"/>
        <v>14234424</v>
      </c>
      <c r="M202" s="11">
        <f t="shared" si="27"/>
        <v>14378768</v>
      </c>
      <c r="N202" s="11">
        <f t="shared" si="27"/>
        <v>23388888</v>
      </c>
      <c r="O202" s="10">
        <f t="shared" si="27"/>
        <v>0</v>
      </c>
      <c r="P202" s="11">
        <f t="shared" si="25"/>
        <v>121800000</v>
      </c>
      <c r="Q202" s="10">
        <f>SUM(Q203:Q203)</f>
        <v>178400</v>
      </c>
      <c r="R202" s="10"/>
      <c r="S202" s="10"/>
      <c r="T202" s="3">
        <f t="shared" si="23"/>
        <v>113896449.64</v>
      </c>
      <c r="U202" s="3"/>
      <c r="V202" s="3"/>
      <c r="W202" s="3">
        <f t="shared" si="24"/>
        <v>93.51104239737275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5"/>
        <v>121800000</v>
      </c>
      <c r="Q203" s="11">
        <v>178400</v>
      </c>
      <c r="R203" s="11"/>
      <c r="S203" s="11"/>
      <c r="T203" s="3">
        <f t="shared" si="23"/>
        <v>113896449.64</v>
      </c>
      <c r="U203" s="3"/>
      <c r="V203" s="3"/>
      <c r="W203" s="3">
        <f t="shared" si="24"/>
        <v>93.51104239737275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5"/>
        <v>71925000</v>
      </c>
      <c r="Q204" s="11">
        <v>0</v>
      </c>
      <c r="R204" s="11"/>
      <c r="S204" s="11"/>
      <c r="T204" s="3">
        <f t="shared" si="23"/>
        <v>121488719</v>
      </c>
      <c r="U204" s="3"/>
      <c r="V204" s="3"/>
      <c r="W204" s="3">
        <f t="shared" si="24"/>
        <v>168.9102801529371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5"/>
        <v>1230345600</v>
      </c>
      <c r="Q205" s="10">
        <f>+Q206</f>
        <v>0</v>
      </c>
      <c r="R205" s="10"/>
      <c r="S205" s="10"/>
      <c r="T205" s="3">
        <f t="shared" si="23"/>
        <v>57686490</v>
      </c>
      <c r="U205" s="3"/>
      <c r="V205" s="3"/>
      <c r="W205" s="3">
        <f t="shared" si="24"/>
        <v>4.6886411427813455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5"/>
        <v>1230345600</v>
      </c>
      <c r="Q206" s="10">
        <v>0</v>
      </c>
      <c r="R206" s="10"/>
      <c r="S206" s="10"/>
      <c r="T206" s="3">
        <f t="shared" si="23"/>
        <v>56086490</v>
      </c>
      <c r="U206" s="3"/>
      <c r="V206" s="3"/>
      <c r="W206" s="3">
        <f t="shared" si="24"/>
        <v>4.558596381374469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5"/>
        <v>79200000</v>
      </c>
      <c r="Q207" s="10">
        <v>0</v>
      </c>
      <c r="R207" s="10"/>
      <c r="S207" s="10"/>
      <c r="T207" s="3">
        <v>0</v>
      </c>
      <c r="U207" s="3"/>
      <c r="V207" s="3"/>
      <c r="W207" s="3">
        <f>+T207/P207*100</f>
        <v>0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515409946</v>
      </c>
      <c r="P208" s="11">
        <f>+B208+O208</f>
        <v>2429556001</v>
      </c>
      <c r="Q208" s="10">
        <f>+Q209+Q210+Q211</f>
        <v>124764842</v>
      </c>
      <c r="R208" s="10"/>
      <c r="S208" s="10"/>
      <c r="T208" s="3">
        <f>+T29+Q208</f>
        <v>1968253606.93</v>
      </c>
      <c r="U208" s="3"/>
      <c r="V208" s="3"/>
      <c r="W208" s="3">
        <f t="shared" si="24"/>
        <v>81.01289314261005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149654511.93</v>
      </c>
      <c r="U209" s="3"/>
      <c r="V209" s="3"/>
      <c r="W209" s="3">
        <f t="shared" si="24"/>
        <v>213.79215990000003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515409946</v>
      </c>
      <c r="P210" s="11">
        <f>+B210+O210</f>
        <v>515409946</v>
      </c>
      <c r="Q210" s="10">
        <v>0</v>
      </c>
      <c r="R210" s="10"/>
      <c r="S210" s="10"/>
      <c r="T210" s="3">
        <f>+T31+Q210</f>
        <v>515409946</v>
      </c>
      <c r="U210" s="3"/>
      <c r="V210" s="3"/>
      <c r="W210" s="3">
        <f t="shared" si="24"/>
        <v>100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1303189149</v>
      </c>
      <c r="U211" s="3"/>
      <c r="V211" s="3"/>
      <c r="W211" s="3">
        <f t="shared" si="24"/>
        <v>70.66626558491323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 t="s">
        <v>1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1745755546</v>
      </c>
      <c r="P213" s="10">
        <f>+P186+P208</f>
        <v>11822911666</v>
      </c>
      <c r="Q213" s="10">
        <f>+Q186+Q208</f>
        <v>558966374</v>
      </c>
      <c r="R213" s="10"/>
      <c r="S213" s="10"/>
      <c r="T213" s="3">
        <f>+T36+Q213</f>
        <v>9306368085.24</v>
      </c>
      <c r="U213" s="3"/>
      <c r="V213" s="3"/>
      <c r="W213" s="3">
        <f>+T213/P213*100</f>
        <v>78.71468846378168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2374930478</v>
      </c>
      <c r="U214" s="3"/>
      <c r="V214" s="3"/>
      <c r="W214" s="3">
        <f>+T214/P214*100</f>
        <v>177.9511006631484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 t="s">
        <v>1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1745755546</v>
      </c>
      <c r="P216" s="14">
        <f>+P213+P214</f>
        <v>13157508906</v>
      </c>
      <c r="Q216" s="14">
        <f>+Q213+Q214</f>
        <v>657648230</v>
      </c>
      <c r="R216" s="14"/>
      <c r="S216" s="14"/>
      <c r="T216" s="3">
        <f>+T39+Q216</f>
        <v>11681298563.24</v>
      </c>
      <c r="U216" s="3"/>
      <c r="V216" s="3"/>
      <c r="W216" s="3">
        <f>+T216/P216*100</f>
        <v>88.78047240320066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>
        <v>39600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 t="s">
        <v>46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 t="s">
        <v>46</v>
      </c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7892588721.31</v>
      </c>
      <c r="U236" s="3"/>
      <c r="V236" s="3"/>
      <c r="W236" s="3">
        <f>+T236/P236*100</f>
        <v>83.3205842270445</v>
      </c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8" ref="T237:T266">+T187+Q237</f>
        <v>#VALUE!</v>
      </c>
      <c r="U237" s="3"/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8"/>
        <v>3134253264.67</v>
      </c>
      <c r="U238" s="3"/>
      <c r="V238" s="3"/>
      <c r="W238" s="3">
        <f>+T238/P238*100</f>
        <v>90.29047517270186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8"/>
        <v>3134253264.67</v>
      </c>
      <c r="U239" s="3"/>
      <c r="V239" s="3"/>
      <c r="W239" s="3">
        <f>+T239/P239*100</f>
        <v>90.29047517270186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8"/>
        <v>1756800893.67</v>
      </c>
      <c r="U240" s="3"/>
      <c r="V240" s="3"/>
      <c r="W240" s="3">
        <f>+T240/P240*100</f>
        <v>83.40696451929925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8"/>
        <v>1377452371</v>
      </c>
      <c r="U241" s="3"/>
      <c r="V241" s="3"/>
      <c r="W241" s="3">
        <f>+T241/P241*100</f>
        <v>100.91226161172162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8"/>
        <v>#VALUE!</v>
      </c>
      <c r="U242" s="3"/>
      <c r="V242" s="3"/>
      <c r="W242" s="3" t="s">
        <v>1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8"/>
        <v>4758335456.64</v>
      </c>
      <c r="U243" s="3"/>
      <c r="V243" s="3"/>
      <c r="W243" s="3">
        <f aca="true" t="shared" si="29" ref="W243:W256">+T243/P243*100</f>
        <v>79.28899754081715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30" ref="P244:P256">+B244+O244</f>
        <v>2752759677</v>
      </c>
      <c r="Q244" s="10">
        <f>646959890-319164112</f>
        <v>327795778</v>
      </c>
      <c r="R244" s="10"/>
      <c r="S244" s="10"/>
      <c r="T244" s="3">
        <f t="shared" si="28"/>
        <v>3071849060</v>
      </c>
      <c r="U244" s="3"/>
      <c r="V244" s="3"/>
      <c r="W244" s="3">
        <f t="shared" si="29"/>
        <v>111.59161788317637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30"/>
        <v>1867025388</v>
      </c>
      <c r="Q245" s="10">
        <f>+Q246+Q250+Q251+Q252</f>
        <v>97985144</v>
      </c>
      <c r="R245" s="10"/>
      <c r="S245" s="10"/>
      <c r="T245" s="3">
        <f t="shared" si="28"/>
        <v>1507311187.64</v>
      </c>
      <c r="U245" s="3"/>
      <c r="V245" s="3"/>
      <c r="W245" s="3">
        <f t="shared" si="29"/>
        <v>80.73329893251565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31" ref="D246:N246">SUM(D247:D249)</f>
        <v>9764370</v>
      </c>
      <c r="E246" s="11">
        <f t="shared" si="31"/>
        <v>1633088</v>
      </c>
      <c r="F246" s="11">
        <f t="shared" si="31"/>
        <v>9527326</v>
      </c>
      <c r="G246" s="11">
        <f t="shared" si="31"/>
        <v>5166613</v>
      </c>
      <c r="H246" s="11">
        <f t="shared" si="31"/>
        <v>8550758</v>
      </c>
      <c r="I246" s="11">
        <f t="shared" si="31"/>
        <v>19667967</v>
      </c>
      <c r="J246" s="11">
        <f t="shared" si="31"/>
        <v>32121947.88</v>
      </c>
      <c r="K246" s="11">
        <f t="shared" si="31"/>
        <v>57803883</v>
      </c>
      <c r="L246" s="11">
        <f t="shared" si="31"/>
        <v>248550137</v>
      </c>
      <c r="M246" s="11">
        <f t="shared" si="31"/>
        <v>56476839</v>
      </c>
      <c r="N246" s="11">
        <f t="shared" si="31"/>
        <v>203635166</v>
      </c>
      <c r="O246" s="10">
        <f>SUM(O247:O249)</f>
        <v>0</v>
      </c>
      <c r="P246" s="11">
        <f t="shared" si="30"/>
        <v>1679125388</v>
      </c>
      <c r="Q246" s="10">
        <f>SUM(Q247:Q249)</f>
        <v>32570562</v>
      </c>
      <c r="R246" s="10"/>
      <c r="S246" s="10"/>
      <c r="T246" s="3">
        <f t="shared" si="28"/>
        <v>1279593892</v>
      </c>
      <c r="U246" s="3"/>
      <c r="V246" s="3"/>
      <c r="W246" s="3">
        <f t="shared" si="29"/>
        <v>76.20597610784264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30"/>
        <v>939032888</v>
      </c>
      <c r="Q247" s="11">
        <v>0</v>
      </c>
      <c r="R247" s="11"/>
      <c r="S247" s="11"/>
      <c r="T247" s="3">
        <f t="shared" si="28"/>
        <v>982669309</v>
      </c>
      <c r="U247" s="3"/>
      <c r="V247" s="3"/>
      <c r="W247" s="3">
        <f t="shared" si="29"/>
        <v>104.64695343024025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30"/>
        <v>724342500</v>
      </c>
      <c r="Q248" s="11">
        <f>32597431-2744732</f>
        <v>29852699</v>
      </c>
      <c r="R248" s="11"/>
      <c r="S248" s="11"/>
      <c r="T248" s="3">
        <f t="shared" si="28"/>
        <v>288187066</v>
      </c>
      <c r="U248" s="3"/>
      <c r="V248" s="3"/>
      <c r="W248" s="3">
        <f t="shared" si="29"/>
        <v>39.7860219440389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30"/>
        <v>15750000</v>
      </c>
      <c r="Q249" s="11">
        <f>4474838-1756975</f>
        <v>2717863</v>
      </c>
      <c r="R249" s="11"/>
      <c r="S249" s="11"/>
      <c r="T249" s="3">
        <f t="shared" si="28"/>
        <v>8737517</v>
      </c>
      <c r="U249" s="3"/>
      <c r="V249" s="3"/>
      <c r="W249" s="3">
        <f t="shared" si="29"/>
        <v>55.47629841269841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30"/>
        <v>65100000</v>
      </c>
      <c r="Q250" s="10">
        <f>19344919-7544443</f>
        <v>11800476</v>
      </c>
      <c r="R250" s="10"/>
      <c r="S250" s="10"/>
      <c r="T250" s="3">
        <f t="shared" si="28"/>
        <v>60206740</v>
      </c>
      <c r="U250" s="3"/>
      <c r="V250" s="3"/>
      <c r="W250" s="3">
        <f t="shared" si="29"/>
        <v>92.48347158218127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30"/>
        <v>1000000</v>
      </c>
      <c r="Q251" s="10">
        <v>0</v>
      </c>
      <c r="R251" s="10"/>
      <c r="S251" s="10"/>
      <c r="T251" s="3">
        <f t="shared" si="28"/>
        <v>0</v>
      </c>
      <c r="U251" s="3"/>
      <c r="V251" s="3"/>
      <c r="W251" s="3">
        <f t="shared" si="29"/>
        <v>0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>
      <c r="A252" s="10" t="s">
        <v>35</v>
      </c>
      <c r="B252" s="10">
        <f aca="true" t="shared" si="32" ref="B252:O252">SUM(B253:B253)</f>
        <v>121800000</v>
      </c>
      <c r="C252" s="11">
        <f t="shared" si="32"/>
        <v>4768052</v>
      </c>
      <c r="D252" s="11">
        <f t="shared" si="32"/>
        <v>8290086</v>
      </c>
      <c r="E252" s="11">
        <f t="shared" si="32"/>
        <v>10672897</v>
      </c>
      <c r="F252" s="11">
        <f t="shared" si="32"/>
        <v>13361106</v>
      </c>
      <c r="G252" s="11">
        <f t="shared" si="32"/>
        <v>5435392</v>
      </c>
      <c r="H252" s="11">
        <f t="shared" si="32"/>
        <v>6359364</v>
      </c>
      <c r="I252" s="11">
        <f t="shared" si="32"/>
        <v>17667466</v>
      </c>
      <c r="J252" s="11">
        <f t="shared" si="32"/>
        <v>22629676</v>
      </c>
      <c r="K252" s="11">
        <f t="shared" si="32"/>
        <v>24318846</v>
      </c>
      <c r="L252" s="11">
        <f t="shared" si="32"/>
        <v>14234424</v>
      </c>
      <c r="M252" s="11">
        <f t="shared" si="32"/>
        <v>14378768</v>
      </c>
      <c r="N252" s="11">
        <f t="shared" si="32"/>
        <v>23388888</v>
      </c>
      <c r="O252" s="10">
        <f t="shared" si="32"/>
        <v>0</v>
      </c>
      <c r="P252" s="11">
        <f t="shared" si="30"/>
        <v>121800000</v>
      </c>
      <c r="Q252" s="10">
        <f>SUM(Q253:Q253)</f>
        <v>53614106</v>
      </c>
      <c r="R252" s="10"/>
      <c r="S252" s="10"/>
      <c r="T252" s="3">
        <f t="shared" si="28"/>
        <v>167510555.64</v>
      </c>
      <c r="U252" s="3"/>
      <c r="V252" s="3"/>
      <c r="W252" s="3">
        <f t="shared" si="29"/>
        <v>137.52919182266007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30"/>
        <v>121800000</v>
      </c>
      <c r="Q253" s="11">
        <f>78608817-24994711</f>
        <v>53614106</v>
      </c>
      <c r="R253" s="11"/>
      <c r="S253" s="11"/>
      <c r="T253" s="3">
        <f t="shared" si="28"/>
        <v>167510555.64</v>
      </c>
      <c r="U253" s="3"/>
      <c r="V253" s="3"/>
      <c r="W253" s="3">
        <f t="shared" si="29"/>
        <v>137.52919182266007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30"/>
        <v>71925000</v>
      </c>
      <c r="Q254" s="11">
        <v>0</v>
      </c>
      <c r="R254" s="11"/>
      <c r="S254" s="11"/>
      <c r="T254" s="3">
        <f t="shared" si="28"/>
        <v>121488719</v>
      </c>
      <c r="U254" s="3"/>
      <c r="V254" s="3"/>
      <c r="W254" s="3">
        <f t="shared" si="29"/>
        <v>168.9102801529371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30"/>
        <v>1309545600</v>
      </c>
      <c r="Q255" s="10">
        <f>+Q256</f>
        <v>0</v>
      </c>
      <c r="R255" s="10"/>
      <c r="S255" s="10"/>
      <c r="T255" s="3">
        <f t="shared" si="28"/>
        <v>57686490</v>
      </c>
      <c r="U255" s="3"/>
      <c r="V255" s="3"/>
      <c r="W255" s="3">
        <f t="shared" si="29"/>
        <v>4.405076844975845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30"/>
        <v>1309545600</v>
      </c>
      <c r="Q256" s="10">
        <v>0</v>
      </c>
      <c r="R256" s="10"/>
      <c r="S256" s="10"/>
      <c r="T256" s="3">
        <f t="shared" si="28"/>
        <v>56086490</v>
      </c>
      <c r="U256" s="3"/>
      <c r="V256" s="3"/>
      <c r="W256" s="3">
        <f t="shared" si="29"/>
        <v>4.282897059865651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8"/>
        <v>0</v>
      </c>
      <c r="U257" s="3"/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515409946</v>
      </c>
      <c r="P258" s="11">
        <f>+B258+O258</f>
        <v>2429556001</v>
      </c>
      <c r="Q258" s="10">
        <f>+Q259+Q260+Q261</f>
        <v>915343196</v>
      </c>
      <c r="R258" s="10"/>
      <c r="S258" s="10"/>
      <c r="T258" s="3">
        <f t="shared" si="28"/>
        <v>2883596802.9300003</v>
      </c>
      <c r="U258" s="3"/>
      <c r="V258" s="3"/>
      <c r="W258" s="3">
        <f>+T258/P258*100</f>
        <v>118.68822129406023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8"/>
        <v>162460210.93</v>
      </c>
      <c r="U259" s="3"/>
      <c r="V259" s="3"/>
      <c r="W259" s="3">
        <f>+T259/P259*100</f>
        <v>232.08601561428574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515409946</v>
      </c>
      <c r="P260" s="11">
        <f>+B260+O260</f>
        <v>515409946</v>
      </c>
      <c r="Q260" s="10">
        <v>888746268</v>
      </c>
      <c r="R260" s="10"/>
      <c r="S260" s="10"/>
      <c r="T260" s="3">
        <f t="shared" si="28"/>
        <v>1404156214</v>
      </c>
      <c r="U260" s="3"/>
      <c r="V260" s="3"/>
      <c r="W260" s="3">
        <f>+T260/P260*100</f>
        <v>272.4348307395682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8"/>
        <v>1316980378</v>
      </c>
      <c r="U261" s="3"/>
      <c r="V261" s="3"/>
      <c r="W261" s="3">
        <f>+T261/P261*100</f>
        <v>71.41410380318277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 t="s">
        <v>1</v>
      </c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1824955546</v>
      </c>
      <c r="P263" s="10">
        <f>+P236+P258</f>
        <v>11902111666</v>
      </c>
      <c r="Q263" s="10">
        <f>+Q236+Q258</f>
        <v>1469817439</v>
      </c>
      <c r="R263" s="10"/>
      <c r="S263" s="10"/>
      <c r="T263" s="3">
        <f t="shared" si="28"/>
        <v>10776185524.24</v>
      </c>
      <c r="U263" s="3"/>
      <c r="V263" s="3"/>
      <c r="W263" s="3">
        <f>+T263/P263*100</f>
        <v>90.54011444896487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8"/>
        <v>3704814336</v>
      </c>
      <c r="U264" s="3"/>
      <c r="V264" s="3"/>
      <c r="W264" s="3">
        <f>+T264/P264*100</f>
        <v>148.76399140243183</v>
      </c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 t="s">
        <v>1</v>
      </c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2980755546</v>
      </c>
      <c r="P266" s="14">
        <f>+P263+P264</f>
        <v>14392508906</v>
      </c>
      <c r="Q266" s="14">
        <f>+Q263+Q264</f>
        <v>2799701297</v>
      </c>
      <c r="R266" s="14"/>
      <c r="S266" s="14"/>
      <c r="T266" s="3">
        <f t="shared" si="28"/>
        <v>14480999860.24</v>
      </c>
      <c r="U266" s="3"/>
      <c r="V266" s="3"/>
      <c r="W266" s="3">
        <f>+T266/P266*100</f>
        <v>100.61484036465045</v>
      </c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 t="s">
        <v>1</v>
      </c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 t="s">
        <v>1</v>
      </c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 t="s">
        <v>46</v>
      </c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710430223.05</v>
      </c>
      <c r="R282" s="3"/>
      <c r="S282" s="3"/>
      <c r="T282" s="3">
        <f>+T236+Q282</f>
        <v>8603018944.36</v>
      </c>
      <c r="U282" s="3">
        <f>+U284+U289</f>
        <v>2691375928</v>
      </c>
      <c r="V282" s="3">
        <f>+V284+V289</f>
        <v>11294394872.36</v>
      </c>
      <c r="W282" s="3">
        <f>+V282/P282*100</f>
        <v>117.4212680193524</v>
      </c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3" ref="T283:T302">+T237+Q283</f>
        <v>#VALUE!</v>
      </c>
      <c r="U283" s="3"/>
      <c r="V283" s="3" t="e">
        <f aca="true" t="shared" si="34" ref="V283:V316">+T283+U283</f>
        <v>#VALUE!</v>
      </c>
      <c r="W283" s="3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3"/>
        <v>3478854238.7200003</v>
      </c>
      <c r="U284" s="10">
        <f>+U285</f>
        <v>0</v>
      </c>
      <c r="V284" s="10">
        <f>+V285</f>
        <v>3478854238.7200003</v>
      </c>
      <c r="W284" s="3">
        <f aca="true" t="shared" si="35" ref="W284:W316">+V284/P284*100</f>
        <v>100.2176198749748</v>
      </c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3"/>
        <v>3478854238.7200003</v>
      </c>
      <c r="U285" s="10">
        <f>+U286+U287</f>
        <v>0</v>
      </c>
      <c r="V285" s="10">
        <f>+V286+V287</f>
        <v>3478854238.7200003</v>
      </c>
      <c r="W285" s="3">
        <f t="shared" si="35"/>
        <v>100.2176198749748</v>
      </c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3"/>
        <v>1756800893.67</v>
      </c>
      <c r="U286" s="11">
        <v>0</v>
      </c>
      <c r="V286" s="3">
        <f t="shared" si="34"/>
        <v>1756800893.67</v>
      </c>
      <c r="W286" s="3">
        <f t="shared" si="35"/>
        <v>83.40696451929925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3"/>
        <v>1722053345.05</v>
      </c>
      <c r="U287" s="11">
        <v>0</v>
      </c>
      <c r="V287" s="3">
        <f t="shared" si="34"/>
        <v>1722053345.05</v>
      </c>
      <c r="W287" s="3">
        <f t="shared" si="35"/>
        <v>126.15775421611721</v>
      </c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 t="s">
        <v>1</v>
      </c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365829249</v>
      </c>
      <c r="R289" s="10"/>
      <c r="S289" s="10"/>
      <c r="T289" s="3">
        <f>+T243+Q289</f>
        <v>5124164705.64</v>
      </c>
      <c r="U289" s="10">
        <f>+U290+U291+U300+U301</f>
        <v>2691375928</v>
      </c>
      <c r="V289" s="3">
        <f>+T289+U289</f>
        <v>7815540633.64</v>
      </c>
      <c r="W289" s="3">
        <f t="shared" si="35"/>
        <v>127.1357915816393</v>
      </c>
      <c r="X289" s="1"/>
      <c r="Y289" s="1" t="s">
        <v>1</v>
      </c>
      <c r="Z289" s="1"/>
      <c r="AA289" s="1"/>
      <c r="AB289" s="1"/>
      <c r="AC289" s="1"/>
      <c r="AD289" s="1"/>
      <c r="AE289" s="1"/>
      <c r="AF289" s="1"/>
    </row>
    <row r="290" spans="1:32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>
        <f t="shared" si="35"/>
        <v>77.77924614666607</v>
      </c>
      <c r="X290" s="1" t="s">
        <v>1</v>
      </c>
      <c r="Y290" s="1" t="s">
        <v>1</v>
      </c>
      <c r="Z290" s="1"/>
      <c r="AA290" s="1"/>
      <c r="AB290" s="1"/>
      <c r="AC290" s="1"/>
      <c r="AD290" s="1"/>
      <c r="AE290" s="1"/>
      <c r="AF290" s="1"/>
    </row>
    <row r="291" spans="1:32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6" ref="P291:P302">+B291+O291</f>
        <v>1867025388</v>
      </c>
      <c r="Q291" s="10">
        <f>+Q292+Q296+Q297+Q298</f>
        <v>98777144</v>
      </c>
      <c r="R291" s="10"/>
      <c r="S291" s="10"/>
      <c r="T291" s="3">
        <f>+T245+Q291</f>
        <v>1606088331.64</v>
      </c>
      <c r="U291" s="10">
        <f>+U292+U296+U297+U298</f>
        <v>0</v>
      </c>
      <c r="V291" s="3">
        <f>+T291+U291</f>
        <v>1606088331.64</v>
      </c>
      <c r="W291" s="3">
        <f t="shared" si="35"/>
        <v>86.0239149377866</v>
      </c>
      <c r="X291" s="1" t="s">
        <v>1</v>
      </c>
      <c r="Y291" s="1" t="s">
        <v>52</v>
      </c>
      <c r="Z291" s="1"/>
      <c r="AA291" s="1"/>
      <c r="AB291" s="1"/>
      <c r="AC291" s="1"/>
      <c r="AD291" s="1"/>
      <c r="AE291" s="1"/>
      <c r="AF291" s="1"/>
    </row>
    <row r="292" spans="1:32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7" ref="D292:N292">SUM(D293:D295)</f>
        <v>9764370</v>
      </c>
      <c r="E292" s="11">
        <f t="shared" si="37"/>
        <v>1633088</v>
      </c>
      <c r="F292" s="11">
        <f t="shared" si="37"/>
        <v>9527326</v>
      </c>
      <c r="G292" s="11">
        <f t="shared" si="37"/>
        <v>5166613</v>
      </c>
      <c r="H292" s="11">
        <f t="shared" si="37"/>
        <v>8550758</v>
      </c>
      <c r="I292" s="11">
        <f t="shared" si="37"/>
        <v>19667967</v>
      </c>
      <c r="J292" s="11">
        <f t="shared" si="37"/>
        <v>32121947.88</v>
      </c>
      <c r="K292" s="11">
        <f t="shared" si="37"/>
        <v>57803883</v>
      </c>
      <c r="L292" s="11">
        <f t="shared" si="37"/>
        <v>248550137</v>
      </c>
      <c r="M292" s="11">
        <f t="shared" si="37"/>
        <v>56476839</v>
      </c>
      <c r="N292" s="11">
        <f t="shared" si="37"/>
        <v>203635166</v>
      </c>
      <c r="O292" s="10">
        <f>SUM(O293:O295)</f>
        <v>0</v>
      </c>
      <c r="P292" s="11">
        <f t="shared" si="36"/>
        <v>1679125388</v>
      </c>
      <c r="Q292" s="10">
        <f>SUM(Q293:Q295)</f>
        <v>92724015</v>
      </c>
      <c r="R292" s="10"/>
      <c r="S292" s="10"/>
      <c r="T292" s="3">
        <f>+T246+Q292</f>
        <v>1372317907</v>
      </c>
      <c r="U292" s="10">
        <f>SUM(U293:U295)</f>
        <v>0</v>
      </c>
      <c r="V292" s="3">
        <f t="shared" si="34"/>
        <v>1372317907</v>
      </c>
      <c r="W292" s="3">
        <f t="shared" si="35"/>
        <v>81.7281375653883</v>
      </c>
      <c r="X292" s="1"/>
      <c r="Y292" s="1" t="s">
        <v>1</v>
      </c>
      <c r="Z292" s="1"/>
      <c r="AA292" s="1"/>
      <c r="AB292" s="1"/>
      <c r="AC292" s="1"/>
      <c r="AD292" s="1"/>
      <c r="AE292" s="1"/>
      <c r="AF292" s="1"/>
    </row>
    <row r="293" spans="1:32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6"/>
        <v>939032888</v>
      </c>
      <c r="Q293" s="11">
        <f>+'[1]JULIO08'!$B$64+21845564</f>
        <v>30828084</v>
      </c>
      <c r="R293" s="11"/>
      <c r="S293" s="11"/>
      <c r="T293" s="3">
        <f t="shared" si="33"/>
        <v>1013497393</v>
      </c>
      <c r="U293" s="11">
        <v>0</v>
      </c>
      <c r="V293" s="3">
        <f t="shared" si="34"/>
        <v>1013497393</v>
      </c>
      <c r="W293" s="3">
        <f t="shared" si="35"/>
        <v>107.9299144845287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6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3"/>
        <v>349155965</v>
      </c>
      <c r="U294" s="11">
        <v>0</v>
      </c>
      <c r="V294" s="3">
        <f t="shared" si="34"/>
        <v>349155965</v>
      </c>
      <c r="W294" s="3">
        <f t="shared" si="35"/>
        <v>48.20315872670732</v>
      </c>
      <c r="X294" s="1" t="s">
        <v>1</v>
      </c>
      <c r="Y294" s="1"/>
      <c r="Z294" s="1"/>
      <c r="AA294" s="1"/>
      <c r="AB294" s="1"/>
      <c r="AC294" s="1"/>
      <c r="AD294" s="1"/>
      <c r="AE294" s="1"/>
      <c r="AF294" s="1"/>
    </row>
    <row r="295" spans="1:32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6"/>
        <v>15750000</v>
      </c>
      <c r="Q295" s="11">
        <f>+'[1]JULIO08'!$B$77+153820+156511+35716+80375+153820</f>
        <v>927032</v>
      </c>
      <c r="R295" s="11"/>
      <c r="S295" s="11"/>
      <c r="T295" s="3">
        <f t="shared" si="33"/>
        <v>9664549</v>
      </c>
      <c r="U295" s="11">
        <v>0</v>
      </c>
      <c r="V295" s="3">
        <f t="shared" si="34"/>
        <v>9664549</v>
      </c>
      <c r="W295" s="3">
        <f t="shared" si="35"/>
        <v>61.36221587301587</v>
      </c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6"/>
        <v>65100000</v>
      </c>
      <c r="Q296" s="10">
        <f>+'[1]JULIO08'!$B$12+1846000+332262+140735</f>
        <v>4164997</v>
      </c>
      <c r="R296" s="10"/>
      <c r="S296" s="10"/>
      <c r="T296" s="3">
        <f t="shared" si="33"/>
        <v>64371737</v>
      </c>
      <c r="U296" s="10">
        <v>0</v>
      </c>
      <c r="V296" s="3">
        <f t="shared" si="34"/>
        <v>64371737</v>
      </c>
      <c r="W296" s="3">
        <f t="shared" si="35"/>
        <v>98.88131643625192</v>
      </c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6"/>
        <v>1000000</v>
      </c>
      <c r="Q297" s="10">
        <v>0</v>
      </c>
      <c r="R297" s="10"/>
      <c r="S297" s="10"/>
      <c r="T297" s="3">
        <f t="shared" si="33"/>
        <v>0</v>
      </c>
      <c r="U297" s="10">
        <v>0</v>
      </c>
      <c r="V297" s="3">
        <f t="shared" si="34"/>
        <v>0</v>
      </c>
      <c r="W297" s="3">
        <f t="shared" si="35"/>
        <v>0</v>
      </c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>
      <c r="A298" s="10" t="s">
        <v>35</v>
      </c>
      <c r="B298" s="10">
        <f aca="true" t="shared" si="38" ref="B298:O298">SUM(B299:B299)</f>
        <v>121800000</v>
      </c>
      <c r="C298" s="11">
        <f t="shared" si="38"/>
        <v>4768052</v>
      </c>
      <c r="D298" s="11">
        <f t="shared" si="38"/>
        <v>8290086</v>
      </c>
      <c r="E298" s="11">
        <f t="shared" si="38"/>
        <v>10672897</v>
      </c>
      <c r="F298" s="11">
        <f t="shared" si="38"/>
        <v>13361106</v>
      </c>
      <c r="G298" s="11">
        <f t="shared" si="38"/>
        <v>5435392</v>
      </c>
      <c r="H298" s="11">
        <f t="shared" si="38"/>
        <v>6359364</v>
      </c>
      <c r="I298" s="11">
        <f t="shared" si="38"/>
        <v>17667466</v>
      </c>
      <c r="J298" s="11">
        <f t="shared" si="38"/>
        <v>22629676</v>
      </c>
      <c r="K298" s="11">
        <f t="shared" si="38"/>
        <v>24318846</v>
      </c>
      <c r="L298" s="11">
        <f t="shared" si="38"/>
        <v>14234424</v>
      </c>
      <c r="M298" s="11">
        <f t="shared" si="38"/>
        <v>14378768</v>
      </c>
      <c r="N298" s="11">
        <f t="shared" si="38"/>
        <v>23388888</v>
      </c>
      <c r="O298" s="10">
        <f t="shared" si="38"/>
        <v>0</v>
      </c>
      <c r="P298" s="11">
        <f t="shared" si="36"/>
        <v>121800000</v>
      </c>
      <c r="Q298" s="10">
        <f>SUM(Q299:Q299)</f>
        <v>1888132</v>
      </c>
      <c r="R298" s="10"/>
      <c r="S298" s="10"/>
      <c r="T298" s="3">
        <f t="shared" si="33"/>
        <v>169398687.64</v>
      </c>
      <c r="U298" s="10">
        <f>SUM(U299:U299)</f>
        <v>0</v>
      </c>
      <c r="V298" s="3">
        <f t="shared" si="34"/>
        <v>169398687.64</v>
      </c>
      <c r="W298" s="3">
        <f t="shared" si="35"/>
        <v>139.07938229885056</v>
      </c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6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3"/>
        <v>169398687.64</v>
      </c>
      <c r="U299" s="11">
        <v>0</v>
      </c>
      <c r="V299" s="3">
        <f t="shared" si="34"/>
        <v>169398687.64</v>
      </c>
      <c r="W299" s="3">
        <f t="shared" si="35"/>
        <v>139.07938229885056</v>
      </c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6"/>
        <v>71925000</v>
      </c>
      <c r="Q300" s="11">
        <f>+'[1]JULIO08'!$B$20+'[1]JULIO08'!$B$35+'[1]JULIO08'!$C$130+54000+72000+54000+72000+40262+72000+36539+607+43575+7262+224893-147517+72000+0+108000+54000+72000+13000</f>
        <v>8626210</v>
      </c>
      <c r="R300" s="11"/>
      <c r="S300" s="11"/>
      <c r="T300" s="3">
        <f t="shared" si="33"/>
        <v>130114929</v>
      </c>
      <c r="U300" s="11">
        <v>0</v>
      </c>
      <c r="V300" s="3">
        <f t="shared" si="34"/>
        <v>130114929</v>
      </c>
      <c r="W300" s="3">
        <f t="shared" si="35"/>
        <v>180.9036204379562</v>
      </c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6"/>
        <v>1455685988</v>
      </c>
      <c r="Q301" s="10">
        <f>+Q302</f>
        <v>0</v>
      </c>
      <c r="R301" s="10"/>
      <c r="S301" s="10"/>
      <c r="T301" s="3">
        <f t="shared" si="33"/>
        <v>57686490</v>
      </c>
      <c r="U301" s="10">
        <f>+U302+U303+U304</f>
        <v>1455685988</v>
      </c>
      <c r="V301" s="3">
        <f t="shared" si="34"/>
        <v>1513372478</v>
      </c>
      <c r="W301" s="3">
        <f t="shared" si="35"/>
        <v>103.96283885917296</v>
      </c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6"/>
        <v>1230345600</v>
      </c>
      <c r="Q302" s="10">
        <v>0</v>
      </c>
      <c r="R302" s="10"/>
      <c r="S302" s="10"/>
      <c r="T302" s="3">
        <f t="shared" si="33"/>
        <v>56086490</v>
      </c>
      <c r="U302" s="10">
        <f>+O302</f>
        <v>1230345600</v>
      </c>
      <c r="V302" s="3">
        <f t="shared" si="34"/>
        <v>1286432090</v>
      </c>
      <c r="W302" s="3">
        <f t="shared" si="35"/>
        <v>104.55859638137449</v>
      </c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4"/>
        <v>79200000</v>
      </c>
      <c r="W303" s="3">
        <f t="shared" si="35"/>
        <v>100</v>
      </c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4"/>
        <v>146140388</v>
      </c>
      <c r="W304" s="3">
        <f t="shared" si="35"/>
        <v>100</v>
      </c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515409946</v>
      </c>
      <c r="P305" s="11">
        <f>+B305+O305</f>
        <v>2429556001</v>
      </c>
      <c r="Q305" s="10">
        <f>+Q306+Q307+Q308</f>
        <v>853589867</v>
      </c>
      <c r="R305" s="10"/>
      <c r="S305" s="10"/>
      <c r="T305" s="3">
        <f>+T258+Q305</f>
        <v>3737186669.9300003</v>
      </c>
      <c r="U305" s="10">
        <f>+U306+U307+U308</f>
        <v>0</v>
      </c>
      <c r="V305" s="3">
        <f>+T305+U305</f>
        <v>3737186669.9300003</v>
      </c>
      <c r="W305" s="3">
        <f t="shared" si="35"/>
        <v>153.8217957681067</v>
      </c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166913810.93</v>
      </c>
      <c r="U306" s="11">
        <v>0</v>
      </c>
      <c r="V306" s="3">
        <f t="shared" si="34"/>
        <v>166913810.93</v>
      </c>
      <c r="W306" s="3">
        <f t="shared" si="35"/>
        <v>238.44830132857143</v>
      </c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515409946</v>
      </c>
      <c r="P307" s="11">
        <f>+B307+O307</f>
        <v>515409946</v>
      </c>
      <c r="Q307" s="10">
        <f>1580402339-888746268</f>
        <v>691656071</v>
      </c>
      <c r="R307" s="10"/>
      <c r="S307" s="10"/>
      <c r="T307" s="3">
        <f>+T260+Q307</f>
        <v>2095812285</v>
      </c>
      <c r="U307" s="10">
        <v>0</v>
      </c>
      <c r="V307" s="3">
        <f t="shared" si="34"/>
        <v>2095812285</v>
      </c>
      <c r="W307" s="3">
        <f t="shared" si="35"/>
        <v>406.6301594032491</v>
      </c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157480196</v>
      </c>
      <c r="R308" s="11"/>
      <c r="S308" s="11"/>
      <c r="T308" s="3">
        <f>+T309+T310</f>
        <v>1104958126</v>
      </c>
      <c r="U308" s="11">
        <v>0</v>
      </c>
      <c r="V308" s="3">
        <f t="shared" si="34"/>
        <v>1104958126</v>
      </c>
      <c r="W308" s="3">
        <f t="shared" si="35"/>
        <v>59.91706150411172</v>
      </c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4"/>
        <v>225724052</v>
      </c>
      <c r="W309" s="3">
        <f t="shared" si="35"/>
        <v>36.73691789279096</v>
      </c>
      <c r="X309" s="1" t="s">
        <v>1</v>
      </c>
      <c r="Y309" s="1"/>
      <c r="Z309" s="1"/>
      <c r="AA309" s="1"/>
      <c r="AB309" s="1"/>
      <c r="AC309" s="1"/>
      <c r="AD309" s="1"/>
      <c r="AE309" s="1"/>
      <c r="AF309" s="1"/>
    </row>
    <row r="310" spans="1:32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7500100</v>
      </c>
      <c r="R310" s="11"/>
      <c r="S310" s="11"/>
      <c r="T310" s="3">
        <f>871733974+Q310</f>
        <v>879234074</v>
      </c>
      <c r="U310" s="11">
        <v>0</v>
      </c>
      <c r="V310" s="3">
        <f t="shared" si="34"/>
        <v>879234074</v>
      </c>
      <c r="W310" s="3">
        <f t="shared" si="35"/>
        <v>71.49917328950615</v>
      </c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 t="s">
        <v>1</v>
      </c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 t="s">
        <v>1</v>
      </c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1971095934</v>
      </c>
      <c r="P313" s="10">
        <f>+P282+P305</f>
        <v>12048252054</v>
      </c>
      <c r="Q313" s="10">
        <f>+Q282+Q305</f>
        <v>1564020090.05</v>
      </c>
      <c r="R313" s="10"/>
      <c r="S313" s="10"/>
      <c r="T313" s="3">
        <f>+T263+Q313</f>
        <v>12340205614.289999</v>
      </c>
      <c r="U313" s="10">
        <f>+U282+U305</f>
        <v>2691375928</v>
      </c>
      <c r="V313" s="3">
        <f t="shared" si="34"/>
        <v>15031581542.289999</v>
      </c>
      <c r="W313" s="3">
        <f t="shared" si="35"/>
        <v>124.7615129142284</v>
      </c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3796763502</v>
      </c>
      <c r="U314" s="1">
        <v>0</v>
      </c>
      <c r="V314" s="3">
        <f t="shared" si="34"/>
        <v>3796763502</v>
      </c>
      <c r="W314" s="3">
        <f t="shared" si="35"/>
        <v>146.12644085315577</v>
      </c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 t="s">
        <v>1</v>
      </c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3277444934</v>
      </c>
      <c r="P316" s="14">
        <f>+P313+P314</f>
        <v>14646524810</v>
      </c>
      <c r="Q316" s="14">
        <f>+Q313+Q314</f>
        <v>1655969256.05</v>
      </c>
      <c r="R316" s="14"/>
      <c r="S316" s="14"/>
      <c r="T316" s="3">
        <f>+T266+Q316</f>
        <v>16136969116.289999</v>
      </c>
      <c r="U316" s="14">
        <f>+U313+U314</f>
        <v>2691375928</v>
      </c>
      <c r="V316" s="3">
        <f t="shared" si="34"/>
        <v>18828345044.29</v>
      </c>
      <c r="W316" s="3">
        <f t="shared" si="35"/>
        <v>128.551620869374</v>
      </c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>
        <v>39600</v>
      </c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 t="s">
        <v>46</v>
      </c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 t="s">
        <v>46</v>
      </c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>
        <f>+T519/P519*100</f>
        <v>5.8534809676412705</v>
      </c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39" ref="T520:T549">+T470+Q520</f>
        <v>0</v>
      </c>
      <c r="U520" s="3"/>
      <c r="V520" s="3"/>
      <c r="W520" s="3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39"/>
        <v>128693321</v>
      </c>
      <c r="U521" s="3"/>
      <c r="V521" s="3"/>
      <c r="W521" s="3">
        <f>+T521/P521*100</f>
        <v>3.7073523175755483</v>
      </c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39"/>
        <v>128693321</v>
      </c>
      <c r="U522" s="3"/>
      <c r="V522" s="3"/>
      <c r="W522" s="3">
        <f>+T522/P522*100</f>
        <v>3.7073523175755483</v>
      </c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39"/>
        <v>0</v>
      </c>
      <c r="U523" s="3"/>
      <c r="V523" s="3"/>
      <c r="W523" s="3">
        <f>+T523/P523*100</f>
        <v>0</v>
      </c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39"/>
        <v>128693321</v>
      </c>
      <c r="U524" s="3"/>
      <c r="V524" s="3"/>
      <c r="W524" s="3">
        <f>+T524/P524*100</f>
        <v>9.428082124542124</v>
      </c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39"/>
        <v>0</v>
      </c>
      <c r="U525" s="3"/>
      <c r="V525" s="3"/>
      <c r="W525" s="3" t="s">
        <v>1</v>
      </c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39"/>
        <v>425780922</v>
      </c>
      <c r="U526" s="3"/>
      <c r="V526" s="3"/>
      <c r="W526" s="3">
        <f aca="true" t="shared" si="40" ref="W526:W539">+T526/P526*100</f>
        <v>7.094863904619202</v>
      </c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41" ref="P527:P539">+B527+O527</f>
        <v>2752759677</v>
      </c>
      <c r="Q527" s="10">
        <f>646959890-319164112</f>
        <v>327795778</v>
      </c>
      <c r="R527" s="10"/>
      <c r="S527" s="10"/>
      <c r="T527" s="3">
        <f t="shared" si="39"/>
        <v>327795778</v>
      </c>
      <c r="U527" s="3"/>
      <c r="V527" s="3"/>
      <c r="W527" s="3">
        <f t="shared" si="40"/>
        <v>11.907896673248167</v>
      </c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41"/>
        <v>1867025388</v>
      </c>
      <c r="Q528" s="10">
        <f>+Q529+Q533+Q534+Q535</f>
        <v>97985144</v>
      </c>
      <c r="R528" s="10"/>
      <c r="S528" s="10"/>
      <c r="T528" s="3">
        <f t="shared" si="39"/>
        <v>97985144</v>
      </c>
      <c r="U528" s="3"/>
      <c r="V528" s="3"/>
      <c r="W528" s="3">
        <f t="shared" si="40"/>
        <v>5.248195585865274</v>
      </c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2" ref="D529:N529">SUM(D530:D532)</f>
        <v>9764370</v>
      </c>
      <c r="E529" s="11">
        <f t="shared" si="42"/>
        <v>1633088</v>
      </c>
      <c r="F529" s="11">
        <f t="shared" si="42"/>
        <v>9527326</v>
      </c>
      <c r="G529" s="11">
        <f t="shared" si="42"/>
        <v>5166613</v>
      </c>
      <c r="H529" s="11">
        <f t="shared" si="42"/>
        <v>8550758</v>
      </c>
      <c r="I529" s="11">
        <f t="shared" si="42"/>
        <v>19667967</v>
      </c>
      <c r="J529" s="11">
        <f t="shared" si="42"/>
        <v>32121947.88</v>
      </c>
      <c r="K529" s="11">
        <f t="shared" si="42"/>
        <v>57803883</v>
      </c>
      <c r="L529" s="11">
        <f t="shared" si="42"/>
        <v>248550137</v>
      </c>
      <c r="M529" s="11">
        <f t="shared" si="42"/>
        <v>56476839</v>
      </c>
      <c r="N529" s="11">
        <f t="shared" si="42"/>
        <v>203635166</v>
      </c>
      <c r="O529" s="10">
        <f>SUM(O530:O532)</f>
        <v>0</v>
      </c>
      <c r="P529" s="11">
        <f t="shared" si="41"/>
        <v>1679125388</v>
      </c>
      <c r="Q529" s="10">
        <f>SUM(Q530:Q532)</f>
        <v>32570562</v>
      </c>
      <c r="R529" s="10"/>
      <c r="S529" s="10"/>
      <c r="T529" s="3">
        <f t="shared" si="39"/>
        <v>32570562</v>
      </c>
      <c r="U529" s="3"/>
      <c r="V529" s="3"/>
      <c r="W529" s="3">
        <f t="shared" si="40"/>
        <v>1.9397337585845615</v>
      </c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41"/>
        <v>939032888</v>
      </c>
      <c r="Q530" s="11">
        <v>0</v>
      </c>
      <c r="R530" s="11"/>
      <c r="S530" s="11"/>
      <c r="T530" s="3">
        <f t="shared" si="39"/>
        <v>0</v>
      </c>
      <c r="U530" s="3"/>
      <c r="V530" s="3"/>
      <c r="W530" s="3">
        <f t="shared" si="40"/>
        <v>0</v>
      </c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41"/>
        <v>724342500</v>
      </c>
      <c r="Q531" s="11">
        <f>32597431-2744732</f>
        <v>29852699</v>
      </c>
      <c r="R531" s="11"/>
      <c r="S531" s="11"/>
      <c r="T531" s="3">
        <f t="shared" si="39"/>
        <v>29852699</v>
      </c>
      <c r="U531" s="3"/>
      <c r="V531" s="3"/>
      <c r="W531" s="3">
        <f t="shared" si="40"/>
        <v>4.121351294449794</v>
      </c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41"/>
        <v>15750000</v>
      </c>
      <c r="Q532" s="11">
        <f>4474838-1756975</f>
        <v>2717863</v>
      </c>
      <c r="R532" s="11"/>
      <c r="S532" s="11"/>
      <c r="T532" s="3">
        <f t="shared" si="39"/>
        <v>2717863</v>
      </c>
      <c r="U532" s="3"/>
      <c r="V532" s="3"/>
      <c r="W532" s="3">
        <f t="shared" si="40"/>
        <v>17.256273015873017</v>
      </c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41"/>
        <v>65100000</v>
      </c>
      <c r="Q533" s="10">
        <f>19344919-7544443</f>
        <v>11800476</v>
      </c>
      <c r="R533" s="10"/>
      <c r="S533" s="10"/>
      <c r="T533" s="3">
        <f t="shared" si="39"/>
        <v>11800476</v>
      </c>
      <c r="U533" s="3"/>
      <c r="V533" s="3"/>
      <c r="W533" s="3">
        <f t="shared" si="40"/>
        <v>18.12669124423963</v>
      </c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41"/>
        <v>1000000</v>
      </c>
      <c r="Q534" s="10">
        <v>0</v>
      </c>
      <c r="R534" s="10"/>
      <c r="S534" s="10"/>
      <c r="T534" s="3">
        <f t="shared" si="39"/>
        <v>0</v>
      </c>
      <c r="U534" s="3"/>
      <c r="V534" s="3"/>
      <c r="W534" s="3">
        <f t="shared" si="40"/>
        <v>0</v>
      </c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>
      <c r="A535" s="10" t="s">
        <v>35</v>
      </c>
      <c r="B535" s="10">
        <f aca="true" t="shared" si="43" ref="B535:O535">SUM(B536:B536)</f>
        <v>121800000</v>
      </c>
      <c r="C535" s="11">
        <f t="shared" si="43"/>
        <v>4768052</v>
      </c>
      <c r="D535" s="11">
        <f t="shared" si="43"/>
        <v>8290086</v>
      </c>
      <c r="E535" s="11">
        <f t="shared" si="43"/>
        <v>10672897</v>
      </c>
      <c r="F535" s="11">
        <f t="shared" si="43"/>
        <v>13361106</v>
      </c>
      <c r="G535" s="11">
        <f t="shared" si="43"/>
        <v>5435392</v>
      </c>
      <c r="H535" s="11">
        <f t="shared" si="43"/>
        <v>6359364</v>
      </c>
      <c r="I535" s="11">
        <f t="shared" si="43"/>
        <v>17667466</v>
      </c>
      <c r="J535" s="11">
        <f t="shared" si="43"/>
        <v>22629676</v>
      </c>
      <c r="K535" s="11">
        <f t="shared" si="43"/>
        <v>24318846</v>
      </c>
      <c r="L535" s="11">
        <f t="shared" si="43"/>
        <v>14234424</v>
      </c>
      <c r="M535" s="11">
        <f t="shared" si="43"/>
        <v>14378768</v>
      </c>
      <c r="N535" s="11">
        <f t="shared" si="43"/>
        <v>23388888</v>
      </c>
      <c r="O535" s="10">
        <f t="shared" si="43"/>
        <v>0</v>
      </c>
      <c r="P535" s="11">
        <f t="shared" si="41"/>
        <v>121800000</v>
      </c>
      <c r="Q535" s="10">
        <f>SUM(Q536:Q536)</f>
        <v>53614106</v>
      </c>
      <c r="R535" s="10"/>
      <c r="S535" s="10"/>
      <c r="T535" s="3">
        <f t="shared" si="39"/>
        <v>53614106</v>
      </c>
      <c r="U535" s="3"/>
      <c r="V535" s="3"/>
      <c r="W535" s="3">
        <f t="shared" si="40"/>
        <v>44.018149425287355</v>
      </c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41"/>
        <v>121800000</v>
      </c>
      <c r="Q536" s="11">
        <f>78608817-24994711</f>
        <v>53614106</v>
      </c>
      <c r="R536" s="11"/>
      <c r="S536" s="11"/>
      <c r="T536" s="3">
        <f t="shared" si="39"/>
        <v>53614106</v>
      </c>
      <c r="U536" s="3"/>
      <c r="V536" s="3"/>
      <c r="W536" s="3">
        <f t="shared" si="40"/>
        <v>44.018149425287355</v>
      </c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41"/>
        <v>71925000</v>
      </c>
      <c r="Q537" s="11">
        <v>0</v>
      </c>
      <c r="R537" s="11"/>
      <c r="S537" s="11"/>
      <c r="T537" s="3">
        <f t="shared" si="39"/>
        <v>0</v>
      </c>
      <c r="U537" s="3"/>
      <c r="V537" s="3"/>
      <c r="W537" s="3">
        <f t="shared" si="40"/>
        <v>0</v>
      </c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41"/>
        <v>1309545600</v>
      </c>
      <c r="Q538" s="10">
        <f>+Q539</f>
        <v>0</v>
      </c>
      <c r="R538" s="10"/>
      <c r="S538" s="10"/>
      <c r="T538" s="3">
        <f t="shared" si="39"/>
        <v>0</v>
      </c>
      <c r="U538" s="3"/>
      <c r="V538" s="3"/>
      <c r="W538" s="3">
        <f t="shared" si="40"/>
        <v>0</v>
      </c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41"/>
        <v>1309545600</v>
      </c>
      <c r="Q539" s="10">
        <v>0</v>
      </c>
      <c r="R539" s="10"/>
      <c r="S539" s="10"/>
      <c r="T539" s="3">
        <f t="shared" si="39"/>
        <v>0</v>
      </c>
      <c r="U539" s="3"/>
      <c r="V539" s="3"/>
      <c r="W539" s="3">
        <f t="shared" si="40"/>
        <v>0</v>
      </c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39"/>
        <v>0</v>
      </c>
      <c r="U540" s="3"/>
      <c r="V540" s="3"/>
      <c r="W540" s="3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39"/>
        <v>915343196</v>
      </c>
      <c r="U541" s="3"/>
      <c r="V541" s="3"/>
      <c r="W541" s="3">
        <f>+T541/P541*100</f>
        <v>47.81992437875907</v>
      </c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39"/>
        <v>12805699</v>
      </c>
      <c r="U542" s="3"/>
      <c r="V542" s="3"/>
      <c r="W542" s="3">
        <f>+T542/P542*100</f>
        <v>18.293855714285716</v>
      </c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39"/>
        <v>888746268</v>
      </c>
      <c r="U543" s="3"/>
      <c r="V543" s="3"/>
      <c r="W543" s="3" t="e">
        <f>+T543/P543*100</f>
        <v>#DIV/0!</v>
      </c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39"/>
        <v>13791229</v>
      </c>
      <c r="U544" s="3"/>
      <c r="V544" s="3"/>
      <c r="W544" s="3">
        <f>+T544/P544*100</f>
        <v>0.7478382182695394</v>
      </c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 t="s">
        <v>1</v>
      </c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39"/>
        <v>1469817439</v>
      </c>
      <c r="U546" s="3"/>
      <c r="V546" s="3"/>
      <c r="W546" s="3">
        <f>+T546/P546*100</f>
        <v>12.908193040820255</v>
      </c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39"/>
        <v>1329883858</v>
      </c>
      <c r="U547" s="3"/>
      <c r="V547" s="3"/>
      <c r="W547" s="3">
        <f>+T547/P547*100</f>
        <v>115.06176310780411</v>
      </c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 t="s">
        <v>1</v>
      </c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39"/>
        <v>2799701297</v>
      </c>
      <c r="U549" s="3"/>
      <c r="V549" s="3"/>
      <c r="W549" s="3">
        <f>+T549/P549*100</f>
        <v>22.32171347870463</v>
      </c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 t="s">
        <v>102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107</v>
      </c>
      <c r="B745" s="14">
        <f>+B47-B743</f>
        <v>795541397.7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-55701252.600000024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510:W510"/>
    <mergeCell ref="A511:W511"/>
    <mergeCell ref="C513:M513"/>
    <mergeCell ref="C516:M516"/>
    <mergeCell ref="C279:M279"/>
    <mergeCell ref="C230:M230"/>
    <mergeCell ref="A228:W228"/>
    <mergeCell ref="X52:AF52"/>
    <mergeCell ref="C52:M52"/>
    <mergeCell ref="A227:W227"/>
    <mergeCell ref="C91:M91"/>
    <mergeCell ref="C137:M137"/>
    <mergeCell ref="C183:M183"/>
    <mergeCell ref="A134:W134"/>
    <mergeCell ref="A1:Z1"/>
    <mergeCell ref="A2:Z2"/>
    <mergeCell ref="C4:M4"/>
    <mergeCell ref="X51:AF51"/>
    <mergeCell ref="A135:W135"/>
    <mergeCell ref="A180:W180"/>
    <mergeCell ref="A181:W181"/>
    <mergeCell ref="A49:W49"/>
    <mergeCell ref="A50:W50"/>
    <mergeCell ref="A88:W88"/>
    <mergeCell ref="A89:W89"/>
    <mergeCell ref="A277:W277"/>
    <mergeCell ref="A273:W273"/>
    <mergeCell ref="A274:W274"/>
    <mergeCell ref="C233:M233"/>
    <mergeCell ref="A276:W276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2009-12-09T20:02:30Z</cp:lastPrinted>
  <dcterms:created xsi:type="dcterms:W3CDTF">2007-01-13T18:42:48Z</dcterms:created>
  <dcterms:modified xsi:type="dcterms:W3CDTF">2009-12-17T13:39:49Z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