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Hoja1" sheetId="1" r:id="rId1"/>
    <sheet name="INGRESO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<sst xmlns="http://schemas.openxmlformats.org/spreadsheetml/2006/main" count="778" uniqueCount="108">
  <si>
    <t>CORPORACION AUTONOMA REGIONAL DEL ALTO MAGDALENA CAM</t>
  </si>
  <si>
    <t xml:space="preserve"> </t>
  </si>
  <si>
    <t>MODIFICACIONES</t>
  </si>
  <si>
    <t>TRIBUTARIOS</t>
  </si>
  <si>
    <t>NO TRIBUTARIOS</t>
  </si>
  <si>
    <t>VENTA DE BIENES Y SERVICIOS</t>
  </si>
  <si>
    <t>RENDIMIENTOS FINANCIEROS</t>
  </si>
  <si>
    <t>INGRESOS</t>
  </si>
  <si>
    <t>MAYO</t>
  </si>
  <si>
    <t>EXCEDENTES FINANCIEROS</t>
  </si>
  <si>
    <t>PRESUPUESTO INICIAL</t>
  </si>
  <si>
    <t>EJECUTADO</t>
  </si>
  <si>
    <t>PRESUPUESTO DEFINITIVO</t>
  </si>
  <si>
    <t>ENERO</t>
  </si>
  <si>
    <t>FEBRERO</t>
  </si>
  <si>
    <t>MARZO</t>
  </si>
  <si>
    <t>ABRIL</t>
  </si>
  <si>
    <t>JUNIO</t>
  </si>
  <si>
    <t>JULIO</t>
  </si>
  <si>
    <t>AGOSTO</t>
  </si>
  <si>
    <t>SEPTIEMBRE</t>
  </si>
  <si>
    <t>OCTUBRE</t>
  </si>
  <si>
    <t>NOVIEMBRE</t>
  </si>
  <si>
    <t>DICIEMBRE</t>
  </si>
  <si>
    <t>INGRESOS CORRIENTES</t>
  </si>
  <si>
    <t>PREDIAL</t>
  </si>
  <si>
    <t>Neiva</t>
  </si>
  <si>
    <t>Municipios</t>
  </si>
  <si>
    <t>CHB</t>
  </si>
  <si>
    <t>TASAS</t>
  </si>
  <si>
    <t>TASAS RETRIBUTIVAS</t>
  </si>
  <si>
    <t>TASAS POR USO DEL RECURSO AGUA</t>
  </si>
  <si>
    <t>TASAS FORESTALES</t>
  </si>
  <si>
    <t>MULTAS Y SANCIONES</t>
  </si>
  <si>
    <t>VENTA DE BIENES PRODUCIDOS</t>
  </si>
  <si>
    <t>VENTA DE OTROS SERVICIOS</t>
  </si>
  <si>
    <t>LICENCIAS Y PERMISOS</t>
  </si>
  <si>
    <t>OTROS INGRESOS NO TRIBUTARIOS</t>
  </si>
  <si>
    <t>RECURSOS DE CAPITAL</t>
  </si>
  <si>
    <t>RECUPERACION CARTERA</t>
  </si>
  <si>
    <t>TOTAL INGRESOS PROPIOS</t>
  </si>
  <si>
    <t>INGRESO NACION</t>
  </si>
  <si>
    <t>TOTAL INGRESOS  2008</t>
  </si>
  <si>
    <t>RECAUDOS</t>
  </si>
  <si>
    <t>APORTES DE OTRAS ENTIDADES</t>
  </si>
  <si>
    <t>FNR</t>
  </si>
  <si>
    <t>% DE EJECUCION</t>
  </si>
  <si>
    <t>EJECUCION DE INGRESOS 2008</t>
  </si>
  <si>
    <t>MUNICIPIO DE VILLAVIEJA</t>
  </si>
  <si>
    <t>RECAUDOS DEL PERIODO</t>
  </si>
  <si>
    <t>RECAUDOS ACUMULADOS</t>
  </si>
  <si>
    <t>CAUSACIONES</t>
  </si>
  <si>
    <t xml:space="preserve">  </t>
  </si>
  <si>
    <t>PROYECTO DE PRESUPUESTO DE INGRESOS VIGENCIA 2008</t>
  </si>
  <si>
    <t>CONCEPTO</t>
  </si>
  <si>
    <t>EJECUCION PROYECTO   IX-2007</t>
  </si>
  <si>
    <t>INGRESOS INVERSION</t>
  </si>
  <si>
    <t>INGRESOS FUNCIONAMIENTO</t>
  </si>
  <si>
    <t>FCA</t>
  </si>
  <si>
    <t>TOTAL</t>
  </si>
  <si>
    <t>BASE LEGAL</t>
  </si>
  <si>
    <t>PRESUPUESTO</t>
  </si>
  <si>
    <t>TRANSFERENCIAS C.H.B</t>
  </si>
  <si>
    <t>Art 45 Ley 99/93</t>
  </si>
  <si>
    <t>PORCENTAJE SOBRETASA IMPREDIAL</t>
  </si>
  <si>
    <t>Art 44 Ley 99/93</t>
  </si>
  <si>
    <t>NEIVA</t>
  </si>
  <si>
    <t>MPIOS</t>
  </si>
  <si>
    <t>TASA UTILIZACION AGUAS</t>
  </si>
  <si>
    <t>Art 43 Ley 99/93</t>
  </si>
  <si>
    <t>TASAS RETRIBUTIVAS Y COMPENSATORIAS</t>
  </si>
  <si>
    <t>Art 42 Ley 99/93</t>
  </si>
  <si>
    <t>MULTAS</t>
  </si>
  <si>
    <t>Art 46 Ley 99/93</t>
  </si>
  <si>
    <t xml:space="preserve">VENTA DE BIENES </t>
  </si>
  <si>
    <t>LICENCIAS Y PERMISOS AMBIENTALES</t>
  </si>
  <si>
    <t>OTROS INGRESOS</t>
  </si>
  <si>
    <t>APORTES  DE OTRAS ENTIDADES</t>
  </si>
  <si>
    <t>RECUPERACION DE CARTERA</t>
  </si>
  <si>
    <t>TOTAL INGRESOS 2008</t>
  </si>
  <si>
    <t>INGRESOS NACION</t>
  </si>
  <si>
    <t>Ley PGN</t>
  </si>
  <si>
    <t>TOTAL PRESUPUESTO 2008</t>
  </si>
  <si>
    <t>EXCEDENTES FROS</t>
  </si>
  <si>
    <t>VALOR EJECUTADO</t>
  </si>
  <si>
    <t>RECAUDOS EFECTIVOS DEL PERIODO</t>
  </si>
  <si>
    <t>RECAUDOS ACUMULADOS EFECTIVOS</t>
  </si>
  <si>
    <t>TOTAL RECAUDOS EFECTIVOS MAS CAUSACIONES</t>
  </si>
  <si>
    <t>CAV</t>
  </si>
  <si>
    <t>EJECUCION DE INGRESOS  AGOSTO 25 DE 2008</t>
  </si>
  <si>
    <t>VITELIO BARRERA ALVAREZ</t>
  </si>
  <si>
    <t>Contador</t>
  </si>
  <si>
    <t>Convenio/2008</t>
  </si>
  <si>
    <t>Acuerdo Consejo Directivo</t>
  </si>
  <si>
    <t>Nota: Ingreso de Sobretasa predial de Neiva primer trimestre 2008</t>
  </si>
  <si>
    <t>RECAUDOS MES</t>
  </si>
  <si>
    <t>% de ejecucion</t>
  </si>
  <si>
    <t>EJECUCION DE INGRESOS 2009</t>
  </si>
  <si>
    <t>RECAUDOS DEL MES</t>
  </si>
  <si>
    <t>PHILIPS MORRIS</t>
  </si>
  <si>
    <t>INGEOMINAS</t>
  </si>
  <si>
    <t>TASA RETRIBUTIVA</t>
  </si>
  <si>
    <t>GASTOS COMPROMETIDOS</t>
  </si>
  <si>
    <t>RETRIBUTIVAS</t>
  </si>
  <si>
    <t>AGUAS</t>
  </si>
  <si>
    <t>INGRESOS TOTALES(VIGENCIAS+RECUPERACION CARTERA)</t>
  </si>
  <si>
    <t>ANALISIS INGRESOS TASAS DESTINADOS A INVERSION</t>
  </si>
  <si>
    <t>DEFICIT  INGRESOS VS GASTOS COMPROMETIDOSA JUNIO 30 DE 2009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</si>
</sst>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#,##0.00;[Red]#,##0.00"/>
    <numFmt numFmtId="174" formatCode="#,##0.0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7" fontId="1" fillId="0" borderId="0" xfId="0" applyNumberFormat="1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/>
    </xf>
    <xf numFmtId="0" fontId="0" fillId="0" borderId="4" xfId="0" applyFont="1" applyBorder="1" applyAlignment="1">
      <alignment/>
    </xf>
    <xf numFmtId="3" fontId="2" fillId="0" borderId="3" xfId="0" applyNumberFormat="1" applyFont="1" applyFill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Fill="1" applyAlignment="1">
      <alignment horizontal="left"/>
    </xf>
    <xf numFmtId="4" fontId="1" fillId="0" borderId="0" xfId="0" applyNumberFormat="1" applyFont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INGRESOS-2008%20(Juli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Mis%20documentos\presupuesto%202008\Copia%20de%20BEPIN%20INVERSION%202.008Silv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O%202.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3\INGRESOS-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barrera\Configuraci&#243;n%20local\Archivos%20temporales%20de%20Internet\OLK1\INGRESOS-2009%20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INGRESOS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BRERO08"/>
      <sheetName val="MARZO08"/>
      <sheetName val="ABRIL08"/>
      <sheetName val="MAYO08"/>
      <sheetName val="JUNIO08"/>
      <sheetName val="JULIO08"/>
      <sheetName val="AGOSTO08"/>
      <sheetName val="SEPTIEMBRE07"/>
      <sheetName val="OCTUBRE07"/>
      <sheetName val="NOVIEMBRE07"/>
      <sheetName val="DICIEMBRE06"/>
      <sheetName val="ENERO2008"/>
      <sheetName val="AGOSTO07"/>
    </sheetNames>
    <sheetDataSet>
      <sheetData sheetId="5">
        <row r="12">
          <cell r="B12">
            <v>1846000</v>
          </cell>
        </row>
        <row r="20">
          <cell r="B20">
            <v>2556000</v>
          </cell>
        </row>
        <row r="35">
          <cell r="B35">
            <v>5221589</v>
          </cell>
        </row>
        <row r="64">
          <cell r="B64">
            <v>8982520</v>
          </cell>
          <cell r="C64">
            <v>0</v>
          </cell>
        </row>
        <row r="73">
          <cell r="B73">
            <v>3225410</v>
          </cell>
        </row>
        <row r="77">
          <cell r="B77">
            <v>346790</v>
          </cell>
        </row>
        <row r="90">
          <cell r="B90">
            <v>334500</v>
          </cell>
        </row>
        <row r="108">
          <cell r="B108">
            <v>339812622.05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3-0900-01 AREAS PROTEGIDAS"/>
      <sheetName val="Hoja1"/>
      <sheetName val="0113-0900-02 RECURSO HIDRICO"/>
      <sheetName val="0113-0900-03 PROCESOS COMPETITI"/>
      <sheetName val="0310-0900-04 TERRITORIO RURAL U"/>
      <sheetName val="0310-0900-05 AUTORIDAD AMBIENTA"/>
      <sheetName val="0310-0900-06 EDUCACION AMBIENTA"/>
      <sheetName val="Gráfico1GASTOS"/>
      <sheetName val="Gráfico2GASTOS"/>
      <sheetName val="Gráfico3GASTOS"/>
      <sheetName val="Gráfico4GTSOFUNCIONAMIENTO"/>
      <sheetName val="analisis"/>
      <sheetName val="0630-0900-01-81"/>
      <sheetName val="0630-0900-01-82"/>
      <sheetName val="0520-0900-07 FORTALECIMIENTO"/>
    </sheetNames>
    <sheetDataSet>
      <sheetData sheetId="11">
        <row r="16">
          <cell r="B16">
            <v>146140388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STEO"/>
      <sheetName val="anexos"/>
      <sheetName val="ingresos"/>
      <sheetName val="fuentes  y usos"/>
      <sheetName val="COMPARATIVO"/>
      <sheetName val="INGRESOS 2009"/>
      <sheetName val="COMPOSICION D EINGRESOS"/>
      <sheetName val="INGRESOS PROPIOS2009"/>
      <sheetName val="SOBRETASA2009"/>
      <sheetName val="VENTA BIENES SERVICIOS2009"/>
      <sheetName val="RECUPERACION CARTERA 2009"/>
      <sheetName val="GASTOS 2009"/>
      <sheetName val="COMPOSICION GOS 2009"/>
      <sheetName val="GTOSD FUNCIONAMIENTO"/>
      <sheetName val="COMAPRATIVO2008-2009"/>
      <sheetName val="COMPOSICION GASTOS2009"/>
      <sheetName val="tablas"/>
      <sheetName val="Hoja16"/>
    </sheetNames>
    <sheetDataSet>
      <sheetData sheetId="2">
        <row r="10">
          <cell r="C10">
            <v>2232678000</v>
          </cell>
        </row>
        <row r="11">
          <cell r="C11">
            <v>1446900000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8"/>
      <sheetName val="ABRIL08"/>
      <sheetName val="MAYO08"/>
      <sheetName val="JUNIO08"/>
      <sheetName val="JULIO08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0">
        <row r="32">
          <cell r="B32">
            <v>0</v>
          </cell>
        </row>
        <row r="44">
          <cell r="B44">
            <v>0</v>
          </cell>
        </row>
        <row r="98">
          <cell r="F9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9"/>
      <sheetName val="ABRIL09"/>
      <sheetName val="MAYO09"/>
      <sheetName val="T.U.A.2008"/>
      <sheetName val="JUNIO09"/>
      <sheetName val="JULIO09"/>
      <sheetName val="AGOSTO08"/>
      <sheetName val="SEPTIEMBRE08"/>
      <sheetName val="OCTUBRE08"/>
      <sheetName val="NOVIEMBRE08"/>
      <sheetName val="DICIEMBRE06"/>
      <sheetName val="ENERO2008"/>
    </sheetNames>
    <sheetDataSet>
      <sheetData sheetId="8">
        <row r="5">
          <cell r="B5">
            <v>8414491</v>
          </cell>
        </row>
        <row r="9">
          <cell r="B9">
            <v>3800000</v>
          </cell>
        </row>
        <row r="11">
          <cell r="B11">
            <v>2567869</v>
          </cell>
        </row>
        <row r="18">
          <cell r="B18">
            <v>43145</v>
          </cell>
        </row>
        <row r="24">
          <cell r="B24">
            <v>105810739</v>
          </cell>
        </row>
        <row r="27">
          <cell r="B27">
            <v>1246800</v>
          </cell>
        </row>
        <row r="33">
          <cell r="B33">
            <v>864000</v>
          </cell>
        </row>
        <row r="35">
          <cell r="B35">
            <v>12190</v>
          </cell>
        </row>
        <row r="39">
          <cell r="B39">
            <v>6890776</v>
          </cell>
        </row>
        <row r="57">
          <cell r="B57">
            <v>11798481</v>
          </cell>
        </row>
        <row r="60">
          <cell r="B60">
            <v>3208960</v>
          </cell>
        </row>
        <row r="65">
          <cell r="F65">
            <v>21159450</v>
          </cell>
          <cell r="G65">
            <v>47154877</v>
          </cell>
        </row>
        <row r="79">
          <cell r="B79">
            <v>150660473</v>
          </cell>
          <cell r="C79">
            <v>7500180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ENERO 09"/>
      <sheetName val="FEBRERO09"/>
      <sheetName val="MARZO09"/>
      <sheetName val="ABRIL09"/>
      <sheetName val="MAYO09"/>
      <sheetName val="T.U.A.2008"/>
      <sheetName val="JUNIO09"/>
      <sheetName val="JULIO09"/>
      <sheetName val="AGOSTO08"/>
      <sheetName val="SEPTIEMBRE08"/>
      <sheetName val="OCTUBRE08"/>
      <sheetName val="NOVIEMBRE08"/>
      <sheetName val="DICIEMBRE06"/>
      <sheetName val="resumen"/>
    </sheetNames>
    <sheetDataSet>
      <sheetData sheetId="9">
        <row r="4">
          <cell r="I4">
            <v>2360815112</v>
          </cell>
        </row>
        <row r="6">
          <cell r="I6">
            <v>180006772</v>
          </cell>
        </row>
        <row r="7">
          <cell r="I7">
            <v>729916039</v>
          </cell>
        </row>
        <row r="8">
          <cell r="I8">
            <v>467358736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C1">
      <selection activeCell="H4" sqref="H4"/>
    </sheetView>
  </sheetViews>
  <sheetFormatPr defaultColWidth="11.421875" defaultRowHeight="12.75"/>
  <cols>
    <col min="1" max="1" width="41.421875" style="0" customWidth="1"/>
    <col min="2" max="2" width="28.140625" style="0" hidden="1" customWidth="1"/>
    <col min="3" max="3" width="23.8515625" style="0" customWidth="1"/>
    <col min="4" max="4" width="23.140625" style="0" customWidth="1"/>
    <col min="5" max="5" width="22.57421875" style="0" customWidth="1"/>
    <col min="6" max="6" width="25.00390625" style="0" customWidth="1"/>
    <col min="7" max="7" width="21.00390625" style="0" customWidth="1"/>
    <col min="8" max="8" width="23.8515625" style="0" customWidth="1"/>
    <col min="9" max="9" width="18.00390625" style="0" customWidth="1"/>
  </cols>
  <sheetData>
    <row r="1" spans="1:8" ht="12.75">
      <c r="A1" s="42" t="s">
        <v>0</v>
      </c>
      <c r="B1" s="43"/>
      <c r="C1" s="43"/>
      <c r="D1" s="43"/>
      <c r="E1" s="43"/>
      <c r="F1" s="43"/>
      <c r="G1" s="43"/>
      <c r="H1" s="24"/>
    </row>
    <row r="2" spans="1:8" ht="12.75">
      <c r="A2" s="44" t="s">
        <v>53</v>
      </c>
      <c r="B2" s="45"/>
      <c r="C2" s="45"/>
      <c r="D2" s="45"/>
      <c r="E2" s="45"/>
      <c r="F2" s="45"/>
      <c r="G2" s="45"/>
      <c r="H2" s="25"/>
    </row>
    <row r="3" spans="1:8" ht="12.75">
      <c r="A3" s="26"/>
      <c r="B3" s="17"/>
      <c r="C3" s="17"/>
      <c r="D3" s="17"/>
      <c r="E3" s="17"/>
      <c r="F3" s="17"/>
      <c r="G3" s="17"/>
      <c r="H3" s="25"/>
    </row>
    <row r="4" spans="1:8" ht="25.5">
      <c r="A4" s="27" t="s">
        <v>54</v>
      </c>
      <c r="B4" s="18" t="s">
        <v>55</v>
      </c>
      <c r="C4" s="18" t="s">
        <v>84</v>
      </c>
      <c r="D4" s="46" t="s">
        <v>56</v>
      </c>
      <c r="E4" s="46" t="s">
        <v>57</v>
      </c>
      <c r="F4" s="16" t="s">
        <v>58</v>
      </c>
      <c r="G4" s="16" t="s">
        <v>59</v>
      </c>
      <c r="H4" s="28" t="s">
        <v>60</v>
      </c>
    </row>
    <row r="5" spans="1:8" ht="12.75">
      <c r="A5" s="26"/>
      <c r="B5" s="17"/>
      <c r="C5" s="17"/>
      <c r="D5" s="47"/>
      <c r="E5" s="47"/>
      <c r="F5" s="16"/>
      <c r="G5" s="16" t="s">
        <v>61</v>
      </c>
      <c r="H5" s="25"/>
    </row>
    <row r="6" spans="1:8" ht="12.75">
      <c r="A6" s="29" t="s">
        <v>7</v>
      </c>
      <c r="B6" s="19" t="s">
        <v>1</v>
      </c>
      <c r="C6" s="19" t="s">
        <v>1</v>
      </c>
      <c r="D6" s="20" t="s">
        <v>1</v>
      </c>
      <c r="E6" s="20" t="s">
        <v>1</v>
      </c>
      <c r="F6" s="20" t="s">
        <v>52</v>
      </c>
      <c r="G6" s="20" t="s">
        <v>1</v>
      </c>
      <c r="H6" s="25"/>
    </row>
    <row r="7" spans="1:8" ht="12.75">
      <c r="A7" s="26"/>
      <c r="B7" s="20" t="s">
        <v>1</v>
      </c>
      <c r="C7" s="20" t="s">
        <v>1</v>
      </c>
      <c r="D7" s="17" t="s">
        <v>1</v>
      </c>
      <c r="E7" s="17" t="s">
        <v>1</v>
      </c>
      <c r="F7" s="17" t="s">
        <v>1</v>
      </c>
      <c r="G7" s="17" t="s">
        <v>1</v>
      </c>
      <c r="H7" s="25"/>
    </row>
    <row r="8" spans="1:9" ht="12.75">
      <c r="A8" s="30" t="s">
        <v>62</v>
      </c>
      <c r="B8" s="22">
        <v>2536800000</v>
      </c>
      <c r="C8" s="22">
        <f>+INGRESOS!V290</f>
        <v>2141075725</v>
      </c>
      <c r="D8" s="22">
        <f>+C8*70%</f>
        <v>1498753007.5</v>
      </c>
      <c r="E8" s="22">
        <f>+C8*10%</f>
        <v>214107572.5</v>
      </c>
      <c r="F8" s="22">
        <f>+C8*20%</f>
        <v>428215145</v>
      </c>
      <c r="G8" s="22">
        <f>+D8+E8+F8</f>
        <v>2141075725</v>
      </c>
      <c r="H8" s="31" t="s">
        <v>63</v>
      </c>
      <c r="I8" s="1"/>
    </row>
    <row r="9" spans="1:9" ht="12.75">
      <c r="A9" s="30" t="s">
        <v>64</v>
      </c>
      <c r="B9" s="22">
        <f>+B10+B11</f>
        <v>3306000000</v>
      </c>
      <c r="C9" s="22">
        <f>+C10+C11</f>
        <v>3314581553.7200003</v>
      </c>
      <c r="D9" s="22">
        <f>SUM(D10:D11)</f>
        <v>1701045628.8640852</v>
      </c>
      <c r="E9" s="22">
        <f>SUM(E10:E11)</f>
        <v>1613535924.855915</v>
      </c>
      <c r="F9" s="22">
        <f>SUM(F10:F11)</f>
        <v>0</v>
      </c>
      <c r="G9" s="22">
        <f>+D9+E9+F9</f>
        <v>3314581553.7200003</v>
      </c>
      <c r="H9" s="31" t="s">
        <v>65</v>
      </c>
      <c r="I9" s="1"/>
    </row>
    <row r="10" spans="1:9" ht="12.75">
      <c r="A10" s="26" t="s">
        <v>66</v>
      </c>
      <c r="B10" s="20">
        <v>2006000000</v>
      </c>
      <c r="C10" s="20">
        <f>+INGRESOS!V286</f>
        <v>1756800893.67</v>
      </c>
      <c r="D10" s="20">
        <f>+C10*55%</f>
        <v>966240491.5185001</v>
      </c>
      <c r="E10" s="20">
        <f>+C10-D10</f>
        <v>790560402.1515</v>
      </c>
      <c r="F10" s="20"/>
      <c r="G10" s="20">
        <f>+D10+E10+F10</f>
        <v>1756800893.67</v>
      </c>
      <c r="H10" s="31" t="str">
        <f>+H9</f>
        <v>Art 44 Ley 99/93</v>
      </c>
      <c r="I10" s="1"/>
    </row>
    <row r="11" spans="1:9" ht="12.75">
      <c r="A11" s="26" t="s">
        <v>67</v>
      </c>
      <c r="B11" s="20">
        <v>1300000000</v>
      </c>
      <c r="C11" s="20">
        <f>+INGRESOS!V287</f>
        <v>1557780660.05</v>
      </c>
      <c r="D11" s="20">
        <f>+C11-E11</f>
        <v>734805137.345585</v>
      </c>
      <c r="E11" s="20">
        <f>+C11*52.83%</f>
        <v>822975522.704415</v>
      </c>
      <c r="F11" s="20"/>
      <c r="G11" s="20">
        <f>+D11+E11+F11</f>
        <v>1557780660.05</v>
      </c>
      <c r="H11" s="31" t="str">
        <f>+H10</f>
        <v>Art 44 Ley 99/93</v>
      </c>
      <c r="I11" s="1"/>
    </row>
    <row r="12" spans="1:9" ht="12.75">
      <c r="A12" s="30" t="s">
        <v>5</v>
      </c>
      <c r="B12" s="22">
        <f>SUM(B13:B18)</f>
        <v>1864850000</v>
      </c>
      <c r="C12" s="22">
        <f>SUM(C13:C18)</f>
        <v>1474943633.6399999</v>
      </c>
      <c r="D12" s="22">
        <f>SUM(D13:D18)</f>
        <v>1288792624.176</v>
      </c>
      <c r="E12" s="22">
        <f>SUM(E13:E18)</f>
        <v>38656646.1</v>
      </c>
      <c r="F12" s="22">
        <f>SUM(F13:F18)</f>
        <v>147494363.564</v>
      </c>
      <c r="G12" s="22">
        <f>+D12+E12+F12</f>
        <v>1474943633.8400002</v>
      </c>
      <c r="H12" s="31" t="s">
        <v>1</v>
      </c>
      <c r="I12" s="1"/>
    </row>
    <row r="13" spans="1:9" ht="12.75">
      <c r="A13" s="26" t="s">
        <v>68</v>
      </c>
      <c r="B13" s="20">
        <v>689850000</v>
      </c>
      <c r="C13" s="20">
        <f>+INGRESOS!V294</f>
        <v>273573102</v>
      </c>
      <c r="D13" s="20">
        <f>+C13*90%</f>
        <v>246215791.8</v>
      </c>
      <c r="E13" s="20">
        <v>0</v>
      </c>
      <c r="F13" s="20">
        <f>+C13*0.1</f>
        <v>27357310.200000003</v>
      </c>
      <c r="G13" s="20">
        <f aca="true" t="shared" si="0" ref="G13:G33">+D13+E13+F13</f>
        <v>273573102</v>
      </c>
      <c r="H13" s="31" t="s">
        <v>69</v>
      </c>
      <c r="I13" s="1"/>
    </row>
    <row r="14" spans="1:9" ht="12.75">
      <c r="A14" s="26" t="s">
        <v>70</v>
      </c>
      <c r="B14" s="20">
        <v>981000000</v>
      </c>
      <c r="C14" s="20">
        <f>+INGRESOS!V293</f>
        <v>987657577</v>
      </c>
      <c r="D14" s="20">
        <f>+C14*0.9</f>
        <v>888891819.3000001</v>
      </c>
      <c r="E14" s="20">
        <v>0</v>
      </c>
      <c r="F14" s="20">
        <f>+C14*0.1+0.2</f>
        <v>98765757.9</v>
      </c>
      <c r="G14" s="20">
        <f t="shared" si="0"/>
        <v>987657577.2</v>
      </c>
      <c r="H14" s="31" t="s">
        <v>71</v>
      </c>
      <c r="I14" s="1"/>
    </row>
    <row r="15" spans="1:9" ht="12.75">
      <c r="A15" s="26" t="s">
        <v>72</v>
      </c>
      <c r="B15" s="20">
        <v>62000000</v>
      </c>
      <c r="C15" s="20">
        <f>+INGRESOS!V296</f>
        <v>42951829</v>
      </c>
      <c r="D15" s="20">
        <v>0</v>
      </c>
      <c r="E15" s="20">
        <f>+C15*90%</f>
        <v>38656646.1</v>
      </c>
      <c r="F15" s="20">
        <f>+C15*10%</f>
        <v>4295182.9</v>
      </c>
      <c r="G15" s="20">
        <f t="shared" si="0"/>
        <v>42951829</v>
      </c>
      <c r="H15" s="31" t="s">
        <v>73</v>
      </c>
      <c r="I15" s="1"/>
    </row>
    <row r="16" spans="1:9" ht="12.75">
      <c r="A16" s="26" t="s">
        <v>74</v>
      </c>
      <c r="B16" s="20">
        <f>1000000</f>
        <v>1000000</v>
      </c>
      <c r="C16" s="20">
        <v>0</v>
      </c>
      <c r="D16" s="20">
        <v>0</v>
      </c>
      <c r="E16" s="20">
        <f>+C16*0.9</f>
        <v>0</v>
      </c>
      <c r="F16" s="20">
        <f>+C16*0.1</f>
        <v>0</v>
      </c>
      <c r="G16" s="20">
        <f t="shared" si="0"/>
        <v>0</v>
      </c>
      <c r="H16" s="31" t="s">
        <v>73</v>
      </c>
      <c r="I16" s="1"/>
    </row>
    <row r="17" spans="1:9" ht="12.75">
      <c r="A17" s="26" t="s">
        <v>32</v>
      </c>
      <c r="B17" s="20">
        <v>15000000</v>
      </c>
      <c r="C17" s="20">
        <f>+INGRESOS!V295</f>
        <v>9600768</v>
      </c>
      <c r="D17" s="20">
        <f>+C17*0.9</f>
        <v>8640691.200000001</v>
      </c>
      <c r="E17" s="20"/>
      <c r="F17" s="20">
        <f>+C17*0.1</f>
        <v>960076.8</v>
      </c>
      <c r="G17" s="20">
        <f t="shared" si="0"/>
        <v>9600768.000000002</v>
      </c>
      <c r="H17" s="31" t="s">
        <v>73</v>
      </c>
      <c r="I17" s="1"/>
    </row>
    <row r="18" spans="1:9" ht="12.75">
      <c r="A18" s="26" t="s">
        <v>75</v>
      </c>
      <c r="B18" s="23">
        <v>116000000</v>
      </c>
      <c r="C18" s="20">
        <f>+INGRESOS!V299</f>
        <v>161160357.64</v>
      </c>
      <c r="D18" s="20">
        <f>+C18*0.9</f>
        <v>145044321.876</v>
      </c>
      <c r="E18" s="20">
        <v>0</v>
      </c>
      <c r="F18" s="20">
        <f>+C18*0.1</f>
        <v>16116035.763999999</v>
      </c>
      <c r="G18" s="20">
        <f t="shared" si="0"/>
        <v>161160357.64</v>
      </c>
      <c r="H18" s="31" t="s">
        <v>73</v>
      </c>
      <c r="I18" s="1"/>
    </row>
    <row r="19" spans="1:9" ht="12.75">
      <c r="A19" s="30" t="s">
        <v>76</v>
      </c>
      <c r="B19" s="22">
        <v>68500000</v>
      </c>
      <c r="C19" s="22">
        <f>+INGRESOS!V300</f>
        <v>128068685</v>
      </c>
      <c r="D19" s="22">
        <v>0</v>
      </c>
      <c r="E19" s="22">
        <f>+C19*0.9</f>
        <v>115261816.5</v>
      </c>
      <c r="F19" s="22">
        <f>+C19*0.1</f>
        <v>12806868.5</v>
      </c>
      <c r="G19" s="22">
        <f t="shared" si="0"/>
        <v>128068685</v>
      </c>
      <c r="H19" s="31" t="s">
        <v>73</v>
      </c>
      <c r="I19" s="1"/>
    </row>
    <row r="20" spans="1:9" ht="12.75">
      <c r="A20" s="30" t="s">
        <v>77</v>
      </c>
      <c r="B20" s="20" t="e">
        <f>+#REF!+B21</f>
        <v>#REF!</v>
      </c>
      <c r="C20" s="22">
        <f>SUM(C21:C23)</f>
        <v>1511772478</v>
      </c>
      <c r="D20" s="22">
        <f>SUM(D21:D23)</f>
        <v>1511772478</v>
      </c>
      <c r="E20" s="22">
        <f>+E21+E22</f>
        <v>0</v>
      </c>
      <c r="F20" s="22">
        <f>+F21+F22</f>
        <v>0</v>
      </c>
      <c r="G20" s="22">
        <f>+G21+G22</f>
        <v>1365632090</v>
      </c>
      <c r="H20" s="31" t="s">
        <v>1</v>
      </c>
      <c r="I20" s="1"/>
    </row>
    <row r="21" spans="1:9" ht="12.75">
      <c r="A21" s="26" t="s">
        <v>45</v>
      </c>
      <c r="B21" s="20">
        <v>0</v>
      </c>
      <c r="C21" s="20">
        <f>+INGRESOS!V302</f>
        <v>1286432090</v>
      </c>
      <c r="D21" s="20">
        <f>+C21*100%</f>
        <v>1286432090</v>
      </c>
      <c r="E21" s="20"/>
      <c r="F21" s="20"/>
      <c r="G21" s="20">
        <f t="shared" si="0"/>
        <v>1286432090</v>
      </c>
      <c r="H21" s="31" t="s">
        <v>92</v>
      </c>
      <c r="I21" s="1"/>
    </row>
    <row r="22" spans="1:9" ht="12.75">
      <c r="A22" s="26" t="s">
        <v>48</v>
      </c>
      <c r="B22" s="20"/>
      <c r="C22" s="20">
        <f>+INGRESOS!V303</f>
        <v>79200000</v>
      </c>
      <c r="D22" s="20">
        <f>+C22*100%</f>
        <v>79200000</v>
      </c>
      <c r="E22" s="20"/>
      <c r="F22" s="20"/>
      <c r="G22" s="20">
        <f t="shared" si="0"/>
        <v>79200000</v>
      </c>
      <c r="H22" s="31" t="s">
        <v>92</v>
      </c>
      <c r="I22" s="1"/>
    </row>
    <row r="23" spans="1:9" ht="12.75">
      <c r="A23" s="26" t="s">
        <v>88</v>
      </c>
      <c r="B23" s="20"/>
      <c r="C23" s="20">
        <f>+INGRESOS!V304</f>
        <v>146140388</v>
      </c>
      <c r="D23" s="20">
        <f>+C23</f>
        <v>146140388</v>
      </c>
      <c r="E23" s="20"/>
      <c r="F23" s="20"/>
      <c r="G23" s="20">
        <f t="shared" si="0"/>
        <v>146140388</v>
      </c>
      <c r="H23" s="31" t="s">
        <v>92</v>
      </c>
      <c r="I23" s="1"/>
    </row>
    <row r="24" spans="1:9" ht="12.75">
      <c r="A24" s="30" t="s">
        <v>38</v>
      </c>
      <c r="B24" s="20">
        <f>+B26+B27</f>
        <v>1826329576.3333333</v>
      </c>
      <c r="C24" s="22">
        <f>+C25+C26+C27</f>
        <v>3358591465.75</v>
      </c>
      <c r="D24" s="22">
        <f>+D26+D27+D25</f>
        <v>2423862669.8</v>
      </c>
      <c r="E24" s="22">
        <f>+E26+E27+E25</f>
        <v>208038949.275</v>
      </c>
      <c r="F24" s="22">
        <f>+F26+F27+F25</f>
        <v>211279900.67499998</v>
      </c>
      <c r="G24" s="22">
        <f t="shared" si="0"/>
        <v>2843181519.7500005</v>
      </c>
      <c r="H24" s="31" t="str">
        <f>+H20</f>
        <v> </v>
      </c>
      <c r="I24" s="1"/>
    </row>
    <row r="25" spans="1:9" ht="12.75">
      <c r="A25" s="30" t="s">
        <v>83</v>
      </c>
      <c r="B25" s="20"/>
      <c r="C25" s="22">
        <f>+INGRESOS!V307</f>
        <v>2095812285</v>
      </c>
      <c r="D25" s="22">
        <f>737744285+0+691656071</f>
        <v>1429400356</v>
      </c>
      <c r="E25" s="22">
        <f>151001983-85001983</f>
        <v>66000000</v>
      </c>
      <c r="F25" s="22">
        <v>85001983</v>
      </c>
      <c r="G25" s="22">
        <f>+D25+E25+F25</f>
        <v>1580402339</v>
      </c>
      <c r="H25" s="31" t="s">
        <v>93</v>
      </c>
      <c r="I25" s="1"/>
    </row>
    <row r="26" spans="1:9" ht="12.75">
      <c r="A26" s="30" t="s">
        <v>6</v>
      </c>
      <c r="B26" s="22">
        <v>70000000</v>
      </c>
      <c r="C26" s="22">
        <f>+INGRESOS!V306</f>
        <v>157821054.75</v>
      </c>
      <c r="D26" s="22">
        <v>0</v>
      </c>
      <c r="E26" s="22">
        <f>+C26*0.9</f>
        <v>142038949.275</v>
      </c>
      <c r="F26" s="22">
        <f>+C26*0.1</f>
        <v>15782105.475000001</v>
      </c>
      <c r="G26" s="22">
        <f t="shared" si="0"/>
        <v>157821054.75</v>
      </c>
      <c r="H26" s="31" t="str">
        <f>+H19</f>
        <v>Art 46 Ley 99/93</v>
      </c>
      <c r="I26" s="1"/>
    </row>
    <row r="27" spans="1:9" ht="12.75">
      <c r="A27" s="30" t="s">
        <v>78</v>
      </c>
      <c r="B27" s="20">
        <f>+B28+B29</f>
        <v>1756329576.3333333</v>
      </c>
      <c r="C27" s="22">
        <f>+C28+C29</f>
        <v>1104958126</v>
      </c>
      <c r="D27" s="22">
        <f>SUM(D28:D29)</f>
        <v>994462313.8</v>
      </c>
      <c r="E27" s="22">
        <f>SUM(E28:E29)</f>
        <v>0</v>
      </c>
      <c r="F27" s="22">
        <f>SUM(F28:F29)</f>
        <v>110495812.19999999</v>
      </c>
      <c r="G27" s="22">
        <f>+D27+E27+F27</f>
        <v>1104958126</v>
      </c>
      <c r="H27" s="31" t="str">
        <f>+H11</f>
        <v>Art 44 Ley 99/93</v>
      </c>
      <c r="I27" s="1"/>
    </row>
    <row r="28" spans="1:9" ht="12.75">
      <c r="A28" s="26" t="s">
        <v>31</v>
      </c>
      <c r="B28" s="20">
        <v>585175077</v>
      </c>
      <c r="C28" s="20">
        <f>+INGRESOS!V309</f>
        <v>225724052</v>
      </c>
      <c r="D28" s="20">
        <f>+C28*90%</f>
        <v>203151646.8</v>
      </c>
      <c r="E28" s="20"/>
      <c r="F28" s="20">
        <f>+C28-D28</f>
        <v>22572405.199999988</v>
      </c>
      <c r="G28" s="20">
        <f t="shared" si="0"/>
        <v>225724052</v>
      </c>
      <c r="H28" s="31" t="str">
        <f>+H13</f>
        <v>Art 43 Ley 99/93</v>
      </c>
      <c r="I28" s="1"/>
    </row>
    <row r="29" spans="1:9" ht="12.75">
      <c r="A29" s="32" t="s">
        <v>70</v>
      </c>
      <c r="B29" s="20">
        <f>3513463498/3</f>
        <v>1171154499.3333333</v>
      </c>
      <c r="C29" s="20">
        <f>+INGRESOS!V310</f>
        <v>879234074</v>
      </c>
      <c r="D29" s="20">
        <f>+C29*90%+0.4</f>
        <v>791310667</v>
      </c>
      <c r="E29" s="20"/>
      <c r="F29" s="20">
        <f>+C29-D29</f>
        <v>87923407</v>
      </c>
      <c r="G29" s="20">
        <f t="shared" si="0"/>
        <v>879234074</v>
      </c>
      <c r="H29" s="31" t="str">
        <f>+H14</f>
        <v>Art 42 Ley 99/93</v>
      </c>
      <c r="I29" s="1"/>
    </row>
    <row r="30" spans="1:9" ht="12.75">
      <c r="A30" s="30"/>
      <c r="B30" s="20"/>
      <c r="C30" s="20" t="s">
        <v>1</v>
      </c>
      <c r="D30" s="20"/>
      <c r="E30" s="20"/>
      <c r="F30" s="20"/>
      <c r="G30" s="20" t="s">
        <v>1</v>
      </c>
      <c r="H30" s="31"/>
      <c r="I30" s="1"/>
    </row>
    <row r="31" spans="1:9" ht="12.75">
      <c r="A31" s="29" t="s">
        <v>79</v>
      </c>
      <c r="B31" s="20" t="e">
        <f>+B8+B9+B12+B19+B24+B20</f>
        <v>#REF!</v>
      </c>
      <c r="C31" s="22">
        <f>+C8+C9+C12+C19+C20+C24</f>
        <v>11929033541.11</v>
      </c>
      <c r="D31" s="22">
        <f>+D8+D9+D12+D19+D24+D20</f>
        <v>8424226408.340085</v>
      </c>
      <c r="E31" s="22">
        <f>+E8+E9+E12+E19+E24+E20</f>
        <v>2189600909.230915</v>
      </c>
      <c r="F31" s="22">
        <f>+F8+F9+F12+F19+F24+F20</f>
        <v>799796277.739</v>
      </c>
      <c r="G31" s="22">
        <f>+D31+E31+F31</f>
        <v>11413623595.31</v>
      </c>
      <c r="H31" s="31" t="s">
        <v>1</v>
      </c>
      <c r="I31" s="1"/>
    </row>
    <row r="32" spans="1:9" ht="12.75">
      <c r="A32" s="26"/>
      <c r="B32" s="20" t="s">
        <v>1</v>
      </c>
      <c r="C32" s="20" t="s">
        <v>1</v>
      </c>
      <c r="D32" s="20"/>
      <c r="E32" s="20" t="s">
        <v>1</v>
      </c>
      <c r="F32" s="20" t="s">
        <v>1</v>
      </c>
      <c r="G32" s="20" t="s">
        <v>1</v>
      </c>
      <c r="H32" s="33" t="s">
        <v>1</v>
      </c>
      <c r="I32" s="1"/>
    </row>
    <row r="33" spans="1:9" ht="12.75">
      <c r="A33" s="30" t="s">
        <v>80</v>
      </c>
      <c r="B33" s="20">
        <v>1242271202</v>
      </c>
      <c r="C33" s="22">
        <f>+INGRESOS!V314</f>
        <v>3697637543</v>
      </c>
      <c r="D33" s="22">
        <v>1155800000</v>
      </c>
      <c r="E33" s="22">
        <f>+C33-D33</f>
        <v>2541837543</v>
      </c>
      <c r="F33" s="22">
        <v>0</v>
      </c>
      <c r="G33" s="22">
        <f t="shared" si="0"/>
        <v>3697637543</v>
      </c>
      <c r="H33" s="34" t="s">
        <v>81</v>
      </c>
      <c r="I33" s="1"/>
    </row>
    <row r="34" spans="1:9" ht="12.75">
      <c r="A34" s="30" t="s">
        <v>1</v>
      </c>
      <c r="B34" s="20"/>
      <c r="C34" s="20" t="s">
        <v>1</v>
      </c>
      <c r="D34" s="20"/>
      <c r="E34" s="20" t="s">
        <v>1</v>
      </c>
      <c r="F34" s="20" t="s">
        <v>1</v>
      </c>
      <c r="G34" s="20"/>
      <c r="H34" s="34"/>
      <c r="I34" s="1"/>
    </row>
    <row r="35" spans="1:9" ht="12.75">
      <c r="A35" s="30" t="s">
        <v>82</v>
      </c>
      <c r="B35" s="20" t="e">
        <f aca="true" t="shared" si="1" ref="B35:G35">+B31+B33</f>
        <v>#REF!</v>
      </c>
      <c r="C35" s="22">
        <f>+C31+C33</f>
        <v>15626671084.11</v>
      </c>
      <c r="D35" s="22">
        <f t="shared" si="1"/>
        <v>9580026408.340084</v>
      </c>
      <c r="E35" s="22">
        <f t="shared" si="1"/>
        <v>4731438452.230915</v>
      </c>
      <c r="F35" s="22">
        <f t="shared" si="1"/>
        <v>799796277.739</v>
      </c>
      <c r="G35" s="22">
        <f t="shared" si="1"/>
        <v>15111261138.31</v>
      </c>
      <c r="H35" s="34"/>
      <c r="I35" s="1"/>
    </row>
    <row r="36" spans="1:9" ht="12.75">
      <c r="A36" s="26"/>
      <c r="B36" s="17"/>
      <c r="C36" s="20" t="s">
        <v>1</v>
      </c>
      <c r="D36" s="17"/>
      <c r="E36" s="20" t="s">
        <v>1</v>
      </c>
      <c r="F36" s="17"/>
      <c r="G36" s="17"/>
      <c r="H36" s="25"/>
      <c r="I36" s="1"/>
    </row>
    <row r="37" spans="1:8" ht="12.75">
      <c r="A37" s="26"/>
      <c r="B37" s="17"/>
      <c r="C37" s="17"/>
      <c r="D37" s="20"/>
      <c r="E37" s="20"/>
      <c r="F37" s="17"/>
      <c r="G37" s="17"/>
      <c r="H37" s="25"/>
    </row>
    <row r="38" spans="1:8" ht="12.75">
      <c r="A38" s="30" t="s">
        <v>94</v>
      </c>
      <c r="B38" s="21"/>
      <c r="C38" s="21"/>
      <c r="D38" s="20"/>
      <c r="E38" s="20"/>
      <c r="F38" s="17"/>
      <c r="G38" s="17"/>
      <c r="H38" s="25"/>
    </row>
    <row r="39" spans="1:8" ht="12.75">
      <c r="A39" s="26"/>
      <c r="B39" s="17"/>
      <c r="C39" s="17"/>
      <c r="D39" s="20"/>
      <c r="E39" s="20"/>
      <c r="F39" s="17"/>
      <c r="G39" s="17"/>
      <c r="H39" s="25"/>
    </row>
    <row r="40" spans="1:8" ht="12.75">
      <c r="A40" s="26"/>
      <c r="B40" s="17"/>
      <c r="C40" s="17"/>
      <c r="D40" s="20"/>
      <c r="E40" s="20"/>
      <c r="F40" s="17"/>
      <c r="G40" s="17"/>
      <c r="H40" s="25"/>
    </row>
    <row r="41" spans="1:8" ht="12.75">
      <c r="A41" s="26"/>
      <c r="B41" s="17"/>
      <c r="C41" s="17"/>
      <c r="D41" s="17"/>
      <c r="E41" s="17"/>
      <c r="F41" s="17"/>
      <c r="G41" s="17"/>
      <c r="H41" s="25"/>
    </row>
    <row r="42" spans="1:8" ht="12.75">
      <c r="A42" s="26"/>
      <c r="B42" s="17"/>
      <c r="C42" s="17"/>
      <c r="D42" s="17"/>
      <c r="E42" s="17"/>
      <c r="F42" s="17"/>
      <c r="G42" s="17"/>
      <c r="H42" s="25"/>
    </row>
    <row r="43" spans="1:8" ht="12.75">
      <c r="A43" s="26"/>
      <c r="B43" s="17"/>
      <c r="C43" s="17"/>
      <c r="D43" s="17"/>
      <c r="E43" s="17"/>
      <c r="F43" s="17"/>
      <c r="G43" s="17"/>
      <c r="H43" s="25"/>
    </row>
    <row r="44" spans="1:8" ht="12.75">
      <c r="A44" s="26"/>
      <c r="B44" s="17"/>
      <c r="C44" s="17"/>
      <c r="D44" s="17"/>
      <c r="E44" s="17"/>
      <c r="F44" s="17"/>
      <c r="G44" s="17"/>
      <c r="H44" s="25"/>
    </row>
    <row r="45" spans="1:8" ht="12.75">
      <c r="A45" s="26"/>
      <c r="B45" s="17"/>
      <c r="C45" s="17"/>
      <c r="D45" s="17"/>
      <c r="E45" s="17"/>
      <c r="F45" s="17"/>
      <c r="G45" s="17"/>
      <c r="H45" s="25"/>
    </row>
    <row r="46" spans="1:8" ht="12.75">
      <c r="A46" s="30" t="s">
        <v>90</v>
      </c>
      <c r="B46" s="17"/>
      <c r="C46" s="17"/>
      <c r="D46" s="17"/>
      <c r="E46" s="17"/>
      <c r="F46" s="17"/>
      <c r="G46" s="17"/>
      <c r="H46" s="25"/>
    </row>
    <row r="47" spans="1:8" ht="12.75">
      <c r="A47" s="30" t="s">
        <v>91</v>
      </c>
      <c r="B47" s="17"/>
      <c r="C47" s="17"/>
      <c r="D47" s="17"/>
      <c r="E47" s="17"/>
      <c r="F47" s="17"/>
      <c r="G47" s="17"/>
      <c r="H47" s="25"/>
    </row>
    <row r="48" spans="1:8" ht="13.5" thickBot="1">
      <c r="A48" s="35"/>
      <c r="B48" s="36"/>
      <c r="C48" s="36"/>
      <c r="D48" s="36"/>
      <c r="E48" s="36"/>
      <c r="F48" s="36"/>
      <c r="G48" s="36"/>
      <c r="H48" s="37"/>
    </row>
  </sheetData>
  <mergeCells count="4">
    <mergeCell ref="A1:G1"/>
    <mergeCell ref="A2:G2"/>
    <mergeCell ref="D4:D5"/>
    <mergeCell ref="E4:E5"/>
  </mergeCells>
  <printOptions/>
  <pageMargins left="0.75" right="0.75" top="1" bottom="1" header="0" footer="0"/>
  <pageSetup horizontalDpi="120" verticalDpi="12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749"/>
  <sheetViews>
    <sheetView tabSelected="1" workbookViewId="0" topLeftCell="B1">
      <selection activeCell="X33" sqref="X33"/>
    </sheetView>
  </sheetViews>
  <sheetFormatPr defaultColWidth="11.421875" defaultRowHeight="12.75"/>
  <cols>
    <col min="1" max="1" width="65.421875" style="0" customWidth="1"/>
    <col min="2" max="2" width="22.57421875" style="0" customWidth="1"/>
    <col min="3" max="3" width="16.28125" style="0" hidden="1" customWidth="1"/>
    <col min="4" max="4" width="18.28125" style="0" hidden="1" customWidth="1"/>
    <col min="5" max="5" width="17.57421875" style="0" hidden="1" customWidth="1"/>
    <col min="6" max="6" width="21.140625" style="0" hidden="1" customWidth="1"/>
    <col min="7" max="7" width="15.7109375" style="0" hidden="1" customWidth="1"/>
    <col min="8" max="8" width="15.8515625" style="0" hidden="1" customWidth="1"/>
    <col min="9" max="14" width="11.421875" style="0" hidden="1" customWidth="1"/>
    <col min="15" max="15" width="18.8515625" style="0" customWidth="1"/>
    <col min="16" max="16" width="21.00390625" style="0" customWidth="1"/>
    <col min="17" max="19" width="21.00390625" style="0" hidden="1" customWidth="1"/>
    <col min="20" max="20" width="21.8515625" style="0" customWidth="1"/>
    <col min="21" max="22" width="18.28125" style="0" hidden="1" customWidth="1"/>
    <col min="23" max="23" width="17.57421875" style="0" customWidth="1"/>
    <col min="24" max="24" width="25.140625" style="0" customWidth="1"/>
    <col min="25" max="25" width="18.140625" style="0" customWidth="1"/>
    <col min="26" max="26" width="19.28125" style="0" customWidth="1"/>
    <col min="27" max="27" width="15.8515625" style="0" bestFit="1" customWidth="1"/>
    <col min="28" max="28" width="18.140625" style="0" customWidth="1"/>
    <col min="29" max="29" width="16.57421875" style="0" customWidth="1"/>
    <col min="30" max="30" width="18.421875" style="0" customWidth="1"/>
    <col min="31" max="31" width="13.7109375" style="0" bestFit="1" customWidth="1"/>
    <col min="32" max="32" width="15.7109375" style="0" customWidth="1"/>
    <col min="33" max="33" width="13.00390625" style="0" customWidth="1"/>
  </cols>
  <sheetData>
    <row r="1" spans="1:26" ht="12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ht="12.75">
      <c r="A2" s="49" t="s">
        <v>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2.75">
      <c r="A3" s="4"/>
      <c r="B3" s="3" t="s">
        <v>1</v>
      </c>
      <c r="C3" s="4" t="s">
        <v>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 t="s">
        <v>1</v>
      </c>
      <c r="U3" s="3"/>
      <c r="V3" s="3"/>
      <c r="W3" s="15" t="s">
        <v>20</v>
      </c>
      <c r="X3" s="3" t="s">
        <v>1</v>
      </c>
      <c r="Y3" s="5"/>
      <c r="Z3" s="5"/>
    </row>
    <row r="4" spans="1:30" ht="25.5">
      <c r="A4" s="4" t="s">
        <v>7</v>
      </c>
      <c r="B4" s="6" t="s">
        <v>10</v>
      </c>
      <c r="C4" s="50" t="s">
        <v>11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"/>
      <c r="O4" s="4" t="s">
        <v>2</v>
      </c>
      <c r="P4" s="6" t="s">
        <v>12</v>
      </c>
      <c r="Q4" s="6" t="s">
        <v>95</v>
      </c>
      <c r="R4" s="6" t="s">
        <v>98</v>
      </c>
      <c r="S4" s="6" t="s">
        <v>51</v>
      </c>
      <c r="T4" s="8" t="s">
        <v>50</v>
      </c>
      <c r="U4" s="8"/>
      <c r="V4" s="8"/>
      <c r="W4" s="8" t="s">
        <v>96</v>
      </c>
      <c r="X4" s="8"/>
      <c r="Y4" s="6"/>
      <c r="Z4" s="6"/>
      <c r="AA4" s="8"/>
      <c r="AB4" s="8"/>
      <c r="AC4" s="8"/>
      <c r="AD4" s="8"/>
    </row>
    <row r="5" spans="1:26" ht="12.75">
      <c r="A5" s="4" t="s">
        <v>1</v>
      </c>
      <c r="B5" s="4" t="s">
        <v>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8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22</v>
      </c>
      <c r="N5" s="4" t="s">
        <v>23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9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3"/>
      <c r="U6" s="3"/>
      <c r="V6" s="3"/>
      <c r="W6" s="3"/>
      <c r="X6" s="4"/>
      <c r="Y6" s="4"/>
      <c r="Z6" s="4"/>
      <c r="AC6" s="1"/>
    </row>
    <row r="7" spans="1:26" ht="12.75">
      <c r="A7" s="9" t="s">
        <v>24</v>
      </c>
      <c r="B7" s="3">
        <f>+B9+B14</f>
        <v>8331515258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">
        <f aca="true" t="shared" si="0" ref="O7:T7">+O9+O14</f>
        <v>59286490</v>
      </c>
      <c r="P7" s="3">
        <f t="shared" si="0"/>
        <v>8390801748</v>
      </c>
      <c r="Q7" s="3">
        <f t="shared" si="0"/>
        <v>5028404</v>
      </c>
      <c r="R7" s="3">
        <f t="shared" si="0"/>
        <v>717204359</v>
      </c>
      <c r="S7" s="3">
        <f t="shared" si="0"/>
        <v>640049685</v>
      </c>
      <c r="T7" s="3">
        <f t="shared" si="0"/>
        <v>6352363222.309999</v>
      </c>
      <c r="U7" s="3"/>
      <c r="V7" s="3"/>
      <c r="W7" s="3">
        <f>+T7/P7*100</f>
        <v>75.70627233356008</v>
      </c>
      <c r="X7" s="3"/>
      <c r="Y7" s="3"/>
      <c r="Z7" s="3"/>
    </row>
    <row r="8" spans="1:26" ht="12.75">
      <c r="A8" s="9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3" t="s">
        <v>1</v>
      </c>
      <c r="U8" s="3"/>
      <c r="V8" s="3"/>
      <c r="W8" s="3" t="s">
        <v>1</v>
      </c>
      <c r="X8" s="4"/>
      <c r="Y8" s="4"/>
      <c r="Z8" s="4"/>
    </row>
    <row r="9" spans="1:30" ht="12.75">
      <c r="A9" s="7" t="s">
        <v>3</v>
      </c>
      <c r="B9" s="10">
        <f>+B10</f>
        <v>3679578000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10">
        <f>+O10</f>
        <v>0</v>
      </c>
      <c r="P9" s="11">
        <f>+B9+O9</f>
        <v>3679578000</v>
      </c>
      <c r="Q9" s="10">
        <f>+Q10</f>
        <v>0</v>
      </c>
      <c r="R9" s="10">
        <f>+R10</f>
        <v>225053016</v>
      </c>
      <c r="S9" s="10">
        <f>+S10</f>
        <v>0</v>
      </c>
      <c r="T9" s="3">
        <f>+T10</f>
        <v>2766228005.67</v>
      </c>
      <c r="U9" s="3"/>
      <c r="V9" s="3"/>
      <c r="W9" s="3">
        <f aca="true" t="shared" si="1" ref="W9:W34">+T9/P9*100</f>
        <v>75.17786022391698</v>
      </c>
      <c r="X9" s="10">
        <f>+T9-2306071869.85</f>
        <v>460156135.8200002</v>
      </c>
      <c r="Y9" s="3"/>
      <c r="Z9" s="10"/>
      <c r="AA9" s="10"/>
      <c r="AB9" s="10"/>
      <c r="AC9" s="10"/>
      <c r="AD9" s="1"/>
    </row>
    <row r="10" spans="1:30" ht="12.75">
      <c r="A10" s="7" t="s">
        <v>25</v>
      </c>
      <c r="B10" s="10">
        <f>+B11+B12</f>
        <v>3679578000</v>
      </c>
      <c r="C10" s="11"/>
      <c r="D10" s="11">
        <v>177520</v>
      </c>
      <c r="E10" s="11"/>
      <c r="F10" s="11">
        <v>165006728</v>
      </c>
      <c r="G10" s="11">
        <v>1414514385</v>
      </c>
      <c r="H10" s="11">
        <v>4948458</v>
      </c>
      <c r="I10" s="11">
        <v>573117327</v>
      </c>
      <c r="J10" s="11">
        <f>139033811-14448995.38</f>
        <v>124584815.62</v>
      </c>
      <c r="K10" s="11">
        <v>93361900</v>
      </c>
      <c r="L10" s="11">
        <v>25720312</v>
      </c>
      <c r="M10" s="11">
        <v>242733948</v>
      </c>
      <c r="N10" s="11">
        <f>65086606+14219504.38-900076.38-6867260+6687809</f>
        <v>78226583</v>
      </c>
      <c r="O10" s="10">
        <f>+O11+O12</f>
        <v>0</v>
      </c>
      <c r="P10" s="11">
        <f>+B10+O10</f>
        <v>3679578000</v>
      </c>
      <c r="Q10" s="10">
        <f>+Q11+Q12</f>
        <v>0</v>
      </c>
      <c r="R10" s="10">
        <f>+R11+R12</f>
        <v>225053016</v>
      </c>
      <c r="S10" s="10">
        <f>+S11+S12</f>
        <v>0</v>
      </c>
      <c r="T10" s="3">
        <f>+T11+T12</f>
        <v>2766228005.67</v>
      </c>
      <c r="U10" s="3"/>
      <c r="V10" s="3"/>
      <c r="W10" s="3">
        <f t="shared" si="1"/>
        <v>75.17786022391698</v>
      </c>
      <c r="X10" s="10"/>
      <c r="Y10" s="3"/>
      <c r="Z10" s="10"/>
      <c r="AA10" s="10"/>
      <c r="AB10" s="10"/>
      <c r="AC10" s="10"/>
      <c r="AD10" s="1"/>
    </row>
    <row r="11" spans="1:30" ht="12.75">
      <c r="A11" s="5" t="s">
        <v>26</v>
      </c>
      <c r="B11" s="11">
        <f>+'[3]ingresos'!$C$10</f>
        <v>2232678000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0</v>
      </c>
      <c r="P11" s="11">
        <f>+B11+O11</f>
        <v>2232678000</v>
      </c>
      <c r="Q11" s="11">
        <v>0</v>
      </c>
      <c r="R11" s="11">
        <v>0</v>
      </c>
      <c r="S11" s="11">
        <v>0</v>
      </c>
      <c r="T11" s="3">
        <v>1756800893.67</v>
      </c>
      <c r="U11" s="3"/>
      <c r="V11" s="3"/>
      <c r="W11" s="3">
        <f t="shared" si="1"/>
        <v>78.68581558424458</v>
      </c>
      <c r="X11" s="11"/>
      <c r="Y11" s="3"/>
      <c r="Z11" s="11"/>
      <c r="AA11" s="11"/>
      <c r="AB11" s="11"/>
      <c r="AC11" s="11"/>
      <c r="AD11" s="1"/>
    </row>
    <row r="12" spans="1:30" ht="12.75">
      <c r="A12" s="5" t="s">
        <v>27</v>
      </c>
      <c r="B12" s="11">
        <f>+'[3]ingresos'!$C$11</f>
        <v>1446900000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>
        <f>+'[4]ENERO 09'!$B$44</f>
        <v>0</v>
      </c>
      <c r="P12" s="11">
        <f>+B12+O12</f>
        <v>1446900000</v>
      </c>
      <c r="Q12" s="11">
        <v>0</v>
      </c>
      <c r="R12" s="11">
        <f>2531124885.85-1546425752.85-759646117</f>
        <v>225053016</v>
      </c>
      <c r="S12" s="11">
        <v>0</v>
      </c>
      <c r="T12" s="3">
        <f>2766228005.67-T11</f>
        <v>1009427112</v>
      </c>
      <c r="U12" s="3"/>
      <c r="V12" s="3"/>
      <c r="W12" s="3">
        <f t="shared" si="1"/>
        <v>69.76481526021149</v>
      </c>
      <c r="X12" s="11" t="s">
        <v>1</v>
      </c>
      <c r="Y12" s="3"/>
      <c r="Z12" s="11"/>
      <c r="AA12" s="11"/>
      <c r="AB12" s="11"/>
      <c r="AC12" s="11"/>
      <c r="AD12" s="1"/>
    </row>
    <row r="13" spans="1:30" ht="12.75">
      <c r="A13" s="7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 t="s">
        <v>1</v>
      </c>
      <c r="Q13" s="10"/>
      <c r="R13" s="11"/>
      <c r="S13" s="11"/>
      <c r="T13" s="3" t="s">
        <v>1</v>
      </c>
      <c r="U13" s="3"/>
      <c r="V13" s="3"/>
      <c r="W13" s="3" t="s">
        <v>52</v>
      </c>
      <c r="X13" s="10"/>
      <c r="Y13" s="3"/>
      <c r="Z13" s="10"/>
      <c r="AA13" s="10"/>
      <c r="AB13" s="10"/>
      <c r="AC13" s="10"/>
      <c r="AD13" s="1"/>
    </row>
    <row r="14" spans="1:30" ht="12.75">
      <c r="A14" s="7" t="s">
        <v>4</v>
      </c>
      <c r="B14" s="10">
        <f>+B15+B16+B25+B26</f>
        <v>4651937258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0">
        <f aca="true" t="shared" si="2" ref="O14:T14">+O15+O16+O25+O26</f>
        <v>59286490</v>
      </c>
      <c r="P14" s="10">
        <f t="shared" si="2"/>
        <v>4711223748</v>
      </c>
      <c r="Q14" s="10">
        <f t="shared" si="2"/>
        <v>5028404</v>
      </c>
      <c r="R14" s="10">
        <f t="shared" si="2"/>
        <v>492151343</v>
      </c>
      <c r="S14" s="10">
        <f t="shared" si="2"/>
        <v>640049685</v>
      </c>
      <c r="T14" s="3">
        <f t="shared" si="2"/>
        <v>3586135216.64</v>
      </c>
      <c r="U14" s="3"/>
      <c r="V14" s="3"/>
      <c r="W14" s="3">
        <f t="shared" si="1"/>
        <v>76.11897478149662</v>
      </c>
      <c r="X14" s="10"/>
      <c r="Y14" s="3"/>
      <c r="Z14" s="10"/>
      <c r="AA14" s="10"/>
      <c r="AB14" s="10"/>
      <c r="AC14" s="10"/>
      <c r="AD14" s="1"/>
    </row>
    <row r="15" spans="1:30" ht="12.75">
      <c r="A15" s="7" t="s">
        <v>28</v>
      </c>
      <c r="B15" s="10">
        <v>2917925258</v>
      </c>
      <c r="C15" s="11">
        <v>0</v>
      </c>
      <c r="D15" s="11">
        <v>0</v>
      </c>
      <c r="E15" s="11">
        <v>0</v>
      </c>
      <c r="F15" s="11">
        <v>196495882</v>
      </c>
      <c r="G15" s="11">
        <v>164927418</v>
      </c>
      <c r="H15" s="11">
        <v>262941303</v>
      </c>
      <c r="I15" s="11">
        <v>280282246</v>
      </c>
      <c r="J15" s="11">
        <v>246192273</v>
      </c>
      <c r="K15" s="11">
        <v>308626989</v>
      </c>
      <c r="L15" s="11">
        <v>243645342</v>
      </c>
      <c r="M15" s="11">
        <v>247491577</v>
      </c>
      <c r="N15" s="11">
        <v>165492691</v>
      </c>
      <c r="O15" s="11">
        <v>0</v>
      </c>
      <c r="P15" s="11">
        <f aca="true" t="shared" si="3" ref="P15:P32">+B15+O15</f>
        <v>2917925258</v>
      </c>
      <c r="Q15" s="10">
        <v>0</v>
      </c>
      <c r="R15" s="11">
        <v>218548643</v>
      </c>
      <c r="S15" s="11">
        <v>640049685</v>
      </c>
      <c r="T15" s="3">
        <f>+'[6]SEPTIEMBRE08'!$I$4</f>
        <v>2360815112</v>
      </c>
      <c r="U15" s="3"/>
      <c r="V15" s="3"/>
      <c r="W15" s="3">
        <f t="shared" si="1"/>
        <v>80.90731952531732</v>
      </c>
      <c r="X15" s="10">
        <f>+T15-839063509</f>
        <v>1521751603</v>
      </c>
      <c r="Y15" s="3"/>
      <c r="Z15" s="10"/>
      <c r="AA15" s="10"/>
      <c r="AB15" s="10"/>
      <c r="AC15" s="10"/>
      <c r="AD15" s="1"/>
    </row>
    <row r="16" spans="1:30" ht="12.75">
      <c r="A16" s="7" t="s">
        <v>5</v>
      </c>
      <c r="B16" s="10">
        <f>+B17+B21+B22+B23</f>
        <v>1653024000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0">
        <f>+O17+O21+O22+O23</f>
        <v>0</v>
      </c>
      <c r="P16" s="11">
        <f t="shared" si="3"/>
        <v>1653024000</v>
      </c>
      <c r="Q16" s="10">
        <f>+Q17+Q21+Q22+Q23</f>
        <v>3440508</v>
      </c>
      <c r="R16" s="10">
        <f>+R17+R21+R22+R23</f>
        <v>198598501</v>
      </c>
      <c r="S16" s="10">
        <f>+S17+S21+S22+S23</f>
        <v>0</v>
      </c>
      <c r="T16" s="3">
        <f>+T17+T21+T22+T23</f>
        <v>1048191139.64</v>
      </c>
      <c r="U16" s="3"/>
      <c r="V16" s="3"/>
      <c r="W16" s="3">
        <f t="shared" si="1"/>
        <v>63.410521543546864</v>
      </c>
      <c r="X16" s="10"/>
      <c r="Y16" s="3"/>
      <c r="Z16" s="10"/>
      <c r="AA16" s="10"/>
      <c r="AB16" s="10"/>
      <c r="AC16" s="10"/>
      <c r="AD16" s="1"/>
    </row>
    <row r="17" spans="1:30" ht="12.75">
      <c r="A17" s="7" t="s">
        <v>29</v>
      </c>
      <c r="B17" s="10">
        <f>SUM(B18:B20)</f>
        <v>1419629000</v>
      </c>
      <c r="C17" s="11">
        <f>SUM(C18:C20)</f>
        <v>0</v>
      </c>
      <c r="D17" s="11">
        <f aca="true" t="shared" si="4" ref="D17:N17">SUM(D18:D20)</f>
        <v>9764370</v>
      </c>
      <c r="E17" s="11">
        <f t="shared" si="4"/>
        <v>1633088</v>
      </c>
      <c r="F17" s="11">
        <f t="shared" si="4"/>
        <v>9527326</v>
      </c>
      <c r="G17" s="11">
        <f t="shared" si="4"/>
        <v>5166613</v>
      </c>
      <c r="H17" s="11">
        <f t="shared" si="4"/>
        <v>8550758</v>
      </c>
      <c r="I17" s="11">
        <f t="shared" si="4"/>
        <v>19667967</v>
      </c>
      <c r="J17" s="11">
        <f t="shared" si="4"/>
        <v>32121947.88</v>
      </c>
      <c r="K17" s="11">
        <f t="shared" si="4"/>
        <v>57803883</v>
      </c>
      <c r="L17" s="11">
        <f t="shared" si="4"/>
        <v>248550137</v>
      </c>
      <c r="M17" s="11">
        <f t="shared" si="4"/>
        <v>56476839</v>
      </c>
      <c r="N17" s="11">
        <f t="shared" si="4"/>
        <v>203635166</v>
      </c>
      <c r="O17" s="10">
        <f>SUM(O18:O20)</f>
        <v>0</v>
      </c>
      <c r="P17" s="11">
        <f t="shared" si="3"/>
        <v>1419629000</v>
      </c>
      <c r="Q17" s="10">
        <f>SUM(Q18:Q20)</f>
        <v>0</v>
      </c>
      <c r="R17" s="10">
        <f>SUM(R18:R20)</f>
        <v>174124615</v>
      </c>
      <c r="S17" s="10">
        <f>SUM(S18:S20)</f>
        <v>0</v>
      </c>
      <c r="T17" s="3">
        <f>+T18+T19+T20</f>
        <v>915725064</v>
      </c>
      <c r="U17" s="3"/>
      <c r="V17" s="3"/>
      <c r="W17" s="3">
        <f t="shared" si="1"/>
        <v>64.50453350840255</v>
      </c>
      <c r="X17" s="10"/>
      <c r="Y17" s="3"/>
      <c r="Z17" s="10"/>
      <c r="AA17" s="10"/>
      <c r="AB17" s="10"/>
      <c r="AC17" s="10"/>
      <c r="AD17" s="1"/>
    </row>
    <row r="18" spans="1:30" ht="12.75">
      <c r="A18" s="5" t="s">
        <v>30</v>
      </c>
      <c r="B18" s="11">
        <v>895837000</v>
      </c>
      <c r="C18" s="11">
        <v>0</v>
      </c>
      <c r="D18" s="11">
        <v>9764370</v>
      </c>
      <c r="E18" s="11">
        <v>0</v>
      </c>
      <c r="F18" s="11">
        <f>274606+765092</f>
        <v>1039698</v>
      </c>
      <c r="G18" s="11">
        <v>4660304</v>
      </c>
      <c r="H18" s="11">
        <v>7848958</v>
      </c>
      <c r="I18" s="11">
        <v>15343416</v>
      </c>
      <c r="J18" s="11">
        <v>22521927</v>
      </c>
      <c r="K18" s="11">
        <v>33311437</v>
      </c>
      <c r="L18" s="11">
        <f>309295398-94490110</f>
        <v>214805288</v>
      </c>
      <c r="M18" s="11">
        <v>28836508</v>
      </c>
      <c r="N18" s="11">
        <f>98225097-2027734+2337372</f>
        <v>98534735</v>
      </c>
      <c r="O18" s="11">
        <f>+'[4]ENERO 09'!$B$32</f>
        <v>0</v>
      </c>
      <c r="P18" s="11">
        <f t="shared" si="3"/>
        <v>895837000</v>
      </c>
      <c r="Q18" s="11">
        <v>0</v>
      </c>
      <c r="R18" s="11">
        <f>+'[5]AGOSTO08'!$B$79</f>
        <v>150660473</v>
      </c>
      <c r="S18" s="11">
        <v>0</v>
      </c>
      <c r="T18" s="3">
        <f>+'[6]SEPTIEMBRE08'!$I$7</f>
        <v>729916039</v>
      </c>
      <c r="U18" s="3"/>
      <c r="V18" s="3"/>
      <c r="W18" s="3">
        <f t="shared" si="1"/>
        <v>81.47866620824993</v>
      </c>
      <c r="X18" s="11">
        <f>+T18-101779182</f>
        <v>628136857</v>
      </c>
      <c r="Y18" s="3"/>
      <c r="Z18" s="11"/>
      <c r="AA18" s="11"/>
      <c r="AB18" s="11"/>
      <c r="AC18" s="11"/>
      <c r="AD18" s="1"/>
    </row>
    <row r="19" spans="1:30" ht="12.75">
      <c r="A19" s="5" t="s">
        <v>31</v>
      </c>
      <c r="B19" s="11">
        <v>511069000</v>
      </c>
      <c r="C19" s="11"/>
      <c r="D19" s="11">
        <v>0</v>
      </c>
      <c r="E19" s="11">
        <v>0</v>
      </c>
      <c r="F19" s="11">
        <v>0</v>
      </c>
      <c r="G19" s="11">
        <v>0</v>
      </c>
      <c r="H19" s="11">
        <v>25090</v>
      </c>
      <c r="I19" s="11">
        <v>946365</v>
      </c>
      <c r="J19" s="11">
        <v>8764131</v>
      </c>
      <c r="K19" s="11">
        <v>21523596</v>
      </c>
      <c r="L19" s="11">
        <v>33159819</v>
      </c>
      <c r="M19" s="11">
        <v>27504331</v>
      </c>
      <c r="N19" s="11">
        <f>101300092+707323</f>
        <v>102007415</v>
      </c>
      <c r="O19" s="11">
        <f>+'[4]ENERO 09'!$F$98</f>
        <v>0</v>
      </c>
      <c r="P19" s="11">
        <f t="shared" si="3"/>
        <v>511069000</v>
      </c>
      <c r="Q19" s="11">
        <v>0</v>
      </c>
      <c r="R19" s="11">
        <f>+'[5]AGOSTO08'!$F$65</f>
        <v>21159450</v>
      </c>
      <c r="S19" s="11">
        <v>0</v>
      </c>
      <c r="T19" s="3">
        <f>+'[6]SEPTIEMBRE08'!$I$6</f>
        <v>180006772</v>
      </c>
      <c r="U19" s="3"/>
      <c r="V19" s="3"/>
      <c r="W19" s="3">
        <f t="shared" si="1"/>
        <v>35.22161821593562</v>
      </c>
      <c r="X19" s="11">
        <f>+T19-87661756</f>
        <v>92345016</v>
      </c>
      <c r="Y19" s="3"/>
      <c r="Z19" s="11"/>
      <c r="AA19" s="11"/>
      <c r="AB19" s="11"/>
      <c r="AC19" s="11"/>
      <c r="AD19" s="1"/>
    </row>
    <row r="20" spans="1:30" ht="12.75">
      <c r="A20" s="5" t="s">
        <v>32</v>
      </c>
      <c r="B20" s="11">
        <v>12723000</v>
      </c>
      <c r="C20" s="11"/>
      <c r="D20" s="11"/>
      <c r="E20" s="11">
        <v>1633088</v>
      </c>
      <c r="F20" s="11">
        <v>8487628</v>
      </c>
      <c r="G20" s="11">
        <v>506309</v>
      </c>
      <c r="H20" s="11">
        <v>676710</v>
      </c>
      <c r="I20" s="11">
        <v>3378186</v>
      </c>
      <c r="J20" s="11">
        <f>628640+207249.88</f>
        <v>835889.88</v>
      </c>
      <c r="K20" s="11">
        <v>2968850</v>
      </c>
      <c r="L20" s="11">
        <v>585030</v>
      </c>
      <c r="M20" s="11">
        <v>136000</v>
      </c>
      <c r="N20" s="11">
        <f>22300706.88-19207690.88</f>
        <v>3093016</v>
      </c>
      <c r="O20" s="11"/>
      <c r="P20" s="11">
        <f t="shared" si="3"/>
        <v>12723000</v>
      </c>
      <c r="Q20" s="11">
        <v>0</v>
      </c>
      <c r="R20" s="11">
        <f>+'[5]AGOSTO08'!$B$27+1057892</f>
        <v>2304692</v>
      </c>
      <c r="S20" s="11">
        <v>0</v>
      </c>
      <c r="T20" s="3">
        <f>3229176+R20+268385</f>
        <v>5802253</v>
      </c>
      <c r="U20" s="3"/>
      <c r="V20" s="3"/>
      <c r="W20" s="3">
        <f t="shared" si="1"/>
        <v>45.60444077654641</v>
      </c>
      <c r="X20" s="11">
        <f>+T20-3229176</f>
        <v>2573077</v>
      </c>
      <c r="Y20" s="3"/>
      <c r="Z20" s="11"/>
      <c r="AA20" s="11"/>
      <c r="AB20" s="11"/>
      <c r="AC20" s="11"/>
      <c r="AD20" s="1"/>
    </row>
    <row r="21" spans="1:30" ht="12.75">
      <c r="A21" s="7" t="s">
        <v>33</v>
      </c>
      <c r="B21" s="10">
        <v>54428000</v>
      </c>
      <c r="C21" s="11">
        <v>426256</v>
      </c>
      <c r="D21" s="11">
        <v>177520</v>
      </c>
      <c r="E21" s="11">
        <v>815304</v>
      </c>
      <c r="F21" s="11">
        <v>1044670</v>
      </c>
      <c r="G21" s="11">
        <v>210000</v>
      </c>
      <c r="H21" s="11">
        <v>497000</v>
      </c>
      <c r="I21" s="11">
        <v>1908400</v>
      </c>
      <c r="J21" s="11">
        <v>2080000</v>
      </c>
      <c r="K21" s="11">
        <v>1960300</v>
      </c>
      <c r="L21" s="11">
        <v>1071750</v>
      </c>
      <c r="M21" s="11">
        <v>486631</v>
      </c>
      <c r="N21" s="11">
        <v>3040000</v>
      </c>
      <c r="O21" s="11"/>
      <c r="P21" s="11">
        <f t="shared" si="3"/>
        <v>54428000</v>
      </c>
      <c r="Q21" s="10">
        <v>850652</v>
      </c>
      <c r="R21" s="11">
        <f>+'[5]AGOSTO08'!$B$11+1290082</f>
        <v>3857951</v>
      </c>
      <c r="S21" s="11">
        <v>0</v>
      </c>
      <c r="T21" s="3">
        <f>12180833+R21+10947572</f>
        <v>26986356</v>
      </c>
      <c r="U21" s="3"/>
      <c r="V21" s="3"/>
      <c r="W21" s="3">
        <f t="shared" si="1"/>
        <v>49.58175203939149</v>
      </c>
      <c r="X21" s="10">
        <f>+T21-12180833</f>
        <v>14805523</v>
      </c>
      <c r="Y21" s="3"/>
      <c r="Z21" s="10"/>
      <c r="AA21" s="10"/>
      <c r="AB21" s="10"/>
      <c r="AC21" s="10"/>
      <c r="AD21" s="1"/>
    </row>
    <row r="22" spans="1:30" ht="12.75">
      <c r="A22" s="7" t="s">
        <v>34</v>
      </c>
      <c r="B22" s="10">
        <v>1000000</v>
      </c>
      <c r="C22" s="11">
        <v>7540000</v>
      </c>
      <c r="D22" s="11"/>
      <c r="E22" s="11"/>
      <c r="F22" s="11"/>
      <c r="G22" s="11"/>
      <c r="H22" s="11"/>
      <c r="I22" s="11">
        <v>294000</v>
      </c>
      <c r="J22" s="11"/>
      <c r="K22" s="11"/>
      <c r="L22" s="11">
        <v>29000</v>
      </c>
      <c r="M22" s="11"/>
      <c r="N22" s="11"/>
      <c r="O22" s="11"/>
      <c r="P22" s="11">
        <f t="shared" si="3"/>
        <v>1000000</v>
      </c>
      <c r="Q22" s="10">
        <v>0</v>
      </c>
      <c r="R22" s="11">
        <v>0</v>
      </c>
      <c r="S22" s="11">
        <v>0</v>
      </c>
      <c r="T22" s="3">
        <f>+T155+Q22</f>
        <v>0</v>
      </c>
      <c r="U22" s="3"/>
      <c r="V22" s="3"/>
      <c r="W22" s="3">
        <f t="shared" si="1"/>
        <v>0</v>
      </c>
      <c r="X22" s="10" t="s">
        <v>1</v>
      </c>
      <c r="Y22" s="3"/>
      <c r="Z22" s="10"/>
      <c r="AA22" s="10"/>
      <c r="AB22" s="10"/>
      <c r="AC22" s="10"/>
      <c r="AD22" s="1"/>
    </row>
    <row r="23" spans="1:30" ht="12.75">
      <c r="A23" s="7" t="s">
        <v>35</v>
      </c>
      <c r="B23" s="10">
        <f aca="true" t="shared" si="5" ref="B23:O23">SUM(B24:B24)</f>
        <v>177967000</v>
      </c>
      <c r="C23" s="11">
        <f t="shared" si="5"/>
        <v>4768052</v>
      </c>
      <c r="D23" s="11">
        <f t="shared" si="5"/>
        <v>8290086</v>
      </c>
      <c r="E23" s="11">
        <f t="shared" si="5"/>
        <v>10672897</v>
      </c>
      <c r="F23" s="11">
        <f t="shared" si="5"/>
        <v>13361106</v>
      </c>
      <c r="G23" s="11">
        <f t="shared" si="5"/>
        <v>5435392</v>
      </c>
      <c r="H23" s="11">
        <f t="shared" si="5"/>
        <v>6359364</v>
      </c>
      <c r="I23" s="11">
        <f t="shared" si="5"/>
        <v>17667466</v>
      </c>
      <c r="J23" s="11">
        <f t="shared" si="5"/>
        <v>22629676</v>
      </c>
      <c r="K23" s="11">
        <f t="shared" si="5"/>
        <v>24318846</v>
      </c>
      <c r="L23" s="11">
        <f t="shared" si="5"/>
        <v>14234424</v>
      </c>
      <c r="M23" s="11">
        <f t="shared" si="5"/>
        <v>14378768</v>
      </c>
      <c r="N23" s="11">
        <f t="shared" si="5"/>
        <v>23388888</v>
      </c>
      <c r="O23" s="10">
        <f t="shared" si="5"/>
        <v>0</v>
      </c>
      <c r="P23" s="11">
        <f t="shared" si="3"/>
        <v>177967000</v>
      </c>
      <c r="Q23" s="10">
        <f>+Q24</f>
        <v>2589856</v>
      </c>
      <c r="R23" s="10">
        <f>SUM(R24:R24)</f>
        <v>20615935</v>
      </c>
      <c r="S23" s="10">
        <f>SUM(S24:S24)</f>
        <v>0</v>
      </c>
      <c r="T23" s="3">
        <f>+T24</f>
        <v>105479719.64</v>
      </c>
      <c r="U23" s="3"/>
      <c r="V23" s="3"/>
      <c r="W23" s="3">
        <f t="shared" si="1"/>
        <v>59.26925758146173</v>
      </c>
      <c r="X23" s="10" t="s">
        <v>1</v>
      </c>
      <c r="Y23" s="3"/>
      <c r="Z23" s="10"/>
      <c r="AA23" s="10"/>
      <c r="AB23" s="10"/>
      <c r="AC23" s="10"/>
      <c r="AD23" s="1"/>
    </row>
    <row r="24" spans="1:30" ht="12.75">
      <c r="A24" s="5" t="s">
        <v>36</v>
      </c>
      <c r="B24" s="11">
        <v>177967000</v>
      </c>
      <c r="C24" s="11">
        <v>4768052</v>
      </c>
      <c r="D24" s="11">
        <v>8290086</v>
      </c>
      <c r="E24" s="11">
        <v>10672897</v>
      </c>
      <c r="F24" s="11">
        <v>13361106</v>
      </c>
      <c r="G24" s="11">
        <v>5435392</v>
      </c>
      <c r="H24" s="11">
        <v>6359364</v>
      </c>
      <c r="I24" s="11">
        <v>17667466</v>
      </c>
      <c r="J24" s="11">
        <f>15777671+6852005</f>
        <v>22629676</v>
      </c>
      <c r="K24" s="11">
        <v>24318846</v>
      </c>
      <c r="L24" s="11">
        <v>14234424</v>
      </c>
      <c r="M24" s="11">
        <f>14378768</f>
        <v>14378768</v>
      </c>
      <c r="N24" s="11">
        <f>165504965-142116077</f>
        <v>23388888</v>
      </c>
      <c r="O24" s="11"/>
      <c r="P24" s="11">
        <f t="shared" si="3"/>
        <v>177967000</v>
      </c>
      <c r="Q24" s="11">
        <v>2589856</v>
      </c>
      <c r="R24" s="11">
        <f>+'[5]AGOSTO08'!$B$5+'[5]AGOSTO08'!$B$33+11337444</f>
        <v>20615935</v>
      </c>
      <c r="S24" s="11">
        <v>0</v>
      </c>
      <c r="T24" s="3">
        <f>74598185.64+R24+10265599</f>
        <v>105479719.64</v>
      </c>
      <c r="U24" s="3"/>
      <c r="V24" s="3"/>
      <c r="W24" s="3">
        <f t="shared" si="1"/>
        <v>59.26925758146173</v>
      </c>
      <c r="X24" s="11">
        <f>+T24-70221311.64</f>
        <v>35258408</v>
      </c>
      <c r="Y24" s="3"/>
      <c r="Z24" s="11"/>
      <c r="AA24" s="11"/>
      <c r="AB24" s="11"/>
      <c r="AC24" s="11"/>
      <c r="AD24" s="1"/>
    </row>
    <row r="25" spans="1:30" ht="12.75">
      <c r="A25" s="7" t="s">
        <v>37</v>
      </c>
      <c r="B25" s="10">
        <v>80988000</v>
      </c>
      <c r="C25" s="11" t="e">
        <f>SUM(#REF!)</f>
        <v>#REF!</v>
      </c>
      <c r="D25" s="11" t="e">
        <f>SUM(#REF!)</f>
        <v>#REF!</v>
      </c>
      <c r="E25" s="11" t="e">
        <f>SUM(#REF!)</f>
        <v>#REF!</v>
      </c>
      <c r="F25" s="11" t="e">
        <f>SUM(#REF!)</f>
        <v>#REF!</v>
      </c>
      <c r="G25" s="11" t="e">
        <f>SUM(#REF!)</f>
        <v>#REF!</v>
      </c>
      <c r="H25" s="11" t="e">
        <f>SUM(#REF!)</f>
        <v>#REF!</v>
      </c>
      <c r="I25" s="11" t="e">
        <f>SUM(#REF!)</f>
        <v>#REF!</v>
      </c>
      <c r="J25" s="11" t="e">
        <f>SUM(#REF!)</f>
        <v>#REF!</v>
      </c>
      <c r="K25" s="11" t="e">
        <f>SUM(#REF!)</f>
        <v>#REF!</v>
      </c>
      <c r="L25" s="11" t="e">
        <f>SUM(#REF!)</f>
        <v>#REF!</v>
      </c>
      <c r="M25" s="11" t="e">
        <f>SUM(#REF!)</f>
        <v>#REF!</v>
      </c>
      <c r="N25" s="11" t="e">
        <f>SUM(#REF!)</f>
        <v>#REF!</v>
      </c>
      <c r="O25" s="10">
        <v>0</v>
      </c>
      <c r="P25" s="11">
        <f t="shared" si="3"/>
        <v>80988000</v>
      </c>
      <c r="Q25" s="11">
        <v>1587896</v>
      </c>
      <c r="R25" s="10">
        <f>+'[5]AGOSTO08'!$B$9+'[5]AGOSTO08'!$B$18+'[5]AGOSTO08'!$B$35+'[5]AGOSTO08'!$B$60+'[5]AGOSTO08'!$B$86+67939904</f>
        <v>75004199</v>
      </c>
      <c r="S25" s="10">
        <v>0</v>
      </c>
      <c r="T25" s="3">
        <f>43335572+R25+1102704</f>
        <v>119442475</v>
      </c>
      <c r="U25" s="3"/>
      <c r="V25" s="3"/>
      <c r="W25" s="3">
        <f t="shared" si="1"/>
        <v>147.48169481898552</v>
      </c>
      <c r="X25" s="11">
        <f>+T25-29514427</f>
        <v>89928048</v>
      </c>
      <c r="Y25" s="3"/>
      <c r="Z25" s="11"/>
      <c r="AA25" s="10"/>
      <c r="AB25" s="10"/>
      <c r="AC25" s="10"/>
      <c r="AD25" s="1"/>
    </row>
    <row r="26" spans="1:30" ht="12.75">
      <c r="A26" s="7" t="s">
        <v>44</v>
      </c>
      <c r="B26" s="10">
        <f>+B27</f>
        <v>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0">
        <f>+O27+O28</f>
        <v>59286490</v>
      </c>
      <c r="P26" s="11">
        <f t="shared" si="3"/>
        <v>59286490</v>
      </c>
      <c r="Q26" s="10">
        <f>+Q27</f>
        <v>0</v>
      </c>
      <c r="R26" s="10">
        <f>+R27</f>
        <v>0</v>
      </c>
      <c r="S26" s="10">
        <v>0</v>
      </c>
      <c r="T26" s="3">
        <f>+T27+T28</f>
        <v>57686490</v>
      </c>
      <c r="U26" s="3"/>
      <c r="V26" s="3"/>
      <c r="W26" s="3">
        <f t="shared" si="1"/>
        <v>97.30124013076167</v>
      </c>
      <c r="X26" s="10" t="s">
        <v>1</v>
      </c>
      <c r="Y26" s="3"/>
      <c r="Z26" s="10"/>
      <c r="AA26" s="10"/>
      <c r="AB26" s="10"/>
      <c r="AC26" s="10"/>
      <c r="AD26" s="1"/>
    </row>
    <row r="27" spans="1:30" ht="12.75">
      <c r="A27" s="7" t="s">
        <v>99</v>
      </c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0">
        <v>56086490</v>
      </c>
      <c r="P27" s="11">
        <f t="shared" si="3"/>
        <v>56086490</v>
      </c>
      <c r="Q27" s="10">
        <v>0</v>
      </c>
      <c r="R27" s="10">
        <v>0</v>
      </c>
      <c r="S27" s="10">
        <v>0</v>
      </c>
      <c r="T27" s="3">
        <f>56086490+R27</f>
        <v>56086490</v>
      </c>
      <c r="U27" s="3"/>
      <c r="V27" s="3"/>
      <c r="W27" s="3">
        <f t="shared" si="1"/>
        <v>100</v>
      </c>
      <c r="X27" s="10" t="s">
        <v>1</v>
      </c>
      <c r="Y27" s="3"/>
      <c r="Z27" s="10"/>
      <c r="AA27" s="10"/>
      <c r="AB27" s="10"/>
      <c r="AC27" s="10"/>
      <c r="AD27" s="1"/>
    </row>
    <row r="28" spans="1:30" ht="12.75">
      <c r="A28" s="7" t="s">
        <v>100</v>
      </c>
      <c r="B28" s="10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0">
        <v>3200000</v>
      </c>
      <c r="P28" s="11">
        <f>+B28+O28</f>
        <v>3200000</v>
      </c>
      <c r="Q28" s="10"/>
      <c r="R28" s="10">
        <v>0</v>
      </c>
      <c r="S28" s="10">
        <v>0</v>
      </c>
      <c r="T28" s="3">
        <f>1600000+R28</f>
        <v>1600000</v>
      </c>
      <c r="U28" s="3"/>
      <c r="V28" s="3"/>
      <c r="W28" s="3">
        <f t="shared" si="1"/>
        <v>50</v>
      </c>
      <c r="X28" s="10" t="s">
        <v>1</v>
      </c>
      <c r="Y28" s="3"/>
      <c r="Z28" s="10"/>
      <c r="AA28" s="10"/>
      <c r="AB28" s="10"/>
      <c r="AC28" s="10"/>
      <c r="AD28" s="1"/>
    </row>
    <row r="29" spans="1:30" ht="12.75">
      <c r="A29" s="7" t="s">
        <v>38</v>
      </c>
      <c r="B29" s="10">
        <f>+B30+B31+B32</f>
        <v>1932248000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0">
        <f>+O30+O31+O32</f>
        <v>515409946</v>
      </c>
      <c r="P29" s="11">
        <f>+B29+O29</f>
        <v>2447657946</v>
      </c>
      <c r="Q29" s="10" t="e">
        <f>+Q30+Q31+Q32</f>
        <v>#REF!</v>
      </c>
      <c r="R29" s="10">
        <f>+R30+R31+R32</f>
        <v>53155179.45</v>
      </c>
      <c r="S29" s="10">
        <f>+S30+S31+S32</f>
        <v>0</v>
      </c>
      <c r="T29" s="3">
        <f>+T30+T31+T32</f>
        <v>1797141093.75</v>
      </c>
      <c r="U29" s="3"/>
      <c r="V29" s="3"/>
      <c r="W29" s="3">
        <f t="shared" si="1"/>
        <v>73.42288560731761</v>
      </c>
      <c r="X29" s="10" t="s">
        <v>1</v>
      </c>
      <c r="Y29" s="3"/>
      <c r="Z29" s="10"/>
      <c r="AA29" s="10"/>
      <c r="AB29" s="10"/>
      <c r="AC29" s="10"/>
      <c r="AD29" s="1"/>
    </row>
    <row r="30" spans="1:30" ht="12.75">
      <c r="A30" s="7" t="s">
        <v>6</v>
      </c>
      <c r="B30" s="10">
        <v>171248000</v>
      </c>
      <c r="C30" s="11">
        <v>898886</v>
      </c>
      <c r="D30" s="11">
        <f>4306726+216132</f>
        <v>4522858</v>
      </c>
      <c r="E30" s="11">
        <f>751140+23292827</f>
        <v>24043967</v>
      </c>
      <c r="F30" s="11">
        <v>8452240</v>
      </c>
      <c r="G30" s="11">
        <v>4422172</v>
      </c>
      <c r="H30" s="11">
        <f>7484642+234363</f>
        <v>7719005</v>
      </c>
      <c r="I30" s="11">
        <f>102855+5416914</f>
        <v>5519769</v>
      </c>
      <c r="J30" s="11">
        <f>6098966+444960+3514791+65855</f>
        <v>10124572</v>
      </c>
      <c r="K30" s="11">
        <f>191152+1348022+3219820.01</f>
        <v>4758994.01</v>
      </c>
      <c r="L30" s="11">
        <f>350566+9695840</f>
        <v>10046406</v>
      </c>
      <c r="M30" s="11">
        <f>579536+7833208+436291+345639</f>
        <v>9194674</v>
      </c>
      <c r="N30" s="11">
        <f>112132152.5-89703543.01</f>
        <v>22428609.489999995</v>
      </c>
      <c r="O30" s="11"/>
      <c r="P30" s="11">
        <f t="shared" si="3"/>
        <v>171248000</v>
      </c>
      <c r="Q30" s="10" t="e">
        <f>+'[4]ENERO 09'!$A$69</f>
        <v>#REF!</v>
      </c>
      <c r="R30" s="11">
        <f>+'[5]AGOSTO08'!$B$39+'[5]AGOSTO08'!$B$57-4486934.55</f>
        <v>14202322.45</v>
      </c>
      <c r="S30" s="11">
        <v>0</v>
      </c>
      <c r="T30" s="3">
        <f>72061124.47+R30+45947016.83</f>
        <v>132210463.75</v>
      </c>
      <c r="U30" s="3"/>
      <c r="V30" s="3"/>
      <c r="W30" s="3">
        <f t="shared" si="1"/>
        <v>77.20409216458003</v>
      </c>
      <c r="X30" s="10">
        <f>+T30-66817279.32</f>
        <v>65393184.43</v>
      </c>
      <c r="Y30" s="3"/>
      <c r="Z30" s="10"/>
      <c r="AA30" s="10"/>
      <c r="AB30" s="10"/>
      <c r="AC30" s="10"/>
      <c r="AD30" s="1"/>
    </row>
    <row r="31" spans="1:30" ht="12.75">
      <c r="A31" s="7" t="s">
        <v>9</v>
      </c>
      <c r="B31" s="10">
        <v>0</v>
      </c>
      <c r="C31" s="11"/>
      <c r="D31" s="11"/>
      <c r="E31" s="11"/>
      <c r="F31" s="11">
        <f>+B31</f>
        <v>0</v>
      </c>
      <c r="G31" s="11"/>
      <c r="H31" s="11"/>
      <c r="I31" s="11"/>
      <c r="J31" s="11"/>
      <c r="K31" s="11"/>
      <c r="L31" s="11"/>
      <c r="M31" s="11"/>
      <c r="N31" s="11"/>
      <c r="O31" s="11">
        <v>515409946</v>
      </c>
      <c r="P31" s="11">
        <f t="shared" si="3"/>
        <v>515409946</v>
      </c>
      <c r="Q31" s="11">
        <v>0</v>
      </c>
      <c r="R31" s="11">
        <v>0</v>
      </c>
      <c r="S31" s="11">
        <v>0</v>
      </c>
      <c r="T31" s="3">
        <f>515409946+R31</f>
        <v>515409946</v>
      </c>
      <c r="U31" s="3"/>
      <c r="V31" s="3"/>
      <c r="W31" s="3">
        <f>+T31/P31*100</f>
        <v>100</v>
      </c>
      <c r="X31" s="11" t="s">
        <v>1</v>
      </c>
      <c r="Y31" s="3"/>
      <c r="Z31" s="11"/>
      <c r="AA31" s="11"/>
      <c r="AB31" s="11"/>
      <c r="AC31" s="11"/>
      <c r="AD31" s="1"/>
    </row>
    <row r="32" spans="1:30" ht="12.75">
      <c r="A32" s="7" t="s">
        <v>39</v>
      </c>
      <c r="B32" s="10">
        <f>+B33+B34</f>
        <v>1761000000</v>
      </c>
      <c r="C32" s="11" t="e">
        <f>+#REF!+#REF!</f>
        <v>#REF!</v>
      </c>
      <c r="D32" s="11" t="e">
        <f>+#REF!+#REF!</f>
        <v>#REF!</v>
      </c>
      <c r="E32" s="11" t="e">
        <f>+#REF!+#REF!</f>
        <v>#REF!</v>
      </c>
      <c r="F32" s="11" t="e">
        <f>+#REF!+#REF!</f>
        <v>#REF!</v>
      </c>
      <c r="G32" s="11" t="e">
        <f>+#REF!+#REF!</f>
        <v>#REF!</v>
      </c>
      <c r="H32" s="11" t="e">
        <f>+#REF!+#REF!</f>
        <v>#REF!</v>
      </c>
      <c r="I32" s="11" t="e">
        <f>+#REF!+#REF!</f>
        <v>#REF!</v>
      </c>
      <c r="J32" s="11" t="e">
        <f>+#REF!+#REF!</f>
        <v>#REF!</v>
      </c>
      <c r="K32" s="11" t="e">
        <f>+#REF!+#REF!</f>
        <v>#REF!</v>
      </c>
      <c r="L32" s="11" t="e">
        <f>+#REF!+#REF!</f>
        <v>#REF!</v>
      </c>
      <c r="M32" s="11" t="e">
        <f>+#REF!+#REF!</f>
        <v>#REF!</v>
      </c>
      <c r="N32" s="11" t="e">
        <f>+#REF!+#REF!</f>
        <v>#REF!</v>
      </c>
      <c r="O32" s="10">
        <v>0</v>
      </c>
      <c r="P32" s="11">
        <f t="shared" si="3"/>
        <v>1761000000</v>
      </c>
      <c r="Q32" s="10">
        <v>120584565</v>
      </c>
      <c r="R32" s="10">
        <f>+R33+R34</f>
        <v>38952857</v>
      </c>
      <c r="S32" s="10">
        <v>0</v>
      </c>
      <c r="T32" s="3">
        <f>+T33+T34</f>
        <v>1149520684</v>
      </c>
      <c r="U32" s="3"/>
      <c r="V32" s="3"/>
      <c r="W32" s="3">
        <f t="shared" si="1"/>
        <v>65.27658625780806</v>
      </c>
      <c r="X32" s="10">
        <f>+T32-767388060</f>
        <v>382132624</v>
      </c>
      <c r="Y32" s="3"/>
      <c r="Z32" s="10"/>
      <c r="AA32" s="10"/>
      <c r="AB32" s="10"/>
      <c r="AC32" s="10"/>
      <c r="AD32" s="1"/>
    </row>
    <row r="33" spans="1:30" ht="12.75">
      <c r="A33" s="5" t="s">
        <v>31</v>
      </c>
      <c r="B33" s="10">
        <v>680000000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0">
        <v>0</v>
      </c>
      <c r="P33" s="11">
        <f>+B33+O33</f>
        <v>680000000</v>
      </c>
      <c r="Q33" s="10"/>
      <c r="R33" s="10">
        <f>+'[5]AGOSTO08'!$G$65-15702200</f>
        <v>31452677</v>
      </c>
      <c r="S33" s="10"/>
      <c r="T33" s="3">
        <f>+'[6]SEPTIEMBRE08'!$I$8</f>
        <v>467358736</v>
      </c>
      <c r="U33" s="3"/>
      <c r="V33" s="3"/>
      <c r="W33" s="3">
        <f t="shared" si="1"/>
        <v>68.72922588235294</v>
      </c>
      <c r="X33" s="10" t="s">
        <v>1</v>
      </c>
      <c r="Y33" s="3"/>
      <c r="Z33" s="10"/>
      <c r="AA33" s="10"/>
      <c r="AB33" s="10"/>
      <c r="AC33" s="10"/>
      <c r="AD33" s="1"/>
    </row>
    <row r="34" spans="1:30" ht="12.75">
      <c r="A34" s="5" t="s">
        <v>101</v>
      </c>
      <c r="B34" s="10">
        <v>1081000000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0">
        <v>0</v>
      </c>
      <c r="P34" s="11">
        <f>+B34+O34</f>
        <v>1081000000</v>
      </c>
      <c r="Q34" s="10"/>
      <c r="R34" s="10">
        <f>+'[5]AGOSTO08'!$C$79</f>
        <v>7500180</v>
      </c>
      <c r="S34" s="10"/>
      <c r="T34" s="3">
        <f>674661768+R34</f>
        <v>682161948</v>
      </c>
      <c r="U34" s="3"/>
      <c r="V34" s="3"/>
      <c r="W34" s="3">
        <f t="shared" si="1"/>
        <v>63.104713043478256</v>
      </c>
      <c r="X34" s="10" t="s">
        <v>1</v>
      </c>
      <c r="Y34" s="3"/>
      <c r="Z34" s="10"/>
      <c r="AA34" s="10"/>
      <c r="AB34" s="10"/>
      <c r="AC34" s="10"/>
      <c r="AD34" s="1"/>
    </row>
    <row r="35" spans="1:30" ht="12.75">
      <c r="A35" s="5"/>
      <c r="B35" s="11"/>
      <c r="C35" s="11"/>
      <c r="D35" s="11"/>
      <c r="E35" s="11" t="s">
        <v>1</v>
      </c>
      <c r="F35" s="11" t="s">
        <v>1</v>
      </c>
      <c r="G35" s="11" t="s">
        <v>1</v>
      </c>
      <c r="H35" s="11" t="s">
        <v>1</v>
      </c>
      <c r="I35" s="11" t="s">
        <v>1</v>
      </c>
      <c r="J35" s="11" t="s">
        <v>1</v>
      </c>
      <c r="K35" s="11" t="s">
        <v>1</v>
      </c>
      <c r="L35" s="11" t="s">
        <v>1</v>
      </c>
      <c r="M35" s="11" t="s">
        <v>1</v>
      </c>
      <c r="N35" s="11" t="s">
        <v>1</v>
      </c>
      <c r="O35" s="11"/>
      <c r="P35" s="11" t="s">
        <v>1</v>
      </c>
      <c r="Q35" s="11" t="s">
        <v>1</v>
      </c>
      <c r="R35" s="11"/>
      <c r="S35" s="11"/>
      <c r="T35" s="3" t="s">
        <v>1</v>
      </c>
      <c r="U35" s="3"/>
      <c r="V35" s="3"/>
      <c r="W35" s="3" t="s">
        <v>1</v>
      </c>
      <c r="X35" s="11"/>
      <c r="Y35" s="3"/>
      <c r="Z35" s="11"/>
      <c r="AA35" s="1"/>
      <c r="AB35" s="1"/>
      <c r="AC35" s="1"/>
      <c r="AD35" s="1"/>
    </row>
    <row r="36" spans="1:29" ht="12.75">
      <c r="A36" s="7" t="s">
        <v>40</v>
      </c>
      <c r="B36" s="10">
        <f>+B7+B29</f>
        <v>10263763258</v>
      </c>
      <c r="C36" s="10" t="e">
        <f>+C10+C15+C17+C21+C22+C23+C25+#REF!+#REF!+C30+C31+C32+#REF!</f>
        <v>#REF!</v>
      </c>
      <c r="D36" s="10" t="e">
        <f>+D10+D15+D17+D21+D22+D23+D25+#REF!+#REF!+D30+D31+D32+#REF!</f>
        <v>#REF!</v>
      </c>
      <c r="E36" s="10" t="e">
        <f>+E10+E15+E17+E21+E22+E23+E25+#REF!+#REF!+E30+E31+E32+#REF!</f>
        <v>#REF!</v>
      </c>
      <c r="F36" s="10" t="e">
        <f>+F10+F15+F17+F21+F22+F23+F25+#REF!+#REF!+F30+F31+F32+#REF!</f>
        <v>#REF!</v>
      </c>
      <c r="G36" s="10" t="e">
        <f>+G10+G15+G17+G21+G22+G23+G25+#REF!+#REF!+G30+G31+G32+#REF!</f>
        <v>#REF!</v>
      </c>
      <c r="H36" s="10" t="e">
        <f>+H10+H15+H17+H21+H22+H23+H25+#REF!+#REF!+H30+H31+H32+#REF!</f>
        <v>#REF!</v>
      </c>
      <c r="I36" s="10" t="e">
        <f>+I10+I15+I17+I21+I22+I23+I25+#REF!+#REF!+I30+I31+I32+#REF!</f>
        <v>#REF!</v>
      </c>
      <c r="J36" s="10" t="e">
        <f>+J10+J15+J17+J21+J22+J23+J25+#REF!+#REF!+J30+J31+J32+#REF!</f>
        <v>#REF!</v>
      </c>
      <c r="K36" s="10" t="e">
        <f>+K10+K15+K17+K21+K22+K23+K25+#REF!+#REF!+K30+K31+K32+#REF!</f>
        <v>#REF!</v>
      </c>
      <c r="L36" s="10" t="e">
        <f>+L10+L15+L17+L21+L22+L23+L25+#REF!+#REF!+L30+L31+L32+#REF!</f>
        <v>#REF!</v>
      </c>
      <c r="M36" s="10" t="e">
        <f>+M10+M15+M17+M21+M22+M23+M25+#REF!+#REF!+M30+M31+M32+#REF!</f>
        <v>#REF!</v>
      </c>
      <c r="N36" s="10" t="e">
        <f>+N10+N15+N17+N21+N22+N23+N25+#REF!+#REF!+N30+N31+N32+#REF!</f>
        <v>#REF!</v>
      </c>
      <c r="O36" s="10">
        <f>+O7+O29</f>
        <v>574696436</v>
      </c>
      <c r="P36" s="10">
        <f>+P7+P29</f>
        <v>10838459694</v>
      </c>
      <c r="Q36" s="14" t="e">
        <f>+Q29+Q7</f>
        <v>#REF!</v>
      </c>
      <c r="R36" s="10">
        <f>+R7+R29</f>
        <v>770359538.45</v>
      </c>
      <c r="S36" s="10">
        <f>+S7+S29</f>
        <v>640049685</v>
      </c>
      <c r="T36" s="3">
        <f>+T7+T29</f>
        <v>8149504316.059999</v>
      </c>
      <c r="U36" s="3"/>
      <c r="V36" s="3"/>
      <c r="W36" s="3">
        <f>+T36/P36*100</f>
        <v>75.190613298783</v>
      </c>
      <c r="X36" s="14" t="s">
        <v>1</v>
      </c>
      <c r="Y36" s="12"/>
      <c r="Z36" s="14"/>
      <c r="AC36" s="1"/>
    </row>
    <row r="37" spans="1:30" ht="12.75">
      <c r="A37" s="7" t="s">
        <v>41</v>
      </c>
      <c r="B37" s="11">
        <v>1334597240</v>
      </c>
      <c r="O37" s="1">
        <f>1243847230+218723748</f>
        <v>1462570978</v>
      </c>
      <c r="P37" s="1">
        <f>+B37+O37</f>
        <v>2797168218</v>
      </c>
      <c r="Q37" s="1">
        <v>83587896</v>
      </c>
      <c r="R37" s="1">
        <f>+'[5]AGOSTO08'!$B$24-10160688</f>
        <v>95650051</v>
      </c>
      <c r="S37" s="1">
        <v>0</v>
      </c>
      <c r="T37" s="3">
        <f>1983413501+R37+98059111</f>
        <v>2177122663</v>
      </c>
      <c r="U37" s="3"/>
      <c r="V37" s="3"/>
      <c r="W37" s="3">
        <f>+T37/P37*100</f>
        <v>77.83309738005897</v>
      </c>
      <c r="X37" s="1">
        <f>+T37-1857836123</f>
        <v>319286540</v>
      </c>
      <c r="Y37" s="12"/>
      <c r="Z37" s="1"/>
      <c r="AD37" s="1"/>
    </row>
    <row r="38" spans="2:26" ht="12.75">
      <c r="B38" s="1" t="s">
        <v>1</v>
      </c>
      <c r="O38" s="1" t="s">
        <v>1</v>
      </c>
      <c r="Q38" s="1"/>
      <c r="R38" s="1" t="s">
        <v>1</v>
      </c>
      <c r="S38" s="1"/>
      <c r="T38" s="3" t="s">
        <v>1</v>
      </c>
      <c r="U38" s="3"/>
      <c r="V38" s="3"/>
      <c r="W38" s="3" t="s">
        <v>1</v>
      </c>
      <c r="X38" s="1" t="s">
        <v>1</v>
      </c>
      <c r="Y38" s="12"/>
      <c r="Z38" s="1"/>
    </row>
    <row r="39" spans="1:26" ht="12.75">
      <c r="A39" s="7" t="s">
        <v>42</v>
      </c>
      <c r="B39" s="14">
        <f>+B36+B37</f>
        <v>11598360498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4">
        <f aca="true" t="shared" si="6" ref="O39:T39">+O36+O37</f>
        <v>2037267414</v>
      </c>
      <c r="P39" s="14">
        <f t="shared" si="6"/>
        <v>13635627912</v>
      </c>
      <c r="Q39" s="14" t="e">
        <f t="shared" si="6"/>
        <v>#REF!</v>
      </c>
      <c r="R39" s="14">
        <f t="shared" si="6"/>
        <v>866009589.45</v>
      </c>
      <c r="S39" s="14">
        <f t="shared" si="6"/>
        <v>640049685</v>
      </c>
      <c r="T39" s="3">
        <f t="shared" si="6"/>
        <v>10326626979.06</v>
      </c>
      <c r="U39" s="3"/>
      <c r="V39" s="3"/>
      <c r="W39" s="3">
        <f>+T39/P39*100</f>
        <v>75.73268386102026</v>
      </c>
      <c r="X39" s="14"/>
      <c r="Y39" s="12"/>
      <c r="Z39" s="14"/>
    </row>
    <row r="40" spans="16:25" ht="12.75">
      <c r="P40" s="1" t="s">
        <v>1</v>
      </c>
      <c r="Q40" s="1"/>
      <c r="R40" s="1" t="s">
        <v>1</v>
      </c>
      <c r="S40" s="1"/>
      <c r="T40" s="1" t="s">
        <v>1</v>
      </c>
      <c r="U40" s="1"/>
      <c r="V40" s="1"/>
      <c r="W40" t="s">
        <v>1</v>
      </c>
      <c r="Y40" s="12"/>
    </row>
    <row r="41" spans="2:25" ht="12.75">
      <c r="B41" s="1" t="s">
        <v>1</v>
      </c>
      <c r="O41" t="s">
        <v>1</v>
      </c>
      <c r="Q41" s="1" t="s">
        <v>1</v>
      </c>
      <c r="R41" s="1" t="s">
        <v>1</v>
      </c>
      <c r="S41" s="1" t="s">
        <v>1</v>
      </c>
      <c r="T41" s="1" t="s">
        <v>1</v>
      </c>
      <c r="W41" t="s">
        <v>1</v>
      </c>
      <c r="Y41" s="12"/>
    </row>
    <row r="42" spans="1:25" ht="12.75">
      <c r="A42" s="2" t="s">
        <v>1</v>
      </c>
      <c r="Q42" s="1" t="s">
        <v>1</v>
      </c>
      <c r="R42" s="1"/>
      <c r="S42" s="1"/>
      <c r="T42" s="1" t="s">
        <v>1</v>
      </c>
      <c r="Y42" s="12"/>
    </row>
    <row r="43" spans="1:25" ht="12.75">
      <c r="A43" s="2" t="s">
        <v>1</v>
      </c>
      <c r="Y43" s="12"/>
    </row>
    <row r="44" ht="12.75">
      <c r="Y44" s="1"/>
    </row>
    <row r="45" spans="1:25" ht="12.75">
      <c r="A45" s="2" t="s">
        <v>106</v>
      </c>
      <c r="B45" s="13" t="s">
        <v>103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 t="s">
        <v>104</v>
      </c>
      <c r="Y45" s="1"/>
    </row>
    <row r="46" ht="12.75">
      <c r="Y46" s="1"/>
    </row>
    <row r="47" spans="1:32" ht="12.75">
      <c r="A47" s="1" t="s">
        <v>105</v>
      </c>
      <c r="B47" s="1">
        <f>+(T18+T34)*90%</f>
        <v>1270870188.3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>
        <f>+(T19+T33)*90%</f>
        <v>582628957.2</v>
      </c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hidden="1">
      <c r="A49" s="48" t="s">
        <v>0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hidden="1">
      <c r="A50" s="48" t="s">
        <v>47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hidden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4">
        <v>39448</v>
      </c>
      <c r="X51" s="48"/>
      <c r="Y51" s="48"/>
      <c r="Z51" s="48"/>
      <c r="AA51" s="48"/>
      <c r="AB51" s="48"/>
      <c r="AC51" s="48"/>
      <c r="AD51" s="48"/>
      <c r="AE51" s="48"/>
      <c r="AF51" s="48"/>
    </row>
    <row r="52" spans="1:32" ht="25.5" hidden="1">
      <c r="A52" s="11"/>
      <c r="B52" s="8" t="s">
        <v>10</v>
      </c>
      <c r="C52" s="49" t="s">
        <v>11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11"/>
      <c r="O52" s="3" t="s">
        <v>2</v>
      </c>
      <c r="P52" s="8" t="s">
        <v>12</v>
      </c>
      <c r="Q52" s="8" t="s">
        <v>49</v>
      </c>
      <c r="R52" s="8"/>
      <c r="S52" s="8"/>
      <c r="T52" s="8" t="s">
        <v>50</v>
      </c>
      <c r="U52" s="8"/>
      <c r="V52" s="8"/>
      <c r="W52" s="8" t="s">
        <v>46</v>
      </c>
      <c r="X52" s="48"/>
      <c r="Y52" s="48"/>
      <c r="Z52" s="48"/>
      <c r="AA52" s="48"/>
      <c r="AB52" s="48"/>
      <c r="AC52" s="48"/>
      <c r="AD52" s="48"/>
      <c r="AE52" s="48"/>
      <c r="AF52" s="48"/>
    </row>
    <row r="53" spans="1:32" ht="12.75" hidden="1">
      <c r="A53" s="3" t="s">
        <v>7</v>
      </c>
      <c r="B53" s="3" t="s">
        <v>1</v>
      </c>
      <c r="C53" s="3" t="s">
        <v>13</v>
      </c>
      <c r="D53" s="3" t="s">
        <v>14</v>
      </c>
      <c r="E53" s="3" t="s">
        <v>15</v>
      </c>
      <c r="F53" s="3" t="s">
        <v>16</v>
      </c>
      <c r="G53" s="3" t="s">
        <v>8</v>
      </c>
      <c r="H53" s="3" t="s">
        <v>17</v>
      </c>
      <c r="I53" s="3" t="s">
        <v>18</v>
      </c>
      <c r="J53" s="3" t="s">
        <v>19</v>
      </c>
      <c r="K53" s="3" t="s">
        <v>20</v>
      </c>
      <c r="L53" s="3" t="s">
        <v>21</v>
      </c>
      <c r="M53" s="3" t="s">
        <v>22</v>
      </c>
      <c r="N53" s="3" t="s">
        <v>23</v>
      </c>
      <c r="O53" s="3"/>
      <c r="P53" s="3"/>
      <c r="Q53" s="3"/>
      <c r="R53" s="3"/>
      <c r="S53" s="3"/>
      <c r="T53" s="3"/>
      <c r="U53" s="3"/>
      <c r="V53" s="3"/>
      <c r="W53" s="3"/>
      <c r="X53" s="14"/>
      <c r="Y53" s="14"/>
      <c r="Z53" s="14"/>
      <c r="AA53" s="14"/>
      <c r="AB53" s="1"/>
      <c r="AC53" s="1"/>
      <c r="AD53" s="1"/>
      <c r="AE53" s="1"/>
      <c r="AF53" s="1"/>
    </row>
    <row r="54" spans="1:32" ht="12.75" hidden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8"/>
      <c r="Y54" s="38"/>
      <c r="Z54" s="38"/>
      <c r="AA54" s="38"/>
      <c r="AB54" s="38"/>
      <c r="AC54" s="38"/>
      <c r="AD54" s="38"/>
      <c r="AE54" s="39"/>
      <c r="AF54" s="38"/>
    </row>
    <row r="55" spans="1:32" ht="12.75" hidden="1">
      <c r="A55" s="40" t="s">
        <v>24</v>
      </c>
      <c r="B55" s="3">
        <f>+B57+B62</f>
        <v>8163010065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>
        <f>+O57+O62</f>
        <v>1230345600</v>
      </c>
      <c r="P55" s="3">
        <f>+P57+P62</f>
        <v>9393355665</v>
      </c>
      <c r="Q55" s="3">
        <f>+Q57+Q62</f>
        <v>42955807</v>
      </c>
      <c r="R55" s="3"/>
      <c r="S55" s="3"/>
      <c r="T55" s="3">
        <f>+T57+T62</f>
        <v>345047922</v>
      </c>
      <c r="U55" s="3"/>
      <c r="V55" s="3"/>
      <c r="W55" s="3">
        <f>+T55/P55*100</f>
        <v>3.6733190385376515</v>
      </c>
      <c r="X55" s="38"/>
      <c r="Y55" s="38"/>
      <c r="Z55" s="38"/>
      <c r="AA55" s="39"/>
      <c r="AB55" s="38"/>
      <c r="AC55" s="39"/>
      <c r="AD55" s="38"/>
      <c r="AE55" s="38"/>
      <c r="AF55" s="38"/>
    </row>
    <row r="56" spans="1:32" ht="12.75" hidden="1">
      <c r="A56" s="4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8"/>
      <c r="Y56" s="38"/>
      <c r="Z56" s="38"/>
      <c r="AA56" s="39"/>
      <c r="AB56" s="38"/>
      <c r="AC56" s="39"/>
      <c r="AD56" s="38"/>
      <c r="AE56" s="38"/>
      <c r="AF56" s="38"/>
    </row>
    <row r="57" spans="1:33" ht="12.75" hidden="1">
      <c r="A57" s="10" t="s">
        <v>3</v>
      </c>
      <c r="B57" s="10">
        <f>+B58</f>
        <v>3471300000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0">
        <f>+O58</f>
        <v>0</v>
      </c>
      <c r="P57" s="11">
        <f>+B57+O57</f>
        <v>3471300000</v>
      </c>
      <c r="Q57" s="10">
        <f>+Q58</f>
        <v>0</v>
      </c>
      <c r="R57" s="10"/>
      <c r="S57" s="10"/>
      <c r="T57" s="10">
        <f>+T58</f>
        <v>0</v>
      </c>
      <c r="U57" s="10"/>
      <c r="V57" s="10"/>
      <c r="W57" s="3">
        <f>+T57/P57*100</f>
        <v>0</v>
      </c>
      <c r="X57" s="1"/>
      <c r="Y57" s="1"/>
      <c r="Z57" s="1"/>
      <c r="AA57" s="1"/>
      <c r="AB57" s="1"/>
      <c r="AC57" s="1"/>
      <c r="AD57" s="1"/>
      <c r="AE57" s="1"/>
      <c r="AF57" s="1"/>
      <c r="AG57" s="1">
        <f aca="true" t="shared" si="7" ref="AG57:AG62">+Y57-AF57</f>
        <v>0</v>
      </c>
    </row>
    <row r="58" spans="1:33" ht="12.75" hidden="1">
      <c r="A58" s="10" t="s">
        <v>25</v>
      </c>
      <c r="B58" s="10">
        <f>+B59+B60</f>
        <v>3471300000</v>
      </c>
      <c r="C58" s="11"/>
      <c r="D58" s="11">
        <v>177520</v>
      </c>
      <c r="E58" s="11"/>
      <c r="F58" s="11">
        <v>165006728</v>
      </c>
      <c r="G58" s="11">
        <v>1414514385</v>
      </c>
      <c r="H58" s="11">
        <v>4948458</v>
      </c>
      <c r="I58" s="11">
        <v>573117327</v>
      </c>
      <c r="J58" s="11">
        <f>139033811-14448995.38</f>
        <v>124584815.62</v>
      </c>
      <c r="K58" s="11">
        <v>93361900</v>
      </c>
      <c r="L58" s="11">
        <v>25720312</v>
      </c>
      <c r="M58" s="11">
        <v>242733948</v>
      </c>
      <c r="N58" s="11">
        <f>65086606+14219504.38-900076.38-6867260+6687809</f>
        <v>78226583</v>
      </c>
      <c r="O58" s="10">
        <f>+O59+O60</f>
        <v>0</v>
      </c>
      <c r="P58" s="11">
        <f>+B58+O58</f>
        <v>3471300000</v>
      </c>
      <c r="Q58" s="10">
        <f>+Q59+Q60</f>
        <v>0</v>
      </c>
      <c r="R58" s="10"/>
      <c r="S58" s="10"/>
      <c r="T58" s="10">
        <f>+T59+T60</f>
        <v>0</v>
      </c>
      <c r="U58" s="10"/>
      <c r="V58" s="10"/>
      <c r="W58" s="3">
        <f>+T58/P58*100</f>
        <v>0</v>
      </c>
      <c r="X58" s="1"/>
      <c r="Y58" s="1"/>
      <c r="Z58" s="1"/>
      <c r="AA58" s="1"/>
      <c r="AB58" s="1"/>
      <c r="AC58" s="1"/>
      <c r="AD58" s="1"/>
      <c r="AE58" s="1"/>
      <c r="AF58" s="1"/>
      <c r="AG58" s="1">
        <f t="shared" si="7"/>
        <v>0</v>
      </c>
    </row>
    <row r="59" spans="1:33" ht="12.75" hidden="1">
      <c r="A59" s="11" t="s">
        <v>26</v>
      </c>
      <c r="B59" s="11">
        <v>2106300000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>
        <f>+B59+O59</f>
        <v>2106300000</v>
      </c>
      <c r="Q59" s="11">
        <v>0</v>
      </c>
      <c r="R59" s="11"/>
      <c r="S59" s="11"/>
      <c r="T59" s="11">
        <v>0</v>
      </c>
      <c r="U59" s="11"/>
      <c r="V59" s="11"/>
      <c r="W59" s="3">
        <f>+T59/P59*100</f>
        <v>0</v>
      </c>
      <c r="X59" s="1"/>
      <c r="Y59" s="1"/>
      <c r="Z59" s="1"/>
      <c r="AA59" s="1"/>
      <c r="AB59" s="1"/>
      <c r="AC59" s="1"/>
      <c r="AD59" s="1"/>
      <c r="AE59" s="1"/>
      <c r="AF59" s="1"/>
      <c r="AG59" s="1">
        <f t="shared" si="7"/>
        <v>0</v>
      </c>
    </row>
    <row r="60" spans="1:33" ht="12.75" hidden="1">
      <c r="A60" s="11" t="s">
        <v>27</v>
      </c>
      <c r="B60" s="11">
        <v>1365000000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>
        <f>+B60+O60</f>
        <v>1365000000</v>
      </c>
      <c r="Q60" s="11">
        <v>0</v>
      </c>
      <c r="R60" s="11"/>
      <c r="S60" s="11"/>
      <c r="T60" s="11">
        <v>0</v>
      </c>
      <c r="U60" s="11"/>
      <c r="V60" s="11"/>
      <c r="W60" s="3">
        <f>+T60/P60*100</f>
        <v>0</v>
      </c>
      <c r="X60" s="1"/>
      <c r="Y60" s="1"/>
      <c r="Z60" s="1"/>
      <c r="AA60" s="1"/>
      <c r="AB60" s="1"/>
      <c r="AC60" s="1"/>
      <c r="AD60" s="1"/>
      <c r="AE60" s="1"/>
      <c r="AF60" s="1"/>
      <c r="AG60" s="1">
        <f t="shared" si="7"/>
        <v>0</v>
      </c>
    </row>
    <row r="61" spans="1:33" ht="12.75" hidden="1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 t="s">
        <v>1</v>
      </c>
      <c r="Q61" s="10"/>
      <c r="R61" s="10"/>
      <c r="S61" s="10"/>
      <c r="T61" s="10"/>
      <c r="U61" s="10"/>
      <c r="V61" s="10"/>
      <c r="W61" s="3" t="s">
        <v>1</v>
      </c>
      <c r="X61" s="1"/>
      <c r="Y61" s="1"/>
      <c r="Z61" s="1"/>
      <c r="AA61" s="1"/>
      <c r="AB61" s="1"/>
      <c r="AC61" s="1"/>
      <c r="AD61" s="1"/>
      <c r="AE61" s="1"/>
      <c r="AF61" s="1"/>
      <c r="AG61" s="1">
        <f t="shared" si="7"/>
        <v>0</v>
      </c>
    </row>
    <row r="62" spans="1:33" ht="12.75" hidden="1">
      <c r="A62" s="10" t="s">
        <v>4</v>
      </c>
      <c r="B62" s="10">
        <f>+B63+B64+B73+B74</f>
        <v>4691710065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0">
        <f>+O63+O64+O73+O74</f>
        <v>1230345600</v>
      </c>
      <c r="P62" s="10">
        <f>+P63+P64+P73+P74</f>
        <v>5922055665</v>
      </c>
      <c r="Q62" s="10">
        <f>+Q63+Q64+Q73+Q74</f>
        <v>42955807</v>
      </c>
      <c r="R62" s="10"/>
      <c r="S62" s="10"/>
      <c r="T62" s="10">
        <f>+T63+T64+T73+T74</f>
        <v>345047922</v>
      </c>
      <c r="U62" s="10"/>
      <c r="V62" s="10"/>
      <c r="W62" s="3">
        <f aca="true" t="shared" si="8" ref="W62:W77">+T62/P62*100</f>
        <v>5.826489001771313</v>
      </c>
      <c r="X62" s="1"/>
      <c r="Y62" s="1"/>
      <c r="Z62" s="1"/>
      <c r="AA62" s="1"/>
      <c r="AB62" s="1"/>
      <c r="AC62" s="1"/>
      <c r="AD62" s="1"/>
      <c r="AE62" s="1"/>
      <c r="AF62" s="1"/>
      <c r="AG62" s="1">
        <f t="shared" si="7"/>
        <v>0</v>
      </c>
    </row>
    <row r="63" spans="1:33" ht="12.75" hidden="1">
      <c r="A63" s="10" t="s">
        <v>28</v>
      </c>
      <c r="B63" s="10">
        <v>2752759677</v>
      </c>
      <c r="C63" s="11">
        <v>0</v>
      </c>
      <c r="D63" s="11">
        <v>0</v>
      </c>
      <c r="E63" s="11">
        <v>0</v>
      </c>
      <c r="F63" s="11">
        <v>196495882</v>
      </c>
      <c r="G63" s="11">
        <v>164927418</v>
      </c>
      <c r="H63" s="11">
        <v>262941303</v>
      </c>
      <c r="I63" s="11">
        <v>280282246</v>
      </c>
      <c r="J63" s="11">
        <v>246192273</v>
      </c>
      <c r="K63" s="11">
        <v>308626989</v>
      </c>
      <c r="L63" s="11">
        <v>243645342</v>
      </c>
      <c r="M63" s="11">
        <v>247491577</v>
      </c>
      <c r="N63" s="11">
        <v>165492691</v>
      </c>
      <c r="O63" s="11"/>
      <c r="P63" s="11">
        <f aca="true" t="shared" si="9" ref="P63:P75">+B63+O63</f>
        <v>2752759677</v>
      </c>
      <c r="Q63" s="10">
        <v>0</v>
      </c>
      <c r="R63" s="10"/>
      <c r="S63" s="10"/>
      <c r="T63" s="10">
        <f>+Q63</f>
        <v>0</v>
      </c>
      <c r="U63" s="10"/>
      <c r="V63" s="10"/>
      <c r="W63" s="3">
        <f t="shared" si="8"/>
        <v>0</v>
      </c>
      <c r="X63" s="1"/>
      <c r="Y63" s="1"/>
      <c r="Z63" s="1"/>
      <c r="AA63" s="1"/>
      <c r="AB63" s="1"/>
      <c r="AC63" s="1"/>
      <c r="AD63" s="1"/>
      <c r="AE63" s="1"/>
      <c r="AF63" s="1"/>
      <c r="AG63" s="1" t="s">
        <v>1</v>
      </c>
    </row>
    <row r="64" spans="1:33" ht="12.75" hidden="1">
      <c r="A64" s="10" t="s">
        <v>5</v>
      </c>
      <c r="B64" s="10">
        <f>+B65+B69+B70+B71</f>
        <v>1867025388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0">
        <f>+O65+O69+O70+O71</f>
        <v>0</v>
      </c>
      <c r="P64" s="11">
        <f t="shared" si="9"/>
        <v>1867025388</v>
      </c>
      <c r="Q64" s="10">
        <f>+Q65+Q69+Q70+Q71</f>
        <v>42940422</v>
      </c>
      <c r="R64" s="10"/>
      <c r="S64" s="10"/>
      <c r="T64" s="10">
        <f>+T65+T69+T70+T71</f>
        <v>42940422</v>
      </c>
      <c r="U64" s="10"/>
      <c r="V64" s="10"/>
      <c r="W64" s="3">
        <f t="shared" si="8"/>
        <v>2.299937766031064</v>
      </c>
      <c r="X64" s="41"/>
      <c r="Y64" s="14"/>
      <c r="Z64" s="14"/>
      <c r="AA64" s="14"/>
      <c r="AB64" s="14"/>
      <c r="AC64" s="14"/>
      <c r="AD64" s="14"/>
      <c r="AE64" s="14"/>
      <c r="AF64" s="14"/>
      <c r="AG64" s="1">
        <f aca="true" t="shared" si="10" ref="AG64:AG73">+Y64-AF64</f>
        <v>0</v>
      </c>
    </row>
    <row r="65" spans="1:33" ht="12.75" hidden="1">
      <c r="A65" s="10" t="s">
        <v>29</v>
      </c>
      <c r="B65" s="10">
        <f>SUM(B66:B68)</f>
        <v>1679125388</v>
      </c>
      <c r="C65" s="11">
        <f>SUM(C66:C68)</f>
        <v>0</v>
      </c>
      <c r="D65" s="11">
        <f aca="true" t="shared" si="11" ref="D65:N65">SUM(D66:D68)</f>
        <v>9764370</v>
      </c>
      <c r="E65" s="11">
        <f t="shared" si="11"/>
        <v>1633088</v>
      </c>
      <c r="F65" s="11">
        <f t="shared" si="11"/>
        <v>9527326</v>
      </c>
      <c r="G65" s="11">
        <f t="shared" si="11"/>
        <v>5166613</v>
      </c>
      <c r="H65" s="11">
        <f t="shared" si="11"/>
        <v>8550758</v>
      </c>
      <c r="I65" s="11">
        <f t="shared" si="11"/>
        <v>19667967</v>
      </c>
      <c r="J65" s="11">
        <f t="shared" si="11"/>
        <v>32121947.88</v>
      </c>
      <c r="K65" s="11">
        <f t="shared" si="11"/>
        <v>57803883</v>
      </c>
      <c r="L65" s="11">
        <f t="shared" si="11"/>
        <v>248550137</v>
      </c>
      <c r="M65" s="11">
        <f t="shared" si="11"/>
        <v>56476839</v>
      </c>
      <c r="N65" s="11">
        <f t="shared" si="11"/>
        <v>203635166</v>
      </c>
      <c r="O65" s="10">
        <f>SUM(O66:O68)</f>
        <v>0</v>
      </c>
      <c r="P65" s="11">
        <f t="shared" si="9"/>
        <v>1679125388</v>
      </c>
      <c r="Q65" s="10">
        <f>SUM(Q66:Q68)</f>
        <v>42651562</v>
      </c>
      <c r="R65" s="10"/>
      <c r="S65" s="10"/>
      <c r="T65" s="10">
        <f>SUM(T66:T68)</f>
        <v>42651562</v>
      </c>
      <c r="U65" s="10"/>
      <c r="V65" s="10"/>
      <c r="W65" s="3">
        <f t="shared" si="8"/>
        <v>2.5401058375278405</v>
      </c>
      <c r="X65" s="1"/>
      <c r="Y65" s="1"/>
      <c r="Z65" s="1"/>
      <c r="AA65" s="1"/>
      <c r="AB65" s="1"/>
      <c r="AC65" s="1"/>
      <c r="AD65" s="1"/>
      <c r="AE65" s="1"/>
      <c r="AF65" s="1"/>
      <c r="AG65" s="1">
        <f t="shared" si="10"/>
        <v>0</v>
      </c>
    </row>
    <row r="66" spans="1:33" ht="12.75" hidden="1">
      <c r="A66" s="11" t="s">
        <v>30</v>
      </c>
      <c r="B66" s="11">
        <v>939032888</v>
      </c>
      <c r="C66" s="11">
        <v>0</v>
      </c>
      <c r="D66" s="11">
        <v>9764370</v>
      </c>
      <c r="E66" s="11">
        <v>0</v>
      </c>
      <c r="F66" s="11">
        <f>274606+765092</f>
        <v>1039698</v>
      </c>
      <c r="G66" s="11">
        <v>4660304</v>
      </c>
      <c r="H66" s="11">
        <v>7848958</v>
      </c>
      <c r="I66" s="11">
        <v>15343416</v>
      </c>
      <c r="J66" s="11">
        <v>22521927</v>
      </c>
      <c r="K66" s="11">
        <v>33311437</v>
      </c>
      <c r="L66" s="11">
        <f>309295398-94490110</f>
        <v>214805288</v>
      </c>
      <c r="M66" s="11">
        <v>28836508</v>
      </c>
      <c r="N66" s="11">
        <f>98225097-2027734+2337372</f>
        <v>98534735</v>
      </c>
      <c r="O66" s="11"/>
      <c r="P66" s="11">
        <f t="shared" si="9"/>
        <v>939032888</v>
      </c>
      <c r="Q66" s="11">
        <v>42651562</v>
      </c>
      <c r="R66" s="11"/>
      <c r="S66" s="11"/>
      <c r="T66" s="11">
        <v>42651562</v>
      </c>
      <c r="U66" s="11"/>
      <c r="V66" s="11"/>
      <c r="W66" s="3">
        <f t="shared" si="8"/>
        <v>4.542073291047501</v>
      </c>
      <c r="X66" s="41"/>
      <c r="Y66" s="1"/>
      <c r="Z66" s="1"/>
      <c r="AA66" s="1"/>
      <c r="AB66" s="1"/>
      <c r="AC66" s="1"/>
      <c r="AD66" s="1"/>
      <c r="AE66" s="1"/>
      <c r="AF66" s="1"/>
      <c r="AG66" s="1">
        <f t="shared" si="10"/>
        <v>0</v>
      </c>
    </row>
    <row r="67" spans="1:33" ht="12.75" hidden="1">
      <c r="A67" s="11" t="s">
        <v>31</v>
      </c>
      <c r="B67" s="11">
        <v>724342500</v>
      </c>
      <c r="C67" s="11"/>
      <c r="D67" s="11">
        <v>0</v>
      </c>
      <c r="E67" s="11">
        <v>0</v>
      </c>
      <c r="F67" s="11">
        <v>0</v>
      </c>
      <c r="G67" s="11">
        <v>0</v>
      </c>
      <c r="H67" s="11">
        <v>25090</v>
      </c>
      <c r="I67" s="11">
        <v>946365</v>
      </c>
      <c r="J67" s="11">
        <v>8764131</v>
      </c>
      <c r="K67" s="11">
        <v>21523596</v>
      </c>
      <c r="L67" s="11">
        <v>33159819</v>
      </c>
      <c r="M67" s="11">
        <v>27504331</v>
      </c>
      <c r="N67" s="11">
        <f>101300092+707323</f>
        <v>102007415</v>
      </c>
      <c r="O67" s="11">
        <v>0</v>
      </c>
      <c r="P67" s="11">
        <f t="shared" si="9"/>
        <v>724342500</v>
      </c>
      <c r="Q67" s="11">
        <v>0</v>
      </c>
      <c r="R67" s="11"/>
      <c r="S67" s="11"/>
      <c r="T67" s="11">
        <v>0</v>
      </c>
      <c r="U67" s="11"/>
      <c r="V67" s="11"/>
      <c r="W67" s="3">
        <f t="shared" si="8"/>
        <v>0</v>
      </c>
      <c r="X67" s="1"/>
      <c r="Y67" s="1"/>
      <c r="Z67" s="1"/>
      <c r="AA67" s="1"/>
      <c r="AB67" s="1"/>
      <c r="AC67" s="1"/>
      <c r="AD67" s="1"/>
      <c r="AE67" s="1"/>
      <c r="AF67" s="1"/>
      <c r="AG67" s="1">
        <f t="shared" si="10"/>
        <v>0</v>
      </c>
    </row>
    <row r="68" spans="1:33" ht="12.75" hidden="1">
      <c r="A68" s="11" t="s">
        <v>32</v>
      </c>
      <c r="B68" s="11">
        <v>15750000</v>
      </c>
      <c r="C68" s="11"/>
      <c r="D68" s="11"/>
      <c r="E68" s="11">
        <v>1633088</v>
      </c>
      <c r="F68" s="11">
        <v>8487628</v>
      </c>
      <c r="G68" s="11">
        <v>506309</v>
      </c>
      <c r="H68" s="11">
        <v>676710</v>
      </c>
      <c r="I68" s="11">
        <v>3378186</v>
      </c>
      <c r="J68" s="11">
        <f>628640+207249.88</f>
        <v>835889.88</v>
      </c>
      <c r="K68" s="11">
        <v>2968850</v>
      </c>
      <c r="L68" s="11">
        <v>585030</v>
      </c>
      <c r="M68" s="11">
        <v>136000</v>
      </c>
      <c r="N68" s="11">
        <f>22300706.88-19207690.88</f>
        <v>3093016</v>
      </c>
      <c r="O68" s="11"/>
      <c r="P68" s="11">
        <f t="shared" si="9"/>
        <v>15750000</v>
      </c>
      <c r="Q68" s="11">
        <v>0</v>
      </c>
      <c r="R68" s="11"/>
      <c r="S68" s="11"/>
      <c r="T68" s="11">
        <v>0</v>
      </c>
      <c r="U68" s="11"/>
      <c r="V68" s="11"/>
      <c r="W68" s="3">
        <f t="shared" si="8"/>
        <v>0</v>
      </c>
      <c r="X68" s="1"/>
      <c r="Y68" s="1"/>
      <c r="Z68" s="1"/>
      <c r="AA68" s="1"/>
      <c r="AB68" s="1"/>
      <c r="AC68" s="1"/>
      <c r="AD68" s="1"/>
      <c r="AE68" s="1"/>
      <c r="AF68" s="1"/>
      <c r="AG68" s="1">
        <f t="shared" si="10"/>
        <v>0</v>
      </c>
    </row>
    <row r="69" spans="1:33" ht="12.75" hidden="1">
      <c r="A69" s="10" t="s">
        <v>33</v>
      </c>
      <c r="B69" s="10">
        <v>65100000</v>
      </c>
      <c r="C69" s="11">
        <v>426256</v>
      </c>
      <c r="D69" s="11">
        <v>177520</v>
      </c>
      <c r="E69" s="11">
        <v>815304</v>
      </c>
      <c r="F69" s="11">
        <v>1044670</v>
      </c>
      <c r="G69" s="11">
        <v>210000</v>
      </c>
      <c r="H69" s="11">
        <v>497000</v>
      </c>
      <c r="I69" s="11">
        <v>1908400</v>
      </c>
      <c r="J69" s="11">
        <v>2080000</v>
      </c>
      <c r="K69" s="11">
        <v>1960300</v>
      </c>
      <c r="L69" s="11">
        <v>1071750</v>
      </c>
      <c r="M69" s="11">
        <v>486631</v>
      </c>
      <c r="N69" s="11">
        <v>3040000</v>
      </c>
      <c r="O69" s="11"/>
      <c r="P69" s="11">
        <f t="shared" si="9"/>
        <v>65100000</v>
      </c>
      <c r="Q69" s="10">
        <v>288860</v>
      </c>
      <c r="R69" s="10"/>
      <c r="S69" s="10"/>
      <c r="T69" s="10">
        <v>288860</v>
      </c>
      <c r="U69" s="10"/>
      <c r="V69" s="10"/>
      <c r="W69" s="3">
        <f t="shared" si="8"/>
        <v>0.4437173579109063</v>
      </c>
      <c r="X69" s="1"/>
      <c r="Y69" s="1"/>
      <c r="Z69" s="1"/>
      <c r="AA69" s="1"/>
      <c r="AB69" s="1"/>
      <c r="AC69" s="1"/>
      <c r="AD69" s="1"/>
      <c r="AE69" s="1"/>
      <c r="AF69" s="1"/>
      <c r="AG69" s="1">
        <f t="shared" si="10"/>
        <v>0</v>
      </c>
    </row>
    <row r="70" spans="1:33" ht="12.75" hidden="1">
      <c r="A70" s="10" t="s">
        <v>34</v>
      </c>
      <c r="B70" s="10">
        <v>1000000</v>
      </c>
      <c r="C70" s="11">
        <v>7540000</v>
      </c>
      <c r="D70" s="11"/>
      <c r="E70" s="11"/>
      <c r="F70" s="11"/>
      <c r="G70" s="11"/>
      <c r="H70" s="11"/>
      <c r="I70" s="11">
        <v>294000</v>
      </c>
      <c r="J70" s="11"/>
      <c r="K70" s="11"/>
      <c r="L70" s="11">
        <v>29000</v>
      </c>
      <c r="M70" s="11"/>
      <c r="N70" s="11"/>
      <c r="O70" s="11"/>
      <c r="P70" s="11">
        <f t="shared" si="9"/>
        <v>1000000</v>
      </c>
      <c r="Q70" s="10">
        <v>0</v>
      </c>
      <c r="R70" s="10"/>
      <c r="S70" s="10"/>
      <c r="T70" s="10">
        <v>0</v>
      </c>
      <c r="U70" s="10"/>
      <c r="V70" s="10"/>
      <c r="W70" s="3">
        <f t="shared" si="8"/>
        <v>0</v>
      </c>
      <c r="X70" s="1"/>
      <c r="Y70" s="1"/>
      <c r="Z70" s="1"/>
      <c r="AA70" s="1"/>
      <c r="AB70" s="1"/>
      <c r="AC70" s="1"/>
      <c r="AD70" s="1"/>
      <c r="AE70" s="1"/>
      <c r="AF70" s="1"/>
      <c r="AG70" s="1">
        <f t="shared" si="10"/>
        <v>0</v>
      </c>
    </row>
    <row r="71" spans="1:33" ht="12.75" hidden="1">
      <c r="A71" s="10" t="s">
        <v>35</v>
      </c>
      <c r="B71" s="10">
        <f aca="true" t="shared" si="12" ref="B71:O71">SUM(B72:B72)</f>
        <v>121800000</v>
      </c>
      <c r="C71" s="11">
        <f t="shared" si="12"/>
        <v>4768052</v>
      </c>
      <c r="D71" s="11">
        <f t="shared" si="12"/>
        <v>8290086</v>
      </c>
      <c r="E71" s="11">
        <f t="shared" si="12"/>
        <v>10672897</v>
      </c>
      <c r="F71" s="11">
        <f t="shared" si="12"/>
        <v>13361106</v>
      </c>
      <c r="G71" s="11">
        <f t="shared" si="12"/>
        <v>5435392</v>
      </c>
      <c r="H71" s="11">
        <f t="shared" si="12"/>
        <v>6359364</v>
      </c>
      <c r="I71" s="11">
        <f t="shared" si="12"/>
        <v>17667466</v>
      </c>
      <c r="J71" s="11">
        <f t="shared" si="12"/>
        <v>22629676</v>
      </c>
      <c r="K71" s="11">
        <f t="shared" si="12"/>
        <v>24318846</v>
      </c>
      <c r="L71" s="11">
        <f t="shared" si="12"/>
        <v>14234424</v>
      </c>
      <c r="M71" s="11">
        <f t="shared" si="12"/>
        <v>14378768</v>
      </c>
      <c r="N71" s="11">
        <f t="shared" si="12"/>
        <v>23388888</v>
      </c>
      <c r="O71" s="10">
        <f t="shared" si="12"/>
        <v>0</v>
      </c>
      <c r="P71" s="11">
        <f t="shared" si="9"/>
        <v>121800000</v>
      </c>
      <c r="Q71" s="10">
        <f>SUM(Q72:Q72)</f>
        <v>0</v>
      </c>
      <c r="R71" s="10"/>
      <c r="S71" s="10"/>
      <c r="T71" s="10">
        <f>SUM(T72:T72)</f>
        <v>0</v>
      </c>
      <c r="U71" s="10"/>
      <c r="V71" s="10"/>
      <c r="W71" s="3">
        <f t="shared" si="8"/>
        <v>0</v>
      </c>
      <c r="X71" s="41"/>
      <c r="Y71" s="14"/>
      <c r="Z71" s="14"/>
      <c r="AA71" s="14"/>
      <c r="AB71" s="14"/>
      <c r="AC71" s="14"/>
      <c r="AD71" s="14"/>
      <c r="AE71" s="14"/>
      <c r="AF71" s="14"/>
      <c r="AG71" s="1">
        <f t="shared" si="10"/>
        <v>0</v>
      </c>
    </row>
    <row r="72" spans="1:33" ht="12.75" hidden="1">
      <c r="A72" s="11" t="s">
        <v>36</v>
      </c>
      <c r="B72" s="11">
        <v>121800000</v>
      </c>
      <c r="C72" s="11">
        <v>4768052</v>
      </c>
      <c r="D72" s="11">
        <v>8290086</v>
      </c>
      <c r="E72" s="11">
        <v>10672897</v>
      </c>
      <c r="F72" s="11">
        <v>13361106</v>
      </c>
      <c r="G72" s="11">
        <v>5435392</v>
      </c>
      <c r="H72" s="11">
        <v>6359364</v>
      </c>
      <c r="I72" s="11">
        <v>17667466</v>
      </c>
      <c r="J72" s="11">
        <f>15777671+6852005</f>
        <v>22629676</v>
      </c>
      <c r="K72" s="11">
        <v>24318846</v>
      </c>
      <c r="L72" s="11">
        <v>14234424</v>
      </c>
      <c r="M72" s="11">
        <f>14378768</f>
        <v>14378768</v>
      </c>
      <c r="N72" s="11">
        <f>165504965-142116077</f>
        <v>23388888</v>
      </c>
      <c r="O72" s="11"/>
      <c r="P72" s="11">
        <f t="shared" si="9"/>
        <v>121800000</v>
      </c>
      <c r="Q72" s="11">
        <v>0</v>
      </c>
      <c r="R72" s="11"/>
      <c r="S72" s="11"/>
      <c r="T72" s="11">
        <v>0</v>
      </c>
      <c r="U72" s="11"/>
      <c r="V72" s="11"/>
      <c r="W72" s="3">
        <f t="shared" si="8"/>
        <v>0</v>
      </c>
      <c r="X72" s="14"/>
      <c r="Y72" s="14"/>
      <c r="Z72" s="14"/>
      <c r="AA72" s="14"/>
      <c r="AB72" s="14"/>
      <c r="AC72" s="14"/>
      <c r="AD72" s="14"/>
      <c r="AE72" s="14"/>
      <c r="AF72" s="14"/>
      <c r="AG72" s="1">
        <f t="shared" si="10"/>
        <v>0</v>
      </c>
    </row>
    <row r="73" spans="1:33" ht="12.75" hidden="1">
      <c r="A73" s="10" t="s">
        <v>37</v>
      </c>
      <c r="B73" s="10">
        <v>71925000</v>
      </c>
      <c r="C73" s="11" t="e">
        <f>SUM(#REF!)</f>
        <v>#REF!</v>
      </c>
      <c r="D73" s="11" t="e">
        <f>SUM(#REF!)</f>
        <v>#REF!</v>
      </c>
      <c r="E73" s="11" t="e">
        <f>SUM(#REF!)</f>
        <v>#REF!</v>
      </c>
      <c r="F73" s="11" t="e">
        <f>SUM(#REF!)</f>
        <v>#REF!</v>
      </c>
      <c r="G73" s="11" t="e">
        <f>SUM(#REF!)</f>
        <v>#REF!</v>
      </c>
      <c r="H73" s="11" t="e">
        <f>SUM(#REF!)</f>
        <v>#REF!</v>
      </c>
      <c r="I73" s="11" t="e">
        <f>SUM(#REF!)</f>
        <v>#REF!</v>
      </c>
      <c r="J73" s="11" t="e">
        <f>SUM(#REF!)</f>
        <v>#REF!</v>
      </c>
      <c r="K73" s="11" t="e">
        <f>SUM(#REF!)</f>
        <v>#REF!</v>
      </c>
      <c r="L73" s="11" t="e">
        <f>SUM(#REF!)</f>
        <v>#REF!</v>
      </c>
      <c r="M73" s="11" t="e">
        <f>SUM(#REF!)</f>
        <v>#REF!</v>
      </c>
      <c r="N73" s="11" t="e">
        <f>SUM(#REF!)</f>
        <v>#REF!</v>
      </c>
      <c r="O73" s="10">
        <v>0</v>
      </c>
      <c r="P73" s="11">
        <f t="shared" si="9"/>
        <v>71925000</v>
      </c>
      <c r="Q73" s="11">
        <f>15385+0</f>
        <v>15385</v>
      </c>
      <c r="R73" s="11"/>
      <c r="S73" s="11"/>
      <c r="T73" s="11">
        <f>15385+0</f>
        <v>15385</v>
      </c>
      <c r="U73" s="11"/>
      <c r="V73" s="11"/>
      <c r="W73" s="3">
        <f t="shared" si="8"/>
        <v>0.021390337156760517</v>
      </c>
      <c r="X73" s="14"/>
      <c r="Y73" s="14"/>
      <c r="Z73" s="14"/>
      <c r="AA73" s="14"/>
      <c r="AB73" s="14"/>
      <c r="AC73" s="14"/>
      <c r="AD73" s="14"/>
      <c r="AE73" s="14"/>
      <c r="AF73" s="14"/>
      <c r="AG73" s="1">
        <f t="shared" si="10"/>
        <v>0</v>
      </c>
    </row>
    <row r="74" spans="1:33" ht="12.75" hidden="1">
      <c r="A74" s="10" t="s">
        <v>44</v>
      </c>
      <c r="B74" s="10">
        <f>+B75</f>
        <v>0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0">
        <f>+O75</f>
        <v>1230345600</v>
      </c>
      <c r="P74" s="11">
        <f t="shared" si="9"/>
        <v>1230345600</v>
      </c>
      <c r="Q74" s="10">
        <f>+Q75</f>
        <v>0</v>
      </c>
      <c r="R74" s="10"/>
      <c r="S74" s="10"/>
      <c r="T74" s="10">
        <f>+T75+T76+T77</f>
        <v>302092115</v>
      </c>
      <c r="U74" s="10"/>
      <c r="V74" s="10"/>
      <c r="W74" s="3">
        <f t="shared" si="8"/>
        <v>24.553435636296015</v>
      </c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2.75" hidden="1">
      <c r="A75" s="10" t="s">
        <v>45</v>
      </c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0">
        <v>1230345600</v>
      </c>
      <c r="P75" s="11">
        <f t="shared" si="9"/>
        <v>1230345600</v>
      </c>
      <c r="Q75" s="10">
        <v>0</v>
      </c>
      <c r="R75" s="10"/>
      <c r="S75" s="10"/>
      <c r="T75" s="10">
        <v>0</v>
      </c>
      <c r="U75" s="10"/>
      <c r="V75" s="10"/>
      <c r="W75" s="3">
        <f t="shared" si="8"/>
        <v>0</v>
      </c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2.75" hidden="1">
      <c r="A76" s="10" t="s">
        <v>38</v>
      </c>
      <c r="B76" s="10">
        <f>+B77+B78+B79</f>
        <v>1914146055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0">
        <f>+O77+O78+O79</f>
        <v>0</v>
      </c>
      <c r="P76" s="11">
        <f>+B76+O76</f>
        <v>1914146055</v>
      </c>
      <c r="Q76" s="10">
        <f>+Q77+Q78+Q79</f>
        <v>300904887</v>
      </c>
      <c r="R76" s="10"/>
      <c r="S76" s="10"/>
      <c r="T76" s="10">
        <f>+T77+T78+T79</f>
        <v>300904887</v>
      </c>
      <c r="U76" s="10"/>
      <c r="V76" s="10"/>
      <c r="W76" s="3">
        <f t="shared" si="8"/>
        <v>15.720058885475174</v>
      </c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2.75" hidden="1">
      <c r="A77" s="10" t="s">
        <v>6</v>
      </c>
      <c r="B77" s="10">
        <v>70000000</v>
      </c>
      <c r="C77" s="11">
        <v>898886</v>
      </c>
      <c r="D77" s="11">
        <f>4306726+216132</f>
        <v>4522858</v>
      </c>
      <c r="E77" s="11">
        <f>751140+23292827</f>
        <v>24043967</v>
      </c>
      <c r="F77" s="11">
        <v>8452240</v>
      </c>
      <c r="G77" s="11">
        <v>4422172</v>
      </c>
      <c r="H77" s="11">
        <f>7484642+234363</f>
        <v>7719005</v>
      </c>
      <c r="I77" s="11">
        <f>102855+5416914</f>
        <v>5519769</v>
      </c>
      <c r="J77" s="11">
        <f>6098966+444960+3514791+65855</f>
        <v>10124572</v>
      </c>
      <c r="K77" s="11">
        <f>191152+1348022+3219820.01</f>
        <v>4758994.01</v>
      </c>
      <c r="L77" s="11">
        <f>350566+9695840</f>
        <v>10046406</v>
      </c>
      <c r="M77" s="11">
        <f>579536+7833208+436291+345639</f>
        <v>9194674</v>
      </c>
      <c r="N77" s="11">
        <f>112132152.5-89703543.01</f>
        <v>22428609.489999995</v>
      </c>
      <c r="O77" s="11"/>
      <c r="P77" s="11">
        <f>+B77+O77</f>
        <v>70000000</v>
      </c>
      <c r="Q77" s="10">
        <f>1187228+0</f>
        <v>1187228</v>
      </c>
      <c r="R77" s="10"/>
      <c r="S77" s="10"/>
      <c r="T77" s="10">
        <f>1187228+0</f>
        <v>1187228</v>
      </c>
      <c r="U77" s="10"/>
      <c r="V77" s="10"/>
      <c r="W77" s="3">
        <f t="shared" si="8"/>
        <v>1.69604</v>
      </c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2.75" hidden="1">
      <c r="A78" s="10" t="s">
        <v>9</v>
      </c>
      <c r="B78" s="10">
        <v>0</v>
      </c>
      <c r="C78" s="11"/>
      <c r="D78" s="11"/>
      <c r="E78" s="11"/>
      <c r="F78" s="11">
        <f>+B78</f>
        <v>0</v>
      </c>
      <c r="G78" s="11"/>
      <c r="H78" s="11"/>
      <c r="I78" s="11"/>
      <c r="J78" s="11"/>
      <c r="K78" s="11"/>
      <c r="L78" s="11"/>
      <c r="M78" s="11"/>
      <c r="N78" s="11"/>
      <c r="O78" s="11">
        <v>0</v>
      </c>
      <c r="P78" s="11">
        <f>+B78+O78</f>
        <v>0</v>
      </c>
      <c r="Q78" s="11">
        <f>+O78</f>
        <v>0</v>
      </c>
      <c r="R78" s="11"/>
      <c r="S78" s="11"/>
      <c r="T78" s="11">
        <f>+P78</f>
        <v>0</v>
      </c>
      <c r="U78" s="11"/>
      <c r="V78" s="11"/>
      <c r="W78" s="3" t="s">
        <v>1</v>
      </c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2.75" hidden="1">
      <c r="A79" s="10" t="s">
        <v>39</v>
      </c>
      <c r="B79" s="10">
        <v>1844146055</v>
      </c>
      <c r="C79" s="11" t="e">
        <f>+#REF!+#REF!</f>
        <v>#REF!</v>
      </c>
      <c r="D79" s="11" t="e">
        <f>+#REF!+#REF!</f>
        <v>#REF!</v>
      </c>
      <c r="E79" s="11" t="e">
        <f>+#REF!+#REF!</f>
        <v>#REF!</v>
      </c>
      <c r="F79" s="11" t="e">
        <f>+#REF!+#REF!</f>
        <v>#REF!</v>
      </c>
      <c r="G79" s="11" t="e">
        <f>+#REF!+#REF!</f>
        <v>#REF!</v>
      </c>
      <c r="H79" s="11" t="e">
        <f>+#REF!+#REF!</f>
        <v>#REF!</v>
      </c>
      <c r="I79" s="11" t="e">
        <f>+#REF!+#REF!</f>
        <v>#REF!</v>
      </c>
      <c r="J79" s="11" t="e">
        <f>+#REF!+#REF!</f>
        <v>#REF!</v>
      </c>
      <c r="K79" s="11" t="e">
        <f>+#REF!+#REF!</f>
        <v>#REF!</v>
      </c>
      <c r="L79" s="11" t="e">
        <f>+#REF!+#REF!</f>
        <v>#REF!</v>
      </c>
      <c r="M79" s="11" t="e">
        <f>+#REF!+#REF!</f>
        <v>#REF!</v>
      </c>
      <c r="N79" s="11" t="e">
        <f>+#REF!+#REF!</f>
        <v>#REF!</v>
      </c>
      <c r="O79" s="10">
        <v>0</v>
      </c>
      <c r="P79" s="11">
        <f>+B79+O79</f>
        <v>1844146055</v>
      </c>
      <c r="Q79" s="10">
        <f>260296153+39421506</f>
        <v>299717659</v>
      </c>
      <c r="R79" s="10"/>
      <c r="S79" s="10"/>
      <c r="T79" s="10">
        <f>260296153+39421506</f>
        <v>299717659</v>
      </c>
      <c r="U79" s="10"/>
      <c r="V79" s="10"/>
      <c r="W79" s="3">
        <f>+T79/P79*100</f>
        <v>16.25238186462406</v>
      </c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2.75" hidden="1">
      <c r="A80" s="11"/>
      <c r="B80" s="11"/>
      <c r="C80" s="11"/>
      <c r="D80" s="11"/>
      <c r="E80" s="11" t="s">
        <v>1</v>
      </c>
      <c r="F80" s="11" t="s">
        <v>1</v>
      </c>
      <c r="G80" s="11" t="s">
        <v>1</v>
      </c>
      <c r="H80" s="11" t="s">
        <v>1</v>
      </c>
      <c r="I80" s="11" t="s">
        <v>1</v>
      </c>
      <c r="J80" s="11" t="s">
        <v>1</v>
      </c>
      <c r="K80" s="11" t="s">
        <v>1</v>
      </c>
      <c r="L80" s="11" t="s">
        <v>1</v>
      </c>
      <c r="M80" s="11" t="s">
        <v>1</v>
      </c>
      <c r="N80" s="11" t="s">
        <v>1</v>
      </c>
      <c r="O80" s="11"/>
      <c r="P80" s="11" t="s">
        <v>1</v>
      </c>
      <c r="Q80" s="11" t="s">
        <v>1</v>
      </c>
      <c r="R80" s="11"/>
      <c r="S80" s="11"/>
      <c r="T80" s="11" t="s">
        <v>1</v>
      </c>
      <c r="U80" s="11"/>
      <c r="V80" s="11"/>
      <c r="W80" s="3" t="s">
        <v>1</v>
      </c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2.75" hidden="1">
      <c r="A81" s="10" t="s">
        <v>40</v>
      </c>
      <c r="B81" s="10">
        <f>+B55+B76</f>
        <v>10077156120</v>
      </c>
      <c r="C81" s="10" t="e">
        <f>+C58+C63+C65+C69+C70+C71+C73+#REF!+#REF!+C77+C78+C79+#REF!</f>
        <v>#REF!</v>
      </c>
      <c r="D81" s="10" t="e">
        <f>+D58+D63+D65+D69+D70+D71+D73+#REF!+#REF!+D77+D78+D79+#REF!</f>
        <v>#REF!</v>
      </c>
      <c r="E81" s="10" t="e">
        <f>+E58+E63+E65+E69+E70+E71+E73+#REF!+#REF!+E77+E78+E79+#REF!</f>
        <v>#REF!</v>
      </c>
      <c r="F81" s="10" t="e">
        <f>+F58+F63+F65+F69+F70+F71+F73+#REF!+#REF!+F77+F78+F79+#REF!</f>
        <v>#REF!</v>
      </c>
      <c r="G81" s="10" t="e">
        <f>+G58+G63+G65+G69+G70+G71+G73+#REF!+#REF!+G77+G78+G79+#REF!</f>
        <v>#REF!</v>
      </c>
      <c r="H81" s="10" t="e">
        <f>+H58+H63+H65+H69+H70+H71+H73+#REF!+#REF!+H77+H78+H79+#REF!</f>
        <v>#REF!</v>
      </c>
      <c r="I81" s="10" t="e">
        <f>+I58+I63+I65+I69+I70+I71+I73+#REF!+#REF!+I77+I78+I79+#REF!</f>
        <v>#REF!</v>
      </c>
      <c r="J81" s="10" t="e">
        <f>+J58+J63+J65+J69+J70+J71+J73+#REF!+#REF!+J77+J78+J79+#REF!</f>
        <v>#REF!</v>
      </c>
      <c r="K81" s="10" t="e">
        <f>+K58+K63+K65+K69+K70+K71+K73+#REF!+#REF!+K77+K78+K79+#REF!</f>
        <v>#REF!</v>
      </c>
      <c r="L81" s="10" t="e">
        <f>+L58+L63+L65+L69+L70+L71+L73+#REF!+#REF!+L77+L78+L79+#REF!</f>
        <v>#REF!</v>
      </c>
      <c r="M81" s="10" t="e">
        <f>+M58+M63+M65+M69+M70+M71+M73+#REF!+#REF!+M77+M78+M79+#REF!</f>
        <v>#REF!</v>
      </c>
      <c r="N81" s="10" t="e">
        <f>+N58+N63+N65+N69+N70+N71+N73+#REF!+#REF!+N77+N78+N79+#REF!</f>
        <v>#REF!</v>
      </c>
      <c r="O81" s="10">
        <f>+O55+O76</f>
        <v>1230345600</v>
      </c>
      <c r="P81" s="10">
        <f>+P55+P76</f>
        <v>11307501720</v>
      </c>
      <c r="Q81" s="14">
        <f>+Q55+Q76</f>
        <v>343860694</v>
      </c>
      <c r="R81" s="14"/>
      <c r="S81" s="14"/>
      <c r="T81" s="14">
        <f>+Q81</f>
        <v>343860694</v>
      </c>
      <c r="U81" s="14"/>
      <c r="V81" s="14"/>
      <c r="W81" s="3">
        <f>+T81/P81*100</f>
        <v>3.040996167984664</v>
      </c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2.75" hidden="1">
      <c r="A82" s="10" t="s">
        <v>41</v>
      </c>
      <c r="B82" s="11">
        <f>+B37</f>
        <v>1334597240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>
        <v>0</v>
      </c>
      <c r="P82" s="1">
        <f>+B82+O82</f>
        <v>1334597240</v>
      </c>
      <c r="Q82" s="1">
        <v>0</v>
      </c>
      <c r="R82" s="1"/>
      <c r="S82" s="1"/>
      <c r="T82" s="1">
        <v>0</v>
      </c>
      <c r="U82" s="1"/>
      <c r="V82" s="1"/>
      <c r="W82" s="3">
        <f>+T82/P82*100</f>
        <v>0</v>
      </c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2.75" hidden="1">
      <c r="A83" s="1"/>
      <c r="B83" s="1" t="s">
        <v>1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 t="s">
        <v>1</v>
      </c>
      <c r="P83" s="1"/>
      <c r="Q83" s="1"/>
      <c r="R83" s="1"/>
      <c r="S83" s="1"/>
      <c r="T83" s="1"/>
      <c r="U83" s="1"/>
      <c r="V83" s="1"/>
      <c r="W83" s="3" t="s">
        <v>1</v>
      </c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2.75" hidden="1">
      <c r="A84" s="10" t="s">
        <v>42</v>
      </c>
      <c r="B84" s="14">
        <f>+B81+B82</f>
        <v>11411753360</v>
      </c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>
        <f>+O81+O82</f>
        <v>1230345600</v>
      </c>
      <c r="P84" s="14">
        <f>+P81+P82</f>
        <v>12642098960</v>
      </c>
      <c r="Q84" s="14">
        <f>+Q81+Q82</f>
        <v>343860694</v>
      </c>
      <c r="R84" s="14"/>
      <c r="S84" s="14"/>
      <c r="T84" s="14">
        <f>+T81+T82</f>
        <v>343860694</v>
      </c>
      <c r="U84" s="14"/>
      <c r="V84" s="14"/>
      <c r="W84" s="3">
        <f>+T84/P84*100</f>
        <v>2.7199652137511823</v>
      </c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2.75" hidden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 t="s">
        <v>1</v>
      </c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2.75" hidden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2.75" hidden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2.75" hidden="1">
      <c r="A88" s="48" t="s">
        <v>0</v>
      </c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2.75" hidden="1">
      <c r="A89" s="48" t="s">
        <v>47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2.75" hidden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4">
        <v>39479</v>
      </c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25.5" hidden="1">
      <c r="A91" s="11"/>
      <c r="B91" s="8" t="s">
        <v>10</v>
      </c>
      <c r="C91" s="49" t="s">
        <v>11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11"/>
      <c r="O91" s="3" t="s">
        <v>2</v>
      </c>
      <c r="P91" s="8" t="s">
        <v>12</v>
      </c>
      <c r="Q91" s="8"/>
      <c r="R91" s="8"/>
      <c r="S91" s="8"/>
      <c r="T91" s="8" t="s">
        <v>43</v>
      </c>
      <c r="U91" s="8"/>
      <c r="V91" s="8"/>
      <c r="W91" s="8" t="s">
        <v>46</v>
      </c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2.75" hidden="1">
      <c r="A92" s="3" t="s">
        <v>7</v>
      </c>
      <c r="B92" s="3" t="s">
        <v>1</v>
      </c>
      <c r="C92" s="3" t="s">
        <v>13</v>
      </c>
      <c r="D92" s="3" t="s">
        <v>14</v>
      </c>
      <c r="E92" s="3" t="s">
        <v>15</v>
      </c>
      <c r="F92" s="3" t="s">
        <v>16</v>
      </c>
      <c r="G92" s="3" t="s">
        <v>8</v>
      </c>
      <c r="H92" s="3" t="s">
        <v>17</v>
      </c>
      <c r="I92" s="3" t="s">
        <v>18</v>
      </c>
      <c r="J92" s="3" t="s">
        <v>19</v>
      </c>
      <c r="K92" s="3" t="s">
        <v>20</v>
      </c>
      <c r="L92" s="3" t="s">
        <v>21</v>
      </c>
      <c r="M92" s="3" t="s">
        <v>22</v>
      </c>
      <c r="N92" s="3" t="s">
        <v>23</v>
      </c>
      <c r="O92" s="3"/>
      <c r="P92" s="3"/>
      <c r="Q92" s="3"/>
      <c r="R92" s="3"/>
      <c r="S92" s="3"/>
      <c r="T92" s="3"/>
      <c r="U92" s="3"/>
      <c r="V92" s="3"/>
      <c r="W92" s="3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2.75" hidden="1">
      <c r="A94" s="40" t="s">
        <v>24</v>
      </c>
      <c r="B94" s="3">
        <f>+B96+B101</f>
        <v>8163010065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>
        <f>+O96+O101</f>
        <v>1230345600</v>
      </c>
      <c r="P94" s="3">
        <f>+P96+P101</f>
        <v>9393355665</v>
      </c>
      <c r="Q94" s="3">
        <f>+Q96+Q101</f>
        <v>19232471</v>
      </c>
      <c r="R94" s="3"/>
      <c r="S94" s="3"/>
      <c r="T94" s="3">
        <f>+T55+Q94</f>
        <v>364280393</v>
      </c>
      <c r="U94" s="3"/>
      <c r="V94" s="3"/>
      <c r="W94" s="3">
        <f>+T94/P94*100</f>
        <v>3.878064517000273</v>
      </c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2.75" hidden="1">
      <c r="A95" s="40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2.75" hidden="1">
      <c r="A96" s="10" t="s">
        <v>3</v>
      </c>
      <c r="B96" s="10">
        <f>+B97</f>
        <v>3471300000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0">
        <f>+O97</f>
        <v>0</v>
      </c>
      <c r="P96" s="11">
        <f>+B96+O96</f>
        <v>3471300000</v>
      </c>
      <c r="Q96" s="10">
        <f>+Q97</f>
        <v>0</v>
      </c>
      <c r="R96" s="10"/>
      <c r="S96" s="10"/>
      <c r="T96" s="3">
        <f aca="true" t="shared" si="13" ref="T96:T123">+T57+Q96</f>
        <v>0</v>
      </c>
      <c r="U96" s="3"/>
      <c r="V96" s="3"/>
      <c r="W96" s="3">
        <f>+T96/P96*100</f>
        <v>0</v>
      </c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2.75" hidden="1">
      <c r="A97" s="10" t="s">
        <v>25</v>
      </c>
      <c r="B97" s="10">
        <f>+B98+B99</f>
        <v>3471300000</v>
      </c>
      <c r="C97" s="11"/>
      <c r="D97" s="11">
        <v>177520</v>
      </c>
      <c r="E97" s="11"/>
      <c r="F97" s="11">
        <v>165006728</v>
      </c>
      <c r="G97" s="11">
        <v>1414514385</v>
      </c>
      <c r="H97" s="11">
        <v>4948458</v>
      </c>
      <c r="I97" s="11">
        <v>573117327</v>
      </c>
      <c r="J97" s="11">
        <f>139033811-14448995.38</f>
        <v>124584815.62</v>
      </c>
      <c r="K97" s="11">
        <v>93361900</v>
      </c>
      <c r="L97" s="11">
        <v>25720312</v>
      </c>
      <c r="M97" s="11">
        <v>242733948</v>
      </c>
      <c r="N97" s="11">
        <f>65086606+14219504.38-900076.38-6867260+6687809</f>
        <v>78226583</v>
      </c>
      <c r="O97" s="10">
        <f>+O98+O99</f>
        <v>0</v>
      </c>
      <c r="P97" s="11">
        <f>+B97+O97</f>
        <v>3471300000</v>
      </c>
      <c r="Q97" s="10">
        <f>+Q98+Q99</f>
        <v>0</v>
      </c>
      <c r="R97" s="10"/>
      <c r="S97" s="10"/>
      <c r="T97" s="3">
        <f t="shared" si="13"/>
        <v>0</v>
      </c>
      <c r="U97" s="3"/>
      <c r="V97" s="3"/>
      <c r="W97" s="3">
        <f>+T97/P97*100</f>
        <v>0</v>
      </c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2.75" hidden="1">
      <c r="A98" s="11" t="s">
        <v>26</v>
      </c>
      <c r="B98" s="11">
        <v>2106300000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>
        <f>+B98+O98</f>
        <v>2106300000</v>
      </c>
      <c r="Q98" s="11">
        <v>0</v>
      </c>
      <c r="R98" s="11"/>
      <c r="S98" s="11"/>
      <c r="T98" s="3">
        <f t="shared" si="13"/>
        <v>0</v>
      </c>
      <c r="U98" s="3"/>
      <c r="V98" s="3"/>
      <c r="W98" s="3">
        <f>+T98/P98*100</f>
        <v>0</v>
      </c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2.75" hidden="1">
      <c r="A99" s="11" t="s">
        <v>27</v>
      </c>
      <c r="B99" s="11">
        <v>1365000000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>
        <f>+B99+O99</f>
        <v>1365000000</v>
      </c>
      <c r="Q99" s="11">
        <v>0</v>
      </c>
      <c r="R99" s="11"/>
      <c r="S99" s="11"/>
      <c r="T99" s="3">
        <f t="shared" si="13"/>
        <v>0</v>
      </c>
      <c r="U99" s="3"/>
      <c r="V99" s="3"/>
      <c r="W99" s="3">
        <f>+T99/P99*100</f>
        <v>0</v>
      </c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2" ht="12.75" hidden="1">
      <c r="A100" s="10"/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 t="s">
        <v>1</v>
      </c>
      <c r="Q100" s="10"/>
      <c r="R100" s="10"/>
      <c r="S100" s="10"/>
      <c r="T100" s="3">
        <f t="shared" si="13"/>
        <v>0</v>
      </c>
      <c r="U100" s="3"/>
      <c r="V100" s="3"/>
      <c r="W100" s="3" t="s">
        <v>1</v>
      </c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hidden="1">
      <c r="A101" s="10" t="s">
        <v>4</v>
      </c>
      <c r="B101" s="10">
        <f>+B102+B103+B112+B113</f>
        <v>4691710065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0">
        <f>+O102+O103+O112+O113</f>
        <v>1230345600</v>
      </c>
      <c r="P101" s="10">
        <f>+P102+P103+P112+P113</f>
        <v>5922055665</v>
      </c>
      <c r="Q101" s="10">
        <f>+Q102+Q103+Q112+Q113</f>
        <v>19232471</v>
      </c>
      <c r="R101" s="10"/>
      <c r="S101" s="10"/>
      <c r="T101" s="3">
        <f t="shared" si="13"/>
        <v>364280393</v>
      </c>
      <c r="U101" s="3"/>
      <c r="V101" s="3"/>
      <c r="W101" s="3">
        <f aca="true" t="shared" si="14" ref="W101:W118">+T101/P101*100</f>
        <v>6.151249052806733</v>
      </c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hidden="1">
      <c r="A102" s="10" t="s">
        <v>28</v>
      </c>
      <c r="B102" s="10">
        <v>2752759677</v>
      </c>
      <c r="C102" s="11">
        <v>0</v>
      </c>
      <c r="D102" s="11">
        <v>0</v>
      </c>
      <c r="E102" s="11">
        <v>0</v>
      </c>
      <c r="F102" s="11">
        <v>196495882</v>
      </c>
      <c r="G102" s="11">
        <v>164927418</v>
      </c>
      <c r="H102" s="11">
        <v>262941303</v>
      </c>
      <c r="I102" s="11">
        <v>280282246</v>
      </c>
      <c r="J102" s="11">
        <v>246192273</v>
      </c>
      <c r="K102" s="11">
        <v>308626989</v>
      </c>
      <c r="L102" s="11">
        <v>243645342</v>
      </c>
      <c r="M102" s="11">
        <v>247491577</v>
      </c>
      <c r="N102" s="11">
        <v>165492691</v>
      </c>
      <c r="O102" s="11"/>
      <c r="P102" s="11">
        <f aca="true" t="shared" si="15" ref="P102:P114">+B102+O102</f>
        <v>2752759677</v>
      </c>
      <c r="Q102" s="10">
        <v>0</v>
      </c>
      <c r="R102" s="10"/>
      <c r="S102" s="10"/>
      <c r="T102" s="3">
        <f t="shared" si="13"/>
        <v>0</v>
      </c>
      <c r="U102" s="3"/>
      <c r="V102" s="3"/>
      <c r="W102" s="3">
        <f t="shared" si="14"/>
        <v>0</v>
      </c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hidden="1">
      <c r="A103" s="10" t="s">
        <v>5</v>
      </c>
      <c r="B103" s="10">
        <f>+B104+B108+B109+B110</f>
        <v>1867025388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0">
        <f>+O104+O108+O109+O110</f>
        <v>0</v>
      </c>
      <c r="P103" s="11">
        <f t="shared" si="15"/>
        <v>1867025388</v>
      </c>
      <c r="Q103" s="10">
        <f>+Q104+Q108+Q109+Q110</f>
        <v>17203551</v>
      </c>
      <c r="R103" s="10"/>
      <c r="S103" s="10"/>
      <c r="T103" s="3">
        <f t="shared" si="13"/>
        <v>60143973</v>
      </c>
      <c r="U103" s="3"/>
      <c r="V103" s="3"/>
      <c r="W103" s="3">
        <f t="shared" si="14"/>
        <v>3.2213794941710776</v>
      </c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hidden="1">
      <c r="A104" s="10" t="s">
        <v>29</v>
      </c>
      <c r="B104" s="10">
        <f>SUM(B105:B107)</f>
        <v>1679125388</v>
      </c>
      <c r="C104" s="11">
        <f>SUM(C105:C107)</f>
        <v>0</v>
      </c>
      <c r="D104" s="11">
        <f aca="true" t="shared" si="16" ref="D104:N104">SUM(D105:D107)</f>
        <v>9764370</v>
      </c>
      <c r="E104" s="11">
        <f t="shared" si="16"/>
        <v>1633088</v>
      </c>
      <c r="F104" s="11">
        <f t="shared" si="16"/>
        <v>9527326</v>
      </c>
      <c r="G104" s="11">
        <f t="shared" si="16"/>
        <v>5166613</v>
      </c>
      <c r="H104" s="11">
        <f t="shared" si="16"/>
        <v>8550758</v>
      </c>
      <c r="I104" s="11">
        <f t="shared" si="16"/>
        <v>19667967</v>
      </c>
      <c r="J104" s="11">
        <f t="shared" si="16"/>
        <v>32121947.88</v>
      </c>
      <c r="K104" s="11">
        <f t="shared" si="16"/>
        <v>57803883</v>
      </c>
      <c r="L104" s="11">
        <f t="shared" si="16"/>
        <v>248550137</v>
      </c>
      <c r="M104" s="11">
        <f t="shared" si="16"/>
        <v>56476839</v>
      </c>
      <c r="N104" s="11">
        <f t="shared" si="16"/>
        <v>203635166</v>
      </c>
      <c r="O104" s="10">
        <f>SUM(O105:O107)</f>
        <v>0</v>
      </c>
      <c r="P104" s="11">
        <f t="shared" si="15"/>
        <v>1679125388</v>
      </c>
      <c r="Q104" s="10">
        <f>SUM(Q105:Q107)</f>
        <v>196000</v>
      </c>
      <c r="R104" s="10"/>
      <c r="S104" s="10"/>
      <c r="T104" s="3">
        <f t="shared" si="13"/>
        <v>42847562</v>
      </c>
      <c r="U104" s="3"/>
      <c r="V104" s="3"/>
      <c r="W104" s="3">
        <f t="shared" si="14"/>
        <v>2.551778581052578</v>
      </c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hidden="1">
      <c r="A105" s="11" t="s">
        <v>30</v>
      </c>
      <c r="B105" s="11">
        <v>939032888</v>
      </c>
      <c r="C105" s="11">
        <v>0</v>
      </c>
      <c r="D105" s="11">
        <v>9764370</v>
      </c>
      <c r="E105" s="11">
        <v>0</v>
      </c>
      <c r="F105" s="11">
        <f>274606+765092</f>
        <v>1039698</v>
      </c>
      <c r="G105" s="11">
        <v>4660304</v>
      </c>
      <c r="H105" s="11">
        <v>7848958</v>
      </c>
      <c r="I105" s="11">
        <v>15343416</v>
      </c>
      <c r="J105" s="11">
        <v>22521927</v>
      </c>
      <c r="K105" s="11">
        <v>33311437</v>
      </c>
      <c r="L105" s="11">
        <f>309295398-94490110</f>
        <v>214805288</v>
      </c>
      <c r="M105" s="11">
        <v>28836508</v>
      </c>
      <c r="N105" s="11">
        <f>98225097-2027734+2337372</f>
        <v>98534735</v>
      </c>
      <c r="O105" s="11"/>
      <c r="P105" s="11">
        <f t="shared" si="15"/>
        <v>939032888</v>
      </c>
      <c r="Q105" s="11">
        <v>0</v>
      </c>
      <c r="R105" s="11"/>
      <c r="S105" s="11"/>
      <c r="T105" s="3">
        <f t="shared" si="13"/>
        <v>42651562</v>
      </c>
      <c r="U105" s="3"/>
      <c r="V105" s="3"/>
      <c r="W105" s="3">
        <f t="shared" si="14"/>
        <v>4.542073291047501</v>
      </c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hidden="1">
      <c r="A106" s="11" t="s">
        <v>31</v>
      </c>
      <c r="B106" s="11">
        <v>724342500</v>
      </c>
      <c r="C106" s="11"/>
      <c r="D106" s="11">
        <v>0</v>
      </c>
      <c r="E106" s="11">
        <v>0</v>
      </c>
      <c r="F106" s="11">
        <v>0</v>
      </c>
      <c r="G106" s="11">
        <v>0</v>
      </c>
      <c r="H106" s="11">
        <v>25090</v>
      </c>
      <c r="I106" s="11">
        <v>946365</v>
      </c>
      <c r="J106" s="11">
        <v>8764131</v>
      </c>
      <c r="K106" s="11">
        <v>21523596</v>
      </c>
      <c r="L106" s="11">
        <v>33159819</v>
      </c>
      <c r="M106" s="11">
        <v>27504331</v>
      </c>
      <c r="N106" s="11">
        <f>101300092+707323</f>
        <v>102007415</v>
      </c>
      <c r="O106" s="11">
        <v>0</v>
      </c>
      <c r="P106" s="11">
        <f t="shared" si="15"/>
        <v>724342500</v>
      </c>
      <c r="Q106" s="11">
        <v>0</v>
      </c>
      <c r="R106" s="11"/>
      <c r="S106" s="11"/>
      <c r="T106" s="3">
        <f t="shared" si="13"/>
        <v>0</v>
      </c>
      <c r="U106" s="3"/>
      <c r="V106" s="3"/>
      <c r="W106" s="3">
        <f t="shared" si="14"/>
        <v>0</v>
      </c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hidden="1">
      <c r="A107" s="11" t="s">
        <v>32</v>
      </c>
      <c r="B107" s="11">
        <v>15750000</v>
      </c>
      <c r="C107" s="11"/>
      <c r="D107" s="11"/>
      <c r="E107" s="11">
        <v>1633088</v>
      </c>
      <c r="F107" s="11">
        <v>8487628</v>
      </c>
      <c r="G107" s="11">
        <v>506309</v>
      </c>
      <c r="H107" s="11">
        <v>676710</v>
      </c>
      <c r="I107" s="11">
        <v>3378186</v>
      </c>
      <c r="J107" s="11">
        <f>628640+207249.88</f>
        <v>835889.88</v>
      </c>
      <c r="K107" s="11">
        <v>2968850</v>
      </c>
      <c r="L107" s="11">
        <v>585030</v>
      </c>
      <c r="M107" s="11">
        <v>136000</v>
      </c>
      <c r="N107" s="11">
        <f>22300706.88-19207690.88</f>
        <v>3093016</v>
      </c>
      <c r="O107" s="11"/>
      <c r="P107" s="11">
        <f t="shared" si="15"/>
        <v>15750000</v>
      </c>
      <c r="Q107" s="11">
        <v>196000</v>
      </c>
      <c r="R107" s="11"/>
      <c r="S107" s="11"/>
      <c r="T107" s="3">
        <f t="shared" si="13"/>
        <v>196000</v>
      </c>
      <c r="U107" s="3"/>
      <c r="V107" s="3"/>
      <c r="W107" s="3">
        <f t="shared" si="14"/>
        <v>1.2444444444444445</v>
      </c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hidden="1">
      <c r="A108" s="10" t="s">
        <v>33</v>
      </c>
      <c r="B108" s="10">
        <v>65100000</v>
      </c>
      <c r="C108" s="11">
        <v>426256</v>
      </c>
      <c r="D108" s="11">
        <v>177520</v>
      </c>
      <c r="E108" s="11">
        <v>815304</v>
      </c>
      <c r="F108" s="11">
        <v>1044670</v>
      </c>
      <c r="G108" s="11">
        <v>210000</v>
      </c>
      <c r="H108" s="11">
        <v>497000</v>
      </c>
      <c r="I108" s="11">
        <v>1908400</v>
      </c>
      <c r="J108" s="11">
        <v>2080000</v>
      </c>
      <c r="K108" s="11">
        <v>1960300</v>
      </c>
      <c r="L108" s="11">
        <v>1071750</v>
      </c>
      <c r="M108" s="11">
        <v>486631</v>
      </c>
      <c r="N108" s="11">
        <v>3040000</v>
      </c>
      <c r="O108" s="11"/>
      <c r="P108" s="11">
        <f t="shared" si="15"/>
        <v>65100000</v>
      </c>
      <c r="Q108" s="10">
        <v>1153750</v>
      </c>
      <c r="R108" s="10"/>
      <c r="S108" s="10"/>
      <c r="T108" s="3">
        <f t="shared" si="13"/>
        <v>1442610</v>
      </c>
      <c r="U108" s="3"/>
      <c r="V108" s="3"/>
      <c r="W108" s="3">
        <f t="shared" si="14"/>
        <v>2.215990783410138</v>
      </c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hidden="1">
      <c r="A109" s="10" t="s">
        <v>34</v>
      </c>
      <c r="B109" s="10">
        <v>1000000</v>
      </c>
      <c r="C109" s="11">
        <v>7540000</v>
      </c>
      <c r="D109" s="11"/>
      <c r="E109" s="11"/>
      <c r="F109" s="11"/>
      <c r="G109" s="11"/>
      <c r="H109" s="11"/>
      <c r="I109" s="11">
        <v>294000</v>
      </c>
      <c r="J109" s="11"/>
      <c r="K109" s="11"/>
      <c r="L109" s="11">
        <v>29000</v>
      </c>
      <c r="M109" s="11"/>
      <c r="N109" s="11"/>
      <c r="O109" s="11"/>
      <c r="P109" s="11">
        <f t="shared" si="15"/>
        <v>1000000</v>
      </c>
      <c r="Q109" s="10">
        <v>0</v>
      </c>
      <c r="R109" s="10"/>
      <c r="S109" s="10"/>
      <c r="T109" s="3">
        <f t="shared" si="13"/>
        <v>0</v>
      </c>
      <c r="U109" s="3"/>
      <c r="V109" s="3"/>
      <c r="W109" s="3">
        <f t="shared" si="14"/>
        <v>0</v>
      </c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hidden="1">
      <c r="A110" s="10" t="s">
        <v>35</v>
      </c>
      <c r="B110" s="10">
        <f aca="true" t="shared" si="17" ref="B110:O110">SUM(B111:B111)</f>
        <v>121800000</v>
      </c>
      <c r="C110" s="11">
        <f t="shared" si="17"/>
        <v>4768052</v>
      </c>
      <c r="D110" s="11">
        <f t="shared" si="17"/>
        <v>8290086</v>
      </c>
      <c r="E110" s="11">
        <f t="shared" si="17"/>
        <v>10672897</v>
      </c>
      <c r="F110" s="11">
        <f t="shared" si="17"/>
        <v>13361106</v>
      </c>
      <c r="G110" s="11">
        <f t="shared" si="17"/>
        <v>5435392</v>
      </c>
      <c r="H110" s="11">
        <f t="shared" si="17"/>
        <v>6359364</v>
      </c>
      <c r="I110" s="11">
        <f t="shared" si="17"/>
        <v>17667466</v>
      </c>
      <c r="J110" s="11">
        <f t="shared" si="17"/>
        <v>22629676</v>
      </c>
      <c r="K110" s="11">
        <f t="shared" si="17"/>
        <v>24318846</v>
      </c>
      <c r="L110" s="11">
        <f t="shared" si="17"/>
        <v>14234424</v>
      </c>
      <c r="M110" s="11">
        <f t="shared" si="17"/>
        <v>14378768</v>
      </c>
      <c r="N110" s="11">
        <f t="shared" si="17"/>
        <v>23388888</v>
      </c>
      <c r="O110" s="10">
        <f t="shared" si="17"/>
        <v>0</v>
      </c>
      <c r="P110" s="11">
        <f t="shared" si="15"/>
        <v>121800000</v>
      </c>
      <c r="Q110" s="10">
        <f>SUM(Q111:Q111)</f>
        <v>15853801</v>
      </c>
      <c r="R110" s="10"/>
      <c r="S110" s="10"/>
      <c r="T110" s="3">
        <f t="shared" si="13"/>
        <v>15853801</v>
      </c>
      <c r="U110" s="3"/>
      <c r="V110" s="3"/>
      <c r="W110" s="3">
        <f t="shared" si="14"/>
        <v>13.016256978653532</v>
      </c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hidden="1">
      <c r="A111" s="11" t="s">
        <v>36</v>
      </c>
      <c r="B111" s="11">
        <v>121800000</v>
      </c>
      <c r="C111" s="11">
        <v>4768052</v>
      </c>
      <c r="D111" s="11">
        <v>8290086</v>
      </c>
      <c r="E111" s="11">
        <v>10672897</v>
      </c>
      <c r="F111" s="11">
        <v>13361106</v>
      </c>
      <c r="G111" s="11">
        <v>5435392</v>
      </c>
      <c r="H111" s="11">
        <v>6359364</v>
      </c>
      <c r="I111" s="11">
        <v>17667466</v>
      </c>
      <c r="J111" s="11">
        <f>15777671+6852005</f>
        <v>22629676</v>
      </c>
      <c r="K111" s="11">
        <v>24318846</v>
      </c>
      <c r="L111" s="11">
        <v>14234424</v>
      </c>
      <c r="M111" s="11">
        <f>14378768</f>
        <v>14378768</v>
      </c>
      <c r="N111" s="11">
        <f>165504965-142116077</f>
        <v>23388888</v>
      </c>
      <c r="O111" s="11"/>
      <c r="P111" s="11">
        <f t="shared" si="15"/>
        <v>121800000</v>
      </c>
      <c r="Q111" s="11">
        <f>15586201+267600</f>
        <v>15853801</v>
      </c>
      <c r="R111" s="11"/>
      <c r="S111" s="11"/>
      <c r="T111" s="3">
        <f t="shared" si="13"/>
        <v>15853801</v>
      </c>
      <c r="U111" s="3"/>
      <c r="V111" s="3"/>
      <c r="W111" s="3">
        <f t="shared" si="14"/>
        <v>13.016256978653532</v>
      </c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hidden="1">
      <c r="A112" s="10" t="s">
        <v>37</v>
      </c>
      <c r="B112" s="10">
        <v>71925000</v>
      </c>
      <c r="C112" s="11" t="e">
        <f>SUM(#REF!)</f>
        <v>#REF!</v>
      </c>
      <c r="D112" s="11" t="e">
        <f>SUM(#REF!)</f>
        <v>#REF!</v>
      </c>
      <c r="E112" s="11" t="e">
        <f>SUM(#REF!)</f>
        <v>#REF!</v>
      </c>
      <c r="F112" s="11" t="e">
        <f>SUM(#REF!)</f>
        <v>#REF!</v>
      </c>
      <c r="G112" s="11" t="e">
        <f>SUM(#REF!)</f>
        <v>#REF!</v>
      </c>
      <c r="H112" s="11" t="e">
        <f>SUM(#REF!)</f>
        <v>#REF!</v>
      </c>
      <c r="I112" s="11" t="e">
        <f>SUM(#REF!)</f>
        <v>#REF!</v>
      </c>
      <c r="J112" s="11" t="e">
        <f>SUM(#REF!)</f>
        <v>#REF!</v>
      </c>
      <c r="K112" s="11" t="e">
        <f>SUM(#REF!)</f>
        <v>#REF!</v>
      </c>
      <c r="L112" s="11" t="e">
        <f>SUM(#REF!)</f>
        <v>#REF!</v>
      </c>
      <c r="M112" s="11" t="e">
        <f>SUM(#REF!)</f>
        <v>#REF!</v>
      </c>
      <c r="N112" s="11" t="e">
        <f>SUM(#REF!)</f>
        <v>#REF!</v>
      </c>
      <c r="O112" s="10">
        <v>0</v>
      </c>
      <c r="P112" s="11">
        <f t="shared" si="15"/>
        <v>71925000</v>
      </c>
      <c r="Q112" s="11">
        <f>1530000+0+498920</f>
        <v>2028920</v>
      </c>
      <c r="R112" s="11"/>
      <c r="S112" s="11"/>
      <c r="T112" s="3">
        <f t="shared" si="13"/>
        <v>2044305</v>
      </c>
      <c r="U112" s="3"/>
      <c r="V112" s="3"/>
      <c r="W112" s="3">
        <f t="shared" si="14"/>
        <v>2.8422732012513037</v>
      </c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hidden="1">
      <c r="A113" s="10" t="s">
        <v>44</v>
      </c>
      <c r="B113" s="10">
        <f>+B114</f>
        <v>0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0">
        <f>+O114</f>
        <v>1230345600</v>
      </c>
      <c r="P113" s="11">
        <f t="shared" si="15"/>
        <v>1230345600</v>
      </c>
      <c r="Q113" s="10">
        <f>+Q114</f>
        <v>0</v>
      </c>
      <c r="R113" s="10"/>
      <c r="S113" s="10"/>
      <c r="T113" s="3">
        <f t="shared" si="13"/>
        <v>302092115</v>
      </c>
      <c r="U113" s="3"/>
      <c r="V113" s="3"/>
      <c r="W113" s="3">
        <f t="shared" si="14"/>
        <v>24.553435636296015</v>
      </c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hidden="1">
      <c r="A114" s="10" t="s">
        <v>45</v>
      </c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0">
        <v>1230345600</v>
      </c>
      <c r="P114" s="11">
        <f t="shared" si="15"/>
        <v>1230345600</v>
      </c>
      <c r="Q114" s="10">
        <v>0</v>
      </c>
      <c r="R114" s="10"/>
      <c r="S114" s="10"/>
      <c r="T114" s="3">
        <f t="shared" si="13"/>
        <v>0</v>
      </c>
      <c r="U114" s="3"/>
      <c r="V114" s="3"/>
      <c r="W114" s="3">
        <f t="shared" si="14"/>
        <v>0</v>
      </c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hidden="1">
      <c r="A115" s="10" t="s">
        <v>38</v>
      </c>
      <c r="B115" s="10">
        <f>+B116+B117+B118</f>
        <v>1914146055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0">
        <f>+O116+O117+O118</f>
        <v>0</v>
      </c>
      <c r="P115" s="11">
        <f>+B115+O115</f>
        <v>1914146055</v>
      </c>
      <c r="Q115" s="10">
        <f>+Q116+Q117+Q118</f>
        <v>361765702</v>
      </c>
      <c r="R115" s="10"/>
      <c r="S115" s="10"/>
      <c r="T115" s="3">
        <f t="shared" si="13"/>
        <v>662670589</v>
      </c>
      <c r="U115" s="3"/>
      <c r="V115" s="3"/>
      <c r="W115" s="3">
        <f t="shared" si="14"/>
        <v>34.61964604367664</v>
      </c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hidden="1">
      <c r="A116" s="10" t="s">
        <v>6</v>
      </c>
      <c r="B116" s="10">
        <v>70000000</v>
      </c>
      <c r="C116" s="11">
        <v>898886</v>
      </c>
      <c r="D116" s="11">
        <f>4306726+216132</f>
        <v>4522858</v>
      </c>
      <c r="E116" s="11">
        <f>751140+23292827</f>
        <v>24043967</v>
      </c>
      <c r="F116" s="11">
        <v>8452240</v>
      </c>
      <c r="G116" s="11">
        <v>4422172</v>
      </c>
      <c r="H116" s="11">
        <f>7484642+234363</f>
        <v>7719005</v>
      </c>
      <c r="I116" s="11">
        <f>102855+5416914</f>
        <v>5519769</v>
      </c>
      <c r="J116" s="11">
        <f>6098966+444960+3514791+65855</f>
        <v>10124572</v>
      </c>
      <c r="K116" s="11">
        <f>191152+1348022+3219820.01</f>
        <v>4758994.01</v>
      </c>
      <c r="L116" s="11">
        <f>350566+9695840</f>
        <v>10046406</v>
      </c>
      <c r="M116" s="11">
        <f>579536+7833208+436291+345639</f>
        <v>9194674</v>
      </c>
      <c r="N116" s="11">
        <f>112132152.5-89703543.01</f>
        <v>22428609.489999995</v>
      </c>
      <c r="O116" s="11"/>
      <c r="P116" s="11">
        <f>+B116+O116</f>
        <v>70000000</v>
      </c>
      <c r="Q116" s="10">
        <f>8684542+1032979</f>
        <v>9717521</v>
      </c>
      <c r="R116" s="10"/>
      <c r="S116" s="10"/>
      <c r="T116" s="3">
        <f t="shared" si="13"/>
        <v>10904749</v>
      </c>
      <c r="U116" s="3"/>
      <c r="V116" s="3"/>
      <c r="W116" s="3">
        <f t="shared" si="14"/>
        <v>15.578212857142857</v>
      </c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hidden="1">
      <c r="A117" s="10" t="s">
        <v>9</v>
      </c>
      <c r="B117" s="10">
        <v>0</v>
      </c>
      <c r="C117" s="11"/>
      <c r="D117" s="11"/>
      <c r="E117" s="11"/>
      <c r="F117" s="11">
        <f>+B117</f>
        <v>0</v>
      </c>
      <c r="G117" s="11"/>
      <c r="H117" s="11"/>
      <c r="I117" s="11"/>
      <c r="J117" s="11"/>
      <c r="K117" s="11"/>
      <c r="L117" s="11"/>
      <c r="M117" s="11"/>
      <c r="N117" s="11"/>
      <c r="O117" s="11">
        <v>0</v>
      </c>
      <c r="P117" s="11">
        <f>+B117+O117</f>
        <v>0</v>
      </c>
      <c r="Q117" s="11">
        <f>+O117</f>
        <v>0</v>
      </c>
      <c r="R117" s="11"/>
      <c r="S117" s="11"/>
      <c r="T117" s="3">
        <f t="shared" si="13"/>
        <v>0</v>
      </c>
      <c r="U117" s="3"/>
      <c r="V117" s="3"/>
      <c r="W117" s="3" t="e">
        <f t="shared" si="14"/>
        <v>#DIV/0!</v>
      </c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hidden="1">
      <c r="A118" s="10" t="s">
        <v>39</v>
      </c>
      <c r="B118" s="10">
        <v>1844146055</v>
      </c>
      <c r="C118" s="11" t="e">
        <f>+#REF!+#REF!</f>
        <v>#REF!</v>
      </c>
      <c r="D118" s="11" t="e">
        <f>+#REF!+#REF!</f>
        <v>#REF!</v>
      </c>
      <c r="E118" s="11" t="e">
        <f>+#REF!+#REF!</f>
        <v>#REF!</v>
      </c>
      <c r="F118" s="11" t="e">
        <f>+#REF!+#REF!</f>
        <v>#REF!</v>
      </c>
      <c r="G118" s="11" t="e">
        <f>+#REF!+#REF!</f>
        <v>#REF!</v>
      </c>
      <c r="H118" s="11" t="e">
        <f>+#REF!+#REF!</f>
        <v>#REF!</v>
      </c>
      <c r="I118" s="11" t="e">
        <f>+#REF!+#REF!</f>
        <v>#REF!</v>
      </c>
      <c r="J118" s="11" t="e">
        <f>+#REF!+#REF!</f>
        <v>#REF!</v>
      </c>
      <c r="K118" s="11" t="e">
        <f>+#REF!+#REF!</f>
        <v>#REF!</v>
      </c>
      <c r="L118" s="11" t="e">
        <f>+#REF!+#REF!</f>
        <v>#REF!</v>
      </c>
      <c r="M118" s="11" t="e">
        <f>+#REF!+#REF!</f>
        <v>#REF!</v>
      </c>
      <c r="N118" s="11" t="e">
        <f>+#REF!+#REF!</f>
        <v>#REF!</v>
      </c>
      <c r="O118" s="10">
        <v>0</v>
      </c>
      <c r="P118" s="11">
        <f>+B118+O118</f>
        <v>1844146055</v>
      </c>
      <c r="Q118" s="10">
        <f>326502556+25545625</f>
        <v>352048181</v>
      </c>
      <c r="R118" s="10"/>
      <c r="S118" s="10"/>
      <c r="T118" s="3">
        <f t="shared" si="13"/>
        <v>651765840</v>
      </c>
      <c r="U118" s="3"/>
      <c r="V118" s="3"/>
      <c r="W118" s="3">
        <f t="shared" si="14"/>
        <v>35.34241977379607</v>
      </c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hidden="1">
      <c r="A119" s="11"/>
      <c r="B119" s="11"/>
      <c r="C119" s="11"/>
      <c r="D119" s="11"/>
      <c r="E119" s="11" t="s">
        <v>1</v>
      </c>
      <c r="F119" s="11" t="s">
        <v>1</v>
      </c>
      <c r="G119" s="11" t="s">
        <v>1</v>
      </c>
      <c r="H119" s="11" t="s">
        <v>1</v>
      </c>
      <c r="I119" s="11" t="s">
        <v>1</v>
      </c>
      <c r="J119" s="11" t="s">
        <v>1</v>
      </c>
      <c r="K119" s="11" t="s">
        <v>1</v>
      </c>
      <c r="L119" s="11" t="s">
        <v>1</v>
      </c>
      <c r="M119" s="11" t="s">
        <v>1</v>
      </c>
      <c r="N119" s="11" t="s">
        <v>1</v>
      </c>
      <c r="O119" s="11"/>
      <c r="P119" s="11" t="s">
        <v>1</v>
      </c>
      <c r="Q119" s="11" t="s">
        <v>1</v>
      </c>
      <c r="R119" s="11"/>
      <c r="S119" s="11"/>
      <c r="T119" s="3" t="s">
        <v>1</v>
      </c>
      <c r="U119" s="3"/>
      <c r="V119" s="3"/>
      <c r="W119" s="3" t="s">
        <v>1</v>
      </c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hidden="1">
      <c r="A120" s="10" t="s">
        <v>40</v>
      </c>
      <c r="B120" s="10">
        <f>+B94+B115</f>
        <v>10077156120</v>
      </c>
      <c r="C120" s="10" t="e">
        <f>+C97+C102+C104+C108+C109+C110+C112+#REF!+#REF!+C116+C117+C118+#REF!</f>
        <v>#REF!</v>
      </c>
      <c r="D120" s="10" t="e">
        <f>+D97+D102+D104+D108+D109+D110+D112+#REF!+#REF!+D116+D117+D118+#REF!</f>
        <v>#REF!</v>
      </c>
      <c r="E120" s="10" t="e">
        <f>+E97+E102+E104+E108+E109+E110+E112+#REF!+#REF!+E116+E117+E118+#REF!</f>
        <v>#REF!</v>
      </c>
      <c r="F120" s="10" t="e">
        <f>+F97+F102+F104+F108+F109+F110+F112+#REF!+#REF!+F116+F117+F118+#REF!</f>
        <v>#REF!</v>
      </c>
      <c r="G120" s="10" t="e">
        <f>+G97+G102+G104+G108+G109+G110+G112+#REF!+#REF!+G116+G117+G118+#REF!</f>
        <v>#REF!</v>
      </c>
      <c r="H120" s="10" t="e">
        <f>+H97+H102+H104+H108+H109+H110+H112+#REF!+#REF!+H116+H117+H118+#REF!</f>
        <v>#REF!</v>
      </c>
      <c r="I120" s="10" t="e">
        <f>+I97+I102+I104+I108+I109+I110+I112+#REF!+#REF!+I116+I117+I118+#REF!</f>
        <v>#REF!</v>
      </c>
      <c r="J120" s="10" t="e">
        <f>+J97+J102+J104+J108+J109+J110+J112+#REF!+#REF!+J116+J117+J118+#REF!</f>
        <v>#REF!</v>
      </c>
      <c r="K120" s="10" t="e">
        <f>+K97+K102+K104+K108+K109+K110+K112+#REF!+#REF!+K116+K117+K118+#REF!</f>
        <v>#REF!</v>
      </c>
      <c r="L120" s="10" t="e">
        <f>+L97+L102+L104+L108+L109+L110+L112+#REF!+#REF!+L116+L117+L118+#REF!</f>
        <v>#REF!</v>
      </c>
      <c r="M120" s="10" t="e">
        <f>+M97+M102+M104+M108+M109+M110+M112+#REF!+#REF!+M116+M117+M118+#REF!</f>
        <v>#REF!</v>
      </c>
      <c r="N120" s="10" t="e">
        <f>+N97+N102+N104+N108+N109+N110+N112+#REF!+#REF!+N116+N117+N118+#REF!</f>
        <v>#REF!</v>
      </c>
      <c r="O120" s="10">
        <f>+O94+O115</f>
        <v>1230345600</v>
      </c>
      <c r="P120" s="10">
        <f>+P94+P115</f>
        <v>11307501720</v>
      </c>
      <c r="Q120" s="14">
        <f>+Q94+Q115</f>
        <v>380998173</v>
      </c>
      <c r="R120" s="14"/>
      <c r="S120" s="14"/>
      <c r="T120" s="3">
        <f t="shared" si="13"/>
        <v>724858867</v>
      </c>
      <c r="U120" s="3"/>
      <c r="V120" s="3"/>
      <c r="W120" s="3">
        <f>+T120/P120*100</f>
        <v>6.410424556627881</v>
      </c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hidden="1">
      <c r="A121" s="10" t="s">
        <v>41</v>
      </c>
      <c r="B121" s="11">
        <f>+B82</f>
        <v>1334597240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>
        <v>0</v>
      </c>
      <c r="P121" s="1">
        <f>+B121+O121</f>
        <v>1334597240</v>
      </c>
      <c r="Q121" s="1">
        <f>91994880+0</f>
        <v>91994880</v>
      </c>
      <c r="R121" s="1"/>
      <c r="S121" s="1"/>
      <c r="T121" s="3">
        <f t="shared" si="13"/>
        <v>91994880</v>
      </c>
      <c r="U121" s="3"/>
      <c r="V121" s="3"/>
      <c r="W121" s="3">
        <f>+T121/P121*100</f>
        <v>6.893081840930526</v>
      </c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hidden="1">
      <c r="A122" s="1"/>
      <c r="B122" s="1" t="s">
        <v>1</v>
      </c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 t="s">
        <v>1</v>
      </c>
      <c r="P122" s="1"/>
      <c r="Q122" s="1"/>
      <c r="R122" s="1"/>
      <c r="S122" s="1"/>
      <c r="T122" s="3">
        <f t="shared" si="13"/>
        <v>0</v>
      </c>
      <c r="U122" s="3"/>
      <c r="V122" s="3"/>
      <c r="W122" s="3" t="s">
        <v>1</v>
      </c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hidden="1">
      <c r="A123" s="10" t="s">
        <v>42</v>
      </c>
      <c r="B123" s="14">
        <f>+B120+B121</f>
        <v>11411753360</v>
      </c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>
        <f>+O120+O121</f>
        <v>1230345600</v>
      </c>
      <c r="P123" s="14">
        <f>+P120+P121</f>
        <v>12642098960</v>
      </c>
      <c r="Q123" s="14">
        <f>+Q120+Q121</f>
        <v>472993053</v>
      </c>
      <c r="R123" s="14"/>
      <c r="S123" s="14"/>
      <c r="T123" s="3">
        <f t="shared" si="13"/>
        <v>816853747</v>
      </c>
      <c r="U123" s="3"/>
      <c r="V123" s="3"/>
      <c r="W123" s="3">
        <f>+T123/P123*100</f>
        <v>6.461377573332965</v>
      </c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hidden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 t="s">
        <v>1</v>
      </c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hidden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hidden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hidden="1">
      <c r="A134" s="48" t="s">
        <v>0</v>
      </c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hidden="1">
      <c r="A135" s="48" t="s">
        <v>47</v>
      </c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hidden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4">
        <v>39508</v>
      </c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5.5" hidden="1">
      <c r="A137" s="11"/>
      <c r="B137" s="8" t="s">
        <v>10</v>
      </c>
      <c r="C137" s="49" t="s">
        <v>11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1"/>
      <c r="O137" s="3" t="s">
        <v>2</v>
      </c>
      <c r="P137" s="8" t="s">
        <v>12</v>
      </c>
      <c r="Q137" s="8"/>
      <c r="R137" s="8"/>
      <c r="S137" s="8"/>
      <c r="T137" s="8" t="s">
        <v>43</v>
      </c>
      <c r="U137" s="8"/>
      <c r="V137" s="8"/>
      <c r="W137" s="8" t="s">
        <v>46</v>
      </c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hidden="1">
      <c r="A138" s="3" t="s">
        <v>7</v>
      </c>
      <c r="B138" s="3" t="s">
        <v>1</v>
      </c>
      <c r="C138" s="3" t="s">
        <v>13</v>
      </c>
      <c r="D138" s="3" t="s">
        <v>14</v>
      </c>
      <c r="E138" s="3" t="s">
        <v>15</v>
      </c>
      <c r="F138" s="3" t="s">
        <v>16</v>
      </c>
      <c r="G138" s="3" t="s">
        <v>8</v>
      </c>
      <c r="H138" s="3" t="s">
        <v>17</v>
      </c>
      <c r="I138" s="3" t="s">
        <v>18</v>
      </c>
      <c r="J138" s="3" t="s">
        <v>19</v>
      </c>
      <c r="K138" s="3" t="s">
        <v>20</v>
      </c>
      <c r="L138" s="3" t="s">
        <v>21</v>
      </c>
      <c r="M138" s="3" t="s">
        <v>22</v>
      </c>
      <c r="N138" s="3" t="s">
        <v>23</v>
      </c>
      <c r="O138" s="3"/>
      <c r="P138" s="3"/>
      <c r="Q138" s="3"/>
      <c r="R138" s="3"/>
      <c r="S138" s="3"/>
      <c r="T138" s="3"/>
      <c r="U138" s="3"/>
      <c r="V138" s="3"/>
      <c r="W138" s="3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hidden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hidden="1">
      <c r="A140" s="40" t="s">
        <v>24</v>
      </c>
      <c r="B140" s="3">
        <f>+B142+B147</f>
        <v>8163010065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>
        <f>+O142+O147</f>
        <v>1230345600</v>
      </c>
      <c r="P140" s="3">
        <f>+P142+P147</f>
        <v>9393355665</v>
      </c>
      <c r="Q140" s="3">
        <f>+Q142+Q147</f>
        <v>17173426</v>
      </c>
      <c r="R140" s="3"/>
      <c r="S140" s="3"/>
      <c r="T140" s="3">
        <f>+T94+Q140</f>
        <v>381453819</v>
      </c>
      <c r="U140" s="3"/>
      <c r="V140" s="3"/>
      <c r="W140" s="3">
        <f>+T140/P140*100</f>
        <v>4.060889767235275</v>
      </c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hidden="1">
      <c r="A141" s="40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hidden="1">
      <c r="A142" s="10" t="s">
        <v>3</v>
      </c>
      <c r="B142" s="10">
        <f>+B143</f>
        <v>3471300000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0">
        <f>+O143</f>
        <v>0</v>
      </c>
      <c r="P142" s="11">
        <f>+B142+O142</f>
        <v>3471300000</v>
      </c>
      <c r="Q142" s="10">
        <f>+Q143</f>
        <v>0</v>
      </c>
      <c r="R142" s="10"/>
      <c r="S142" s="10"/>
      <c r="T142" s="3">
        <f aca="true" t="shared" si="18" ref="T142:T169">+T96+Q142</f>
        <v>0</v>
      </c>
      <c r="U142" s="3"/>
      <c r="V142" s="3"/>
      <c r="W142" s="3">
        <f>+T142/P142*100</f>
        <v>0</v>
      </c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hidden="1">
      <c r="A143" s="10" t="s">
        <v>25</v>
      </c>
      <c r="B143" s="10">
        <f>+B144+B145</f>
        <v>3471300000</v>
      </c>
      <c r="C143" s="11"/>
      <c r="D143" s="11">
        <v>177520</v>
      </c>
      <c r="E143" s="11"/>
      <c r="F143" s="11">
        <v>165006728</v>
      </c>
      <c r="G143" s="11">
        <v>1414514385</v>
      </c>
      <c r="H143" s="11">
        <v>4948458</v>
      </c>
      <c r="I143" s="11">
        <v>573117327</v>
      </c>
      <c r="J143" s="11">
        <f>139033811-14448995.38</f>
        <v>124584815.62</v>
      </c>
      <c r="K143" s="11">
        <v>93361900</v>
      </c>
      <c r="L143" s="11">
        <v>25720312</v>
      </c>
      <c r="M143" s="11">
        <v>242733948</v>
      </c>
      <c r="N143" s="11">
        <f>65086606+14219504.38-900076.38-6867260+6687809</f>
        <v>78226583</v>
      </c>
      <c r="O143" s="10">
        <f>+O144+O145</f>
        <v>0</v>
      </c>
      <c r="P143" s="11">
        <f>+B143+O143</f>
        <v>3471300000</v>
      </c>
      <c r="Q143" s="10">
        <f>+Q144+Q145</f>
        <v>0</v>
      </c>
      <c r="R143" s="10"/>
      <c r="S143" s="10"/>
      <c r="T143" s="3">
        <f t="shared" si="18"/>
        <v>0</v>
      </c>
      <c r="U143" s="3"/>
      <c r="V143" s="3"/>
      <c r="W143" s="3">
        <f>+T143/P143*100</f>
        <v>0</v>
      </c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hidden="1">
      <c r="A144" s="11" t="s">
        <v>26</v>
      </c>
      <c r="B144" s="11">
        <v>2106300000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>
        <f>+B144+O144</f>
        <v>2106300000</v>
      </c>
      <c r="Q144" s="11">
        <v>0</v>
      </c>
      <c r="R144" s="11"/>
      <c r="S144" s="11"/>
      <c r="T144" s="3">
        <f t="shared" si="18"/>
        <v>0</v>
      </c>
      <c r="U144" s="3"/>
      <c r="V144" s="3"/>
      <c r="W144" s="3">
        <f>+T144/P144*100</f>
        <v>0</v>
      </c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hidden="1">
      <c r="A145" s="11" t="s">
        <v>27</v>
      </c>
      <c r="B145" s="11">
        <v>1365000000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>
        <f>+B145+O145</f>
        <v>1365000000</v>
      </c>
      <c r="Q145" s="11">
        <v>0</v>
      </c>
      <c r="R145" s="11"/>
      <c r="S145" s="11"/>
      <c r="T145" s="3">
        <f t="shared" si="18"/>
        <v>0</v>
      </c>
      <c r="U145" s="3"/>
      <c r="V145" s="3"/>
      <c r="W145" s="3">
        <f>+T145/P145*100</f>
        <v>0</v>
      </c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hidden="1">
      <c r="A146" s="10"/>
      <c r="B146" s="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 t="s">
        <v>1</v>
      </c>
      <c r="Q146" s="10"/>
      <c r="R146" s="10"/>
      <c r="S146" s="10"/>
      <c r="T146" s="3">
        <f t="shared" si="18"/>
        <v>0</v>
      </c>
      <c r="U146" s="3"/>
      <c r="V146" s="3"/>
      <c r="W146" s="3" t="s">
        <v>1</v>
      </c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hidden="1">
      <c r="A147" s="10" t="s">
        <v>4</v>
      </c>
      <c r="B147" s="10">
        <f>+B148+B149+B158+B159</f>
        <v>4691710065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0">
        <f>+O148+O149+O158+O159</f>
        <v>1230345600</v>
      </c>
      <c r="P147" s="10">
        <f>+P148+P149+P158+P159</f>
        <v>5922055665</v>
      </c>
      <c r="Q147" s="10">
        <f>+Q148+Q149+Q158+Q159</f>
        <v>17173426</v>
      </c>
      <c r="R147" s="10"/>
      <c r="S147" s="10"/>
      <c r="T147" s="3">
        <f t="shared" si="18"/>
        <v>381453819</v>
      </c>
      <c r="U147" s="3"/>
      <c r="V147" s="3"/>
      <c r="W147" s="3">
        <f aca="true" t="shared" si="19" ref="W147:W164">+T147/P147*100</f>
        <v>6.44124001154589</v>
      </c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hidden="1">
      <c r="A148" s="10" t="s">
        <v>28</v>
      </c>
      <c r="B148" s="10">
        <v>2752759677</v>
      </c>
      <c r="C148" s="11">
        <v>0</v>
      </c>
      <c r="D148" s="11">
        <v>0</v>
      </c>
      <c r="E148" s="11">
        <v>0</v>
      </c>
      <c r="F148" s="11">
        <v>196495882</v>
      </c>
      <c r="G148" s="11">
        <v>164927418</v>
      </c>
      <c r="H148" s="11">
        <v>262941303</v>
      </c>
      <c r="I148" s="11">
        <v>280282246</v>
      </c>
      <c r="J148" s="11">
        <v>246192273</v>
      </c>
      <c r="K148" s="11">
        <v>308626989</v>
      </c>
      <c r="L148" s="11">
        <v>243645342</v>
      </c>
      <c r="M148" s="11">
        <v>247491577</v>
      </c>
      <c r="N148" s="11">
        <v>165492691</v>
      </c>
      <c r="O148" s="11"/>
      <c r="P148" s="11">
        <f aca="true" t="shared" si="20" ref="P148:P160">+B148+O148</f>
        <v>2752759677</v>
      </c>
      <c r="Q148" s="10">
        <v>0</v>
      </c>
      <c r="R148" s="10"/>
      <c r="S148" s="10"/>
      <c r="T148" s="3">
        <f t="shared" si="18"/>
        <v>0</v>
      </c>
      <c r="U148" s="3"/>
      <c r="V148" s="3"/>
      <c r="W148" s="3">
        <f t="shared" si="19"/>
        <v>0</v>
      </c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hidden="1">
      <c r="A149" s="10" t="s">
        <v>5</v>
      </c>
      <c r="B149" s="10">
        <f>+B150+B154+B155+B156</f>
        <v>1867025388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0">
        <f>+O150+O154+O155+O156</f>
        <v>0</v>
      </c>
      <c r="P149" s="11">
        <f t="shared" si="20"/>
        <v>1867025388</v>
      </c>
      <c r="Q149" s="10">
        <f>+Q150+Q154+Q155+Q156</f>
        <v>5959701</v>
      </c>
      <c r="R149" s="10"/>
      <c r="S149" s="10"/>
      <c r="T149" s="3">
        <f t="shared" si="18"/>
        <v>66103674</v>
      </c>
      <c r="U149" s="3"/>
      <c r="V149" s="3"/>
      <c r="W149" s="3">
        <f t="shared" si="19"/>
        <v>3.540587847646344</v>
      </c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hidden="1">
      <c r="A150" s="10" t="s">
        <v>29</v>
      </c>
      <c r="B150" s="10">
        <f>SUM(B151:B153)</f>
        <v>1679125388</v>
      </c>
      <c r="C150" s="11">
        <f>SUM(C151:C153)</f>
        <v>0</v>
      </c>
      <c r="D150" s="11">
        <f aca="true" t="shared" si="21" ref="D150:N150">SUM(D151:D153)</f>
        <v>9764370</v>
      </c>
      <c r="E150" s="11">
        <f t="shared" si="21"/>
        <v>1633088</v>
      </c>
      <c r="F150" s="11">
        <f t="shared" si="21"/>
        <v>9527326</v>
      </c>
      <c r="G150" s="11">
        <f t="shared" si="21"/>
        <v>5166613</v>
      </c>
      <c r="H150" s="11">
        <f t="shared" si="21"/>
        <v>8550758</v>
      </c>
      <c r="I150" s="11">
        <f t="shared" si="21"/>
        <v>19667967</v>
      </c>
      <c r="J150" s="11">
        <f t="shared" si="21"/>
        <v>32121947.88</v>
      </c>
      <c r="K150" s="11">
        <f t="shared" si="21"/>
        <v>57803883</v>
      </c>
      <c r="L150" s="11">
        <f t="shared" si="21"/>
        <v>248550137</v>
      </c>
      <c r="M150" s="11">
        <f t="shared" si="21"/>
        <v>56476839</v>
      </c>
      <c r="N150" s="11">
        <f t="shared" si="21"/>
        <v>203635166</v>
      </c>
      <c r="O150" s="10">
        <f>SUM(O151:O153)</f>
        <v>0</v>
      </c>
      <c r="P150" s="11">
        <f t="shared" si="20"/>
        <v>1679125388</v>
      </c>
      <c r="Q150" s="10">
        <f>SUM(Q151:Q153)</f>
        <v>1407355</v>
      </c>
      <c r="R150" s="10"/>
      <c r="S150" s="10"/>
      <c r="T150" s="3">
        <f t="shared" si="18"/>
        <v>44254917</v>
      </c>
      <c r="U150" s="3"/>
      <c r="V150" s="3"/>
      <c r="W150" s="3">
        <f t="shared" si="19"/>
        <v>2.635593346171239</v>
      </c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hidden="1">
      <c r="A151" s="11" t="s">
        <v>30</v>
      </c>
      <c r="B151" s="11">
        <v>939032888</v>
      </c>
      <c r="C151" s="11">
        <v>0</v>
      </c>
      <c r="D151" s="11">
        <v>9764370</v>
      </c>
      <c r="E151" s="11">
        <v>0</v>
      </c>
      <c r="F151" s="11">
        <f>274606+765092</f>
        <v>1039698</v>
      </c>
      <c r="G151" s="11">
        <v>4660304</v>
      </c>
      <c r="H151" s="11">
        <v>7848958</v>
      </c>
      <c r="I151" s="11">
        <v>15343416</v>
      </c>
      <c r="J151" s="11">
        <v>22521927</v>
      </c>
      <c r="K151" s="11">
        <v>33311437</v>
      </c>
      <c r="L151" s="11">
        <f>309295398-94490110</f>
        <v>214805288</v>
      </c>
      <c r="M151" s="11">
        <v>28836508</v>
      </c>
      <c r="N151" s="11">
        <f>98225097-2027734+2337372</f>
        <v>98534735</v>
      </c>
      <c r="O151" s="11"/>
      <c r="P151" s="11">
        <f t="shared" si="20"/>
        <v>939032888</v>
      </c>
      <c r="Q151" s="11">
        <v>0</v>
      </c>
      <c r="R151" s="11"/>
      <c r="S151" s="11"/>
      <c r="T151" s="3">
        <f t="shared" si="18"/>
        <v>42651562</v>
      </c>
      <c r="U151" s="3"/>
      <c r="V151" s="3"/>
      <c r="W151" s="3">
        <f t="shared" si="19"/>
        <v>4.542073291047501</v>
      </c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hidden="1">
      <c r="A152" s="11" t="s">
        <v>31</v>
      </c>
      <c r="B152" s="11">
        <v>724342500</v>
      </c>
      <c r="C152" s="11"/>
      <c r="D152" s="11">
        <v>0</v>
      </c>
      <c r="E152" s="11">
        <v>0</v>
      </c>
      <c r="F152" s="11">
        <v>0</v>
      </c>
      <c r="G152" s="11">
        <v>0</v>
      </c>
      <c r="H152" s="11">
        <v>25090</v>
      </c>
      <c r="I152" s="11">
        <v>946365</v>
      </c>
      <c r="J152" s="11">
        <v>8764131</v>
      </c>
      <c r="K152" s="11">
        <v>21523596</v>
      </c>
      <c r="L152" s="11">
        <v>33159819</v>
      </c>
      <c r="M152" s="11">
        <v>27504331</v>
      </c>
      <c r="N152" s="11">
        <f>101300092+707323</f>
        <v>102007415</v>
      </c>
      <c r="O152" s="11">
        <v>0</v>
      </c>
      <c r="P152" s="11">
        <f t="shared" si="20"/>
        <v>724342500</v>
      </c>
      <c r="Q152" s="11">
        <v>0</v>
      </c>
      <c r="R152" s="11"/>
      <c r="S152" s="11"/>
      <c r="T152" s="3">
        <f t="shared" si="18"/>
        <v>0</v>
      </c>
      <c r="U152" s="3"/>
      <c r="V152" s="3"/>
      <c r="W152" s="3">
        <f t="shared" si="19"/>
        <v>0</v>
      </c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hidden="1">
      <c r="A153" s="11" t="s">
        <v>32</v>
      </c>
      <c r="B153" s="11">
        <v>15750000</v>
      </c>
      <c r="C153" s="11"/>
      <c r="D153" s="11"/>
      <c r="E153" s="11">
        <v>1633088</v>
      </c>
      <c r="F153" s="11">
        <v>8487628</v>
      </c>
      <c r="G153" s="11">
        <v>506309</v>
      </c>
      <c r="H153" s="11">
        <v>676710</v>
      </c>
      <c r="I153" s="11">
        <v>3378186</v>
      </c>
      <c r="J153" s="11">
        <f>628640+207249.88</f>
        <v>835889.88</v>
      </c>
      <c r="K153" s="11">
        <v>2968850</v>
      </c>
      <c r="L153" s="11">
        <v>585030</v>
      </c>
      <c r="M153" s="11">
        <v>136000</v>
      </c>
      <c r="N153" s="11">
        <f>22300706.88-19207690.88</f>
        <v>3093016</v>
      </c>
      <c r="O153" s="11"/>
      <c r="P153" s="11">
        <f t="shared" si="20"/>
        <v>15750000</v>
      </c>
      <c r="Q153" s="11">
        <v>1407355</v>
      </c>
      <c r="R153" s="11"/>
      <c r="S153" s="11"/>
      <c r="T153" s="3">
        <f t="shared" si="18"/>
        <v>1603355</v>
      </c>
      <c r="U153" s="3"/>
      <c r="V153" s="3"/>
      <c r="W153" s="3">
        <f t="shared" si="19"/>
        <v>10.180031746031746</v>
      </c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hidden="1">
      <c r="A154" s="10" t="s">
        <v>33</v>
      </c>
      <c r="B154" s="10">
        <v>65100000</v>
      </c>
      <c r="C154" s="11">
        <v>426256</v>
      </c>
      <c r="D154" s="11">
        <v>177520</v>
      </c>
      <c r="E154" s="11">
        <v>815304</v>
      </c>
      <c r="F154" s="11">
        <v>1044670</v>
      </c>
      <c r="G154" s="11">
        <v>210000</v>
      </c>
      <c r="H154" s="11">
        <v>497000</v>
      </c>
      <c r="I154" s="11">
        <v>1908400</v>
      </c>
      <c r="J154" s="11">
        <v>2080000</v>
      </c>
      <c r="K154" s="11">
        <v>1960300</v>
      </c>
      <c r="L154" s="11">
        <v>1071750</v>
      </c>
      <c r="M154" s="11">
        <v>486631</v>
      </c>
      <c r="N154" s="11">
        <v>3040000</v>
      </c>
      <c r="O154" s="11"/>
      <c r="P154" s="11">
        <f t="shared" si="20"/>
        <v>65100000</v>
      </c>
      <c r="Q154" s="10">
        <v>2626000</v>
      </c>
      <c r="R154" s="10"/>
      <c r="S154" s="10"/>
      <c r="T154" s="3">
        <f t="shared" si="18"/>
        <v>4068610</v>
      </c>
      <c r="U154" s="3"/>
      <c r="V154" s="3"/>
      <c r="W154" s="3">
        <f t="shared" si="19"/>
        <v>6.249784946236559</v>
      </c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hidden="1">
      <c r="A155" s="10" t="s">
        <v>34</v>
      </c>
      <c r="B155" s="10">
        <v>1000000</v>
      </c>
      <c r="C155" s="11">
        <v>7540000</v>
      </c>
      <c r="D155" s="11"/>
      <c r="E155" s="11"/>
      <c r="F155" s="11"/>
      <c r="G155" s="11"/>
      <c r="H155" s="11"/>
      <c r="I155" s="11">
        <v>294000</v>
      </c>
      <c r="J155" s="11"/>
      <c r="K155" s="11"/>
      <c r="L155" s="11">
        <v>29000</v>
      </c>
      <c r="M155" s="11"/>
      <c r="N155" s="11"/>
      <c r="O155" s="11"/>
      <c r="P155" s="11">
        <f t="shared" si="20"/>
        <v>1000000</v>
      </c>
      <c r="Q155" s="10">
        <v>0</v>
      </c>
      <c r="R155" s="10"/>
      <c r="S155" s="10"/>
      <c r="T155" s="3">
        <f t="shared" si="18"/>
        <v>0</v>
      </c>
      <c r="U155" s="3"/>
      <c r="V155" s="3"/>
      <c r="W155" s="3">
        <f t="shared" si="19"/>
        <v>0</v>
      </c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hidden="1">
      <c r="A156" s="10" t="s">
        <v>35</v>
      </c>
      <c r="B156" s="10">
        <f aca="true" t="shared" si="22" ref="B156:O156">SUM(B157:B157)</f>
        <v>121800000</v>
      </c>
      <c r="C156" s="11">
        <f t="shared" si="22"/>
        <v>4768052</v>
      </c>
      <c r="D156" s="11">
        <f t="shared" si="22"/>
        <v>8290086</v>
      </c>
      <c r="E156" s="11">
        <f t="shared" si="22"/>
        <v>10672897</v>
      </c>
      <c r="F156" s="11">
        <f t="shared" si="22"/>
        <v>13361106</v>
      </c>
      <c r="G156" s="11">
        <f t="shared" si="22"/>
        <v>5435392</v>
      </c>
      <c r="H156" s="11">
        <f t="shared" si="22"/>
        <v>6359364</v>
      </c>
      <c r="I156" s="11">
        <f t="shared" si="22"/>
        <v>17667466</v>
      </c>
      <c r="J156" s="11">
        <f t="shared" si="22"/>
        <v>22629676</v>
      </c>
      <c r="K156" s="11">
        <f t="shared" si="22"/>
        <v>24318846</v>
      </c>
      <c r="L156" s="11">
        <f t="shared" si="22"/>
        <v>14234424</v>
      </c>
      <c r="M156" s="11">
        <f t="shared" si="22"/>
        <v>14378768</v>
      </c>
      <c r="N156" s="11">
        <f t="shared" si="22"/>
        <v>23388888</v>
      </c>
      <c r="O156" s="10">
        <f t="shared" si="22"/>
        <v>0</v>
      </c>
      <c r="P156" s="11">
        <f t="shared" si="20"/>
        <v>121800000</v>
      </c>
      <c r="Q156" s="10">
        <f>SUM(Q157:Q157)</f>
        <v>1926346</v>
      </c>
      <c r="R156" s="10"/>
      <c r="S156" s="10"/>
      <c r="T156" s="3">
        <f t="shared" si="18"/>
        <v>17780147</v>
      </c>
      <c r="U156" s="3"/>
      <c r="V156" s="3"/>
      <c r="W156" s="3">
        <f t="shared" si="19"/>
        <v>14.59782183908046</v>
      </c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hidden="1">
      <c r="A157" s="11" t="s">
        <v>36</v>
      </c>
      <c r="B157" s="11">
        <v>121800000</v>
      </c>
      <c r="C157" s="11">
        <v>4768052</v>
      </c>
      <c r="D157" s="11">
        <v>8290086</v>
      </c>
      <c r="E157" s="11">
        <v>10672897</v>
      </c>
      <c r="F157" s="11">
        <v>13361106</v>
      </c>
      <c r="G157" s="11">
        <v>5435392</v>
      </c>
      <c r="H157" s="11">
        <v>6359364</v>
      </c>
      <c r="I157" s="11">
        <v>17667466</v>
      </c>
      <c r="J157" s="11">
        <f>15777671+6852005</f>
        <v>22629676</v>
      </c>
      <c r="K157" s="11">
        <v>24318846</v>
      </c>
      <c r="L157" s="11">
        <v>14234424</v>
      </c>
      <c r="M157" s="11">
        <f>14378768</f>
        <v>14378768</v>
      </c>
      <c r="N157" s="11">
        <f>165504965-142116077</f>
        <v>23388888</v>
      </c>
      <c r="O157" s="11"/>
      <c r="P157" s="11">
        <f t="shared" si="20"/>
        <v>121800000</v>
      </c>
      <c r="Q157" s="11">
        <f>1700050+226296</f>
        <v>1926346</v>
      </c>
      <c r="R157" s="11"/>
      <c r="S157" s="11"/>
      <c r="T157" s="3">
        <f t="shared" si="18"/>
        <v>17780147</v>
      </c>
      <c r="U157" s="3"/>
      <c r="V157" s="3"/>
      <c r="W157" s="3">
        <f t="shared" si="19"/>
        <v>14.59782183908046</v>
      </c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hidden="1">
      <c r="A158" s="10" t="s">
        <v>37</v>
      </c>
      <c r="B158" s="10">
        <v>71925000</v>
      </c>
      <c r="C158" s="11" t="e">
        <f>SUM(#REF!)</f>
        <v>#REF!</v>
      </c>
      <c r="D158" s="11" t="e">
        <f>SUM(#REF!)</f>
        <v>#REF!</v>
      </c>
      <c r="E158" s="11" t="e">
        <f>SUM(#REF!)</f>
        <v>#REF!</v>
      </c>
      <c r="F158" s="11" t="e">
        <f>SUM(#REF!)</f>
        <v>#REF!</v>
      </c>
      <c r="G158" s="11" t="e">
        <f>SUM(#REF!)</f>
        <v>#REF!</v>
      </c>
      <c r="H158" s="11" t="e">
        <f>SUM(#REF!)</f>
        <v>#REF!</v>
      </c>
      <c r="I158" s="11" t="e">
        <f>SUM(#REF!)</f>
        <v>#REF!</v>
      </c>
      <c r="J158" s="11" t="e">
        <f>SUM(#REF!)</f>
        <v>#REF!</v>
      </c>
      <c r="K158" s="11" t="e">
        <f>SUM(#REF!)</f>
        <v>#REF!</v>
      </c>
      <c r="L158" s="11" t="e">
        <f>SUM(#REF!)</f>
        <v>#REF!</v>
      </c>
      <c r="M158" s="11" t="e">
        <f>SUM(#REF!)</f>
        <v>#REF!</v>
      </c>
      <c r="N158" s="11" t="e">
        <f>SUM(#REF!)</f>
        <v>#REF!</v>
      </c>
      <c r="O158" s="10">
        <v>0</v>
      </c>
      <c r="P158" s="11">
        <f t="shared" si="20"/>
        <v>71925000</v>
      </c>
      <c r="Q158" s="11">
        <f>9149042+2626000-561317</f>
        <v>11213725</v>
      </c>
      <c r="R158" s="11"/>
      <c r="S158" s="11"/>
      <c r="T158" s="3">
        <f t="shared" si="18"/>
        <v>13258030</v>
      </c>
      <c r="U158" s="3"/>
      <c r="V158" s="3"/>
      <c r="W158" s="3">
        <f t="shared" si="19"/>
        <v>18.433131734445602</v>
      </c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hidden="1">
      <c r="A159" s="10" t="s">
        <v>44</v>
      </c>
      <c r="B159" s="10">
        <f>+B160</f>
        <v>0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0">
        <f>+O160</f>
        <v>1230345600</v>
      </c>
      <c r="P159" s="11">
        <f t="shared" si="20"/>
        <v>1230345600</v>
      </c>
      <c r="Q159" s="10">
        <f>+Q160</f>
        <v>0</v>
      </c>
      <c r="R159" s="10"/>
      <c r="S159" s="10"/>
      <c r="T159" s="3">
        <f t="shared" si="18"/>
        <v>302092115</v>
      </c>
      <c r="U159" s="3"/>
      <c r="V159" s="3"/>
      <c r="W159" s="3">
        <f t="shared" si="19"/>
        <v>24.553435636296015</v>
      </c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hidden="1">
      <c r="A160" s="10" t="s">
        <v>45</v>
      </c>
      <c r="B160" s="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0">
        <v>1230345600</v>
      </c>
      <c r="P160" s="11">
        <f t="shared" si="20"/>
        <v>1230345600</v>
      </c>
      <c r="Q160" s="10">
        <v>0</v>
      </c>
      <c r="R160" s="10"/>
      <c r="S160" s="10"/>
      <c r="T160" s="3">
        <f t="shared" si="18"/>
        <v>0</v>
      </c>
      <c r="U160" s="3"/>
      <c r="V160" s="3"/>
      <c r="W160" s="3">
        <f t="shared" si="19"/>
        <v>0</v>
      </c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hidden="1">
      <c r="A161" s="10" t="s">
        <v>38</v>
      </c>
      <c r="B161" s="10">
        <f>+B162+B163+B164</f>
        <v>1914146055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0">
        <f>+O162+O163+O164</f>
        <v>737744285</v>
      </c>
      <c r="P161" s="11">
        <f>+B161+O161</f>
        <v>2651890340</v>
      </c>
      <c r="Q161" s="10">
        <f>+Q162+Q163+Q164</f>
        <v>135231165</v>
      </c>
      <c r="R161" s="10"/>
      <c r="S161" s="10"/>
      <c r="T161" s="3">
        <f t="shared" si="18"/>
        <v>797901754</v>
      </c>
      <c r="U161" s="3"/>
      <c r="V161" s="3"/>
      <c r="W161" s="3">
        <f t="shared" si="19"/>
        <v>30.088037275327157</v>
      </c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hidden="1">
      <c r="A162" s="10" t="s">
        <v>6</v>
      </c>
      <c r="B162" s="10">
        <v>70000000</v>
      </c>
      <c r="C162" s="11">
        <v>898886</v>
      </c>
      <c r="D162" s="11">
        <f>4306726+216132</f>
        <v>4522858</v>
      </c>
      <c r="E162" s="11">
        <f>751140+23292827</f>
        <v>24043967</v>
      </c>
      <c r="F162" s="11">
        <v>8452240</v>
      </c>
      <c r="G162" s="11">
        <v>4422172</v>
      </c>
      <c r="H162" s="11">
        <f>7484642+234363</f>
        <v>7719005</v>
      </c>
      <c r="I162" s="11">
        <f>102855+5416914</f>
        <v>5519769</v>
      </c>
      <c r="J162" s="11">
        <f>6098966+444960+3514791+65855</f>
        <v>10124572</v>
      </c>
      <c r="K162" s="11">
        <f>191152+1348022+3219820.01</f>
        <v>4758994.01</v>
      </c>
      <c r="L162" s="11">
        <f>350566+9695840</f>
        <v>10046406</v>
      </c>
      <c r="M162" s="11">
        <f>579536+7833208+436291+345639</f>
        <v>9194674</v>
      </c>
      <c r="N162" s="11">
        <f>112132152.5-89703543.01</f>
        <v>22428609.489999995</v>
      </c>
      <c r="O162" s="11"/>
      <c r="P162" s="11">
        <f>+B162+O162</f>
        <v>70000000</v>
      </c>
      <c r="Q162" s="10">
        <f>186250+193716+14920066</f>
        <v>15300032</v>
      </c>
      <c r="R162" s="10"/>
      <c r="S162" s="10"/>
      <c r="T162" s="3">
        <f t="shared" si="18"/>
        <v>26204781</v>
      </c>
      <c r="U162" s="3"/>
      <c r="V162" s="3"/>
      <c r="W162" s="3">
        <f t="shared" si="19"/>
        <v>37.43540142857143</v>
      </c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hidden="1">
      <c r="A163" s="10" t="s">
        <v>9</v>
      </c>
      <c r="B163" s="10">
        <v>0</v>
      </c>
      <c r="C163" s="11"/>
      <c r="D163" s="11"/>
      <c r="E163" s="11"/>
      <c r="F163" s="11">
        <f>+B163</f>
        <v>0</v>
      </c>
      <c r="G163" s="11"/>
      <c r="H163" s="11"/>
      <c r="I163" s="11"/>
      <c r="J163" s="11"/>
      <c r="K163" s="11"/>
      <c r="L163" s="11"/>
      <c r="M163" s="11"/>
      <c r="N163" s="11"/>
      <c r="O163" s="11">
        <v>737744285</v>
      </c>
      <c r="P163" s="11">
        <f>+B163+O163</f>
        <v>737744285</v>
      </c>
      <c r="Q163" s="11">
        <v>0</v>
      </c>
      <c r="R163" s="11"/>
      <c r="S163" s="11"/>
      <c r="T163" s="3">
        <f t="shared" si="18"/>
        <v>0</v>
      </c>
      <c r="U163" s="3"/>
      <c r="V163" s="3"/>
      <c r="W163" s="3">
        <f t="shared" si="19"/>
        <v>0</v>
      </c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hidden="1">
      <c r="A164" s="10" t="s">
        <v>39</v>
      </c>
      <c r="B164" s="10">
        <v>1844146055</v>
      </c>
      <c r="C164" s="11" t="e">
        <f>+#REF!+#REF!</f>
        <v>#REF!</v>
      </c>
      <c r="D164" s="11" t="e">
        <f>+#REF!+#REF!</f>
        <v>#REF!</v>
      </c>
      <c r="E164" s="11" t="e">
        <f>+#REF!+#REF!</f>
        <v>#REF!</v>
      </c>
      <c r="F164" s="11" t="e">
        <f>+#REF!+#REF!</f>
        <v>#REF!</v>
      </c>
      <c r="G164" s="11" t="e">
        <f>+#REF!+#REF!</f>
        <v>#REF!</v>
      </c>
      <c r="H164" s="11" t="e">
        <f>+#REF!+#REF!</f>
        <v>#REF!</v>
      </c>
      <c r="I164" s="11" t="e">
        <f>+#REF!+#REF!</f>
        <v>#REF!</v>
      </c>
      <c r="J164" s="11" t="e">
        <f>+#REF!+#REF!</f>
        <v>#REF!</v>
      </c>
      <c r="K164" s="11" t="e">
        <f>+#REF!+#REF!</f>
        <v>#REF!</v>
      </c>
      <c r="L164" s="11" t="e">
        <f>+#REF!+#REF!</f>
        <v>#REF!</v>
      </c>
      <c r="M164" s="11" t="e">
        <f>+#REF!+#REF!</f>
        <v>#REF!</v>
      </c>
      <c r="N164" s="11" t="e">
        <f>+#REF!+#REF!</f>
        <v>#REF!</v>
      </c>
      <c r="O164" s="10">
        <v>0</v>
      </c>
      <c r="P164" s="11">
        <f>+B164+O164</f>
        <v>1844146055</v>
      </c>
      <c r="Q164" s="10">
        <f>103930015+16001118</f>
        <v>119931133</v>
      </c>
      <c r="R164" s="10"/>
      <c r="S164" s="10"/>
      <c r="T164" s="3">
        <f t="shared" si="18"/>
        <v>771696973</v>
      </c>
      <c r="U164" s="3"/>
      <c r="V164" s="3"/>
      <c r="W164" s="3">
        <f t="shared" si="19"/>
        <v>41.84576221106305</v>
      </c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hidden="1">
      <c r="A165" s="11"/>
      <c r="B165" s="11"/>
      <c r="C165" s="11"/>
      <c r="D165" s="11"/>
      <c r="E165" s="11" t="s">
        <v>1</v>
      </c>
      <c r="F165" s="11" t="s">
        <v>1</v>
      </c>
      <c r="G165" s="11" t="s">
        <v>1</v>
      </c>
      <c r="H165" s="11" t="s">
        <v>1</v>
      </c>
      <c r="I165" s="11" t="s">
        <v>1</v>
      </c>
      <c r="J165" s="11" t="s">
        <v>1</v>
      </c>
      <c r="K165" s="11" t="s">
        <v>1</v>
      </c>
      <c r="L165" s="11" t="s">
        <v>1</v>
      </c>
      <c r="M165" s="11" t="s">
        <v>1</v>
      </c>
      <c r="N165" s="11" t="s">
        <v>1</v>
      </c>
      <c r="O165" s="11"/>
      <c r="P165" s="11" t="s">
        <v>1</v>
      </c>
      <c r="Q165" s="11" t="s">
        <v>1</v>
      </c>
      <c r="R165" s="11"/>
      <c r="S165" s="11"/>
      <c r="T165" s="3" t="s">
        <v>1</v>
      </c>
      <c r="U165" s="3"/>
      <c r="V165" s="3"/>
      <c r="W165" s="3" t="s">
        <v>1</v>
      </c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hidden="1">
      <c r="A166" s="10" t="s">
        <v>40</v>
      </c>
      <c r="B166" s="10">
        <f>+B140+B161</f>
        <v>10077156120</v>
      </c>
      <c r="C166" s="10" t="e">
        <f>+C143+C148+C150+C154+C155+C156+C158+#REF!+#REF!+C162+C163+C164+#REF!</f>
        <v>#REF!</v>
      </c>
      <c r="D166" s="10" t="e">
        <f>+D143+D148+D150+D154+D155+D156+D158+#REF!+#REF!+D162+D163+D164+#REF!</f>
        <v>#REF!</v>
      </c>
      <c r="E166" s="10" t="e">
        <f>+E143+E148+E150+E154+E155+E156+E158+#REF!+#REF!+E162+E163+E164+#REF!</f>
        <v>#REF!</v>
      </c>
      <c r="F166" s="10" t="e">
        <f>+F143+F148+F150+F154+F155+F156+F158+#REF!+#REF!+F162+F163+F164+#REF!</f>
        <v>#REF!</v>
      </c>
      <c r="G166" s="10" t="e">
        <f>+G143+G148+G150+G154+G155+G156+G158+#REF!+#REF!+G162+G163+G164+#REF!</f>
        <v>#REF!</v>
      </c>
      <c r="H166" s="10" t="e">
        <f>+H143+H148+H150+H154+H155+H156+H158+#REF!+#REF!+H162+H163+H164+#REF!</f>
        <v>#REF!</v>
      </c>
      <c r="I166" s="10" t="e">
        <f>+I143+I148+I150+I154+I155+I156+I158+#REF!+#REF!+I162+I163+I164+#REF!</f>
        <v>#REF!</v>
      </c>
      <c r="J166" s="10" t="e">
        <f>+J143+J148+J150+J154+J155+J156+J158+#REF!+#REF!+J162+J163+J164+#REF!</f>
        <v>#REF!</v>
      </c>
      <c r="K166" s="10" t="e">
        <f>+K143+K148+K150+K154+K155+K156+K158+#REF!+#REF!+K162+K163+K164+#REF!</f>
        <v>#REF!</v>
      </c>
      <c r="L166" s="10" t="e">
        <f>+L143+L148+L150+L154+L155+L156+L158+#REF!+#REF!+L162+L163+L164+#REF!</f>
        <v>#REF!</v>
      </c>
      <c r="M166" s="10" t="e">
        <f>+M143+M148+M150+M154+M155+M156+M158+#REF!+#REF!+M162+M163+M164+#REF!</f>
        <v>#REF!</v>
      </c>
      <c r="N166" s="10" t="e">
        <f>+N143+N148+N150+N154+N155+N156+N158+#REF!+#REF!+N162+N163+N164+#REF!</f>
        <v>#REF!</v>
      </c>
      <c r="O166" s="10">
        <f>+O140+O161</f>
        <v>1968089885</v>
      </c>
      <c r="P166" s="10">
        <f>+P140+P161</f>
        <v>12045246005</v>
      </c>
      <c r="Q166" s="14">
        <f>+Q140+Q161</f>
        <v>152404591</v>
      </c>
      <c r="R166" s="14"/>
      <c r="S166" s="14"/>
      <c r="T166" s="3">
        <f t="shared" si="18"/>
        <v>877263458</v>
      </c>
      <c r="U166" s="3"/>
      <c r="V166" s="3"/>
      <c r="W166" s="3">
        <f>+T166/P166*100</f>
        <v>7.2830680057165</v>
      </c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hidden="1">
      <c r="A167" s="10" t="s">
        <v>41</v>
      </c>
      <c r="B167" s="11">
        <f>+B121</f>
        <v>1334597240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>
        <v>0</v>
      </c>
      <c r="P167" s="1">
        <f>+B167+O167</f>
        <v>1334597240</v>
      </c>
      <c r="Q167" s="1">
        <v>92515475</v>
      </c>
      <c r="R167" s="1"/>
      <c r="S167" s="1"/>
      <c r="T167" s="3">
        <f t="shared" si="18"/>
        <v>184510355</v>
      </c>
      <c r="U167" s="3"/>
      <c r="V167" s="3"/>
      <c r="W167" s="3">
        <f>+T167/P167*100</f>
        <v>13.82517133034083</v>
      </c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hidden="1">
      <c r="A168" s="1"/>
      <c r="B168" s="1" t="s">
        <v>1</v>
      </c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</v>
      </c>
      <c r="P168" s="1"/>
      <c r="Q168" s="1"/>
      <c r="R168" s="1"/>
      <c r="S168" s="1"/>
      <c r="T168" s="3" t="s">
        <v>1</v>
      </c>
      <c r="U168" s="3"/>
      <c r="V168" s="3"/>
      <c r="W168" s="3" t="s">
        <v>1</v>
      </c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hidden="1">
      <c r="A169" s="10" t="s">
        <v>42</v>
      </c>
      <c r="B169" s="14">
        <f>+B166+B167</f>
        <v>11411753360</v>
      </c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>
        <f>+O166+O167</f>
        <v>1968089885</v>
      </c>
      <c r="P169" s="14">
        <f>+P166+P167</f>
        <v>13379843245</v>
      </c>
      <c r="Q169" s="14">
        <f>+Q166+Q167</f>
        <v>244920066</v>
      </c>
      <c r="R169" s="14"/>
      <c r="S169" s="14"/>
      <c r="T169" s="3">
        <f t="shared" si="18"/>
        <v>1061773813</v>
      </c>
      <c r="U169" s="3"/>
      <c r="V169" s="3"/>
      <c r="W169" s="3">
        <f>+T169/P169*100</f>
        <v>7.935622215878957</v>
      </c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hidden="1">
      <c r="A180" s="48" t="s">
        <v>0</v>
      </c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hidden="1">
      <c r="A181" s="48" t="s">
        <v>47</v>
      </c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4">
        <v>39569</v>
      </c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5.5" hidden="1">
      <c r="A183" s="11"/>
      <c r="B183" s="8" t="s">
        <v>10</v>
      </c>
      <c r="C183" s="49" t="s">
        <v>11</v>
      </c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11"/>
      <c r="O183" s="3" t="s">
        <v>2</v>
      </c>
      <c r="P183" s="8" t="s">
        <v>12</v>
      </c>
      <c r="Q183" s="8"/>
      <c r="R183" s="8"/>
      <c r="S183" s="8"/>
      <c r="T183" s="8" t="s">
        <v>43</v>
      </c>
      <c r="U183" s="8"/>
      <c r="V183" s="8"/>
      <c r="W183" s="8" t="s">
        <v>46</v>
      </c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hidden="1">
      <c r="A184" s="3" t="s">
        <v>7</v>
      </c>
      <c r="B184" s="3" t="s">
        <v>1</v>
      </c>
      <c r="C184" s="3" t="s">
        <v>13</v>
      </c>
      <c r="D184" s="3" t="s">
        <v>14</v>
      </c>
      <c r="E184" s="3" t="s">
        <v>15</v>
      </c>
      <c r="F184" s="3" t="s">
        <v>16</v>
      </c>
      <c r="G184" s="3" t="s">
        <v>8</v>
      </c>
      <c r="H184" s="3" t="s">
        <v>17</v>
      </c>
      <c r="I184" s="3" t="s">
        <v>18</v>
      </c>
      <c r="J184" s="3" t="s">
        <v>19</v>
      </c>
      <c r="K184" s="3" t="s">
        <v>20</v>
      </c>
      <c r="L184" s="3" t="s">
        <v>21</v>
      </c>
      <c r="M184" s="3" t="s">
        <v>22</v>
      </c>
      <c r="N184" s="3" t="s">
        <v>23</v>
      </c>
      <c r="O184" s="3"/>
      <c r="P184" s="3"/>
      <c r="Q184" s="3"/>
      <c r="R184" s="3"/>
      <c r="S184" s="3"/>
      <c r="T184" s="3"/>
      <c r="U184" s="3"/>
      <c r="V184" s="3"/>
      <c r="W184" s="3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hidden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hidden="1">
      <c r="A186" s="40" t="s">
        <v>24</v>
      </c>
      <c r="B186" s="3">
        <f>+B188+B193</f>
        <v>8163010065</v>
      </c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>
        <f>+O188+O193</f>
        <v>1230345600</v>
      </c>
      <c r="P186" s="3">
        <f>+P188+P193</f>
        <v>9393355665</v>
      </c>
      <c r="Q186" s="3">
        <f>+Q188+Q193</f>
        <v>434201532</v>
      </c>
      <c r="R186" s="3"/>
      <c r="S186" s="3"/>
      <c r="T186" s="3">
        <f aca="true" t="shared" si="23" ref="T186:T206">+T7+Q186</f>
        <v>6786564754.309999</v>
      </c>
      <c r="U186" s="3"/>
      <c r="V186" s="3"/>
      <c r="W186" s="3">
        <f>+T186/P186*100</f>
        <v>72.2485658623254</v>
      </c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hidden="1">
      <c r="A187" s="40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 t="e">
        <f t="shared" si="23"/>
        <v>#VALUE!</v>
      </c>
      <c r="U187" s="3"/>
      <c r="V187" s="3"/>
      <c r="W187" s="3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hidden="1">
      <c r="A188" s="10" t="s">
        <v>3</v>
      </c>
      <c r="B188" s="10">
        <f>+B189</f>
        <v>3471300000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0">
        <f>+O189</f>
        <v>0</v>
      </c>
      <c r="P188" s="11">
        <f>+B188+O188</f>
        <v>3471300000</v>
      </c>
      <c r="Q188" s="10">
        <f>+Q189</f>
        <v>75059253</v>
      </c>
      <c r="R188" s="10"/>
      <c r="S188" s="10"/>
      <c r="T188" s="3">
        <f t="shared" si="23"/>
        <v>2841287258.67</v>
      </c>
      <c r="U188" s="3"/>
      <c r="V188" s="3"/>
      <c r="W188" s="3">
        <f>+T188/P188*100</f>
        <v>81.85081262552934</v>
      </c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hidden="1">
      <c r="A189" s="10" t="s">
        <v>25</v>
      </c>
      <c r="B189" s="10">
        <f>+B190+B191</f>
        <v>3471300000</v>
      </c>
      <c r="C189" s="11"/>
      <c r="D189" s="11">
        <v>177520</v>
      </c>
      <c r="E189" s="11"/>
      <c r="F189" s="11">
        <v>165006728</v>
      </c>
      <c r="G189" s="11">
        <v>1414514385</v>
      </c>
      <c r="H189" s="11">
        <v>4948458</v>
      </c>
      <c r="I189" s="11">
        <v>573117327</v>
      </c>
      <c r="J189" s="11">
        <f>139033811-14448995.38</f>
        <v>124584815.62</v>
      </c>
      <c r="K189" s="11">
        <v>93361900</v>
      </c>
      <c r="L189" s="11">
        <v>25720312</v>
      </c>
      <c r="M189" s="11">
        <v>242733948</v>
      </c>
      <c r="N189" s="11">
        <f>65086606+14219504.38-900076.38-6867260+6687809</f>
        <v>78226583</v>
      </c>
      <c r="O189" s="10">
        <f>+O190+O191</f>
        <v>0</v>
      </c>
      <c r="P189" s="11">
        <f>+B189+O189</f>
        <v>3471300000</v>
      </c>
      <c r="Q189" s="10">
        <f>+Q190+Q191</f>
        <v>75059253</v>
      </c>
      <c r="R189" s="10"/>
      <c r="S189" s="10"/>
      <c r="T189" s="3">
        <f t="shared" si="23"/>
        <v>2841287258.67</v>
      </c>
      <c r="U189" s="3"/>
      <c r="V189" s="3"/>
      <c r="W189" s="3">
        <f>+T189/P189*100</f>
        <v>81.85081262552934</v>
      </c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hidden="1">
      <c r="A190" s="11" t="s">
        <v>26</v>
      </c>
      <c r="B190" s="11">
        <v>2106300000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>
        <f>+B190+O190</f>
        <v>2106300000</v>
      </c>
      <c r="Q190" s="11">
        <v>0</v>
      </c>
      <c r="R190" s="11"/>
      <c r="S190" s="11"/>
      <c r="T190" s="3">
        <f t="shared" si="23"/>
        <v>1756800893.67</v>
      </c>
      <c r="U190" s="3"/>
      <c r="V190" s="3"/>
      <c r="W190" s="3">
        <f>+T190/P190*100</f>
        <v>83.40696451929925</v>
      </c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hidden="1">
      <c r="A191" s="11" t="s">
        <v>27</v>
      </c>
      <c r="B191" s="11">
        <v>1365000000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>
        <f>+B191+O191</f>
        <v>1365000000</v>
      </c>
      <c r="Q191" s="11">
        <v>75059253</v>
      </c>
      <c r="R191" s="11"/>
      <c r="S191" s="11"/>
      <c r="T191" s="3">
        <f t="shared" si="23"/>
        <v>1084486365</v>
      </c>
      <c r="U191" s="3"/>
      <c r="V191" s="3"/>
      <c r="W191" s="3">
        <f>+T191/P191*100</f>
        <v>79.44955054945055</v>
      </c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hidden="1">
      <c r="A192" s="10"/>
      <c r="B192" s="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 t="s">
        <v>1</v>
      </c>
      <c r="Q192" s="10"/>
      <c r="R192" s="10"/>
      <c r="S192" s="10"/>
      <c r="T192" s="3" t="e">
        <f t="shared" si="23"/>
        <v>#VALUE!</v>
      </c>
      <c r="U192" s="3"/>
      <c r="V192" s="3"/>
      <c r="W192" s="3" t="s">
        <v>1</v>
      </c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hidden="1">
      <c r="A193" s="10" t="s">
        <v>4</v>
      </c>
      <c r="B193" s="10">
        <f>+B194+B195+B204+B205</f>
        <v>4691710065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0">
        <f>+O194+O195+O204+O205</f>
        <v>1230345600</v>
      </c>
      <c r="P193" s="10">
        <f>+P194+P195+P204+P205</f>
        <v>5922055665</v>
      </c>
      <c r="Q193" s="10">
        <f>+Q194+Q195+Q204+Q205</f>
        <v>359142279</v>
      </c>
      <c r="R193" s="10"/>
      <c r="S193" s="10"/>
      <c r="T193" s="3">
        <f t="shared" si="23"/>
        <v>3945277495.64</v>
      </c>
      <c r="U193" s="3"/>
      <c r="V193" s="3"/>
      <c r="W193" s="3">
        <f aca="true" t="shared" si="24" ref="W193:W211">+T193/P193*100</f>
        <v>66.62006774027849</v>
      </c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hidden="1">
      <c r="A194" s="10" t="s">
        <v>28</v>
      </c>
      <c r="B194" s="10">
        <v>2752759677</v>
      </c>
      <c r="C194" s="11">
        <v>0</v>
      </c>
      <c r="D194" s="11">
        <v>0</v>
      </c>
      <c r="E194" s="11">
        <v>0</v>
      </c>
      <c r="F194" s="11">
        <v>196495882</v>
      </c>
      <c r="G194" s="11">
        <v>164927418</v>
      </c>
      <c r="H194" s="11">
        <v>262941303</v>
      </c>
      <c r="I194" s="11">
        <v>280282246</v>
      </c>
      <c r="J194" s="11">
        <v>246192273</v>
      </c>
      <c r="K194" s="11">
        <v>308626989</v>
      </c>
      <c r="L194" s="11">
        <v>243645342</v>
      </c>
      <c r="M194" s="11">
        <v>247491577</v>
      </c>
      <c r="N194" s="11">
        <v>165492691</v>
      </c>
      <c r="O194" s="11"/>
      <c r="P194" s="11">
        <f aca="true" t="shared" si="25" ref="P194:P207">+B194+O194</f>
        <v>2752759677</v>
      </c>
      <c r="Q194" s="10">
        <v>129152073</v>
      </c>
      <c r="R194" s="10"/>
      <c r="S194" s="10"/>
      <c r="T194" s="3">
        <f t="shared" si="23"/>
        <v>2489967185</v>
      </c>
      <c r="U194" s="3"/>
      <c r="V194" s="3"/>
      <c r="W194" s="3">
        <f t="shared" si="24"/>
        <v>90.45348948563519</v>
      </c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hidden="1">
      <c r="A195" s="10" t="s">
        <v>5</v>
      </c>
      <c r="B195" s="10">
        <f>+B196+B200+B201+B202</f>
        <v>1867025388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0">
        <f>+O196+O200+O201+O202</f>
        <v>0</v>
      </c>
      <c r="P195" s="11">
        <f t="shared" si="25"/>
        <v>1867025388</v>
      </c>
      <c r="Q195" s="10">
        <f>+Q196+Q200+Q201+Q202</f>
        <v>229990206</v>
      </c>
      <c r="R195" s="10"/>
      <c r="S195" s="10"/>
      <c r="T195" s="3">
        <f t="shared" si="23"/>
        <v>1278181345.6399999</v>
      </c>
      <c r="U195" s="3"/>
      <c r="V195" s="3"/>
      <c r="W195" s="3">
        <f t="shared" si="24"/>
        <v>68.46084439211705</v>
      </c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hidden="1">
      <c r="A196" s="10" t="s">
        <v>29</v>
      </c>
      <c r="B196" s="10">
        <f>SUM(B197:B199)</f>
        <v>1679125388</v>
      </c>
      <c r="C196" s="11">
        <f>SUM(C197:C199)</f>
        <v>0</v>
      </c>
      <c r="D196" s="11">
        <f aca="true" t="shared" si="26" ref="D196:N196">SUM(D197:D199)</f>
        <v>9764370</v>
      </c>
      <c r="E196" s="11">
        <f t="shared" si="26"/>
        <v>1633088</v>
      </c>
      <c r="F196" s="11">
        <f t="shared" si="26"/>
        <v>9527326</v>
      </c>
      <c r="G196" s="11">
        <f t="shared" si="26"/>
        <v>5166613</v>
      </c>
      <c r="H196" s="11">
        <f t="shared" si="26"/>
        <v>8550758</v>
      </c>
      <c r="I196" s="11">
        <f t="shared" si="26"/>
        <v>19667967</v>
      </c>
      <c r="J196" s="11">
        <f t="shared" si="26"/>
        <v>32121947.88</v>
      </c>
      <c r="K196" s="11">
        <f t="shared" si="26"/>
        <v>57803883</v>
      </c>
      <c r="L196" s="11">
        <f t="shared" si="26"/>
        <v>248550137</v>
      </c>
      <c r="M196" s="11">
        <f t="shared" si="26"/>
        <v>56476839</v>
      </c>
      <c r="N196" s="11">
        <f t="shared" si="26"/>
        <v>203635166</v>
      </c>
      <c r="O196" s="10">
        <f>SUM(O197:O199)</f>
        <v>0</v>
      </c>
      <c r="P196" s="11">
        <f t="shared" si="25"/>
        <v>1679125388</v>
      </c>
      <c r="Q196" s="10">
        <f>SUM(Q197:Q199)</f>
        <v>229811806</v>
      </c>
      <c r="R196" s="10"/>
      <c r="S196" s="10"/>
      <c r="T196" s="3">
        <f t="shared" si="23"/>
        <v>1145536870</v>
      </c>
      <c r="U196" s="3"/>
      <c r="V196" s="3"/>
      <c r="W196" s="3">
        <f t="shared" si="24"/>
        <v>68.22223511041334</v>
      </c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hidden="1">
      <c r="A197" s="11" t="s">
        <v>30</v>
      </c>
      <c r="B197" s="11">
        <v>939032888</v>
      </c>
      <c r="C197" s="11">
        <v>0</v>
      </c>
      <c r="D197" s="11">
        <v>9764370</v>
      </c>
      <c r="E197" s="11">
        <v>0</v>
      </c>
      <c r="F197" s="11">
        <f>274606+765092</f>
        <v>1039698</v>
      </c>
      <c r="G197" s="11">
        <v>4660304</v>
      </c>
      <c r="H197" s="11">
        <v>7848958</v>
      </c>
      <c r="I197" s="11">
        <v>15343416</v>
      </c>
      <c r="J197" s="11">
        <v>22521927</v>
      </c>
      <c r="K197" s="11">
        <v>33311437</v>
      </c>
      <c r="L197" s="11">
        <f>309295398-94490110</f>
        <v>214805288</v>
      </c>
      <c r="M197" s="11">
        <v>28836508</v>
      </c>
      <c r="N197" s="11">
        <f>98225097-2027734+2337372</f>
        <v>98534735</v>
      </c>
      <c r="O197" s="11"/>
      <c r="P197" s="11">
        <f t="shared" si="25"/>
        <v>939032888</v>
      </c>
      <c r="Q197" s="11">
        <f>235156271-8242817</f>
        <v>226913454</v>
      </c>
      <c r="R197" s="11"/>
      <c r="S197" s="11"/>
      <c r="T197" s="3">
        <f t="shared" si="23"/>
        <v>956829493</v>
      </c>
      <c r="U197" s="3"/>
      <c r="V197" s="3"/>
      <c r="W197" s="3">
        <f t="shared" si="24"/>
        <v>101.89520571935495</v>
      </c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hidden="1">
      <c r="A198" s="11" t="s">
        <v>31</v>
      </c>
      <c r="B198" s="11">
        <v>724342500</v>
      </c>
      <c r="C198" s="11"/>
      <c r="D198" s="11">
        <v>0</v>
      </c>
      <c r="E198" s="11">
        <v>0</v>
      </c>
      <c r="F198" s="11">
        <v>0</v>
      </c>
      <c r="G198" s="11">
        <v>0</v>
      </c>
      <c r="H198" s="11">
        <v>25090</v>
      </c>
      <c r="I198" s="11">
        <v>946365</v>
      </c>
      <c r="J198" s="11">
        <v>8764131</v>
      </c>
      <c r="K198" s="11">
        <v>21523596</v>
      </c>
      <c r="L198" s="11">
        <v>33159819</v>
      </c>
      <c r="M198" s="11">
        <v>27504331</v>
      </c>
      <c r="N198" s="11">
        <f>101300092+707323</f>
        <v>102007415</v>
      </c>
      <c r="O198" s="11">
        <v>0</v>
      </c>
      <c r="P198" s="11">
        <f t="shared" si="25"/>
        <v>724342500</v>
      </c>
      <c r="Q198" s="11">
        <v>2744732</v>
      </c>
      <c r="R198" s="11"/>
      <c r="S198" s="11"/>
      <c r="T198" s="3">
        <f t="shared" si="23"/>
        <v>182751504</v>
      </c>
      <c r="U198" s="3"/>
      <c r="V198" s="3"/>
      <c r="W198" s="3">
        <f t="shared" si="24"/>
        <v>25.229984986384203</v>
      </c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hidden="1">
      <c r="A199" s="11" t="s">
        <v>32</v>
      </c>
      <c r="B199" s="11">
        <v>15750000</v>
      </c>
      <c r="C199" s="11"/>
      <c r="D199" s="11"/>
      <c r="E199" s="11">
        <v>1633088</v>
      </c>
      <c r="F199" s="11">
        <v>8487628</v>
      </c>
      <c r="G199" s="11">
        <v>506309</v>
      </c>
      <c r="H199" s="11">
        <v>676710</v>
      </c>
      <c r="I199" s="11">
        <v>3378186</v>
      </c>
      <c r="J199" s="11">
        <f>628640+207249.88</f>
        <v>835889.88</v>
      </c>
      <c r="K199" s="11">
        <v>2968850</v>
      </c>
      <c r="L199" s="11">
        <v>585030</v>
      </c>
      <c r="M199" s="11">
        <v>136000</v>
      </c>
      <c r="N199" s="11">
        <f>22300706.88-19207690.88</f>
        <v>3093016</v>
      </c>
      <c r="O199" s="11"/>
      <c r="P199" s="11">
        <f t="shared" si="25"/>
        <v>15750000</v>
      </c>
      <c r="Q199" s="11">
        <v>153620</v>
      </c>
      <c r="R199" s="11"/>
      <c r="S199" s="11"/>
      <c r="T199" s="3">
        <f t="shared" si="23"/>
        <v>5955873</v>
      </c>
      <c r="U199" s="3"/>
      <c r="V199" s="3"/>
      <c r="W199" s="3">
        <f t="shared" si="24"/>
        <v>37.81506666666667</v>
      </c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hidden="1">
      <c r="A200" s="10" t="s">
        <v>33</v>
      </c>
      <c r="B200" s="10">
        <v>65100000</v>
      </c>
      <c r="C200" s="11">
        <v>426256</v>
      </c>
      <c r="D200" s="11">
        <v>177520</v>
      </c>
      <c r="E200" s="11">
        <v>815304</v>
      </c>
      <c r="F200" s="11">
        <v>1044670</v>
      </c>
      <c r="G200" s="11">
        <v>210000</v>
      </c>
      <c r="H200" s="11">
        <v>497000</v>
      </c>
      <c r="I200" s="11">
        <v>1908400</v>
      </c>
      <c r="J200" s="11">
        <v>2080000</v>
      </c>
      <c r="K200" s="11">
        <v>1960300</v>
      </c>
      <c r="L200" s="11">
        <v>1071750</v>
      </c>
      <c r="M200" s="11">
        <v>486631</v>
      </c>
      <c r="N200" s="11">
        <v>3040000</v>
      </c>
      <c r="O200" s="11"/>
      <c r="P200" s="11">
        <f t="shared" si="25"/>
        <v>65100000</v>
      </c>
      <c r="Q200" s="10">
        <v>0</v>
      </c>
      <c r="R200" s="10"/>
      <c r="S200" s="10"/>
      <c r="T200" s="3">
        <f t="shared" si="23"/>
        <v>26986356</v>
      </c>
      <c r="U200" s="3"/>
      <c r="V200" s="3"/>
      <c r="W200" s="3">
        <f t="shared" si="24"/>
        <v>41.45369585253456</v>
      </c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hidden="1">
      <c r="A201" s="10" t="s">
        <v>34</v>
      </c>
      <c r="B201" s="10">
        <v>1000000</v>
      </c>
      <c r="C201" s="11">
        <v>7540000</v>
      </c>
      <c r="D201" s="11"/>
      <c r="E201" s="11"/>
      <c r="F201" s="11"/>
      <c r="G201" s="11"/>
      <c r="H201" s="11"/>
      <c r="I201" s="11">
        <v>294000</v>
      </c>
      <c r="J201" s="11"/>
      <c r="K201" s="11"/>
      <c r="L201" s="11">
        <v>29000</v>
      </c>
      <c r="M201" s="11"/>
      <c r="N201" s="11"/>
      <c r="O201" s="11"/>
      <c r="P201" s="11">
        <f t="shared" si="25"/>
        <v>1000000</v>
      </c>
      <c r="Q201" s="10">
        <v>0</v>
      </c>
      <c r="R201" s="10"/>
      <c r="S201" s="10"/>
      <c r="T201" s="3">
        <f t="shared" si="23"/>
        <v>0</v>
      </c>
      <c r="U201" s="3"/>
      <c r="V201" s="3"/>
      <c r="W201" s="3">
        <f t="shared" si="24"/>
        <v>0</v>
      </c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hidden="1">
      <c r="A202" s="10" t="s">
        <v>35</v>
      </c>
      <c r="B202" s="10">
        <f aca="true" t="shared" si="27" ref="B202:O202">SUM(B203:B203)</f>
        <v>121800000</v>
      </c>
      <c r="C202" s="11">
        <f t="shared" si="27"/>
        <v>4768052</v>
      </c>
      <c r="D202" s="11">
        <f t="shared" si="27"/>
        <v>8290086</v>
      </c>
      <c r="E202" s="11">
        <f t="shared" si="27"/>
        <v>10672897</v>
      </c>
      <c r="F202" s="11">
        <f t="shared" si="27"/>
        <v>13361106</v>
      </c>
      <c r="G202" s="11">
        <f t="shared" si="27"/>
        <v>5435392</v>
      </c>
      <c r="H202" s="11">
        <f t="shared" si="27"/>
        <v>6359364</v>
      </c>
      <c r="I202" s="11">
        <f t="shared" si="27"/>
        <v>17667466</v>
      </c>
      <c r="J202" s="11">
        <f t="shared" si="27"/>
        <v>22629676</v>
      </c>
      <c r="K202" s="11">
        <f t="shared" si="27"/>
        <v>24318846</v>
      </c>
      <c r="L202" s="11">
        <f t="shared" si="27"/>
        <v>14234424</v>
      </c>
      <c r="M202" s="11">
        <f t="shared" si="27"/>
        <v>14378768</v>
      </c>
      <c r="N202" s="11">
        <f t="shared" si="27"/>
        <v>23388888</v>
      </c>
      <c r="O202" s="10">
        <f t="shared" si="27"/>
        <v>0</v>
      </c>
      <c r="P202" s="11">
        <f t="shared" si="25"/>
        <v>121800000</v>
      </c>
      <c r="Q202" s="10">
        <f>SUM(Q203:Q203)</f>
        <v>178400</v>
      </c>
      <c r="R202" s="10"/>
      <c r="S202" s="10"/>
      <c r="T202" s="3">
        <f t="shared" si="23"/>
        <v>105658119.64</v>
      </c>
      <c r="U202" s="3"/>
      <c r="V202" s="3"/>
      <c r="W202" s="3">
        <f t="shared" si="24"/>
        <v>86.7472246633826</v>
      </c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hidden="1">
      <c r="A203" s="11" t="s">
        <v>36</v>
      </c>
      <c r="B203" s="11">
        <v>121800000</v>
      </c>
      <c r="C203" s="11">
        <v>4768052</v>
      </c>
      <c r="D203" s="11">
        <v>8290086</v>
      </c>
      <c r="E203" s="11">
        <v>10672897</v>
      </c>
      <c r="F203" s="11">
        <v>13361106</v>
      </c>
      <c r="G203" s="11">
        <v>5435392</v>
      </c>
      <c r="H203" s="11">
        <v>6359364</v>
      </c>
      <c r="I203" s="11">
        <v>17667466</v>
      </c>
      <c r="J203" s="11">
        <f>15777671+6852005</f>
        <v>22629676</v>
      </c>
      <c r="K203" s="11">
        <v>24318846</v>
      </c>
      <c r="L203" s="11">
        <v>14234424</v>
      </c>
      <c r="M203" s="11">
        <f>14378768</f>
        <v>14378768</v>
      </c>
      <c r="N203" s="11">
        <f>165504965-142116077</f>
        <v>23388888</v>
      </c>
      <c r="O203" s="11"/>
      <c r="P203" s="11">
        <f t="shared" si="25"/>
        <v>121800000</v>
      </c>
      <c r="Q203" s="11">
        <v>178400</v>
      </c>
      <c r="R203" s="11"/>
      <c r="S203" s="11"/>
      <c r="T203" s="3">
        <f t="shared" si="23"/>
        <v>105658119.64</v>
      </c>
      <c r="U203" s="3"/>
      <c r="V203" s="3"/>
      <c r="W203" s="3">
        <f t="shared" si="24"/>
        <v>86.7472246633826</v>
      </c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hidden="1">
      <c r="A204" s="10" t="s">
        <v>37</v>
      </c>
      <c r="B204" s="10">
        <v>71925000</v>
      </c>
      <c r="C204" s="11" t="e">
        <f>SUM(#REF!)</f>
        <v>#REF!</v>
      </c>
      <c r="D204" s="11" t="e">
        <f>SUM(#REF!)</f>
        <v>#REF!</v>
      </c>
      <c r="E204" s="11" t="e">
        <f>SUM(#REF!)</f>
        <v>#REF!</v>
      </c>
      <c r="F204" s="11" t="e">
        <f>SUM(#REF!)</f>
        <v>#REF!</v>
      </c>
      <c r="G204" s="11" t="e">
        <f>SUM(#REF!)</f>
        <v>#REF!</v>
      </c>
      <c r="H204" s="11" t="e">
        <f>SUM(#REF!)</f>
        <v>#REF!</v>
      </c>
      <c r="I204" s="11" t="e">
        <f>SUM(#REF!)</f>
        <v>#REF!</v>
      </c>
      <c r="J204" s="11" t="e">
        <f>SUM(#REF!)</f>
        <v>#REF!</v>
      </c>
      <c r="K204" s="11" t="e">
        <f>SUM(#REF!)</f>
        <v>#REF!</v>
      </c>
      <c r="L204" s="11" t="e">
        <f>SUM(#REF!)</f>
        <v>#REF!</v>
      </c>
      <c r="M204" s="11" t="e">
        <f>SUM(#REF!)</f>
        <v>#REF!</v>
      </c>
      <c r="N204" s="11" t="e">
        <f>SUM(#REF!)</f>
        <v>#REF!</v>
      </c>
      <c r="O204" s="10">
        <v>0</v>
      </c>
      <c r="P204" s="11">
        <f t="shared" si="25"/>
        <v>71925000</v>
      </c>
      <c r="Q204" s="11">
        <v>0</v>
      </c>
      <c r="R204" s="11"/>
      <c r="S204" s="11"/>
      <c r="T204" s="3">
        <f t="shared" si="23"/>
        <v>119442475</v>
      </c>
      <c r="U204" s="3"/>
      <c r="V204" s="3"/>
      <c r="W204" s="3">
        <f t="shared" si="24"/>
        <v>166.06531108793882</v>
      </c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hidden="1">
      <c r="A205" s="10" t="s">
        <v>44</v>
      </c>
      <c r="B205" s="10">
        <f>+B206</f>
        <v>0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0">
        <f>+O206</f>
        <v>1230345600</v>
      </c>
      <c r="P205" s="11">
        <f t="shared" si="25"/>
        <v>1230345600</v>
      </c>
      <c r="Q205" s="10">
        <f>+Q206</f>
        <v>0</v>
      </c>
      <c r="R205" s="10"/>
      <c r="S205" s="10"/>
      <c r="T205" s="3">
        <f t="shared" si="23"/>
        <v>57686490</v>
      </c>
      <c r="U205" s="3"/>
      <c r="V205" s="3"/>
      <c r="W205" s="3">
        <f t="shared" si="24"/>
        <v>4.6886411427813455</v>
      </c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hidden="1">
      <c r="A206" s="10" t="s">
        <v>45</v>
      </c>
      <c r="B206" s="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0">
        <f>1230345600</f>
        <v>1230345600</v>
      </c>
      <c r="P206" s="11">
        <f t="shared" si="25"/>
        <v>1230345600</v>
      </c>
      <c r="Q206" s="10">
        <v>0</v>
      </c>
      <c r="R206" s="10"/>
      <c r="S206" s="10"/>
      <c r="T206" s="3">
        <f t="shared" si="23"/>
        <v>56086490</v>
      </c>
      <c r="U206" s="3"/>
      <c r="V206" s="3"/>
      <c r="W206" s="3">
        <f t="shared" si="24"/>
        <v>4.558596381374469</v>
      </c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hidden="1">
      <c r="A207" s="10" t="s">
        <v>48</v>
      </c>
      <c r="B207" s="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0">
        <v>79200000</v>
      </c>
      <c r="P207" s="11">
        <f t="shared" si="25"/>
        <v>79200000</v>
      </c>
      <c r="Q207" s="10">
        <v>0</v>
      </c>
      <c r="R207" s="10"/>
      <c r="S207" s="10"/>
      <c r="T207" s="3">
        <v>0</v>
      </c>
      <c r="U207" s="3"/>
      <c r="V207" s="3"/>
      <c r="W207" s="3">
        <f>+T207/P207*100</f>
        <v>0</v>
      </c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hidden="1">
      <c r="A208" s="10" t="s">
        <v>38</v>
      </c>
      <c r="B208" s="10">
        <f>+B209+B210+B211</f>
        <v>1914146055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0">
        <f>+O209+O210+O211</f>
        <v>515409946</v>
      </c>
      <c r="P208" s="11">
        <f>+B208+O208</f>
        <v>2429556001</v>
      </c>
      <c r="Q208" s="10">
        <f>+Q209+Q210+Q211</f>
        <v>124764842</v>
      </c>
      <c r="R208" s="10"/>
      <c r="S208" s="10"/>
      <c r="T208" s="3">
        <f>+T29+Q208</f>
        <v>1921905935.75</v>
      </c>
      <c r="U208" s="3"/>
      <c r="V208" s="3"/>
      <c r="W208" s="3">
        <f t="shared" si="24"/>
        <v>79.10523301207907</v>
      </c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hidden="1">
      <c r="A209" s="10" t="s">
        <v>6</v>
      </c>
      <c r="B209" s="10">
        <v>70000000</v>
      </c>
      <c r="C209" s="11">
        <v>898886</v>
      </c>
      <c r="D209" s="11">
        <f>4306726+216132</f>
        <v>4522858</v>
      </c>
      <c r="E209" s="11">
        <f>751140+23292827</f>
        <v>24043967</v>
      </c>
      <c r="F209" s="11">
        <v>8452240</v>
      </c>
      <c r="G209" s="11">
        <v>4422172</v>
      </c>
      <c r="H209" s="11">
        <f>7484642+234363</f>
        <v>7719005</v>
      </c>
      <c r="I209" s="11">
        <f>102855+5416914</f>
        <v>5519769</v>
      </c>
      <c r="J209" s="11">
        <f>6098966+444960+3514791+65855</f>
        <v>10124572</v>
      </c>
      <c r="K209" s="11">
        <f>191152+1348022+3219820.01</f>
        <v>4758994.01</v>
      </c>
      <c r="L209" s="11">
        <f>350566+9695840</f>
        <v>10046406</v>
      </c>
      <c r="M209" s="11">
        <f>579536+7833208+436291+345639</f>
        <v>9194674</v>
      </c>
      <c r="N209" s="11">
        <f>112132152.5-89703543.01</f>
        <v>22428609.489999995</v>
      </c>
      <c r="O209" s="11"/>
      <c r="P209" s="11">
        <f>+B209+O209</f>
        <v>70000000</v>
      </c>
      <c r="Q209" s="11">
        <f>4036795+51138+4263359</f>
        <v>8351292</v>
      </c>
      <c r="R209" s="11"/>
      <c r="S209" s="11"/>
      <c r="T209" s="3">
        <f>+T30+Q209</f>
        <v>140561755.75</v>
      </c>
      <c r="U209" s="3"/>
      <c r="V209" s="3"/>
      <c r="W209" s="3">
        <f t="shared" si="24"/>
        <v>200.80250821428572</v>
      </c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hidden="1">
      <c r="A210" s="10" t="s">
        <v>9</v>
      </c>
      <c r="B210" s="10">
        <v>0</v>
      </c>
      <c r="C210" s="11"/>
      <c r="D210" s="11"/>
      <c r="E210" s="11"/>
      <c r="F210" s="11">
        <f>+B210</f>
        <v>0</v>
      </c>
      <c r="G210" s="11"/>
      <c r="H210" s="11"/>
      <c r="I210" s="11"/>
      <c r="J210" s="11"/>
      <c r="K210" s="11"/>
      <c r="L210" s="11"/>
      <c r="M210" s="11"/>
      <c r="N210" s="11"/>
      <c r="O210" s="11">
        <f>+O31</f>
        <v>515409946</v>
      </c>
      <c r="P210" s="11">
        <f>+B210+O210</f>
        <v>515409946</v>
      </c>
      <c r="Q210" s="10">
        <v>0</v>
      </c>
      <c r="R210" s="10"/>
      <c r="S210" s="10"/>
      <c r="T210" s="3">
        <f>+T31+Q210</f>
        <v>515409946</v>
      </c>
      <c r="U210" s="3"/>
      <c r="V210" s="3"/>
      <c r="W210" s="3">
        <f t="shared" si="24"/>
        <v>100</v>
      </c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hidden="1">
      <c r="A211" s="10" t="s">
        <v>39</v>
      </c>
      <c r="B211" s="10">
        <v>1844146055</v>
      </c>
      <c r="C211" s="11" t="e">
        <f>+#REF!+#REF!</f>
        <v>#REF!</v>
      </c>
      <c r="D211" s="11" t="e">
        <f>+#REF!+#REF!</f>
        <v>#REF!</v>
      </c>
      <c r="E211" s="11" t="e">
        <f>+#REF!+#REF!</f>
        <v>#REF!</v>
      </c>
      <c r="F211" s="11" t="e">
        <f>+#REF!+#REF!</f>
        <v>#REF!</v>
      </c>
      <c r="G211" s="11" t="e">
        <f>+#REF!+#REF!</f>
        <v>#REF!</v>
      </c>
      <c r="H211" s="11" t="e">
        <f>+#REF!+#REF!</f>
        <v>#REF!</v>
      </c>
      <c r="I211" s="11" t="e">
        <f>+#REF!+#REF!</f>
        <v>#REF!</v>
      </c>
      <c r="J211" s="11" t="e">
        <f>+#REF!+#REF!</f>
        <v>#REF!</v>
      </c>
      <c r="K211" s="11" t="e">
        <f>+#REF!+#REF!</f>
        <v>#REF!</v>
      </c>
      <c r="L211" s="11" t="e">
        <f>+#REF!+#REF!</f>
        <v>#REF!</v>
      </c>
      <c r="M211" s="11" t="e">
        <f>+#REF!+#REF!</f>
        <v>#REF!</v>
      </c>
      <c r="N211" s="11" t="e">
        <f>+#REF!+#REF!</f>
        <v>#REF!</v>
      </c>
      <c r="O211" s="10">
        <v>0</v>
      </c>
      <c r="P211" s="11">
        <f>+B211+O211</f>
        <v>1844146055</v>
      </c>
      <c r="Q211" s="11">
        <f>44194236+72219314</f>
        <v>116413550</v>
      </c>
      <c r="R211" s="11"/>
      <c r="S211" s="11"/>
      <c r="T211" s="3">
        <f>+T32+Q211</f>
        <v>1265934234</v>
      </c>
      <c r="U211" s="3"/>
      <c r="V211" s="3"/>
      <c r="W211" s="3">
        <f t="shared" si="24"/>
        <v>68.64609397762695</v>
      </c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hidden="1">
      <c r="A212" s="11"/>
      <c r="B212" s="11"/>
      <c r="C212" s="11"/>
      <c r="D212" s="11"/>
      <c r="E212" s="11" t="s">
        <v>1</v>
      </c>
      <c r="F212" s="11" t="s">
        <v>1</v>
      </c>
      <c r="G212" s="11" t="s">
        <v>1</v>
      </c>
      <c r="H212" s="11" t="s">
        <v>1</v>
      </c>
      <c r="I212" s="11" t="s">
        <v>1</v>
      </c>
      <c r="J212" s="11" t="s">
        <v>1</v>
      </c>
      <c r="K212" s="11" t="s">
        <v>1</v>
      </c>
      <c r="L212" s="11" t="s">
        <v>1</v>
      </c>
      <c r="M212" s="11" t="s">
        <v>1</v>
      </c>
      <c r="N212" s="11" t="s">
        <v>1</v>
      </c>
      <c r="O212" s="11"/>
      <c r="P212" s="11" t="s">
        <v>1</v>
      </c>
      <c r="Q212" s="14" t="s">
        <v>1</v>
      </c>
      <c r="R212" s="14"/>
      <c r="S212" s="14"/>
      <c r="T212" s="3" t="s">
        <v>1</v>
      </c>
      <c r="U212" s="3"/>
      <c r="V212" s="3"/>
      <c r="W212" s="3" t="s">
        <v>1</v>
      </c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hidden="1">
      <c r="A213" s="10" t="s">
        <v>40</v>
      </c>
      <c r="B213" s="10">
        <f>+B186+B208</f>
        <v>10077156120</v>
      </c>
      <c r="C213" s="10" t="e">
        <f>+C189+C194+C196+C200+C201+C202+C204+#REF!+#REF!+C209+C210+C211+#REF!</f>
        <v>#REF!</v>
      </c>
      <c r="D213" s="10" t="e">
        <f>+D189+D194+D196+D200+D201+D202+D204+#REF!+#REF!+D209+D210+D211+#REF!</f>
        <v>#REF!</v>
      </c>
      <c r="E213" s="10" t="e">
        <f>+E189+E194+E196+E200+E201+E202+E204+#REF!+#REF!+E209+E210+E211+#REF!</f>
        <v>#REF!</v>
      </c>
      <c r="F213" s="10" t="e">
        <f>+F189+F194+F196+F200+F201+F202+F204+#REF!+#REF!+F209+F210+F211+#REF!</f>
        <v>#REF!</v>
      </c>
      <c r="G213" s="10" t="e">
        <f>+G189+G194+G196+G200+G201+G202+G204+#REF!+#REF!+G209+G210+G211+#REF!</f>
        <v>#REF!</v>
      </c>
      <c r="H213" s="10" t="e">
        <f>+H189+H194+H196+H200+H201+H202+H204+#REF!+#REF!+H209+H210+H211+#REF!</f>
        <v>#REF!</v>
      </c>
      <c r="I213" s="10" t="e">
        <f>+I189+I194+I196+I200+I201+I202+I204+#REF!+#REF!+I209+I210+I211+#REF!</f>
        <v>#REF!</v>
      </c>
      <c r="J213" s="10" t="e">
        <f>+J189+J194+J196+J200+J201+J202+J204+#REF!+#REF!+J209+J210+J211+#REF!</f>
        <v>#REF!</v>
      </c>
      <c r="K213" s="10" t="e">
        <f>+K189+K194+K196+K200+K201+K202+K204+#REF!+#REF!+K209+K210+K211+#REF!</f>
        <v>#REF!</v>
      </c>
      <c r="L213" s="10" t="e">
        <f>+L189+L194+L196+L200+L201+L202+L204+#REF!+#REF!+L209+L210+L211+#REF!</f>
        <v>#REF!</v>
      </c>
      <c r="M213" s="10" t="e">
        <f>+M189+M194+M196+M200+M201+M202+M204+#REF!+#REF!+M209+M210+M211+#REF!</f>
        <v>#REF!</v>
      </c>
      <c r="N213" s="10" t="e">
        <f>+N189+N194+N196+N200+N201+N202+N204+#REF!+#REF!+N209+N210+N211+#REF!</f>
        <v>#REF!</v>
      </c>
      <c r="O213" s="10">
        <f>+O186+O208</f>
        <v>1745755546</v>
      </c>
      <c r="P213" s="10">
        <f>+P186+P208</f>
        <v>11822911666</v>
      </c>
      <c r="Q213" s="10">
        <f>+Q186+Q208</f>
        <v>558966374</v>
      </c>
      <c r="R213" s="10"/>
      <c r="S213" s="10"/>
      <c r="T213" s="3">
        <f>+T36+Q213</f>
        <v>8708470690.06</v>
      </c>
      <c r="U213" s="3"/>
      <c r="V213" s="3"/>
      <c r="W213" s="3">
        <f>+T213/P213*100</f>
        <v>73.65758060346147</v>
      </c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hidden="1">
      <c r="A214" s="10" t="s">
        <v>41</v>
      </c>
      <c r="B214" s="11">
        <f>+B37</f>
        <v>1334597240</v>
      </c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>
        <v>0</v>
      </c>
      <c r="P214" s="1">
        <f>+B214+O214</f>
        <v>1334597240</v>
      </c>
      <c r="Q214" s="1">
        <v>98681856</v>
      </c>
      <c r="R214" s="1"/>
      <c r="S214" s="1"/>
      <c r="T214" s="3">
        <f>+T37+Q214</f>
        <v>2275804519</v>
      </c>
      <c r="U214" s="3"/>
      <c r="V214" s="3"/>
      <c r="W214" s="3">
        <f>+T214/P214*100</f>
        <v>170.523694399368</v>
      </c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hidden="1">
      <c r="A215" s="1"/>
      <c r="B215" s="1" t="s">
        <v>1</v>
      </c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 t="s">
        <v>1</v>
      </c>
      <c r="P215" s="1"/>
      <c r="Q215" s="14" t="s">
        <v>1</v>
      </c>
      <c r="R215" s="14"/>
      <c r="S215" s="14"/>
      <c r="T215" s="3" t="s">
        <v>1</v>
      </c>
      <c r="U215" s="3"/>
      <c r="V215" s="3"/>
      <c r="W215" s="3" t="s">
        <v>1</v>
      </c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hidden="1">
      <c r="A216" s="10" t="s">
        <v>42</v>
      </c>
      <c r="B216" s="14">
        <f>+B213+B214</f>
        <v>11411753360</v>
      </c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>
        <f>+O213+O214</f>
        <v>1745755546</v>
      </c>
      <c r="P216" s="14">
        <f>+P213+P214</f>
        <v>13157508906</v>
      </c>
      <c r="Q216" s="14">
        <f>+Q213+Q214</f>
        <v>657648230</v>
      </c>
      <c r="R216" s="14"/>
      <c r="S216" s="14"/>
      <c r="T216" s="3">
        <f>+T39+Q216</f>
        <v>10984275209.06</v>
      </c>
      <c r="U216" s="3"/>
      <c r="V216" s="3"/>
      <c r="W216" s="3">
        <f>+T216/P216*100</f>
        <v>83.48293957111458</v>
      </c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 t="s">
        <v>1</v>
      </c>
      <c r="Q217" s="1"/>
      <c r="R217" s="1"/>
      <c r="S217" s="1"/>
      <c r="T217" s="1" t="s">
        <v>1</v>
      </c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hidden="1">
      <c r="A227" s="48" t="s">
        <v>0</v>
      </c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hidden="1">
      <c r="A228" s="48" t="s">
        <v>47</v>
      </c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4">
        <v>39600</v>
      </c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5.5" hidden="1">
      <c r="A230" s="11"/>
      <c r="B230" s="8" t="s">
        <v>10</v>
      </c>
      <c r="C230" s="49" t="s">
        <v>11</v>
      </c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11"/>
      <c r="O230" s="3" t="s">
        <v>2</v>
      </c>
      <c r="P230" s="8" t="s">
        <v>12</v>
      </c>
      <c r="Q230" s="8"/>
      <c r="R230" s="8"/>
      <c r="S230" s="8"/>
      <c r="T230" s="8" t="s">
        <v>43</v>
      </c>
      <c r="U230" s="8"/>
      <c r="V230" s="8"/>
      <c r="W230" s="8" t="s">
        <v>46</v>
      </c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hidden="1">
      <c r="A231" s="3" t="s">
        <v>7</v>
      </c>
      <c r="B231" s="3" t="s">
        <v>1</v>
      </c>
      <c r="C231" s="3" t="s">
        <v>13</v>
      </c>
      <c r="D231" s="3" t="s">
        <v>14</v>
      </c>
      <c r="E231" s="3" t="s">
        <v>15</v>
      </c>
      <c r="F231" s="3" t="s">
        <v>16</v>
      </c>
      <c r="G231" s="3" t="s">
        <v>8</v>
      </c>
      <c r="H231" s="3" t="s">
        <v>17</v>
      </c>
      <c r="I231" s="3" t="s">
        <v>18</v>
      </c>
      <c r="J231" s="3" t="s">
        <v>19</v>
      </c>
      <c r="K231" s="3" t="s">
        <v>20</v>
      </c>
      <c r="L231" s="3" t="s">
        <v>21</v>
      </c>
      <c r="M231" s="3" t="s">
        <v>22</v>
      </c>
      <c r="N231" s="3" t="s">
        <v>23</v>
      </c>
      <c r="O231" s="3"/>
      <c r="P231" s="3"/>
      <c r="Q231" s="3"/>
      <c r="R231" s="3"/>
      <c r="S231" s="3"/>
      <c r="T231" s="3"/>
      <c r="U231" s="3"/>
      <c r="V231" s="3"/>
      <c r="W231" s="3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hidden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5.5" hidden="1">
      <c r="A233" s="11"/>
      <c r="B233" s="8" t="s">
        <v>10</v>
      </c>
      <c r="C233" s="49" t="s">
        <v>11</v>
      </c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11"/>
      <c r="O233" s="3" t="s">
        <v>2</v>
      </c>
      <c r="P233" s="8" t="s">
        <v>12</v>
      </c>
      <c r="Q233" s="8"/>
      <c r="R233" s="8"/>
      <c r="S233" s="8"/>
      <c r="T233" s="8" t="s">
        <v>43</v>
      </c>
      <c r="U233" s="8"/>
      <c r="V233" s="8"/>
      <c r="W233" s="8" t="s">
        <v>46</v>
      </c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hidden="1">
      <c r="A234" s="3" t="s">
        <v>7</v>
      </c>
      <c r="B234" s="3" t="s">
        <v>1</v>
      </c>
      <c r="C234" s="3" t="s">
        <v>13</v>
      </c>
      <c r="D234" s="3" t="s">
        <v>14</v>
      </c>
      <c r="E234" s="3" t="s">
        <v>15</v>
      </c>
      <c r="F234" s="3" t="s">
        <v>16</v>
      </c>
      <c r="G234" s="3" t="s">
        <v>8</v>
      </c>
      <c r="H234" s="3" t="s">
        <v>17</v>
      </c>
      <c r="I234" s="3" t="s">
        <v>18</v>
      </c>
      <c r="J234" s="3" t="s">
        <v>19</v>
      </c>
      <c r="K234" s="3" t="s">
        <v>20</v>
      </c>
      <c r="L234" s="3" t="s">
        <v>21</v>
      </c>
      <c r="M234" s="3" t="s">
        <v>22</v>
      </c>
      <c r="N234" s="3" t="s">
        <v>23</v>
      </c>
      <c r="O234" s="3"/>
      <c r="P234" s="3"/>
      <c r="Q234" s="3" t="s">
        <v>1</v>
      </c>
      <c r="R234" s="3"/>
      <c r="S234" s="3"/>
      <c r="T234" s="3"/>
      <c r="U234" s="3"/>
      <c r="V234" s="3"/>
      <c r="W234" s="3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hidden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hidden="1">
      <c r="A236" s="40" t="s">
        <v>24</v>
      </c>
      <c r="B236" s="3">
        <f>+B238+B243</f>
        <v>8163010065</v>
      </c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>
        <f>+O238+O243</f>
        <v>1309545600</v>
      </c>
      <c r="P236" s="3">
        <f>+P238+P243</f>
        <v>9472555665</v>
      </c>
      <c r="Q236" s="3">
        <f>+Q238+Q243</f>
        <v>554474243</v>
      </c>
      <c r="R236" s="3"/>
      <c r="S236" s="3"/>
      <c r="T236" s="3">
        <f>+T186+Q236</f>
        <v>7341038997.309999</v>
      </c>
      <c r="U236" s="3"/>
      <c r="V236" s="3"/>
      <c r="W236" s="3">
        <f>+T236/P236*100</f>
        <v>77.49797685997551</v>
      </c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hidden="1">
      <c r="A237" s="40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 t="e">
        <f aca="true" t="shared" si="28" ref="T237:T266">+T187+Q237</f>
        <v>#VALUE!</v>
      </c>
      <c r="U237" s="3"/>
      <c r="V237" s="3"/>
      <c r="W237" s="3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hidden="1">
      <c r="A238" s="10" t="s">
        <v>3</v>
      </c>
      <c r="B238" s="10">
        <f>+B239</f>
        <v>3471300000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0">
        <f>+O239</f>
        <v>0</v>
      </c>
      <c r="P238" s="11">
        <f>+B238+O238</f>
        <v>3471300000</v>
      </c>
      <c r="Q238" s="10">
        <f>+Q239</f>
        <v>128693321</v>
      </c>
      <c r="R238" s="10"/>
      <c r="S238" s="10"/>
      <c r="T238" s="3">
        <f t="shared" si="28"/>
        <v>2969980579.67</v>
      </c>
      <c r="U238" s="3"/>
      <c r="V238" s="3"/>
      <c r="W238" s="3">
        <f>+T238/P238*100</f>
        <v>85.55816494310488</v>
      </c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hidden="1">
      <c r="A239" s="10" t="s">
        <v>25</v>
      </c>
      <c r="B239" s="10">
        <f>+B240+B241</f>
        <v>3471300000</v>
      </c>
      <c r="C239" s="11"/>
      <c r="D239" s="11">
        <v>177520</v>
      </c>
      <c r="E239" s="11"/>
      <c r="F239" s="11">
        <v>165006728</v>
      </c>
      <c r="G239" s="11">
        <v>1414514385</v>
      </c>
      <c r="H239" s="11">
        <v>4948458</v>
      </c>
      <c r="I239" s="11">
        <v>573117327</v>
      </c>
      <c r="J239" s="11">
        <f>139033811-14448995.38</f>
        <v>124584815.62</v>
      </c>
      <c r="K239" s="11">
        <v>93361900</v>
      </c>
      <c r="L239" s="11">
        <v>25720312</v>
      </c>
      <c r="M239" s="11">
        <v>242733948</v>
      </c>
      <c r="N239" s="11">
        <f>65086606+14219504.38-900076.38-6867260+6687809</f>
        <v>78226583</v>
      </c>
      <c r="O239" s="10">
        <f>+O240+O241</f>
        <v>0</v>
      </c>
      <c r="P239" s="11">
        <f>+B239+O239</f>
        <v>3471300000</v>
      </c>
      <c r="Q239" s="10">
        <f>+Q240+Q241</f>
        <v>128693321</v>
      </c>
      <c r="R239" s="10"/>
      <c r="S239" s="10"/>
      <c r="T239" s="3">
        <f t="shared" si="28"/>
        <v>2969980579.67</v>
      </c>
      <c r="U239" s="3"/>
      <c r="V239" s="3"/>
      <c r="W239" s="3">
        <f>+T239/P239*100</f>
        <v>85.55816494310488</v>
      </c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hidden="1">
      <c r="A240" s="11" t="s">
        <v>26</v>
      </c>
      <c r="B240" s="11">
        <v>2106300000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>
        <f>+B240+O240</f>
        <v>2106300000</v>
      </c>
      <c r="Q240" s="11">
        <v>0</v>
      </c>
      <c r="R240" s="11"/>
      <c r="S240" s="11"/>
      <c r="T240" s="3">
        <f t="shared" si="28"/>
        <v>1756800893.67</v>
      </c>
      <c r="U240" s="3"/>
      <c r="V240" s="3"/>
      <c r="W240" s="3">
        <f>+T240/P240*100</f>
        <v>83.40696451929925</v>
      </c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hidden="1">
      <c r="A241" s="11" t="s">
        <v>27</v>
      </c>
      <c r="B241" s="11">
        <v>1365000000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>
        <f>+B241+O241</f>
        <v>1365000000</v>
      </c>
      <c r="Q241" s="11">
        <v>128693321</v>
      </c>
      <c r="R241" s="11"/>
      <c r="S241" s="11"/>
      <c r="T241" s="3">
        <f t="shared" si="28"/>
        <v>1213179686</v>
      </c>
      <c r="U241" s="3"/>
      <c r="V241" s="3"/>
      <c r="W241" s="3">
        <f>+T241/P241*100</f>
        <v>88.87763267399268</v>
      </c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hidden="1">
      <c r="A242" s="10"/>
      <c r="B242" s="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 t="s">
        <v>1</v>
      </c>
      <c r="Q242" s="10"/>
      <c r="R242" s="10"/>
      <c r="S242" s="10"/>
      <c r="T242" s="3" t="e">
        <f t="shared" si="28"/>
        <v>#VALUE!</v>
      </c>
      <c r="U242" s="3"/>
      <c r="V242" s="3"/>
      <c r="W242" s="3" t="s">
        <v>1</v>
      </c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hidden="1">
      <c r="A243" s="10" t="s">
        <v>4</v>
      </c>
      <c r="B243" s="10">
        <f>+B244+B245+B254+B255</f>
        <v>4691710065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0">
        <f>+O244+O245+O254+O255</f>
        <v>1309545600</v>
      </c>
      <c r="P243" s="10">
        <f>+P244+P245+P254+P255</f>
        <v>6001255665</v>
      </c>
      <c r="Q243" s="10">
        <f>+Q244+Q245+Q254+Q255</f>
        <v>425780922</v>
      </c>
      <c r="R243" s="10"/>
      <c r="S243" s="10"/>
      <c r="T243" s="3">
        <f t="shared" si="28"/>
        <v>4371058417.639999</v>
      </c>
      <c r="U243" s="3"/>
      <c r="V243" s="3"/>
      <c r="W243" s="3">
        <f aca="true" t="shared" si="29" ref="W243:W256">+T243/P243*100</f>
        <v>72.83573074769177</v>
      </c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hidden="1">
      <c r="A244" s="10" t="s">
        <v>28</v>
      </c>
      <c r="B244" s="10">
        <v>2752759677</v>
      </c>
      <c r="C244" s="11">
        <v>0</v>
      </c>
      <c r="D244" s="11">
        <v>0</v>
      </c>
      <c r="E244" s="11">
        <v>0</v>
      </c>
      <c r="F244" s="11">
        <v>196495882</v>
      </c>
      <c r="G244" s="11">
        <v>164927418</v>
      </c>
      <c r="H244" s="11">
        <v>262941303</v>
      </c>
      <c r="I244" s="11">
        <v>280282246</v>
      </c>
      <c r="J244" s="11">
        <v>246192273</v>
      </c>
      <c r="K244" s="11">
        <v>308626989</v>
      </c>
      <c r="L244" s="11">
        <v>243645342</v>
      </c>
      <c r="M244" s="11">
        <v>247491577</v>
      </c>
      <c r="N244" s="11">
        <v>165492691</v>
      </c>
      <c r="O244" s="11"/>
      <c r="P244" s="11">
        <f aca="true" t="shared" si="30" ref="P244:P256">+B244+O244</f>
        <v>2752759677</v>
      </c>
      <c r="Q244" s="10">
        <f>646959890-319164112</f>
        <v>327795778</v>
      </c>
      <c r="R244" s="10"/>
      <c r="S244" s="10"/>
      <c r="T244" s="3">
        <f t="shared" si="28"/>
        <v>2817762963</v>
      </c>
      <c r="U244" s="3"/>
      <c r="V244" s="3"/>
      <c r="W244" s="3">
        <f t="shared" si="29"/>
        <v>102.36138615888335</v>
      </c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hidden="1">
      <c r="A245" s="10" t="s">
        <v>5</v>
      </c>
      <c r="B245" s="10">
        <f>+B246+B250+B251+B252</f>
        <v>1867025388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0">
        <f>+O246+O250+O251+O252</f>
        <v>0</v>
      </c>
      <c r="P245" s="11">
        <f t="shared" si="30"/>
        <v>1867025388</v>
      </c>
      <c r="Q245" s="10">
        <f>+Q246+Q250+Q251+Q252</f>
        <v>97985144</v>
      </c>
      <c r="R245" s="10"/>
      <c r="S245" s="10"/>
      <c r="T245" s="3">
        <f t="shared" si="28"/>
        <v>1376166489.6399999</v>
      </c>
      <c r="U245" s="3"/>
      <c r="V245" s="3"/>
      <c r="W245" s="3">
        <f t="shared" si="29"/>
        <v>73.70903997798234</v>
      </c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hidden="1">
      <c r="A246" s="10" t="s">
        <v>29</v>
      </c>
      <c r="B246" s="10">
        <f>SUM(B247:B249)</f>
        <v>1679125388</v>
      </c>
      <c r="C246" s="11">
        <f>SUM(C247:C249)</f>
        <v>0</v>
      </c>
      <c r="D246" s="11">
        <f aca="true" t="shared" si="31" ref="D246:N246">SUM(D247:D249)</f>
        <v>9764370</v>
      </c>
      <c r="E246" s="11">
        <f t="shared" si="31"/>
        <v>1633088</v>
      </c>
      <c r="F246" s="11">
        <f t="shared" si="31"/>
        <v>9527326</v>
      </c>
      <c r="G246" s="11">
        <f t="shared" si="31"/>
        <v>5166613</v>
      </c>
      <c r="H246" s="11">
        <f t="shared" si="31"/>
        <v>8550758</v>
      </c>
      <c r="I246" s="11">
        <f t="shared" si="31"/>
        <v>19667967</v>
      </c>
      <c r="J246" s="11">
        <f t="shared" si="31"/>
        <v>32121947.88</v>
      </c>
      <c r="K246" s="11">
        <f t="shared" si="31"/>
        <v>57803883</v>
      </c>
      <c r="L246" s="11">
        <f t="shared" si="31"/>
        <v>248550137</v>
      </c>
      <c r="M246" s="11">
        <f t="shared" si="31"/>
        <v>56476839</v>
      </c>
      <c r="N246" s="11">
        <f t="shared" si="31"/>
        <v>203635166</v>
      </c>
      <c r="O246" s="10">
        <f>SUM(O247:O249)</f>
        <v>0</v>
      </c>
      <c r="P246" s="11">
        <f t="shared" si="30"/>
        <v>1679125388</v>
      </c>
      <c r="Q246" s="10">
        <f>SUM(Q247:Q249)</f>
        <v>32570562</v>
      </c>
      <c r="R246" s="10"/>
      <c r="S246" s="10"/>
      <c r="T246" s="3">
        <f t="shared" si="28"/>
        <v>1178107432</v>
      </c>
      <c r="U246" s="3"/>
      <c r="V246" s="3"/>
      <c r="W246" s="3">
        <f t="shared" si="29"/>
        <v>70.16196886899789</v>
      </c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hidden="1">
      <c r="A247" s="11" t="s">
        <v>30</v>
      </c>
      <c r="B247" s="11">
        <v>939032888</v>
      </c>
      <c r="C247" s="11">
        <v>0</v>
      </c>
      <c r="D247" s="11">
        <v>9764370</v>
      </c>
      <c r="E247" s="11">
        <v>0</v>
      </c>
      <c r="F247" s="11">
        <f>274606+765092</f>
        <v>1039698</v>
      </c>
      <c r="G247" s="11">
        <v>4660304</v>
      </c>
      <c r="H247" s="11">
        <v>7848958</v>
      </c>
      <c r="I247" s="11">
        <v>15343416</v>
      </c>
      <c r="J247" s="11">
        <v>22521927</v>
      </c>
      <c r="K247" s="11">
        <v>33311437</v>
      </c>
      <c r="L247" s="11">
        <f>309295398-94490110</f>
        <v>214805288</v>
      </c>
      <c r="M247" s="11">
        <v>28836508</v>
      </c>
      <c r="N247" s="11">
        <f>98225097-2027734+2337372</f>
        <v>98534735</v>
      </c>
      <c r="O247" s="11"/>
      <c r="P247" s="11">
        <f t="shared" si="30"/>
        <v>939032888</v>
      </c>
      <c r="Q247" s="11">
        <v>0</v>
      </c>
      <c r="R247" s="11"/>
      <c r="S247" s="11"/>
      <c r="T247" s="3">
        <f t="shared" si="28"/>
        <v>956829493</v>
      </c>
      <c r="U247" s="3"/>
      <c r="V247" s="3"/>
      <c r="W247" s="3">
        <f t="shared" si="29"/>
        <v>101.89520571935495</v>
      </c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hidden="1">
      <c r="A248" s="11" t="s">
        <v>31</v>
      </c>
      <c r="B248" s="11">
        <v>724342500</v>
      </c>
      <c r="C248" s="11"/>
      <c r="D248" s="11">
        <v>0</v>
      </c>
      <c r="E248" s="11">
        <v>0</v>
      </c>
      <c r="F248" s="11">
        <v>0</v>
      </c>
      <c r="G248" s="11">
        <v>0</v>
      </c>
      <c r="H248" s="11">
        <v>25090</v>
      </c>
      <c r="I248" s="11">
        <v>946365</v>
      </c>
      <c r="J248" s="11">
        <v>8764131</v>
      </c>
      <c r="K248" s="11">
        <v>21523596</v>
      </c>
      <c r="L248" s="11">
        <v>33159819</v>
      </c>
      <c r="M248" s="11">
        <v>27504331</v>
      </c>
      <c r="N248" s="11">
        <f>101300092+707323</f>
        <v>102007415</v>
      </c>
      <c r="O248" s="11">
        <v>0</v>
      </c>
      <c r="P248" s="11">
        <f t="shared" si="30"/>
        <v>724342500</v>
      </c>
      <c r="Q248" s="11">
        <f>32597431-2744732</f>
        <v>29852699</v>
      </c>
      <c r="R248" s="11"/>
      <c r="S248" s="11"/>
      <c r="T248" s="3">
        <f t="shared" si="28"/>
        <v>212604203</v>
      </c>
      <c r="U248" s="3"/>
      <c r="V248" s="3"/>
      <c r="W248" s="3">
        <f t="shared" si="29"/>
        <v>29.351336280833994</v>
      </c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hidden="1">
      <c r="A249" s="11" t="s">
        <v>32</v>
      </c>
      <c r="B249" s="11">
        <v>15750000</v>
      </c>
      <c r="C249" s="11"/>
      <c r="D249" s="11"/>
      <c r="E249" s="11">
        <v>1633088</v>
      </c>
      <c r="F249" s="11">
        <v>8487628</v>
      </c>
      <c r="G249" s="11">
        <v>506309</v>
      </c>
      <c r="H249" s="11">
        <v>676710</v>
      </c>
      <c r="I249" s="11">
        <v>3378186</v>
      </c>
      <c r="J249" s="11">
        <f>628640+207249.88</f>
        <v>835889.88</v>
      </c>
      <c r="K249" s="11">
        <v>2968850</v>
      </c>
      <c r="L249" s="11">
        <v>585030</v>
      </c>
      <c r="M249" s="11">
        <v>136000</v>
      </c>
      <c r="N249" s="11">
        <f>22300706.88-19207690.88</f>
        <v>3093016</v>
      </c>
      <c r="O249" s="11"/>
      <c r="P249" s="11">
        <f t="shared" si="30"/>
        <v>15750000</v>
      </c>
      <c r="Q249" s="11">
        <f>4474838-1756975</f>
        <v>2717863</v>
      </c>
      <c r="R249" s="11"/>
      <c r="S249" s="11"/>
      <c r="T249" s="3">
        <f t="shared" si="28"/>
        <v>8673736</v>
      </c>
      <c r="U249" s="3"/>
      <c r="V249" s="3"/>
      <c r="W249" s="3">
        <f t="shared" si="29"/>
        <v>55.07133968253968</v>
      </c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hidden="1">
      <c r="A250" s="10" t="s">
        <v>33</v>
      </c>
      <c r="B250" s="10">
        <v>65100000</v>
      </c>
      <c r="C250" s="11">
        <v>426256</v>
      </c>
      <c r="D250" s="11">
        <v>177520</v>
      </c>
      <c r="E250" s="11">
        <v>815304</v>
      </c>
      <c r="F250" s="11">
        <v>1044670</v>
      </c>
      <c r="G250" s="11">
        <v>210000</v>
      </c>
      <c r="H250" s="11">
        <v>497000</v>
      </c>
      <c r="I250" s="11">
        <v>1908400</v>
      </c>
      <c r="J250" s="11">
        <v>2080000</v>
      </c>
      <c r="K250" s="11">
        <v>1960300</v>
      </c>
      <c r="L250" s="11">
        <v>1071750</v>
      </c>
      <c r="M250" s="11">
        <v>486631</v>
      </c>
      <c r="N250" s="11">
        <v>3040000</v>
      </c>
      <c r="O250" s="11"/>
      <c r="P250" s="11">
        <f t="shared" si="30"/>
        <v>65100000</v>
      </c>
      <c r="Q250" s="10">
        <f>19344919-7544443</f>
        <v>11800476</v>
      </c>
      <c r="R250" s="10"/>
      <c r="S250" s="10"/>
      <c r="T250" s="3">
        <f t="shared" si="28"/>
        <v>38786832</v>
      </c>
      <c r="U250" s="3"/>
      <c r="V250" s="3"/>
      <c r="W250" s="3">
        <f t="shared" si="29"/>
        <v>59.58038709677419</v>
      </c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hidden="1">
      <c r="A251" s="10" t="s">
        <v>34</v>
      </c>
      <c r="B251" s="10">
        <v>1000000</v>
      </c>
      <c r="C251" s="11">
        <v>7540000</v>
      </c>
      <c r="D251" s="11"/>
      <c r="E251" s="11"/>
      <c r="F251" s="11"/>
      <c r="G251" s="11"/>
      <c r="H251" s="11"/>
      <c r="I251" s="11">
        <v>294000</v>
      </c>
      <c r="J251" s="11"/>
      <c r="K251" s="11"/>
      <c r="L251" s="11">
        <v>29000</v>
      </c>
      <c r="M251" s="11"/>
      <c r="N251" s="11"/>
      <c r="O251" s="11"/>
      <c r="P251" s="11">
        <f t="shared" si="30"/>
        <v>1000000</v>
      </c>
      <c r="Q251" s="10">
        <v>0</v>
      </c>
      <c r="R251" s="10"/>
      <c r="S251" s="10"/>
      <c r="T251" s="3">
        <f t="shared" si="28"/>
        <v>0</v>
      </c>
      <c r="U251" s="3"/>
      <c r="V251" s="3"/>
      <c r="W251" s="3">
        <f t="shared" si="29"/>
        <v>0</v>
      </c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hidden="1">
      <c r="A252" s="10" t="s">
        <v>35</v>
      </c>
      <c r="B252" s="10">
        <f aca="true" t="shared" si="32" ref="B252:O252">SUM(B253:B253)</f>
        <v>121800000</v>
      </c>
      <c r="C252" s="11">
        <f t="shared" si="32"/>
        <v>4768052</v>
      </c>
      <c r="D252" s="11">
        <f t="shared" si="32"/>
        <v>8290086</v>
      </c>
      <c r="E252" s="11">
        <f t="shared" si="32"/>
        <v>10672897</v>
      </c>
      <c r="F252" s="11">
        <f t="shared" si="32"/>
        <v>13361106</v>
      </c>
      <c r="G252" s="11">
        <f t="shared" si="32"/>
        <v>5435392</v>
      </c>
      <c r="H252" s="11">
        <f t="shared" si="32"/>
        <v>6359364</v>
      </c>
      <c r="I252" s="11">
        <f t="shared" si="32"/>
        <v>17667466</v>
      </c>
      <c r="J252" s="11">
        <f t="shared" si="32"/>
        <v>22629676</v>
      </c>
      <c r="K252" s="11">
        <f t="shared" si="32"/>
        <v>24318846</v>
      </c>
      <c r="L252" s="11">
        <f t="shared" si="32"/>
        <v>14234424</v>
      </c>
      <c r="M252" s="11">
        <f t="shared" si="32"/>
        <v>14378768</v>
      </c>
      <c r="N252" s="11">
        <f t="shared" si="32"/>
        <v>23388888</v>
      </c>
      <c r="O252" s="10">
        <f t="shared" si="32"/>
        <v>0</v>
      </c>
      <c r="P252" s="11">
        <f t="shared" si="30"/>
        <v>121800000</v>
      </c>
      <c r="Q252" s="10">
        <f>SUM(Q253:Q253)</f>
        <v>53614106</v>
      </c>
      <c r="R252" s="10"/>
      <c r="S252" s="10"/>
      <c r="T252" s="3">
        <f t="shared" si="28"/>
        <v>159272225.64</v>
      </c>
      <c r="U252" s="3"/>
      <c r="V252" s="3"/>
      <c r="W252" s="3">
        <f t="shared" si="29"/>
        <v>130.76537408866994</v>
      </c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hidden="1">
      <c r="A253" s="11" t="s">
        <v>36</v>
      </c>
      <c r="B253" s="11">
        <v>121800000</v>
      </c>
      <c r="C253" s="11">
        <v>4768052</v>
      </c>
      <c r="D253" s="11">
        <v>8290086</v>
      </c>
      <c r="E253" s="11">
        <v>10672897</v>
      </c>
      <c r="F253" s="11">
        <v>13361106</v>
      </c>
      <c r="G253" s="11">
        <v>5435392</v>
      </c>
      <c r="H253" s="11">
        <v>6359364</v>
      </c>
      <c r="I253" s="11">
        <v>17667466</v>
      </c>
      <c r="J253" s="11">
        <f>15777671+6852005</f>
        <v>22629676</v>
      </c>
      <c r="K253" s="11">
        <v>24318846</v>
      </c>
      <c r="L253" s="11">
        <v>14234424</v>
      </c>
      <c r="M253" s="11">
        <f>14378768</f>
        <v>14378768</v>
      </c>
      <c r="N253" s="11">
        <f>165504965-142116077</f>
        <v>23388888</v>
      </c>
      <c r="O253" s="11"/>
      <c r="P253" s="11">
        <f t="shared" si="30"/>
        <v>121800000</v>
      </c>
      <c r="Q253" s="11">
        <f>78608817-24994711</f>
        <v>53614106</v>
      </c>
      <c r="R253" s="11"/>
      <c r="S253" s="11"/>
      <c r="T253" s="3">
        <f t="shared" si="28"/>
        <v>159272225.64</v>
      </c>
      <c r="U253" s="3"/>
      <c r="V253" s="3"/>
      <c r="W253" s="3">
        <f t="shared" si="29"/>
        <v>130.76537408866994</v>
      </c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hidden="1">
      <c r="A254" s="10" t="s">
        <v>37</v>
      </c>
      <c r="B254" s="10">
        <v>71925000</v>
      </c>
      <c r="C254" s="11" t="e">
        <f>SUM(#REF!)</f>
        <v>#REF!</v>
      </c>
      <c r="D254" s="11" t="e">
        <f>SUM(#REF!)</f>
        <v>#REF!</v>
      </c>
      <c r="E254" s="11" t="e">
        <f>SUM(#REF!)</f>
        <v>#REF!</v>
      </c>
      <c r="F254" s="11" t="e">
        <f>SUM(#REF!)</f>
        <v>#REF!</v>
      </c>
      <c r="G254" s="11" t="e">
        <f>SUM(#REF!)</f>
        <v>#REF!</v>
      </c>
      <c r="H254" s="11" t="e">
        <f>SUM(#REF!)</f>
        <v>#REF!</v>
      </c>
      <c r="I254" s="11" t="e">
        <f>SUM(#REF!)</f>
        <v>#REF!</v>
      </c>
      <c r="J254" s="11" t="e">
        <f>SUM(#REF!)</f>
        <v>#REF!</v>
      </c>
      <c r="K254" s="11" t="e">
        <f>SUM(#REF!)</f>
        <v>#REF!</v>
      </c>
      <c r="L254" s="11" t="e">
        <f>SUM(#REF!)</f>
        <v>#REF!</v>
      </c>
      <c r="M254" s="11" t="e">
        <f>SUM(#REF!)</f>
        <v>#REF!</v>
      </c>
      <c r="N254" s="11" t="e">
        <f>SUM(#REF!)</f>
        <v>#REF!</v>
      </c>
      <c r="O254" s="10">
        <v>0</v>
      </c>
      <c r="P254" s="11">
        <f t="shared" si="30"/>
        <v>71925000</v>
      </c>
      <c r="Q254" s="11">
        <v>0</v>
      </c>
      <c r="R254" s="11"/>
      <c r="S254" s="11"/>
      <c r="T254" s="3">
        <f t="shared" si="28"/>
        <v>119442475</v>
      </c>
      <c r="U254" s="3"/>
      <c r="V254" s="3"/>
      <c r="W254" s="3">
        <f t="shared" si="29"/>
        <v>166.06531108793882</v>
      </c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hidden="1">
      <c r="A255" s="10" t="s">
        <v>44</v>
      </c>
      <c r="B255" s="10">
        <f>+B256</f>
        <v>0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0">
        <f>+O256</f>
        <v>1309545600</v>
      </c>
      <c r="P255" s="11">
        <f t="shared" si="30"/>
        <v>1309545600</v>
      </c>
      <c r="Q255" s="10">
        <f>+Q256</f>
        <v>0</v>
      </c>
      <c r="R255" s="10"/>
      <c r="S255" s="10"/>
      <c r="T255" s="3">
        <f t="shared" si="28"/>
        <v>57686490</v>
      </c>
      <c r="U255" s="3"/>
      <c r="V255" s="3"/>
      <c r="W255" s="3">
        <f t="shared" si="29"/>
        <v>4.405076844975845</v>
      </c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hidden="1">
      <c r="A256" s="10" t="s">
        <v>45</v>
      </c>
      <c r="B256" s="10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0">
        <f>1230345600+79200000</f>
        <v>1309545600</v>
      </c>
      <c r="P256" s="11">
        <f t="shared" si="30"/>
        <v>1309545600</v>
      </c>
      <c r="Q256" s="10">
        <v>0</v>
      </c>
      <c r="R256" s="10"/>
      <c r="S256" s="10"/>
      <c r="T256" s="3">
        <f t="shared" si="28"/>
        <v>56086490</v>
      </c>
      <c r="U256" s="3"/>
      <c r="V256" s="3"/>
      <c r="W256" s="3">
        <f t="shared" si="29"/>
        <v>4.282897059865651</v>
      </c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hidden="1">
      <c r="A257" s="10"/>
      <c r="B257" s="10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0"/>
      <c r="P257" s="11"/>
      <c r="Q257" s="10">
        <v>0</v>
      </c>
      <c r="R257" s="10"/>
      <c r="S257" s="10"/>
      <c r="T257" s="3">
        <f t="shared" si="28"/>
        <v>0</v>
      </c>
      <c r="U257" s="3"/>
      <c r="V257" s="3"/>
      <c r="W257" s="3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hidden="1">
      <c r="A258" s="10" t="s">
        <v>38</v>
      </c>
      <c r="B258" s="10">
        <f>+B259+B260+B261</f>
        <v>1914146055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0">
        <f>+O259+O260+O261</f>
        <v>515409946</v>
      </c>
      <c r="P258" s="11">
        <f>+B258+O258</f>
        <v>2429556001</v>
      </c>
      <c r="Q258" s="10">
        <f>+Q259+Q260+Q261</f>
        <v>915343196</v>
      </c>
      <c r="R258" s="10"/>
      <c r="S258" s="10"/>
      <c r="T258" s="3">
        <f t="shared" si="28"/>
        <v>2837249131.75</v>
      </c>
      <c r="U258" s="3"/>
      <c r="V258" s="3"/>
      <c r="W258" s="3">
        <f>+T258/P258*100</f>
        <v>116.78056116352924</v>
      </c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hidden="1">
      <c r="A259" s="10" t="s">
        <v>6</v>
      </c>
      <c r="B259" s="10">
        <v>70000000</v>
      </c>
      <c r="C259" s="11">
        <v>898886</v>
      </c>
      <c r="D259" s="11">
        <f>4306726+216132</f>
        <v>4522858</v>
      </c>
      <c r="E259" s="11">
        <f>751140+23292827</f>
        <v>24043967</v>
      </c>
      <c r="F259" s="11">
        <v>8452240</v>
      </c>
      <c r="G259" s="11">
        <v>4422172</v>
      </c>
      <c r="H259" s="11">
        <f>7484642+234363</f>
        <v>7719005</v>
      </c>
      <c r="I259" s="11">
        <f>102855+5416914</f>
        <v>5519769</v>
      </c>
      <c r="J259" s="11">
        <f>6098966+444960+3514791+65855</f>
        <v>10124572</v>
      </c>
      <c r="K259" s="11">
        <f>191152+1348022+3219820.01</f>
        <v>4758994.01</v>
      </c>
      <c r="L259" s="11">
        <f>350566+9695840</f>
        <v>10046406</v>
      </c>
      <c r="M259" s="11">
        <f>579536+7833208+436291+345639</f>
        <v>9194674</v>
      </c>
      <c r="N259" s="11">
        <f>112132152.5-89703543.01</f>
        <v>22428609.489999995</v>
      </c>
      <c r="O259" s="11">
        <v>0</v>
      </c>
      <c r="P259" s="11">
        <f>+B259+O259</f>
        <v>70000000</v>
      </c>
      <c r="Q259" s="11">
        <f>91882084-79076395+10</f>
        <v>12805699</v>
      </c>
      <c r="R259" s="11"/>
      <c r="S259" s="11"/>
      <c r="T259" s="3">
        <f t="shared" si="28"/>
        <v>153367454.75</v>
      </c>
      <c r="U259" s="3"/>
      <c r="V259" s="3"/>
      <c r="W259" s="3">
        <f>+T259/P259*100</f>
        <v>219.0963639285714</v>
      </c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hidden="1">
      <c r="A260" s="10" t="s">
        <v>9</v>
      </c>
      <c r="B260" s="10">
        <v>0</v>
      </c>
      <c r="C260" s="11"/>
      <c r="D260" s="11"/>
      <c r="E260" s="11"/>
      <c r="F260" s="11">
        <f>+B260</f>
        <v>0</v>
      </c>
      <c r="G260" s="11"/>
      <c r="H260" s="11"/>
      <c r="I260" s="11"/>
      <c r="J260" s="11"/>
      <c r="K260" s="11"/>
      <c r="L260" s="11"/>
      <c r="M260" s="11"/>
      <c r="N260" s="11"/>
      <c r="O260" s="11">
        <f>+O210</f>
        <v>515409946</v>
      </c>
      <c r="P260" s="11">
        <f>+B260+O260</f>
        <v>515409946</v>
      </c>
      <c r="Q260" s="10">
        <v>888746268</v>
      </c>
      <c r="R260" s="10"/>
      <c r="S260" s="10"/>
      <c r="T260" s="3">
        <f t="shared" si="28"/>
        <v>1404156214</v>
      </c>
      <c r="U260" s="3"/>
      <c r="V260" s="3"/>
      <c r="W260" s="3">
        <f>+T260/P260*100</f>
        <v>272.4348307395682</v>
      </c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hidden="1">
      <c r="A261" s="10" t="s">
        <v>39</v>
      </c>
      <c r="B261" s="10">
        <v>1844146055</v>
      </c>
      <c r="C261" s="11" t="e">
        <f>+#REF!+#REF!</f>
        <v>#REF!</v>
      </c>
      <c r="D261" s="11" t="e">
        <f>+#REF!+#REF!</f>
        <v>#REF!</v>
      </c>
      <c r="E261" s="11" t="e">
        <f>+#REF!+#REF!</f>
        <v>#REF!</v>
      </c>
      <c r="F261" s="11" t="e">
        <f>+#REF!+#REF!</f>
        <v>#REF!</v>
      </c>
      <c r="G261" s="11" t="e">
        <f>+#REF!+#REF!</f>
        <v>#REF!</v>
      </c>
      <c r="H261" s="11" t="e">
        <f>+#REF!+#REF!</f>
        <v>#REF!</v>
      </c>
      <c r="I261" s="11" t="e">
        <f>+#REF!+#REF!</f>
        <v>#REF!</v>
      </c>
      <c r="J261" s="11" t="e">
        <f>+#REF!+#REF!</f>
        <v>#REF!</v>
      </c>
      <c r="K261" s="11" t="e">
        <f>+#REF!+#REF!</f>
        <v>#REF!</v>
      </c>
      <c r="L261" s="11" t="e">
        <f>+#REF!+#REF!</f>
        <v>#REF!</v>
      </c>
      <c r="M261" s="11" t="e">
        <f>+#REF!+#REF!</f>
        <v>#REF!</v>
      </c>
      <c r="N261" s="11" t="e">
        <f>+#REF!+#REF!</f>
        <v>#REF!</v>
      </c>
      <c r="O261" s="10">
        <v>0</v>
      </c>
      <c r="P261" s="11">
        <f>+B261+O261</f>
        <v>1844146055</v>
      </c>
      <c r="Q261" s="11">
        <f>947477930-933686701</f>
        <v>13791229</v>
      </c>
      <c r="R261" s="11"/>
      <c r="S261" s="11"/>
      <c r="T261" s="3">
        <f t="shared" si="28"/>
        <v>1279725463</v>
      </c>
      <c r="U261" s="3"/>
      <c r="V261" s="3"/>
      <c r="W261" s="3">
        <f>+T261/P261*100</f>
        <v>69.3939321958965</v>
      </c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hidden="1">
      <c r="A262" s="11"/>
      <c r="B262" s="11"/>
      <c r="C262" s="11"/>
      <c r="D262" s="11"/>
      <c r="E262" s="11" t="s">
        <v>1</v>
      </c>
      <c r="F262" s="11" t="s">
        <v>1</v>
      </c>
      <c r="G262" s="11" t="s">
        <v>1</v>
      </c>
      <c r="H262" s="11" t="s">
        <v>1</v>
      </c>
      <c r="I262" s="11" t="s">
        <v>1</v>
      </c>
      <c r="J262" s="11" t="s">
        <v>1</v>
      </c>
      <c r="K262" s="11" t="s">
        <v>1</v>
      </c>
      <c r="L262" s="11" t="s">
        <v>1</v>
      </c>
      <c r="M262" s="11" t="s">
        <v>1</v>
      </c>
      <c r="N262" s="11" t="s">
        <v>1</v>
      </c>
      <c r="O262" s="11"/>
      <c r="P262" s="11" t="s">
        <v>1</v>
      </c>
      <c r="Q262" s="14" t="s">
        <v>1</v>
      </c>
      <c r="R262" s="14"/>
      <c r="S262" s="14"/>
      <c r="T262" s="3" t="s">
        <v>1</v>
      </c>
      <c r="U262" s="3"/>
      <c r="V262" s="3"/>
      <c r="W262" s="3" t="s">
        <v>1</v>
      </c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hidden="1">
      <c r="A263" s="10" t="s">
        <v>40</v>
      </c>
      <c r="B263" s="10">
        <f>+B236+B258</f>
        <v>10077156120</v>
      </c>
      <c r="C263" s="10" t="e">
        <f>+C239+C244+C246+C250+C251+C252+C254+#REF!+#REF!+C259+C260+C261+#REF!</f>
        <v>#REF!</v>
      </c>
      <c r="D263" s="10" t="e">
        <f>+D239+D244+D246+D250+D251+D252+D254+#REF!+#REF!+D259+D260+D261+#REF!</f>
        <v>#REF!</v>
      </c>
      <c r="E263" s="10" t="e">
        <f>+E239+E244+E246+E250+E251+E252+E254+#REF!+#REF!+E259+E260+E261+#REF!</f>
        <v>#REF!</v>
      </c>
      <c r="F263" s="10" t="e">
        <f>+F239+F244+F246+F250+F251+F252+F254+#REF!+#REF!+F259+F260+F261+#REF!</f>
        <v>#REF!</v>
      </c>
      <c r="G263" s="10" t="e">
        <f>+G239+G244+G246+G250+G251+G252+G254+#REF!+#REF!+G259+G260+G261+#REF!</f>
        <v>#REF!</v>
      </c>
      <c r="H263" s="10" t="e">
        <f>+H239+H244+H246+H250+H251+H252+H254+#REF!+#REF!+H259+H260+H261+#REF!</f>
        <v>#REF!</v>
      </c>
      <c r="I263" s="10" t="e">
        <f>+I239+I244+I246+I250+I251+I252+I254+#REF!+#REF!+I259+I260+I261+#REF!</f>
        <v>#REF!</v>
      </c>
      <c r="J263" s="10" t="e">
        <f>+J239+J244+J246+J250+J251+J252+J254+#REF!+#REF!+J259+J260+J261+#REF!</f>
        <v>#REF!</v>
      </c>
      <c r="K263" s="10" t="e">
        <f>+K239+K244+K246+K250+K251+K252+K254+#REF!+#REF!+K259+K260+K261+#REF!</f>
        <v>#REF!</v>
      </c>
      <c r="L263" s="10" t="e">
        <f>+L239+L244+L246+L250+L251+L252+L254+#REF!+#REF!+L259+L260+L261+#REF!</f>
        <v>#REF!</v>
      </c>
      <c r="M263" s="10" t="e">
        <f>+M239+M244+M246+M250+M251+M252+M254+#REF!+#REF!+M259+M260+M261+#REF!</f>
        <v>#REF!</v>
      </c>
      <c r="N263" s="10" t="e">
        <f>+N239+N244+N246+N250+N251+N252+N254+#REF!+#REF!+N259+N260+N261+#REF!</f>
        <v>#REF!</v>
      </c>
      <c r="O263" s="10">
        <f>+O236+O258</f>
        <v>1824955546</v>
      </c>
      <c r="P263" s="10">
        <f>+P236+P258</f>
        <v>11902111666</v>
      </c>
      <c r="Q263" s="10">
        <f>+Q236+Q258</f>
        <v>1469817439</v>
      </c>
      <c r="R263" s="10"/>
      <c r="S263" s="10"/>
      <c r="T263" s="3">
        <f t="shared" si="28"/>
        <v>10178288129.06</v>
      </c>
      <c r="U263" s="3"/>
      <c r="V263" s="3"/>
      <c r="W263" s="3">
        <f>+T263/P263*100</f>
        <v>85.51665800729852</v>
      </c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hidden="1">
      <c r="A264" s="10" t="s">
        <v>41</v>
      </c>
      <c r="B264" s="11">
        <f>+B214</f>
        <v>1334597240</v>
      </c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>
        <f>150200000+1005600000</f>
        <v>1155800000</v>
      </c>
      <c r="P264" s="1">
        <f>+B264+O264</f>
        <v>2490397240</v>
      </c>
      <c r="Q264" s="1">
        <f>564791544+1155800000-390707686</f>
        <v>1329883858</v>
      </c>
      <c r="R264" s="1"/>
      <c r="S264" s="1"/>
      <c r="T264" s="3">
        <f t="shared" si="28"/>
        <v>3605688377</v>
      </c>
      <c r="U264" s="3"/>
      <c r="V264" s="3"/>
      <c r="W264" s="3">
        <f>+T264/P264*100</f>
        <v>144.78366419166125</v>
      </c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hidden="1">
      <c r="A265" s="1"/>
      <c r="B265" s="1" t="s">
        <v>1</v>
      </c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 t="s">
        <v>1</v>
      </c>
      <c r="P265" s="1"/>
      <c r="Q265" s="14" t="s">
        <v>1</v>
      </c>
      <c r="R265" s="14"/>
      <c r="S265" s="14"/>
      <c r="T265" s="3" t="s">
        <v>1</v>
      </c>
      <c r="U265" s="3"/>
      <c r="V265" s="3"/>
      <c r="W265" s="3" t="s">
        <v>1</v>
      </c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hidden="1">
      <c r="A266" s="10" t="s">
        <v>42</v>
      </c>
      <c r="B266" s="14">
        <f>+B263+B264</f>
        <v>11411753360</v>
      </c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>
        <f>+O263+O264</f>
        <v>2980755546</v>
      </c>
      <c r="P266" s="14">
        <f>+P263+P264</f>
        <v>14392508906</v>
      </c>
      <c r="Q266" s="14">
        <f>+Q263+Q264</f>
        <v>2799701297</v>
      </c>
      <c r="R266" s="14"/>
      <c r="S266" s="14"/>
      <c r="T266" s="3">
        <f t="shared" si="28"/>
        <v>13783976506.06</v>
      </c>
      <c r="U266" s="3"/>
      <c r="V266" s="3"/>
      <c r="W266" s="3">
        <f>+T266/P266*100</f>
        <v>95.7718810256472</v>
      </c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 t="s">
        <v>1</v>
      </c>
      <c r="P267" s="1" t="s">
        <v>1</v>
      </c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 t="s">
        <v>1</v>
      </c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 t="s">
        <v>1</v>
      </c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 t="s">
        <v>1</v>
      </c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hidden="1">
      <c r="A273" s="48" t="s">
        <v>1</v>
      </c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hidden="1">
      <c r="A274" s="48" t="s">
        <v>1</v>
      </c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hidden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4" t="s">
        <v>1</v>
      </c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hidden="1">
      <c r="A276" s="48" t="s">
        <v>0</v>
      </c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hidden="1">
      <c r="A277" s="48" t="s">
        <v>89</v>
      </c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hidden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4" t="s">
        <v>1</v>
      </c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38.25" hidden="1">
      <c r="A279" s="11"/>
      <c r="B279" s="8" t="s">
        <v>10</v>
      </c>
      <c r="C279" s="49" t="s">
        <v>11</v>
      </c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11"/>
      <c r="O279" s="3" t="s">
        <v>2</v>
      </c>
      <c r="P279" s="8" t="s">
        <v>12</v>
      </c>
      <c r="Q279" s="8" t="s">
        <v>85</v>
      </c>
      <c r="R279" s="8"/>
      <c r="S279" s="8"/>
      <c r="T279" s="8" t="s">
        <v>86</v>
      </c>
      <c r="U279" s="8" t="s">
        <v>51</v>
      </c>
      <c r="V279" s="8" t="s">
        <v>87</v>
      </c>
      <c r="W279" s="8" t="s">
        <v>46</v>
      </c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hidden="1">
      <c r="A280" s="3" t="s">
        <v>7</v>
      </c>
      <c r="B280" s="3" t="s">
        <v>1</v>
      </c>
      <c r="C280" s="3" t="s">
        <v>13</v>
      </c>
      <c r="D280" s="3" t="s">
        <v>14</v>
      </c>
      <c r="E280" s="3" t="s">
        <v>15</v>
      </c>
      <c r="F280" s="3" t="s">
        <v>16</v>
      </c>
      <c r="G280" s="3" t="s">
        <v>8</v>
      </c>
      <c r="H280" s="3" t="s">
        <v>17</v>
      </c>
      <c r="I280" s="3" t="s">
        <v>18</v>
      </c>
      <c r="J280" s="3" t="s">
        <v>19</v>
      </c>
      <c r="K280" s="3" t="s">
        <v>20</v>
      </c>
      <c r="L280" s="3" t="s">
        <v>21</v>
      </c>
      <c r="M280" s="3" t="s">
        <v>22</v>
      </c>
      <c r="N280" s="3" t="s">
        <v>23</v>
      </c>
      <c r="O280" s="3"/>
      <c r="P280" s="3"/>
      <c r="Q280" s="3"/>
      <c r="R280" s="3"/>
      <c r="S280" s="3"/>
      <c r="T280" s="3"/>
      <c r="U280" s="3"/>
      <c r="V280" s="3"/>
      <c r="W280" s="3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hidden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 t="s">
        <v>1</v>
      </c>
      <c r="U281" s="3"/>
      <c r="V281" s="3" t="s">
        <v>1</v>
      </c>
      <c r="W281" s="3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hidden="1">
      <c r="A282" s="40" t="s">
        <v>24</v>
      </c>
      <c r="B282" s="3">
        <f>+B284+B289</f>
        <v>8163010065</v>
      </c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>
        <f>+O284+O289</f>
        <v>1455685988</v>
      </c>
      <c r="P282" s="3">
        <f>+P284+P289</f>
        <v>9618696053</v>
      </c>
      <c r="Q282" s="3">
        <f>+Q284+Q289</f>
        <v>710430223.05</v>
      </c>
      <c r="R282" s="3"/>
      <c r="S282" s="3"/>
      <c r="T282" s="3">
        <f>+T236+Q282</f>
        <v>8051469220.36</v>
      </c>
      <c r="U282" s="3">
        <f>+U284+U289</f>
        <v>2691375928</v>
      </c>
      <c r="V282" s="3">
        <f>+V284+V289</f>
        <v>10742845148.36</v>
      </c>
      <c r="W282" s="3">
        <f>+V282/P282*100</f>
        <v>111.68712566823844</v>
      </c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hidden="1">
      <c r="A283" s="40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 t="e">
        <f aca="true" t="shared" si="33" ref="T283:T302">+T237+Q283</f>
        <v>#VALUE!</v>
      </c>
      <c r="U283" s="3"/>
      <c r="V283" s="3" t="e">
        <f aca="true" t="shared" si="34" ref="V283:V316">+T283+U283</f>
        <v>#VALUE!</v>
      </c>
      <c r="W283" s="3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hidden="1">
      <c r="A284" s="10" t="s">
        <v>3</v>
      </c>
      <c r="B284" s="10">
        <f>+B285</f>
        <v>3471300000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0">
        <f>+O285</f>
        <v>0</v>
      </c>
      <c r="P284" s="11">
        <f>+B284+O284</f>
        <v>3471300000</v>
      </c>
      <c r="Q284" s="10">
        <f>+Q285</f>
        <v>344600974.05</v>
      </c>
      <c r="R284" s="10"/>
      <c r="S284" s="10"/>
      <c r="T284" s="3">
        <f t="shared" si="33"/>
        <v>3314581553.7200003</v>
      </c>
      <c r="U284" s="10">
        <f>+U285</f>
        <v>0</v>
      </c>
      <c r="V284" s="10">
        <f>+V285</f>
        <v>3314581553.7200003</v>
      </c>
      <c r="W284" s="3">
        <f aca="true" t="shared" si="35" ref="W284:W316">+V284/P284*100</f>
        <v>95.48530964537782</v>
      </c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hidden="1">
      <c r="A285" s="10" t="s">
        <v>25</v>
      </c>
      <c r="B285" s="10">
        <f>+B286+B287</f>
        <v>3471300000</v>
      </c>
      <c r="C285" s="11"/>
      <c r="D285" s="11">
        <v>177520</v>
      </c>
      <c r="E285" s="11"/>
      <c r="F285" s="11">
        <v>165006728</v>
      </c>
      <c r="G285" s="11">
        <v>1414514385</v>
      </c>
      <c r="H285" s="11">
        <v>4948458</v>
      </c>
      <c r="I285" s="11">
        <v>573117327</v>
      </c>
      <c r="J285" s="11">
        <f>139033811-14448995.38</f>
        <v>124584815.62</v>
      </c>
      <c r="K285" s="11">
        <v>93361900</v>
      </c>
      <c r="L285" s="11">
        <v>25720312</v>
      </c>
      <c r="M285" s="11">
        <v>242733948</v>
      </c>
      <c r="N285" s="11">
        <f>65086606+14219504.38-900076.38-6867260+6687809</f>
        <v>78226583</v>
      </c>
      <c r="O285" s="10">
        <f>+O286+O287</f>
        <v>0</v>
      </c>
      <c r="P285" s="11">
        <f>+B285+O285</f>
        <v>3471300000</v>
      </c>
      <c r="Q285" s="10">
        <f>+Q286+Q287</f>
        <v>344600974.05</v>
      </c>
      <c r="R285" s="10"/>
      <c r="S285" s="10"/>
      <c r="T285" s="3">
        <f t="shared" si="33"/>
        <v>3314581553.7200003</v>
      </c>
      <c r="U285" s="10">
        <f>+U286+U287</f>
        <v>0</v>
      </c>
      <c r="V285" s="10">
        <f>+V286+V287</f>
        <v>3314581553.7200003</v>
      </c>
      <c r="W285" s="3">
        <f t="shared" si="35"/>
        <v>95.48530964537782</v>
      </c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hidden="1">
      <c r="A286" s="11" t="s">
        <v>26</v>
      </c>
      <c r="B286" s="11">
        <v>2106300000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>
        <f>+B286+O286</f>
        <v>2106300000</v>
      </c>
      <c r="Q286" s="11">
        <v>0</v>
      </c>
      <c r="R286" s="11"/>
      <c r="S286" s="11"/>
      <c r="T286" s="3">
        <f t="shared" si="33"/>
        <v>1756800893.67</v>
      </c>
      <c r="U286" s="11">
        <v>0</v>
      </c>
      <c r="V286" s="3">
        <f t="shared" si="34"/>
        <v>1756800893.67</v>
      </c>
      <c r="W286" s="3">
        <f t="shared" si="35"/>
        <v>83.40696451929925</v>
      </c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hidden="1">
      <c r="A287" s="11" t="s">
        <v>27</v>
      </c>
      <c r="B287" s="11">
        <v>1365000000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>
        <f>+B287+O287</f>
        <v>1365000000</v>
      </c>
      <c r="Q287" s="11">
        <f>+'[1]JULIO08'!$B$108+4788352</f>
        <v>344600974.05</v>
      </c>
      <c r="R287" s="11"/>
      <c r="S287" s="11"/>
      <c r="T287" s="3">
        <f t="shared" si="33"/>
        <v>1557780660.05</v>
      </c>
      <c r="U287" s="11">
        <v>0</v>
      </c>
      <c r="V287" s="3">
        <f t="shared" si="34"/>
        <v>1557780660.05</v>
      </c>
      <c r="W287" s="3">
        <f t="shared" si="35"/>
        <v>114.12312527838829</v>
      </c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hidden="1">
      <c r="A288" s="10"/>
      <c r="B288" s="10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 t="s">
        <v>1</v>
      </c>
      <c r="Q288" s="10"/>
      <c r="R288" s="10"/>
      <c r="S288" s="10"/>
      <c r="T288" s="3" t="s">
        <v>1</v>
      </c>
      <c r="U288" s="10"/>
      <c r="V288" s="3" t="s">
        <v>1</v>
      </c>
      <c r="W288" s="3" t="s">
        <v>1</v>
      </c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hidden="1">
      <c r="A289" s="10" t="s">
        <v>4</v>
      </c>
      <c r="B289" s="10">
        <f>+B290+B291+B300+B301</f>
        <v>4691710065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0">
        <f>+O290+O291+O300+O301</f>
        <v>1455685988</v>
      </c>
      <c r="P289" s="10">
        <f>+P290+P291+P300+P301</f>
        <v>6147396053</v>
      </c>
      <c r="Q289" s="10">
        <f>+Q290+Q291+Q300+Q301</f>
        <v>365829249</v>
      </c>
      <c r="R289" s="10"/>
      <c r="S289" s="10"/>
      <c r="T289" s="3">
        <f>+T243+Q289</f>
        <v>4736887666.639999</v>
      </c>
      <c r="U289" s="10">
        <f>+U290+U291+U300+U301</f>
        <v>2691375928</v>
      </c>
      <c r="V289" s="3">
        <f>+T289+U289</f>
        <v>7428263594.639999</v>
      </c>
      <c r="W289" s="3">
        <f t="shared" si="35"/>
        <v>120.83593655910492</v>
      </c>
      <c r="X289" s="1"/>
      <c r="Y289" s="1" t="s">
        <v>1</v>
      </c>
      <c r="Z289" s="1"/>
      <c r="AA289" s="1"/>
      <c r="AB289" s="1"/>
      <c r="AC289" s="1"/>
      <c r="AD289" s="1"/>
      <c r="AE289" s="1"/>
      <c r="AF289" s="1"/>
    </row>
    <row r="290" spans="1:32" ht="12.75" hidden="1">
      <c r="A290" s="10" t="s">
        <v>28</v>
      </c>
      <c r="B290" s="10">
        <v>2752759677</v>
      </c>
      <c r="C290" s="11">
        <v>0</v>
      </c>
      <c r="D290" s="11">
        <v>0</v>
      </c>
      <c r="E290" s="11">
        <v>0</v>
      </c>
      <c r="F290" s="11">
        <v>196495882</v>
      </c>
      <c r="G290" s="11">
        <v>164927418</v>
      </c>
      <c r="H290" s="11">
        <v>262941303</v>
      </c>
      <c r="I290" s="11">
        <v>280282246</v>
      </c>
      <c r="J290" s="11">
        <v>246192273</v>
      </c>
      <c r="K290" s="11">
        <v>308626989</v>
      </c>
      <c r="L290" s="11">
        <v>243645342</v>
      </c>
      <c r="M290" s="11">
        <v>247491577</v>
      </c>
      <c r="N290" s="11">
        <v>165492691</v>
      </c>
      <c r="O290" s="11"/>
      <c r="P290" s="11">
        <f>+B290+O290</f>
        <v>2752759677</v>
      </c>
      <c r="Q290" s="10">
        <v>258425895</v>
      </c>
      <c r="R290" s="10"/>
      <c r="S290" s="10"/>
      <c r="T290" s="3">
        <v>905385785</v>
      </c>
      <c r="U290" s="10">
        <f>1841075725-T290+300000000</f>
        <v>1235689940</v>
      </c>
      <c r="V290" s="3">
        <f>+T290+U290</f>
        <v>2141075725</v>
      </c>
      <c r="W290" s="3">
        <f t="shared" si="35"/>
        <v>77.77924614666607</v>
      </c>
      <c r="X290" s="1" t="s">
        <v>1</v>
      </c>
      <c r="Y290" s="1" t="s">
        <v>1</v>
      </c>
      <c r="Z290" s="1"/>
      <c r="AA290" s="1"/>
      <c r="AB290" s="1"/>
      <c r="AC290" s="1"/>
      <c r="AD290" s="1"/>
      <c r="AE290" s="1"/>
      <c r="AF290" s="1"/>
    </row>
    <row r="291" spans="1:32" ht="12.75" hidden="1">
      <c r="A291" s="10" t="s">
        <v>5</v>
      </c>
      <c r="B291" s="10">
        <f>+B292+B296+B297+B298</f>
        <v>1867025388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0">
        <f>+O292+O296+O297+O298</f>
        <v>0</v>
      </c>
      <c r="P291" s="11">
        <f aca="true" t="shared" si="36" ref="P291:P302">+B291+O291</f>
        <v>1867025388</v>
      </c>
      <c r="Q291" s="10">
        <f>+Q292+Q296+Q297+Q298</f>
        <v>98777144</v>
      </c>
      <c r="R291" s="10"/>
      <c r="S291" s="10"/>
      <c r="T291" s="3">
        <f>+T245+Q291</f>
        <v>1474943633.6399999</v>
      </c>
      <c r="U291" s="10">
        <f>+U292+U296+U297+U298</f>
        <v>0</v>
      </c>
      <c r="V291" s="3">
        <f>+T291+U291</f>
        <v>1474943633.6399999</v>
      </c>
      <c r="W291" s="3">
        <f t="shared" si="35"/>
        <v>78.99965598325328</v>
      </c>
      <c r="X291" s="1" t="s">
        <v>1</v>
      </c>
      <c r="Y291" s="1" t="s">
        <v>52</v>
      </c>
      <c r="Z291" s="1"/>
      <c r="AA291" s="1"/>
      <c r="AB291" s="1"/>
      <c r="AC291" s="1"/>
      <c r="AD291" s="1"/>
      <c r="AE291" s="1"/>
      <c r="AF291" s="1"/>
    </row>
    <row r="292" spans="1:32" ht="12.75" hidden="1">
      <c r="A292" s="10" t="s">
        <v>29</v>
      </c>
      <c r="B292" s="10">
        <f>SUM(B293:B295)</f>
        <v>1679125388</v>
      </c>
      <c r="C292" s="11">
        <f>SUM(C293:C295)</f>
        <v>0</v>
      </c>
      <c r="D292" s="11">
        <f aca="true" t="shared" si="37" ref="D292:N292">SUM(D293:D295)</f>
        <v>9764370</v>
      </c>
      <c r="E292" s="11">
        <f t="shared" si="37"/>
        <v>1633088</v>
      </c>
      <c r="F292" s="11">
        <f t="shared" si="37"/>
        <v>9527326</v>
      </c>
      <c r="G292" s="11">
        <f t="shared" si="37"/>
        <v>5166613</v>
      </c>
      <c r="H292" s="11">
        <f t="shared" si="37"/>
        <v>8550758</v>
      </c>
      <c r="I292" s="11">
        <f t="shared" si="37"/>
        <v>19667967</v>
      </c>
      <c r="J292" s="11">
        <f t="shared" si="37"/>
        <v>32121947.88</v>
      </c>
      <c r="K292" s="11">
        <f t="shared" si="37"/>
        <v>57803883</v>
      </c>
      <c r="L292" s="11">
        <f t="shared" si="37"/>
        <v>248550137</v>
      </c>
      <c r="M292" s="11">
        <f t="shared" si="37"/>
        <v>56476839</v>
      </c>
      <c r="N292" s="11">
        <f t="shared" si="37"/>
        <v>203635166</v>
      </c>
      <c r="O292" s="10">
        <f>SUM(O293:O295)</f>
        <v>0</v>
      </c>
      <c r="P292" s="11">
        <f t="shared" si="36"/>
        <v>1679125388</v>
      </c>
      <c r="Q292" s="10">
        <f>SUM(Q293:Q295)</f>
        <v>92724015</v>
      </c>
      <c r="R292" s="10"/>
      <c r="S292" s="10"/>
      <c r="T292" s="3">
        <f>+T246+Q292</f>
        <v>1270831447</v>
      </c>
      <c r="U292" s="10">
        <f>SUM(U293:U295)</f>
        <v>0</v>
      </c>
      <c r="V292" s="3">
        <f t="shared" si="34"/>
        <v>1270831447</v>
      </c>
      <c r="W292" s="3">
        <f t="shared" si="35"/>
        <v>75.68413032654354</v>
      </c>
      <c r="X292" s="1"/>
      <c r="Y292" s="1" t="s">
        <v>1</v>
      </c>
      <c r="Z292" s="1"/>
      <c r="AA292" s="1"/>
      <c r="AB292" s="1"/>
      <c r="AC292" s="1"/>
      <c r="AD292" s="1"/>
      <c r="AE292" s="1"/>
      <c r="AF292" s="1"/>
    </row>
    <row r="293" spans="1:32" ht="12.75" hidden="1">
      <c r="A293" s="11" t="s">
        <v>30</v>
      </c>
      <c r="B293" s="11">
        <v>939032888</v>
      </c>
      <c r="C293" s="11">
        <v>0</v>
      </c>
      <c r="D293" s="11">
        <v>9764370</v>
      </c>
      <c r="E293" s="11">
        <v>0</v>
      </c>
      <c r="F293" s="11">
        <f>274606+765092</f>
        <v>1039698</v>
      </c>
      <c r="G293" s="11">
        <v>4660304</v>
      </c>
      <c r="H293" s="11">
        <v>7848958</v>
      </c>
      <c r="I293" s="11">
        <v>15343416</v>
      </c>
      <c r="J293" s="11">
        <v>22521927</v>
      </c>
      <c r="K293" s="11">
        <v>33311437</v>
      </c>
      <c r="L293" s="11">
        <f>309295398-94490110</f>
        <v>214805288</v>
      </c>
      <c r="M293" s="11">
        <v>28836508</v>
      </c>
      <c r="N293" s="11">
        <f>98225097-2027734+2337372</f>
        <v>98534735</v>
      </c>
      <c r="O293" s="11"/>
      <c r="P293" s="11">
        <f t="shared" si="36"/>
        <v>939032888</v>
      </c>
      <c r="Q293" s="11">
        <f>+'[1]JULIO08'!$B$64+21845564</f>
        <v>30828084</v>
      </c>
      <c r="R293" s="11"/>
      <c r="S293" s="11"/>
      <c r="T293" s="3">
        <f t="shared" si="33"/>
        <v>987657577</v>
      </c>
      <c r="U293" s="11">
        <v>0</v>
      </c>
      <c r="V293" s="3">
        <f t="shared" si="34"/>
        <v>987657577</v>
      </c>
      <c r="W293" s="3">
        <f t="shared" si="35"/>
        <v>105.1781667736434</v>
      </c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hidden="1">
      <c r="A294" s="11" t="s">
        <v>31</v>
      </c>
      <c r="B294" s="11">
        <v>724342500</v>
      </c>
      <c r="C294" s="11"/>
      <c r="D294" s="11">
        <v>0</v>
      </c>
      <c r="E294" s="11">
        <v>0</v>
      </c>
      <c r="F294" s="11">
        <v>0</v>
      </c>
      <c r="G294" s="11">
        <v>0</v>
      </c>
      <c r="H294" s="11">
        <v>25090</v>
      </c>
      <c r="I294" s="11">
        <v>946365</v>
      </c>
      <c r="J294" s="11">
        <v>8764131</v>
      </c>
      <c r="K294" s="11">
        <v>21523596</v>
      </c>
      <c r="L294" s="11">
        <v>33159819</v>
      </c>
      <c r="M294" s="11">
        <v>27504331</v>
      </c>
      <c r="N294" s="11">
        <f>101300092+707323</f>
        <v>102007415</v>
      </c>
      <c r="O294" s="11">
        <v>0</v>
      </c>
      <c r="P294" s="11">
        <f t="shared" si="36"/>
        <v>724342500</v>
      </c>
      <c r="Q294" s="11">
        <f>2133120+61013895-32597431+20419315+108270+102303+93834+33876+16938+109617+0+337802+15206+17670+22616+21547+56300+289894+14436+14436+14436+14436+776418+343645+1212550+1704541+59014+476140-435832+925964-844160+1762350-1603715+63300+15398+350120+606312+453960+64+83+311817+70881+1517107+101533+85144-70612+16842+33876+33876+28872+103073+23080+85862+33684+86616+33876+33876+28872+103939+139725+19649+25407+253323-230657+26838-8622+38496+15790-7706+33498-16348+6872+13762+6496+5774-134280</f>
        <v>60968899</v>
      </c>
      <c r="R294" s="11"/>
      <c r="S294" s="11"/>
      <c r="T294" s="3">
        <f t="shared" si="33"/>
        <v>273573102</v>
      </c>
      <c r="U294" s="11">
        <v>0</v>
      </c>
      <c r="V294" s="3">
        <f t="shared" si="34"/>
        <v>273573102</v>
      </c>
      <c r="W294" s="3">
        <f t="shared" si="35"/>
        <v>37.76847306350242</v>
      </c>
      <c r="X294" s="1" t="s">
        <v>1</v>
      </c>
      <c r="Y294" s="1"/>
      <c r="Z294" s="1"/>
      <c r="AA294" s="1"/>
      <c r="AB294" s="1"/>
      <c r="AC294" s="1"/>
      <c r="AD294" s="1"/>
      <c r="AE294" s="1"/>
      <c r="AF294" s="1"/>
    </row>
    <row r="295" spans="1:32" ht="12.75" hidden="1">
      <c r="A295" s="11" t="s">
        <v>32</v>
      </c>
      <c r="B295" s="11">
        <v>15750000</v>
      </c>
      <c r="C295" s="11"/>
      <c r="D295" s="11"/>
      <c r="E295" s="11">
        <v>1633088</v>
      </c>
      <c r="F295" s="11">
        <v>8487628</v>
      </c>
      <c r="G295" s="11">
        <v>506309</v>
      </c>
      <c r="H295" s="11">
        <v>676710</v>
      </c>
      <c r="I295" s="11">
        <v>3378186</v>
      </c>
      <c r="J295" s="11">
        <f>628640+207249.88</f>
        <v>835889.88</v>
      </c>
      <c r="K295" s="11">
        <v>2968850</v>
      </c>
      <c r="L295" s="11">
        <v>585030</v>
      </c>
      <c r="M295" s="11">
        <v>136000</v>
      </c>
      <c r="N295" s="11">
        <f>22300706.88-19207690.88</f>
        <v>3093016</v>
      </c>
      <c r="O295" s="11"/>
      <c r="P295" s="11">
        <f t="shared" si="36"/>
        <v>15750000</v>
      </c>
      <c r="Q295" s="11">
        <f>+'[1]JULIO08'!$B$77+153820+156511+35716+80375+153820</f>
        <v>927032</v>
      </c>
      <c r="R295" s="11"/>
      <c r="S295" s="11"/>
      <c r="T295" s="3">
        <f t="shared" si="33"/>
        <v>9600768</v>
      </c>
      <c r="U295" s="11">
        <v>0</v>
      </c>
      <c r="V295" s="3">
        <f t="shared" si="34"/>
        <v>9600768</v>
      </c>
      <c r="W295" s="3">
        <f t="shared" si="35"/>
        <v>60.957257142857145</v>
      </c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hidden="1">
      <c r="A296" s="10" t="s">
        <v>33</v>
      </c>
      <c r="B296" s="10">
        <v>65100000</v>
      </c>
      <c r="C296" s="11">
        <v>426256</v>
      </c>
      <c r="D296" s="11">
        <v>177520</v>
      </c>
      <c r="E296" s="11">
        <v>815304</v>
      </c>
      <c r="F296" s="11">
        <v>1044670</v>
      </c>
      <c r="G296" s="11">
        <v>210000</v>
      </c>
      <c r="H296" s="11">
        <v>497000</v>
      </c>
      <c r="I296" s="11">
        <v>1908400</v>
      </c>
      <c r="J296" s="11">
        <v>2080000</v>
      </c>
      <c r="K296" s="11">
        <v>1960300</v>
      </c>
      <c r="L296" s="11">
        <v>1071750</v>
      </c>
      <c r="M296" s="11">
        <v>486631</v>
      </c>
      <c r="N296" s="11">
        <v>3040000</v>
      </c>
      <c r="O296" s="11"/>
      <c r="P296" s="11">
        <f t="shared" si="36"/>
        <v>65100000</v>
      </c>
      <c r="Q296" s="10">
        <f>+'[1]JULIO08'!$B$12+1846000+332262+140735</f>
        <v>4164997</v>
      </c>
      <c r="R296" s="10"/>
      <c r="S296" s="10"/>
      <c r="T296" s="3">
        <f t="shared" si="33"/>
        <v>42951829</v>
      </c>
      <c r="U296" s="10">
        <v>0</v>
      </c>
      <c r="V296" s="3">
        <f t="shared" si="34"/>
        <v>42951829</v>
      </c>
      <c r="W296" s="3">
        <f t="shared" si="35"/>
        <v>65.97823195084486</v>
      </c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hidden="1">
      <c r="A297" s="10" t="s">
        <v>34</v>
      </c>
      <c r="B297" s="10">
        <v>1000000</v>
      </c>
      <c r="C297" s="11">
        <v>7540000</v>
      </c>
      <c r="D297" s="11"/>
      <c r="E297" s="11"/>
      <c r="F297" s="11"/>
      <c r="G297" s="11"/>
      <c r="H297" s="11"/>
      <c r="I297" s="11">
        <v>294000</v>
      </c>
      <c r="J297" s="11"/>
      <c r="K297" s="11"/>
      <c r="L297" s="11">
        <v>29000</v>
      </c>
      <c r="M297" s="11"/>
      <c r="N297" s="11"/>
      <c r="O297" s="11"/>
      <c r="P297" s="11">
        <f t="shared" si="36"/>
        <v>1000000</v>
      </c>
      <c r="Q297" s="10">
        <v>0</v>
      </c>
      <c r="R297" s="10"/>
      <c r="S297" s="10"/>
      <c r="T297" s="3">
        <f t="shared" si="33"/>
        <v>0</v>
      </c>
      <c r="U297" s="10">
        <v>0</v>
      </c>
      <c r="V297" s="3">
        <f t="shared" si="34"/>
        <v>0</v>
      </c>
      <c r="W297" s="3">
        <f t="shared" si="35"/>
        <v>0</v>
      </c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hidden="1">
      <c r="A298" s="10" t="s">
        <v>35</v>
      </c>
      <c r="B298" s="10">
        <f aca="true" t="shared" si="38" ref="B298:O298">SUM(B299:B299)</f>
        <v>121800000</v>
      </c>
      <c r="C298" s="11">
        <f t="shared" si="38"/>
        <v>4768052</v>
      </c>
      <c r="D298" s="11">
        <f t="shared" si="38"/>
        <v>8290086</v>
      </c>
      <c r="E298" s="11">
        <f t="shared" si="38"/>
        <v>10672897</v>
      </c>
      <c r="F298" s="11">
        <f t="shared" si="38"/>
        <v>13361106</v>
      </c>
      <c r="G298" s="11">
        <f t="shared" si="38"/>
        <v>5435392</v>
      </c>
      <c r="H298" s="11">
        <f t="shared" si="38"/>
        <v>6359364</v>
      </c>
      <c r="I298" s="11">
        <f t="shared" si="38"/>
        <v>17667466</v>
      </c>
      <c r="J298" s="11">
        <f t="shared" si="38"/>
        <v>22629676</v>
      </c>
      <c r="K298" s="11">
        <f t="shared" si="38"/>
        <v>24318846</v>
      </c>
      <c r="L298" s="11">
        <f t="shared" si="38"/>
        <v>14234424</v>
      </c>
      <c r="M298" s="11">
        <f t="shared" si="38"/>
        <v>14378768</v>
      </c>
      <c r="N298" s="11">
        <f t="shared" si="38"/>
        <v>23388888</v>
      </c>
      <c r="O298" s="10">
        <f t="shared" si="38"/>
        <v>0</v>
      </c>
      <c r="P298" s="11">
        <f t="shared" si="36"/>
        <v>121800000</v>
      </c>
      <c r="Q298" s="10">
        <f>SUM(Q299:Q299)</f>
        <v>1888132</v>
      </c>
      <c r="R298" s="10"/>
      <c r="S298" s="10"/>
      <c r="T298" s="3">
        <f t="shared" si="33"/>
        <v>161160357.64</v>
      </c>
      <c r="U298" s="10">
        <f>SUM(U299:U299)</f>
        <v>0</v>
      </c>
      <c r="V298" s="3">
        <f t="shared" si="34"/>
        <v>161160357.64</v>
      </c>
      <c r="W298" s="3">
        <f t="shared" si="35"/>
        <v>132.3155645648604</v>
      </c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hidden="1">
      <c r="A299" s="11" t="s">
        <v>36</v>
      </c>
      <c r="B299" s="11">
        <v>121800000</v>
      </c>
      <c r="C299" s="11">
        <v>4768052</v>
      </c>
      <c r="D299" s="11">
        <v>8290086</v>
      </c>
      <c r="E299" s="11">
        <v>10672897</v>
      </c>
      <c r="F299" s="11">
        <v>13361106</v>
      </c>
      <c r="G299" s="11">
        <v>5435392</v>
      </c>
      <c r="H299" s="11">
        <v>6359364</v>
      </c>
      <c r="I299" s="11">
        <v>17667466</v>
      </c>
      <c r="J299" s="11">
        <f>15777671+6852005</f>
        <v>22629676</v>
      </c>
      <c r="K299" s="11">
        <v>24318846</v>
      </c>
      <c r="L299" s="11">
        <v>14234424</v>
      </c>
      <c r="M299" s="11">
        <f>14378768</f>
        <v>14378768</v>
      </c>
      <c r="N299" s="11">
        <f>165504965-142116077</f>
        <v>23388888</v>
      </c>
      <c r="O299" s="11"/>
      <c r="P299" s="11">
        <f t="shared" si="36"/>
        <v>121800000</v>
      </c>
      <c r="Q299" s="11">
        <f>+'[1]JULIO08'!$B$90+255724+22300+22300+22300+22300+22300+22300+255724+22300+255724+304030+22300-22300+22300+304030</f>
        <v>1888132</v>
      </c>
      <c r="R299" s="11"/>
      <c r="S299" s="11"/>
      <c r="T299" s="3">
        <f t="shared" si="33"/>
        <v>161160357.64</v>
      </c>
      <c r="U299" s="11">
        <v>0</v>
      </c>
      <c r="V299" s="3">
        <f t="shared" si="34"/>
        <v>161160357.64</v>
      </c>
      <c r="W299" s="3">
        <f t="shared" si="35"/>
        <v>132.3155645648604</v>
      </c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hidden="1">
      <c r="A300" s="10" t="s">
        <v>37</v>
      </c>
      <c r="B300" s="10">
        <v>71925000</v>
      </c>
      <c r="C300" s="11" t="e">
        <f>SUM(#REF!)</f>
        <v>#REF!</v>
      </c>
      <c r="D300" s="11" t="e">
        <f>SUM(#REF!)</f>
        <v>#REF!</v>
      </c>
      <c r="E300" s="11" t="e">
        <f>SUM(#REF!)</f>
        <v>#REF!</v>
      </c>
      <c r="F300" s="11" t="e">
        <f>SUM(#REF!)</f>
        <v>#REF!</v>
      </c>
      <c r="G300" s="11" t="e">
        <f>SUM(#REF!)</f>
        <v>#REF!</v>
      </c>
      <c r="H300" s="11" t="e">
        <f>SUM(#REF!)</f>
        <v>#REF!</v>
      </c>
      <c r="I300" s="11" t="e">
        <f>SUM(#REF!)</f>
        <v>#REF!</v>
      </c>
      <c r="J300" s="11" t="e">
        <f>SUM(#REF!)</f>
        <v>#REF!</v>
      </c>
      <c r="K300" s="11" t="e">
        <f>SUM(#REF!)</f>
        <v>#REF!</v>
      </c>
      <c r="L300" s="11" t="e">
        <f>SUM(#REF!)</f>
        <v>#REF!</v>
      </c>
      <c r="M300" s="11" t="e">
        <f>SUM(#REF!)</f>
        <v>#REF!</v>
      </c>
      <c r="N300" s="11" t="e">
        <f>SUM(#REF!)</f>
        <v>#REF!</v>
      </c>
      <c r="O300" s="10">
        <v>0</v>
      </c>
      <c r="P300" s="11">
        <f t="shared" si="36"/>
        <v>71925000</v>
      </c>
      <c r="Q300" s="11">
        <f>+'[1]JULIO08'!$B$20+'[1]JULIO08'!$B$35+'[1]JULIO08'!$C$130+54000+72000+54000+72000+40262+72000+36539+607+43575+7262+224893-147517+72000+0+108000+54000+72000+13000</f>
        <v>8626210</v>
      </c>
      <c r="R300" s="11"/>
      <c r="S300" s="11"/>
      <c r="T300" s="3">
        <f t="shared" si="33"/>
        <v>128068685</v>
      </c>
      <c r="U300" s="11">
        <v>0</v>
      </c>
      <c r="V300" s="3">
        <f t="shared" si="34"/>
        <v>128068685</v>
      </c>
      <c r="W300" s="3">
        <f t="shared" si="35"/>
        <v>178.05865137295794</v>
      </c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hidden="1">
      <c r="A301" s="10" t="s">
        <v>44</v>
      </c>
      <c r="B301" s="10">
        <f>+B302</f>
        <v>0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0">
        <f>+O302+O303+O304</f>
        <v>1455685988</v>
      </c>
      <c r="P301" s="11">
        <f t="shared" si="36"/>
        <v>1455685988</v>
      </c>
      <c r="Q301" s="10">
        <f>+Q302</f>
        <v>0</v>
      </c>
      <c r="R301" s="10"/>
      <c r="S301" s="10"/>
      <c r="T301" s="3">
        <f t="shared" si="33"/>
        <v>57686490</v>
      </c>
      <c r="U301" s="10">
        <f>+U302+U303+U304</f>
        <v>1455685988</v>
      </c>
      <c r="V301" s="3">
        <f t="shared" si="34"/>
        <v>1513372478</v>
      </c>
      <c r="W301" s="3">
        <f t="shared" si="35"/>
        <v>103.96283885917296</v>
      </c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hidden="1">
      <c r="A302" s="10" t="s">
        <v>45</v>
      </c>
      <c r="B302" s="10">
        <v>0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0">
        <f>1230345600</f>
        <v>1230345600</v>
      </c>
      <c r="P302" s="11">
        <f t="shared" si="36"/>
        <v>1230345600</v>
      </c>
      <c r="Q302" s="10">
        <v>0</v>
      </c>
      <c r="R302" s="10"/>
      <c r="S302" s="10"/>
      <c r="T302" s="3">
        <f t="shared" si="33"/>
        <v>56086490</v>
      </c>
      <c r="U302" s="10">
        <f>+O302</f>
        <v>1230345600</v>
      </c>
      <c r="V302" s="3">
        <f t="shared" si="34"/>
        <v>1286432090</v>
      </c>
      <c r="W302" s="3">
        <f t="shared" si="35"/>
        <v>104.55859638137449</v>
      </c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hidden="1">
      <c r="A303" s="10" t="s">
        <v>48</v>
      </c>
      <c r="B303" s="10">
        <v>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0">
        <v>79200000</v>
      </c>
      <c r="P303" s="11">
        <f>+B303+O303</f>
        <v>79200000</v>
      </c>
      <c r="Q303" s="10">
        <v>0</v>
      </c>
      <c r="R303" s="10"/>
      <c r="S303" s="10"/>
      <c r="T303" s="3">
        <f>+Q303</f>
        <v>0</v>
      </c>
      <c r="U303" s="10">
        <f>+O303</f>
        <v>79200000</v>
      </c>
      <c r="V303" s="3">
        <f t="shared" si="34"/>
        <v>79200000</v>
      </c>
      <c r="W303" s="3">
        <f t="shared" si="35"/>
        <v>100</v>
      </c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hidden="1">
      <c r="A304" s="10" t="s">
        <v>88</v>
      </c>
      <c r="B304" s="10">
        <v>0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0">
        <f>+'[2]analisis'!$B$16</f>
        <v>146140388</v>
      </c>
      <c r="P304" s="11">
        <f>+B304+O304</f>
        <v>146140388</v>
      </c>
      <c r="Q304" s="10">
        <v>0</v>
      </c>
      <c r="R304" s="10"/>
      <c r="S304" s="10"/>
      <c r="T304" s="3">
        <v>0</v>
      </c>
      <c r="U304" s="10">
        <f>+O304</f>
        <v>146140388</v>
      </c>
      <c r="V304" s="3">
        <f t="shared" si="34"/>
        <v>146140388</v>
      </c>
      <c r="W304" s="3">
        <f t="shared" si="35"/>
        <v>100</v>
      </c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hidden="1">
      <c r="A305" s="10" t="s">
        <v>38</v>
      </c>
      <c r="B305" s="10">
        <f>+B306+B307+B308</f>
        <v>1914146055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0">
        <f>+O306+O307+O308</f>
        <v>515409946</v>
      </c>
      <c r="P305" s="11">
        <f>+B305+O305</f>
        <v>2429556001</v>
      </c>
      <c r="Q305" s="10">
        <f>+Q306+Q307+Q308</f>
        <v>853589867</v>
      </c>
      <c r="R305" s="10"/>
      <c r="S305" s="10"/>
      <c r="T305" s="3">
        <f>+T258+Q305</f>
        <v>3690838998.75</v>
      </c>
      <c r="U305" s="10">
        <f>+U306+U307+U308</f>
        <v>0</v>
      </c>
      <c r="V305" s="3">
        <f>+T305+U305</f>
        <v>3690838998.75</v>
      </c>
      <c r="W305" s="3">
        <f t="shared" si="35"/>
        <v>151.9141356375757</v>
      </c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hidden="1">
      <c r="A306" s="10" t="s">
        <v>6</v>
      </c>
      <c r="B306" s="10">
        <v>70000000</v>
      </c>
      <c r="C306" s="11">
        <v>898886</v>
      </c>
      <c r="D306" s="11">
        <f>4306726+216132</f>
        <v>4522858</v>
      </c>
      <c r="E306" s="11">
        <f>751140+23292827</f>
        <v>24043967</v>
      </c>
      <c r="F306" s="11">
        <v>8452240</v>
      </c>
      <c r="G306" s="11">
        <v>4422172</v>
      </c>
      <c r="H306" s="11">
        <f>7484642+234363</f>
        <v>7719005</v>
      </c>
      <c r="I306" s="11">
        <f>102855+5416914</f>
        <v>5519769</v>
      </c>
      <c r="J306" s="11">
        <f>6098966+444960+3514791+65855</f>
        <v>10124572</v>
      </c>
      <c r="K306" s="11">
        <f>191152+1348022+3219820.01</f>
        <v>4758994.01</v>
      </c>
      <c r="L306" s="11">
        <f>350566+9695840</f>
        <v>10046406</v>
      </c>
      <c r="M306" s="11">
        <f>579536+7833208+436291+345639</f>
        <v>9194674</v>
      </c>
      <c r="N306" s="11">
        <f>112132152.5-89703543.01</f>
        <v>22428609.489999995</v>
      </c>
      <c r="O306" s="11">
        <v>0</v>
      </c>
      <c r="P306" s="11">
        <f>+B306+O306</f>
        <v>70000000</v>
      </c>
      <c r="Q306" s="11">
        <f>+'[1]JULIO08'!$B$73+917652+162538+93125+21664+33211</f>
        <v>4453600</v>
      </c>
      <c r="R306" s="11"/>
      <c r="S306" s="11"/>
      <c r="T306" s="3">
        <f>+T259+Q306</f>
        <v>157821054.75</v>
      </c>
      <c r="U306" s="11">
        <v>0</v>
      </c>
      <c r="V306" s="3">
        <f t="shared" si="34"/>
        <v>157821054.75</v>
      </c>
      <c r="W306" s="3">
        <f t="shared" si="35"/>
        <v>225.45864964285713</v>
      </c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hidden="1">
      <c r="A307" s="10" t="s">
        <v>9</v>
      </c>
      <c r="B307" s="10">
        <v>0</v>
      </c>
      <c r="C307" s="11"/>
      <c r="D307" s="11"/>
      <c r="E307" s="11"/>
      <c r="F307" s="11">
        <f>+B307</f>
        <v>0</v>
      </c>
      <c r="G307" s="11"/>
      <c r="H307" s="11"/>
      <c r="I307" s="11"/>
      <c r="J307" s="11"/>
      <c r="K307" s="11"/>
      <c r="L307" s="11"/>
      <c r="M307" s="11"/>
      <c r="N307" s="11"/>
      <c r="O307" s="11">
        <f>+O260</f>
        <v>515409946</v>
      </c>
      <c r="P307" s="11">
        <f>+B307+O307</f>
        <v>515409946</v>
      </c>
      <c r="Q307" s="10">
        <f>1580402339-888746268</f>
        <v>691656071</v>
      </c>
      <c r="R307" s="10"/>
      <c r="S307" s="10"/>
      <c r="T307" s="3">
        <f>+T260+Q307</f>
        <v>2095812285</v>
      </c>
      <c r="U307" s="10">
        <v>0</v>
      </c>
      <c r="V307" s="3">
        <f t="shared" si="34"/>
        <v>2095812285</v>
      </c>
      <c r="W307" s="3">
        <f t="shared" si="35"/>
        <v>406.6301594032491</v>
      </c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hidden="1">
      <c r="A308" s="10" t="s">
        <v>39</v>
      </c>
      <c r="B308" s="10">
        <f>+B309+B310</f>
        <v>1844146055</v>
      </c>
      <c r="C308" s="11" t="e">
        <f>+#REF!+#REF!</f>
        <v>#REF!</v>
      </c>
      <c r="D308" s="11" t="e">
        <f>+#REF!+#REF!</f>
        <v>#REF!</v>
      </c>
      <c r="E308" s="11" t="e">
        <f>+#REF!+#REF!</f>
        <v>#REF!</v>
      </c>
      <c r="F308" s="11" t="e">
        <f>+#REF!+#REF!</f>
        <v>#REF!</v>
      </c>
      <c r="G308" s="11" t="e">
        <f>+#REF!+#REF!</f>
        <v>#REF!</v>
      </c>
      <c r="H308" s="11" t="e">
        <f>+#REF!+#REF!</f>
        <v>#REF!</v>
      </c>
      <c r="I308" s="11" t="e">
        <f>+#REF!+#REF!</f>
        <v>#REF!</v>
      </c>
      <c r="J308" s="11" t="e">
        <f>+#REF!+#REF!</f>
        <v>#REF!</v>
      </c>
      <c r="K308" s="11" t="e">
        <f>+#REF!+#REF!</f>
        <v>#REF!</v>
      </c>
      <c r="L308" s="11" t="e">
        <f>+#REF!+#REF!</f>
        <v>#REF!</v>
      </c>
      <c r="M308" s="11" t="e">
        <f>+#REF!+#REF!</f>
        <v>#REF!</v>
      </c>
      <c r="N308" s="11" t="e">
        <f>+#REF!+#REF!</f>
        <v>#REF!</v>
      </c>
      <c r="O308" s="10">
        <f>+O309+O310</f>
        <v>0</v>
      </c>
      <c r="P308" s="10">
        <f>+P309+P310</f>
        <v>1844146055</v>
      </c>
      <c r="Q308" s="11">
        <f>+Q309+Q310</f>
        <v>157480196</v>
      </c>
      <c r="R308" s="11"/>
      <c r="S308" s="11"/>
      <c r="T308" s="3">
        <f>+T309+T310</f>
        <v>1104958126</v>
      </c>
      <c r="U308" s="11">
        <v>0</v>
      </c>
      <c r="V308" s="3">
        <f t="shared" si="34"/>
        <v>1104958126</v>
      </c>
      <c r="W308" s="3">
        <f t="shared" si="35"/>
        <v>59.91706150411172</v>
      </c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hidden="1">
      <c r="A309" s="10" t="s">
        <v>31</v>
      </c>
      <c r="B309" s="10">
        <v>614433831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0">
        <v>0</v>
      </c>
      <c r="P309" s="10">
        <v>614433831</v>
      </c>
      <c r="Q309" s="11">
        <f>123376633+230657+8622+7706+58780+90324+53658+16348+6550+5466+36530+391522+25697300</f>
        <v>149980096</v>
      </c>
      <c r="R309" s="11"/>
      <c r="S309" s="11"/>
      <c r="T309" s="3">
        <f>75743956+Q309</f>
        <v>225724052</v>
      </c>
      <c r="U309" s="11">
        <v>0</v>
      </c>
      <c r="V309" s="3">
        <f t="shared" si="34"/>
        <v>225724052</v>
      </c>
      <c r="W309" s="3">
        <f t="shared" si="35"/>
        <v>36.73691789279096</v>
      </c>
      <c r="X309" s="1" t="s">
        <v>1</v>
      </c>
      <c r="Y309" s="1"/>
      <c r="Z309" s="1"/>
      <c r="AA309" s="1"/>
      <c r="AB309" s="1"/>
      <c r="AC309" s="1"/>
      <c r="AD309" s="1"/>
      <c r="AE309" s="1"/>
      <c r="AF309" s="1"/>
    </row>
    <row r="310" spans="1:32" ht="12.75" hidden="1">
      <c r="A310" s="10" t="s">
        <v>30</v>
      </c>
      <c r="B310" s="10">
        <v>1229712224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0">
        <v>0</v>
      </c>
      <c r="P310" s="10">
        <v>1229712224</v>
      </c>
      <c r="Q310" s="11">
        <f>+'[1]JULIO08'!$C$64+7500100</f>
        <v>7500100</v>
      </c>
      <c r="R310" s="11"/>
      <c r="S310" s="11"/>
      <c r="T310" s="3">
        <f>871733974+Q310</f>
        <v>879234074</v>
      </c>
      <c r="U310" s="11">
        <v>0</v>
      </c>
      <c r="V310" s="3">
        <f t="shared" si="34"/>
        <v>879234074</v>
      </c>
      <c r="W310" s="3">
        <f t="shared" si="35"/>
        <v>71.49917328950615</v>
      </c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hidden="1">
      <c r="A311" s="10"/>
      <c r="B311" s="10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0"/>
      <c r="P311" s="11" t="s">
        <v>1</v>
      </c>
      <c r="Q311" s="11"/>
      <c r="R311" s="11"/>
      <c r="S311" s="11"/>
      <c r="T311" s="3"/>
      <c r="U311" s="11"/>
      <c r="V311" s="3" t="s">
        <v>1</v>
      </c>
      <c r="W311" s="3" t="s">
        <v>1</v>
      </c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hidden="1">
      <c r="A312" s="11"/>
      <c r="B312" s="11"/>
      <c r="C312" s="11"/>
      <c r="D312" s="11"/>
      <c r="E312" s="11" t="s">
        <v>1</v>
      </c>
      <c r="F312" s="11" t="s">
        <v>1</v>
      </c>
      <c r="G312" s="11" t="s">
        <v>1</v>
      </c>
      <c r="H312" s="11" t="s">
        <v>1</v>
      </c>
      <c r="I312" s="11" t="s">
        <v>1</v>
      </c>
      <c r="J312" s="11" t="s">
        <v>1</v>
      </c>
      <c r="K312" s="11" t="s">
        <v>1</v>
      </c>
      <c r="L312" s="11" t="s">
        <v>1</v>
      </c>
      <c r="M312" s="11" t="s">
        <v>1</v>
      </c>
      <c r="N312" s="11" t="s">
        <v>1</v>
      </c>
      <c r="O312" s="11"/>
      <c r="P312" s="11" t="s">
        <v>1</v>
      </c>
      <c r="Q312" s="14" t="s">
        <v>1</v>
      </c>
      <c r="R312" s="14"/>
      <c r="S312" s="14"/>
      <c r="T312" s="3" t="s">
        <v>1</v>
      </c>
      <c r="U312" s="14" t="s">
        <v>1</v>
      </c>
      <c r="V312" s="3" t="s">
        <v>1</v>
      </c>
      <c r="W312" s="3" t="s">
        <v>1</v>
      </c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hidden="1">
      <c r="A313" s="10" t="s">
        <v>40</v>
      </c>
      <c r="B313" s="10">
        <f>+B282+B305</f>
        <v>10077156120</v>
      </c>
      <c r="C313" s="10" t="e">
        <f>+C285+C290+C292+C296+C297+C298+C300+#REF!+#REF!+C306+C307+C308+#REF!</f>
        <v>#REF!</v>
      </c>
      <c r="D313" s="10" t="e">
        <f>+D285+D290+D292+D296+D297+D298+D300+#REF!+#REF!+D306+D307+D308+#REF!</f>
        <v>#REF!</v>
      </c>
      <c r="E313" s="10" t="e">
        <f>+E285+E290+E292+E296+E297+E298+E300+#REF!+#REF!+E306+E307+E308+#REF!</f>
        <v>#REF!</v>
      </c>
      <c r="F313" s="10" t="e">
        <f>+F285+F290+F292+F296+F297+F298+F300+#REF!+#REF!+F306+F307+F308+#REF!</f>
        <v>#REF!</v>
      </c>
      <c r="G313" s="10" t="e">
        <f>+G285+G290+G292+G296+G297+G298+G300+#REF!+#REF!+G306+G307+G308+#REF!</f>
        <v>#REF!</v>
      </c>
      <c r="H313" s="10" t="e">
        <f>+H285+H290+H292+H296+H297+H298+H300+#REF!+#REF!+H306+H307+H308+#REF!</f>
        <v>#REF!</v>
      </c>
      <c r="I313" s="10" t="e">
        <f>+I285+I290+I292+I296+I297+I298+I300+#REF!+#REF!+I306+I307+I308+#REF!</f>
        <v>#REF!</v>
      </c>
      <c r="J313" s="10" t="e">
        <f>+J285+J290+J292+J296+J297+J298+J300+#REF!+#REF!+J306+J307+J308+#REF!</f>
        <v>#REF!</v>
      </c>
      <c r="K313" s="10" t="e">
        <f>+K285+K290+K292+K296+K297+K298+K300+#REF!+#REF!+K306+K307+K308+#REF!</f>
        <v>#REF!</v>
      </c>
      <c r="L313" s="10" t="e">
        <f>+L285+L290+L292+L296+L297+L298+L300+#REF!+#REF!+L306+L307+L308+#REF!</f>
        <v>#REF!</v>
      </c>
      <c r="M313" s="10" t="e">
        <f>+M285+M290+M292+M296+M297+M298+M300+#REF!+#REF!+M306+M307+M308+#REF!</f>
        <v>#REF!</v>
      </c>
      <c r="N313" s="10" t="e">
        <f>+N285+N290+N292+N296+N297+N298+N300+#REF!+#REF!+N306+N307+N308+#REF!</f>
        <v>#REF!</v>
      </c>
      <c r="O313" s="10">
        <f>+O282+O305</f>
        <v>1971095934</v>
      </c>
      <c r="P313" s="10">
        <f>+P282+P305</f>
        <v>12048252054</v>
      </c>
      <c r="Q313" s="10">
        <f>+Q282+Q305</f>
        <v>1564020090.05</v>
      </c>
      <c r="R313" s="10"/>
      <c r="S313" s="10"/>
      <c r="T313" s="3">
        <f>+T263+Q313</f>
        <v>11742308219.109999</v>
      </c>
      <c r="U313" s="10">
        <f>+U282+U305</f>
        <v>2691375928</v>
      </c>
      <c r="V313" s="3">
        <f t="shared" si="34"/>
        <v>14433684147.109999</v>
      </c>
      <c r="W313" s="3">
        <f t="shared" si="35"/>
        <v>119.79898895224423</v>
      </c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hidden="1">
      <c r="A314" s="10" t="s">
        <v>41</v>
      </c>
      <c r="B314" s="11">
        <v>1291923756</v>
      </c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>
        <f>150200000+1005600000+150549000</f>
        <v>1306349000</v>
      </c>
      <c r="P314" s="1">
        <f>+B314+O314</f>
        <v>2598272756</v>
      </c>
      <c r="Q314" s="1">
        <f>60267767+1681399+30000000</f>
        <v>91949166</v>
      </c>
      <c r="R314" s="1"/>
      <c r="S314" s="1"/>
      <c r="T314" s="3">
        <f>+T264+Q314</f>
        <v>3697637543</v>
      </c>
      <c r="U314" s="1">
        <v>0</v>
      </c>
      <c r="V314" s="3">
        <f t="shared" si="34"/>
        <v>3697637543</v>
      </c>
      <c r="W314" s="3">
        <f t="shared" si="35"/>
        <v>142.31136952274613</v>
      </c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hidden="1">
      <c r="A315" s="1"/>
      <c r="B315" s="1" t="s">
        <v>1</v>
      </c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 t="s">
        <v>1</v>
      </c>
      <c r="P315" s="1"/>
      <c r="Q315" s="14" t="s">
        <v>1</v>
      </c>
      <c r="R315" s="14"/>
      <c r="S315" s="14"/>
      <c r="T315" s="3" t="s">
        <v>1</v>
      </c>
      <c r="U315" s="14" t="s">
        <v>1</v>
      </c>
      <c r="V315" s="3" t="s">
        <v>1</v>
      </c>
      <c r="W315" s="3" t="s">
        <v>1</v>
      </c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hidden="1">
      <c r="A316" s="10" t="s">
        <v>42</v>
      </c>
      <c r="B316" s="14">
        <f>+B313+B314</f>
        <v>11369079876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>
        <f>+O313+O314</f>
        <v>3277444934</v>
      </c>
      <c r="P316" s="14">
        <f>+P313+P314</f>
        <v>14646524810</v>
      </c>
      <c r="Q316" s="14">
        <f>+Q313+Q314</f>
        <v>1655969256.05</v>
      </c>
      <c r="R316" s="14"/>
      <c r="S316" s="14"/>
      <c r="T316" s="3">
        <f>+T266+Q316</f>
        <v>15439945762.109999</v>
      </c>
      <c r="U316" s="14">
        <f>+U313+U314</f>
        <v>2691375928</v>
      </c>
      <c r="V316" s="3">
        <f t="shared" si="34"/>
        <v>18131321690.11</v>
      </c>
      <c r="W316" s="3">
        <f t="shared" si="35"/>
        <v>123.79265337898266</v>
      </c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hidden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 t="s">
        <v>1</v>
      </c>
      <c r="Q317" s="1"/>
      <c r="R317" s="1"/>
      <c r="S317" s="1"/>
      <c r="T317" s="1" t="s">
        <v>1</v>
      </c>
      <c r="U317" s="1"/>
      <c r="V317" s="1" t="s">
        <v>1</v>
      </c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hidden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 t="s">
        <v>1</v>
      </c>
      <c r="R318" s="1"/>
      <c r="S318" s="1"/>
      <c r="T318" s="1"/>
      <c r="U318" s="1"/>
      <c r="V318" s="1" t="s">
        <v>1</v>
      </c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hidden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 t="s">
        <v>1</v>
      </c>
      <c r="R319" s="1"/>
      <c r="S319" s="1"/>
      <c r="T319" s="1" t="s">
        <v>1</v>
      </c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hidden="1">
      <c r="A320" s="1"/>
      <c r="B320" s="1" t="s">
        <v>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 t="s">
        <v>1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hidden="1">
      <c r="A321" s="1"/>
      <c r="B321" s="1" t="s">
        <v>1</v>
      </c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 t="s">
        <v>1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hidden="1">
      <c r="A322" s="1"/>
      <c r="B322" s="1" t="s">
        <v>1</v>
      </c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 t="s">
        <v>1</v>
      </c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hidden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 t="s">
        <v>52</v>
      </c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hidden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hidden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hidden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hidden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hidden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hidden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hidden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hidden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hidden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hidden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hidden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hidden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hidden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hidden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hidden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hidden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hidden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hidden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hidden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hidden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hidden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hidden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hidden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hidden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hidden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hidden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hidden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hidden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hidden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hidden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hidden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hidden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hidden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hidden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hidden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hidden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hidden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hidden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hidden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hidden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hidden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hidden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hidden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hidden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hidden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hidden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hidden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hidden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hidden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hidden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hidden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hidden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hidden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hidden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hidden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hidden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hidden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hidden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hidden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hidden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hidden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hidden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hidden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hidden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hidden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hidden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hidden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hidden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hidden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hidden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hidden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hidden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hidden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hidden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hidden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hidden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hidden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hidden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hidden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hidden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hidden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hidden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hidden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hidden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hidden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hidden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hidden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hidden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hidden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hidden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hidden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hidden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hidden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hidden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hidden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hidden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hidden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hidden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hidden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hidden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hidden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hidden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hidden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hidden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hidden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hidden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hidden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hidden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hidden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hidden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hidden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hidden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hidden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hidden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hidden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hidden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hidden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hidden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hidden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hidden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hidden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hidden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hidden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hidden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hidden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hidden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hidden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hidden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hidden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hidden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hidden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hidden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hidden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hidden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hidden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hidden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hidden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hidden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hidden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hidden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hidden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hidden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hidden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hidden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hidden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hidden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hidden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hidden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hidden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hidden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hidden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hidden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hidden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hidden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hidden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hidden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hidden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hidden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hidden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hidden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hidden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hidden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hidden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hidden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hidden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hidden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hidden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hidden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hidden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hidden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hidden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hidden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hidden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hidden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hidden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hidden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hidden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hidden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hidden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hidden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hidden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hidden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hidden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hidden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hidden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hidden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hidden="1">
      <c r="A510" s="48" t="s">
        <v>0</v>
      </c>
      <c r="B510" s="48"/>
      <c r="C510" s="48"/>
      <c r="D510" s="48"/>
      <c r="E510" s="48"/>
      <c r="F510" s="48"/>
      <c r="G510" s="48"/>
      <c r="H510" s="48"/>
      <c r="I510" s="48"/>
      <c r="J510" s="48"/>
      <c r="K510" s="48"/>
      <c r="L510" s="48"/>
      <c r="M510" s="48"/>
      <c r="N510" s="48"/>
      <c r="O510" s="48"/>
      <c r="P510" s="48"/>
      <c r="Q510" s="48"/>
      <c r="R510" s="48"/>
      <c r="S510" s="48"/>
      <c r="T510" s="48"/>
      <c r="U510" s="48"/>
      <c r="V510" s="48"/>
      <c r="W510" s="48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hidden="1">
      <c r="A511" s="48" t="s">
        <v>47</v>
      </c>
      <c r="B511" s="48"/>
      <c r="C511" s="48"/>
      <c r="D511" s="48"/>
      <c r="E511" s="48"/>
      <c r="F511" s="48"/>
      <c r="G511" s="48"/>
      <c r="H511" s="48"/>
      <c r="I511" s="48"/>
      <c r="J511" s="48"/>
      <c r="K511" s="48"/>
      <c r="L511" s="48"/>
      <c r="M511" s="48"/>
      <c r="N511" s="48"/>
      <c r="O511" s="48"/>
      <c r="P511" s="48"/>
      <c r="Q511" s="48"/>
      <c r="R511" s="48"/>
      <c r="S511" s="48"/>
      <c r="T511" s="48"/>
      <c r="U511" s="48"/>
      <c r="V511" s="48"/>
      <c r="W511" s="48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hidden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4">
        <v>39600</v>
      </c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5.5" hidden="1">
      <c r="A513" s="11"/>
      <c r="B513" s="8" t="s">
        <v>10</v>
      </c>
      <c r="C513" s="49" t="s">
        <v>11</v>
      </c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11"/>
      <c r="O513" s="3" t="s">
        <v>2</v>
      </c>
      <c r="P513" s="8" t="s">
        <v>12</v>
      </c>
      <c r="Q513" s="8"/>
      <c r="R513" s="8"/>
      <c r="S513" s="8"/>
      <c r="T513" s="8" t="s">
        <v>43</v>
      </c>
      <c r="U513" s="8"/>
      <c r="V513" s="8"/>
      <c r="W513" s="8" t="s">
        <v>46</v>
      </c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hidden="1">
      <c r="A514" s="3" t="s">
        <v>7</v>
      </c>
      <c r="B514" s="3" t="s">
        <v>1</v>
      </c>
      <c r="C514" s="3" t="s">
        <v>13</v>
      </c>
      <c r="D514" s="3" t="s">
        <v>14</v>
      </c>
      <c r="E514" s="3" t="s">
        <v>15</v>
      </c>
      <c r="F514" s="3" t="s">
        <v>16</v>
      </c>
      <c r="G514" s="3" t="s">
        <v>8</v>
      </c>
      <c r="H514" s="3" t="s">
        <v>17</v>
      </c>
      <c r="I514" s="3" t="s">
        <v>18</v>
      </c>
      <c r="J514" s="3" t="s">
        <v>19</v>
      </c>
      <c r="K514" s="3" t="s">
        <v>20</v>
      </c>
      <c r="L514" s="3" t="s">
        <v>21</v>
      </c>
      <c r="M514" s="3" t="s">
        <v>22</v>
      </c>
      <c r="N514" s="3" t="s">
        <v>23</v>
      </c>
      <c r="O514" s="3"/>
      <c r="P514" s="3"/>
      <c r="Q514" s="3"/>
      <c r="R514" s="3"/>
      <c r="S514" s="3"/>
      <c r="T514" s="3"/>
      <c r="U514" s="3"/>
      <c r="V514" s="3"/>
      <c r="W514" s="3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hidden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5.5" hidden="1">
      <c r="A516" s="11"/>
      <c r="B516" s="8" t="s">
        <v>10</v>
      </c>
      <c r="C516" s="49" t="s">
        <v>11</v>
      </c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11"/>
      <c r="O516" s="3" t="s">
        <v>2</v>
      </c>
      <c r="P516" s="8" t="s">
        <v>12</v>
      </c>
      <c r="Q516" s="8"/>
      <c r="R516" s="8"/>
      <c r="S516" s="8"/>
      <c r="T516" s="8" t="s">
        <v>43</v>
      </c>
      <c r="U516" s="8"/>
      <c r="V516" s="8"/>
      <c r="W516" s="8" t="s">
        <v>46</v>
      </c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hidden="1">
      <c r="A517" s="3" t="s">
        <v>7</v>
      </c>
      <c r="B517" s="3" t="s">
        <v>1</v>
      </c>
      <c r="C517" s="3" t="s">
        <v>13</v>
      </c>
      <c r="D517" s="3" t="s">
        <v>14</v>
      </c>
      <c r="E517" s="3" t="s">
        <v>15</v>
      </c>
      <c r="F517" s="3" t="s">
        <v>16</v>
      </c>
      <c r="G517" s="3" t="s">
        <v>8</v>
      </c>
      <c r="H517" s="3" t="s">
        <v>17</v>
      </c>
      <c r="I517" s="3" t="s">
        <v>18</v>
      </c>
      <c r="J517" s="3" t="s">
        <v>19</v>
      </c>
      <c r="K517" s="3" t="s">
        <v>20</v>
      </c>
      <c r="L517" s="3" t="s">
        <v>21</v>
      </c>
      <c r="M517" s="3" t="s">
        <v>22</v>
      </c>
      <c r="N517" s="3" t="s">
        <v>23</v>
      </c>
      <c r="O517" s="3"/>
      <c r="P517" s="3"/>
      <c r="Q517" s="3" t="s">
        <v>1</v>
      </c>
      <c r="R517" s="3"/>
      <c r="S517" s="3"/>
      <c r="T517" s="3"/>
      <c r="U517" s="3"/>
      <c r="V517" s="3"/>
      <c r="W517" s="3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hidden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hidden="1">
      <c r="A519" s="40" t="s">
        <v>24</v>
      </c>
      <c r="B519" s="3">
        <f>+B521+B526</f>
        <v>8163010065</v>
      </c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>
        <f>+O521+O526</f>
        <v>1309545600</v>
      </c>
      <c r="P519" s="3">
        <f>+P521+P526</f>
        <v>9472555665</v>
      </c>
      <c r="Q519" s="3">
        <f>+Q521+Q526</f>
        <v>554474243</v>
      </c>
      <c r="R519" s="3"/>
      <c r="S519" s="3"/>
      <c r="T519" s="3">
        <f>+T469+Q519</f>
        <v>554474243</v>
      </c>
      <c r="U519" s="3"/>
      <c r="V519" s="3"/>
      <c r="W519" s="3">
        <f>+T519/P519*100</f>
        <v>5.8534809676412705</v>
      </c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hidden="1">
      <c r="A520" s="40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>
        <f aca="true" t="shared" si="39" ref="T520:T549">+T470+Q520</f>
        <v>0</v>
      </c>
      <c r="U520" s="3"/>
      <c r="V520" s="3"/>
      <c r="W520" s="3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hidden="1">
      <c r="A521" s="10" t="s">
        <v>3</v>
      </c>
      <c r="B521" s="10">
        <f>+B522</f>
        <v>3471300000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0">
        <f>+O522</f>
        <v>0</v>
      </c>
      <c r="P521" s="11">
        <f>+B521+O521</f>
        <v>3471300000</v>
      </c>
      <c r="Q521" s="10">
        <f>+Q522</f>
        <v>128693321</v>
      </c>
      <c r="R521" s="10"/>
      <c r="S521" s="10"/>
      <c r="T521" s="3">
        <f t="shared" si="39"/>
        <v>128693321</v>
      </c>
      <c r="U521" s="3"/>
      <c r="V521" s="3"/>
      <c r="W521" s="3">
        <f>+T521/P521*100</f>
        <v>3.7073523175755483</v>
      </c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hidden="1">
      <c r="A522" s="10" t="s">
        <v>25</v>
      </c>
      <c r="B522" s="10">
        <f>+B523+B524</f>
        <v>3471300000</v>
      </c>
      <c r="C522" s="11"/>
      <c r="D522" s="11">
        <v>177520</v>
      </c>
      <c r="E522" s="11"/>
      <c r="F522" s="11">
        <v>165006728</v>
      </c>
      <c r="G522" s="11">
        <v>1414514385</v>
      </c>
      <c r="H522" s="11">
        <v>4948458</v>
      </c>
      <c r="I522" s="11">
        <v>573117327</v>
      </c>
      <c r="J522" s="11">
        <f>139033811-14448995.38</f>
        <v>124584815.62</v>
      </c>
      <c r="K522" s="11">
        <v>93361900</v>
      </c>
      <c r="L522" s="11">
        <v>25720312</v>
      </c>
      <c r="M522" s="11">
        <v>242733948</v>
      </c>
      <c r="N522" s="11">
        <f>65086606+14219504.38-900076.38-6867260+6687809</f>
        <v>78226583</v>
      </c>
      <c r="O522" s="10">
        <f>+O523+O524</f>
        <v>0</v>
      </c>
      <c r="P522" s="11">
        <f>+B522+O522</f>
        <v>3471300000</v>
      </c>
      <c r="Q522" s="10">
        <f>+Q523+Q524</f>
        <v>128693321</v>
      </c>
      <c r="R522" s="10"/>
      <c r="S522" s="10"/>
      <c r="T522" s="3">
        <f t="shared" si="39"/>
        <v>128693321</v>
      </c>
      <c r="U522" s="3"/>
      <c r="V522" s="3"/>
      <c r="W522" s="3">
        <f>+T522/P522*100</f>
        <v>3.7073523175755483</v>
      </c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hidden="1">
      <c r="A523" s="11" t="s">
        <v>26</v>
      </c>
      <c r="B523" s="11">
        <v>2106300000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>
        <f>+B523+O523</f>
        <v>2106300000</v>
      </c>
      <c r="Q523" s="11">
        <v>0</v>
      </c>
      <c r="R523" s="11"/>
      <c r="S523" s="11"/>
      <c r="T523" s="3">
        <f t="shared" si="39"/>
        <v>0</v>
      </c>
      <c r="U523" s="3"/>
      <c r="V523" s="3"/>
      <c r="W523" s="3">
        <f>+T523/P523*100</f>
        <v>0</v>
      </c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hidden="1">
      <c r="A524" s="11" t="s">
        <v>27</v>
      </c>
      <c r="B524" s="11">
        <v>1365000000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>
        <f>+B524+O524</f>
        <v>1365000000</v>
      </c>
      <c r="Q524" s="11">
        <v>128693321</v>
      </c>
      <c r="R524" s="11"/>
      <c r="S524" s="11"/>
      <c r="T524" s="3">
        <f t="shared" si="39"/>
        <v>128693321</v>
      </c>
      <c r="U524" s="3"/>
      <c r="V524" s="3"/>
      <c r="W524" s="3">
        <f>+T524/P524*100</f>
        <v>9.428082124542124</v>
      </c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hidden="1">
      <c r="A525" s="10"/>
      <c r="B525" s="10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 t="s">
        <v>1</v>
      </c>
      <c r="Q525" s="10"/>
      <c r="R525" s="10"/>
      <c r="S525" s="10"/>
      <c r="T525" s="3">
        <f t="shared" si="39"/>
        <v>0</v>
      </c>
      <c r="U525" s="3"/>
      <c r="V525" s="3"/>
      <c r="W525" s="3" t="s">
        <v>1</v>
      </c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hidden="1">
      <c r="A526" s="10" t="s">
        <v>4</v>
      </c>
      <c r="B526" s="10">
        <f>+B527+B528+B537+B538</f>
        <v>4691710065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0">
        <f>+O527+O528+O537+O538</f>
        <v>1309545600</v>
      </c>
      <c r="P526" s="10">
        <f>+P527+P528+P537+P538</f>
        <v>6001255665</v>
      </c>
      <c r="Q526" s="10">
        <f>+Q527+Q528+Q537+Q538</f>
        <v>425780922</v>
      </c>
      <c r="R526" s="10"/>
      <c r="S526" s="10"/>
      <c r="T526" s="3">
        <f t="shared" si="39"/>
        <v>425780922</v>
      </c>
      <c r="U526" s="3"/>
      <c r="V526" s="3"/>
      <c r="W526" s="3">
        <f aca="true" t="shared" si="40" ref="W526:W539">+T526/P526*100</f>
        <v>7.094863904619202</v>
      </c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hidden="1">
      <c r="A527" s="10" t="s">
        <v>28</v>
      </c>
      <c r="B527" s="10">
        <v>2752759677</v>
      </c>
      <c r="C527" s="11">
        <v>0</v>
      </c>
      <c r="D527" s="11">
        <v>0</v>
      </c>
      <c r="E527" s="11">
        <v>0</v>
      </c>
      <c r="F527" s="11">
        <v>196495882</v>
      </c>
      <c r="G527" s="11">
        <v>164927418</v>
      </c>
      <c r="H527" s="11">
        <v>262941303</v>
      </c>
      <c r="I527" s="11">
        <v>280282246</v>
      </c>
      <c r="J527" s="11">
        <v>246192273</v>
      </c>
      <c r="K527" s="11">
        <v>308626989</v>
      </c>
      <c r="L527" s="11">
        <v>243645342</v>
      </c>
      <c r="M527" s="11">
        <v>247491577</v>
      </c>
      <c r="N527" s="11">
        <v>165492691</v>
      </c>
      <c r="O527" s="11"/>
      <c r="P527" s="11">
        <f aca="true" t="shared" si="41" ref="P527:P539">+B527+O527</f>
        <v>2752759677</v>
      </c>
      <c r="Q527" s="10">
        <f>646959890-319164112</f>
        <v>327795778</v>
      </c>
      <c r="R527" s="10"/>
      <c r="S527" s="10"/>
      <c r="T527" s="3">
        <f t="shared" si="39"/>
        <v>327795778</v>
      </c>
      <c r="U527" s="3"/>
      <c r="V527" s="3"/>
      <c r="W527" s="3">
        <f t="shared" si="40"/>
        <v>11.907896673248167</v>
      </c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hidden="1">
      <c r="A528" s="10" t="s">
        <v>5</v>
      </c>
      <c r="B528" s="10">
        <f>+B529+B533+B534+B535</f>
        <v>1867025388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0">
        <f>+O529+O533+O534+O535</f>
        <v>0</v>
      </c>
      <c r="P528" s="11">
        <f t="shared" si="41"/>
        <v>1867025388</v>
      </c>
      <c r="Q528" s="10">
        <f>+Q529+Q533+Q534+Q535</f>
        <v>97985144</v>
      </c>
      <c r="R528" s="10"/>
      <c r="S528" s="10"/>
      <c r="T528" s="3">
        <f t="shared" si="39"/>
        <v>97985144</v>
      </c>
      <c r="U528" s="3"/>
      <c r="V528" s="3"/>
      <c r="W528" s="3">
        <f t="shared" si="40"/>
        <v>5.248195585865274</v>
      </c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hidden="1">
      <c r="A529" s="10" t="s">
        <v>29</v>
      </c>
      <c r="B529" s="10">
        <f>SUM(B530:B532)</f>
        <v>1679125388</v>
      </c>
      <c r="C529" s="11">
        <f>SUM(C530:C532)</f>
        <v>0</v>
      </c>
      <c r="D529" s="11">
        <f aca="true" t="shared" si="42" ref="D529:N529">SUM(D530:D532)</f>
        <v>9764370</v>
      </c>
      <c r="E529" s="11">
        <f t="shared" si="42"/>
        <v>1633088</v>
      </c>
      <c r="F529" s="11">
        <f t="shared" si="42"/>
        <v>9527326</v>
      </c>
      <c r="G529" s="11">
        <f t="shared" si="42"/>
        <v>5166613</v>
      </c>
      <c r="H529" s="11">
        <f t="shared" si="42"/>
        <v>8550758</v>
      </c>
      <c r="I529" s="11">
        <f t="shared" si="42"/>
        <v>19667967</v>
      </c>
      <c r="J529" s="11">
        <f t="shared" si="42"/>
        <v>32121947.88</v>
      </c>
      <c r="K529" s="11">
        <f t="shared" si="42"/>
        <v>57803883</v>
      </c>
      <c r="L529" s="11">
        <f t="shared" si="42"/>
        <v>248550137</v>
      </c>
      <c r="M529" s="11">
        <f t="shared" si="42"/>
        <v>56476839</v>
      </c>
      <c r="N529" s="11">
        <f t="shared" si="42"/>
        <v>203635166</v>
      </c>
      <c r="O529" s="10">
        <f>SUM(O530:O532)</f>
        <v>0</v>
      </c>
      <c r="P529" s="11">
        <f t="shared" si="41"/>
        <v>1679125388</v>
      </c>
      <c r="Q529" s="10">
        <f>SUM(Q530:Q532)</f>
        <v>32570562</v>
      </c>
      <c r="R529" s="10"/>
      <c r="S529" s="10"/>
      <c r="T529" s="3">
        <f t="shared" si="39"/>
        <v>32570562</v>
      </c>
      <c r="U529" s="3"/>
      <c r="V529" s="3"/>
      <c r="W529" s="3">
        <f t="shared" si="40"/>
        <v>1.9397337585845615</v>
      </c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hidden="1">
      <c r="A530" s="11" t="s">
        <v>30</v>
      </c>
      <c r="B530" s="11">
        <v>939032888</v>
      </c>
      <c r="C530" s="11">
        <v>0</v>
      </c>
      <c r="D530" s="11">
        <v>9764370</v>
      </c>
      <c r="E530" s="11">
        <v>0</v>
      </c>
      <c r="F530" s="11">
        <f>274606+765092</f>
        <v>1039698</v>
      </c>
      <c r="G530" s="11">
        <v>4660304</v>
      </c>
      <c r="H530" s="11">
        <v>7848958</v>
      </c>
      <c r="I530" s="11">
        <v>15343416</v>
      </c>
      <c r="J530" s="11">
        <v>22521927</v>
      </c>
      <c r="K530" s="11">
        <v>33311437</v>
      </c>
      <c r="L530" s="11">
        <f>309295398-94490110</f>
        <v>214805288</v>
      </c>
      <c r="M530" s="11">
        <v>28836508</v>
      </c>
      <c r="N530" s="11">
        <f>98225097-2027734+2337372</f>
        <v>98534735</v>
      </c>
      <c r="O530" s="11"/>
      <c r="P530" s="11">
        <f t="shared" si="41"/>
        <v>939032888</v>
      </c>
      <c r="Q530" s="11">
        <v>0</v>
      </c>
      <c r="R530" s="11"/>
      <c r="S530" s="11"/>
      <c r="T530" s="3">
        <f t="shared" si="39"/>
        <v>0</v>
      </c>
      <c r="U530" s="3"/>
      <c r="V530" s="3"/>
      <c r="W530" s="3">
        <f t="shared" si="40"/>
        <v>0</v>
      </c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hidden="1">
      <c r="A531" s="11" t="s">
        <v>31</v>
      </c>
      <c r="B531" s="11">
        <v>724342500</v>
      </c>
      <c r="C531" s="11"/>
      <c r="D531" s="11">
        <v>0</v>
      </c>
      <c r="E531" s="11">
        <v>0</v>
      </c>
      <c r="F531" s="11">
        <v>0</v>
      </c>
      <c r="G531" s="11">
        <v>0</v>
      </c>
      <c r="H531" s="11">
        <v>25090</v>
      </c>
      <c r="I531" s="11">
        <v>946365</v>
      </c>
      <c r="J531" s="11">
        <v>8764131</v>
      </c>
      <c r="K531" s="11">
        <v>21523596</v>
      </c>
      <c r="L531" s="11">
        <v>33159819</v>
      </c>
      <c r="M531" s="11">
        <v>27504331</v>
      </c>
      <c r="N531" s="11">
        <f>101300092+707323</f>
        <v>102007415</v>
      </c>
      <c r="O531" s="11">
        <v>0</v>
      </c>
      <c r="P531" s="11">
        <f t="shared" si="41"/>
        <v>724342500</v>
      </c>
      <c r="Q531" s="11">
        <f>32597431-2744732</f>
        <v>29852699</v>
      </c>
      <c r="R531" s="11"/>
      <c r="S531" s="11"/>
      <c r="T531" s="3">
        <f t="shared" si="39"/>
        <v>29852699</v>
      </c>
      <c r="U531" s="3"/>
      <c r="V531" s="3"/>
      <c r="W531" s="3">
        <f t="shared" si="40"/>
        <v>4.121351294449794</v>
      </c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hidden="1">
      <c r="A532" s="11" t="s">
        <v>32</v>
      </c>
      <c r="B532" s="11">
        <v>15750000</v>
      </c>
      <c r="C532" s="11"/>
      <c r="D532" s="11"/>
      <c r="E532" s="11">
        <v>1633088</v>
      </c>
      <c r="F532" s="11">
        <v>8487628</v>
      </c>
      <c r="G532" s="11">
        <v>506309</v>
      </c>
      <c r="H532" s="11">
        <v>676710</v>
      </c>
      <c r="I532" s="11">
        <v>3378186</v>
      </c>
      <c r="J532" s="11">
        <f>628640+207249.88</f>
        <v>835889.88</v>
      </c>
      <c r="K532" s="11">
        <v>2968850</v>
      </c>
      <c r="L532" s="11">
        <v>585030</v>
      </c>
      <c r="M532" s="11">
        <v>136000</v>
      </c>
      <c r="N532" s="11">
        <f>22300706.88-19207690.88</f>
        <v>3093016</v>
      </c>
      <c r="O532" s="11"/>
      <c r="P532" s="11">
        <f t="shared" si="41"/>
        <v>15750000</v>
      </c>
      <c r="Q532" s="11">
        <f>4474838-1756975</f>
        <v>2717863</v>
      </c>
      <c r="R532" s="11"/>
      <c r="S532" s="11"/>
      <c r="T532" s="3">
        <f t="shared" si="39"/>
        <v>2717863</v>
      </c>
      <c r="U532" s="3"/>
      <c r="V532" s="3"/>
      <c r="W532" s="3">
        <f t="shared" si="40"/>
        <v>17.256273015873017</v>
      </c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hidden="1">
      <c r="A533" s="10" t="s">
        <v>33</v>
      </c>
      <c r="B533" s="10">
        <v>65100000</v>
      </c>
      <c r="C533" s="11">
        <v>426256</v>
      </c>
      <c r="D533" s="11">
        <v>177520</v>
      </c>
      <c r="E533" s="11">
        <v>815304</v>
      </c>
      <c r="F533" s="11">
        <v>1044670</v>
      </c>
      <c r="G533" s="11">
        <v>210000</v>
      </c>
      <c r="H533" s="11">
        <v>497000</v>
      </c>
      <c r="I533" s="11">
        <v>1908400</v>
      </c>
      <c r="J533" s="11">
        <v>2080000</v>
      </c>
      <c r="K533" s="11">
        <v>1960300</v>
      </c>
      <c r="L533" s="11">
        <v>1071750</v>
      </c>
      <c r="M533" s="11">
        <v>486631</v>
      </c>
      <c r="N533" s="11">
        <v>3040000</v>
      </c>
      <c r="O533" s="11"/>
      <c r="P533" s="11">
        <f t="shared" si="41"/>
        <v>65100000</v>
      </c>
      <c r="Q533" s="10">
        <f>19344919-7544443</f>
        <v>11800476</v>
      </c>
      <c r="R533" s="10"/>
      <c r="S533" s="10"/>
      <c r="T533" s="3">
        <f t="shared" si="39"/>
        <v>11800476</v>
      </c>
      <c r="U533" s="3"/>
      <c r="V533" s="3"/>
      <c r="W533" s="3">
        <f t="shared" si="40"/>
        <v>18.12669124423963</v>
      </c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hidden="1">
      <c r="A534" s="10" t="s">
        <v>34</v>
      </c>
      <c r="B534" s="10">
        <v>1000000</v>
      </c>
      <c r="C534" s="11">
        <v>7540000</v>
      </c>
      <c r="D534" s="11"/>
      <c r="E534" s="11"/>
      <c r="F534" s="11"/>
      <c r="G534" s="11"/>
      <c r="H534" s="11"/>
      <c r="I534" s="11">
        <v>294000</v>
      </c>
      <c r="J534" s="11"/>
      <c r="K534" s="11"/>
      <c r="L534" s="11">
        <v>29000</v>
      </c>
      <c r="M534" s="11"/>
      <c r="N534" s="11"/>
      <c r="O534" s="11"/>
      <c r="P534" s="11">
        <f t="shared" si="41"/>
        <v>1000000</v>
      </c>
      <c r="Q534" s="10">
        <v>0</v>
      </c>
      <c r="R534" s="10"/>
      <c r="S534" s="10"/>
      <c r="T534" s="3">
        <f t="shared" si="39"/>
        <v>0</v>
      </c>
      <c r="U534" s="3"/>
      <c r="V534" s="3"/>
      <c r="W534" s="3">
        <f t="shared" si="40"/>
        <v>0</v>
      </c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hidden="1">
      <c r="A535" s="10" t="s">
        <v>35</v>
      </c>
      <c r="B535" s="10">
        <f aca="true" t="shared" si="43" ref="B535:O535">SUM(B536:B536)</f>
        <v>121800000</v>
      </c>
      <c r="C535" s="11">
        <f t="shared" si="43"/>
        <v>4768052</v>
      </c>
      <c r="D535" s="11">
        <f t="shared" si="43"/>
        <v>8290086</v>
      </c>
      <c r="E535" s="11">
        <f t="shared" si="43"/>
        <v>10672897</v>
      </c>
      <c r="F535" s="11">
        <f t="shared" si="43"/>
        <v>13361106</v>
      </c>
      <c r="G535" s="11">
        <f t="shared" si="43"/>
        <v>5435392</v>
      </c>
      <c r="H535" s="11">
        <f t="shared" si="43"/>
        <v>6359364</v>
      </c>
      <c r="I535" s="11">
        <f t="shared" si="43"/>
        <v>17667466</v>
      </c>
      <c r="J535" s="11">
        <f t="shared" si="43"/>
        <v>22629676</v>
      </c>
      <c r="K535" s="11">
        <f t="shared" si="43"/>
        <v>24318846</v>
      </c>
      <c r="L535" s="11">
        <f t="shared" si="43"/>
        <v>14234424</v>
      </c>
      <c r="M535" s="11">
        <f t="shared" si="43"/>
        <v>14378768</v>
      </c>
      <c r="N535" s="11">
        <f t="shared" si="43"/>
        <v>23388888</v>
      </c>
      <c r="O535" s="10">
        <f t="shared" si="43"/>
        <v>0</v>
      </c>
      <c r="P535" s="11">
        <f t="shared" si="41"/>
        <v>121800000</v>
      </c>
      <c r="Q535" s="10">
        <f>SUM(Q536:Q536)</f>
        <v>53614106</v>
      </c>
      <c r="R535" s="10"/>
      <c r="S535" s="10"/>
      <c r="T535" s="3">
        <f t="shared" si="39"/>
        <v>53614106</v>
      </c>
      <c r="U535" s="3"/>
      <c r="V535" s="3"/>
      <c r="W535" s="3">
        <f t="shared" si="40"/>
        <v>44.018149425287355</v>
      </c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hidden="1">
      <c r="A536" s="11" t="s">
        <v>36</v>
      </c>
      <c r="B536" s="11">
        <v>121800000</v>
      </c>
      <c r="C536" s="11">
        <v>4768052</v>
      </c>
      <c r="D536" s="11">
        <v>8290086</v>
      </c>
      <c r="E536" s="11">
        <v>10672897</v>
      </c>
      <c r="F536" s="11">
        <v>13361106</v>
      </c>
      <c r="G536" s="11">
        <v>5435392</v>
      </c>
      <c r="H536" s="11">
        <v>6359364</v>
      </c>
      <c r="I536" s="11">
        <v>17667466</v>
      </c>
      <c r="J536" s="11">
        <f>15777671+6852005</f>
        <v>22629676</v>
      </c>
      <c r="K536" s="11">
        <v>24318846</v>
      </c>
      <c r="L536" s="11">
        <v>14234424</v>
      </c>
      <c r="M536" s="11">
        <f>14378768</f>
        <v>14378768</v>
      </c>
      <c r="N536" s="11">
        <f>165504965-142116077</f>
        <v>23388888</v>
      </c>
      <c r="O536" s="11"/>
      <c r="P536" s="11">
        <f t="shared" si="41"/>
        <v>121800000</v>
      </c>
      <c r="Q536" s="11">
        <f>78608817-24994711</f>
        <v>53614106</v>
      </c>
      <c r="R536" s="11"/>
      <c r="S536" s="11"/>
      <c r="T536" s="3">
        <f t="shared" si="39"/>
        <v>53614106</v>
      </c>
      <c r="U536" s="3"/>
      <c r="V536" s="3"/>
      <c r="W536" s="3">
        <f t="shared" si="40"/>
        <v>44.018149425287355</v>
      </c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hidden="1">
      <c r="A537" s="10" t="s">
        <v>37</v>
      </c>
      <c r="B537" s="10">
        <v>71925000</v>
      </c>
      <c r="C537" s="11" t="e">
        <f>SUM(#REF!)</f>
        <v>#REF!</v>
      </c>
      <c r="D537" s="11" t="e">
        <f>SUM(#REF!)</f>
        <v>#REF!</v>
      </c>
      <c r="E537" s="11" t="e">
        <f>SUM(#REF!)</f>
        <v>#REF!</v>
      </c>
      <c r="F537" s="11" t="e">
        <f>SUM(#REF!)</f>
        <v>#REF!</v>
      </c>
      <c r="G537" s="11" t="e">
        <f>SUM(#REF!)</f>
        <v>#REF!</v>
      </c>
      <c r="H537" s="11" t="e">
        <f>SUM(#REF!)</f>
        <v>#REF!</v>
      </c>
      <c r="I537" s="11" t="e">
        <f>SUM(#REF!)</f>
        <v>#REF!</v>
      </c>
      <c r="J537" s="11" t="e">
        <f>SUM(#REF!)</f>
        <v>#REF!</v>
      </c>
      <c r="K537" s="11" t="e">
        <f>SUM(#REF!)</f>
        <v>#REF!</v>
      </c>
      <c r="L537" s="11" t="e">
        <f>SUM(#REF!)</f>
        <v>#REF!</v>
      </c>
      <c r="M537" s="11" t="e">
        <f>SUM(#REF!)</f>
        <v>#REF!</v>
      </c>
      <c r="N537" s="11" t="e">
        <f>SUM(#REF!)</f>
        <v>#REF!</v>
      </c>
      <c r="O537" s="10">
        <v>0</v>
      </c>
      <c r="P537" s="11">
        <f t="shared" si="41"/>
        <v>71925000</v>
      </c>
      <c r="Q537" s="11">
        <v>0</v>
      </c>
      <c r="R537" s="11"/>
      <c r="S537" s="11"/>
      <c r="T537" s="3">
        <f t="shared" si="39"/>
        <v>0</v>
      </c>
      <c r="U537" s="3"/>
      <c r="V537" s="3"/>
      <c r="W537" s="3">
        <f t="shared" si="40"/>
        <v>0</v>
      </c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hidden="1">
      <c r="A538" s="10" t="s">
        <v>44</v>
      </c>
      <c r="B538" s="10">
        <f>+B539</f>
        <v>0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0">
        <f>+O539</f>
        <v>1309545600</v>
      </c>
      <c r="P538" s="11">
        <f t="shared" si="41"/>
        <v>1309545600</v>
      </c>
      <c r="Q538" s="10">
        <f>+Q539</f>
        <v>0</v>
      </c>
      <c r="R538" s="10"/>
      <c r="S538" s="10"/>
      <c r="T538" s="3">
        <f t="shared" si="39"/>
        <v>0</v>
      </c>
      <c r="U538" s="3"/>
      <c r="V538" s="3"/>
      <c r="W538" s="3">
        <f t="shared" si="40"/>
        <v>0</v>
      </c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hidden="1">
      <c r="A539" s="10" t="s">
        <v>45</v>
      </c>
      <c r="B539" s="10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0">
        <f>1230345600+79200000</f>
        <v>1309545600</v>
      </c>
      <c r="P539" s="11">
        <f t="shared" si="41"/>
        <v>1309545600</v>
      </c>
      <c r="Q539" s="10">
        <v>0</v>
      </c>
      <c r="R539" s="10"/>
      <c r="S539" s="10"/>
      <c r="T539" s="3">
        <f t="shared" si="39"/>
        <v>0</v>
      </c>
      <c r="U539" s="3"/>
      <c r="V539" s="3"/>
      <c r="W539" s="3">
        <f t="shared" si="40"/>
        <v>0</v>
      </c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hidden="1">
      <c r="A540" s="10"/>
      <c r="B540" s="10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0"/>
      <c r="P540" s="11"/>
      <c r="Q540" s="10">
        <v>0</v>
      </c>
      <c r="R540" s="10"/>
      <c r="S540" s="10"/>
      <c r="T540" s="3">
        <f t="shared" si="39"/>
        <v>0</v>
      </c>
      <c r="U540" s="3"/>
      <c r="V540" s="3"/>
      <c r="W540" s="3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hidden="1">
      <c r="A541" s="10" t="s">
        <v>38</v>
      </c>
      <c r="B541" s="10">
        <f>+B542+B543+B544</f>
        <v>1914146055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0">
        <f>+O542+O543+O544</f>
        <v>0</v>
      </c>
      <c r="P541" s="11">
        <f>+B541+O541</f>
        <v>1914146055</v>
      </c>
      <c r="Q541" s="10">
        <f>+Q542+Q543+Q544</f>
        <v>915343196</v>
      </c>
      <c r="R541" s="10"/>
      <c r="S541" s="10"/>
      <c r="T541" s="3">
        <f t="shared" si="39"/>
        <v>915343196</v>
      </c>
      <c r="U541" s="3"/>
      <c r="V541" s="3"/>
      <c r="W541" s="3">
        <f>+T541/P541*100</f>
        <v>47.81992437875907</v>
      </c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hidden="1">
      <c r="A542" s="10" t="s">
        <v>6</v>
      </c>
      <c r="B542" s="10">
        <v>70000000</v>
      </c>
      <c r="C542" s="11">
        <v>898886</v>
      </c>
      <c r="D542" s="11">
        <f>4306726+216132</f>
        <v>4522858</v>
      </c>
      <c r="E542" s="11">
        <f>751140+23292827</f>
        <v>24043967</v>
      </c>
      <c r="F542" s="11">
        <v>8452240</v>
      </c>
      <c r="G542" s="11">
        <v>4422172</v>
      </c>
      <c r="H542" s="11">
        <f>7484642+234363</f>
        <v>7719005</v>
      </c>
      <c r="I542" s="11">
        <f>102855+5416914</f>
        <v>5519769</v>
      </c>
      <c r="J542" s="11">
        <f>6098966+444960+3514791+65855</f>
        <v>10124572</v>
      </c>
      <c r="K542" s="11">
        <f>191152+1348022+3219820.01</f>
        <v>4758994.01</v>
      </c>
      <c r="L542" s="11">
        <f>350566+9695840</f>
        <v>10046406</v>
      </c>
      <c r="M542" s="11">
        <f>579536+7833208+436291+345639</f>
        <v>9194674</v>
      </c>
      <c r="N542" s="11">
        <f>112132152.5-89703543.01</f>
        <v>22428609.489999995</v>
      </c>
      <c r="O542" s="11">
        <v>0</v>
      </c>
      <c r="P542" s="11">
        <f>+B542+O542</f>
        <v>70000000</v>
      </c>
      <c r="Q542" s="11">
        <f>91882084-79076395+10</f>
        <v>12805699</v>
      </c>
      <c r="R542" s="11"/>
      <c r="S542" s="11"/>
      <c r="T542" s="3">
        <f t="shared" si="39"/>
        <v>12805699</v>
      </c>
      <c r="U542" s="3"/>
      <c r="V542" s="3"/>
      <c r="W542" s="3">
        <f>+T542/P542*100</f>
        <v>18.293855714285716</v>
      </c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hidden="1">
      <c r="A543" s="10" t="s">
        <v>9</v>
      </c>
      <c r="B543" s="10">
        <v>0</v>
      </c>
      <c r="C543" s="11"/>
      <c r="D543" s="11"/>
      <c r="E543" s="11"/>
      <c r="F543" s="11">
        <f>+B543</f>
        <v>0</v>
      </c>
      <c r="G543" s="11"/>
      <c r="H543" s="11"/>
      <c r="I543" s="11"/>
      <c r="J543" s="11"/>
      <c r="K543" s="11"/>
      <c r="L543" s="11"/>
      <c r="M543" s="11"/>
      <c r="N543" s="11"/>
      <c r="O543" s="11">
        <f>+O493</f>
        <v>0</v>
      </c>
      <c r="P543" s="11">
        <f>+B543+O543</f>
        <v>0</v>
      </c>
      <c r="Q543" s="10">
        <v>888746268</v>
      </c>
      <c r="R543" s="10"/>
      <c r="S543" s="10"/>
      <c r="T543" s="3">
        <f t="shared" si="39"/>
        <v>888746268</v>
      </c>
      <c r="U543" s="3"/>
      <c r="V543" s="3"/>
      <c r="W543" s="3" t="e">
        <f>+T543/P543*100</f>
        <v>#DIV/0!</v>
      </c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hidden="1">
      <c r="A544" s="10" t="s">
        <v>39</v>
      </c>
      <c r="B544" s="10">
        <v>1844146055</v>
      </c>
      <c r="C544" s="11" t="e">
        <f>+#REF!+#REF!</f>
        <v>#REF!</v>
      </c>
      <c r="D544" s="11" t="e">
        <f>+#REF!+#REF!</f>
        <v>#REF!</v>
      </c>
      <c r="E544" s="11" t="e">
        <f>+#REF!+#REF!</f>
        <v>#REF!</v>
      </c>
      <c r="F544" s="11" t="e">
        <f>+#REF!+#REF!</f>
        <v>#REF!</v>
      </c>
      <c r="G544" s="11" t="e">
        <f>+#REF!+#REF!</f>
        <v>#REF!</v>
      </c>
      <c r="H544" s="11" t="e">
        <f>+#REF!+#REF!</f>
        <v>#REF!</v>
      </c>
      <c r="I544" s="11" t="e">
        <f>+#REF!+#REF!</f>
        <v>#REF!</v>
      </c>
      <c r="J544" s="11" t="e">
        <f>+#REF!+#REF!</f>
        <v>#REF!</v>
      </c>
      <c r="K544" s="11" t="e">
        <f>+#REF!+#REF!</f>
        <v>#REF!</v>
      </c>
      <c r="L544" s="11" t="e">
        <f>+#REF!+#REF!</f>
        <v>#REF!</v>
      </c>
      <c r="M544" s="11" t="e">
        <f>+#REF!+#REF!</f>
        <v>#REF!</v>
      </c>
      <c r="N544" s="11" t="e">
        <f>+#REF!+#REF!</f>
        <v>#REF!</v>
      </c>
      <c r="O544" s="10">
        <v>0</v>
      </c>
      <c r="P544" s="11">
        <f>+B544+O544</f>
        <v>1844146055</v>
      </c>
      <c r="Q544" s="11">
        <f>947477930-933686701</f>
        <v>13791229</v>
      </c>
      <c r="R544" s="11"/>
      <c r="S544" s="11"/>
      <c r="T544" s="3">
        <f t="shared" si="39"/>
        <v>13791229</v>
      </c>
      <c r="U544" s="3"/>
      <c r="V544" s="3"/>
      <c r="W544" s="3">
        <f>+T544/P544*100</f>
        <v>0.7478382182695394</v>
      </c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hidden="1">
      <c r="A545" s="11"/>
      <c r="B545" s="11"/>
      <c r="C545" s="11"/>
      <c r="D545" s="11"/>
      <c r="E545" s="11" t="s">
        <v>1</v>
      </c>
      <c r="F545" s="11" t="s">
        <v>1</v>
      </c>
      <c r="G545" s="11" t="s">
        <v>1</v>
      </c>
      <c r="H545" s="11" t="s">
        <v>1</v>
      </c>
      <c r="I545" s="11" t="s">
        <v>1</v>
      </c>
      <c r="J545" s="11" t="s">
        <v>1</v>
      </c>
      <c r="K545" s="11" t="s">
        <v>1</v>
      </c>
      <c r="L545" s="11" t="s">
        <v>1</v>
      </c>
      <c r="M545" s="11" t="s">
        <v>1</v>
      </c>
      <c r="N545" s="11" t="s">
        <v>1</v>
      </c>
      <c r="O545" s="11"/>
      <c r="P545" s="11" t="s">
        <v>1</v>
      </c>
      <c r="Q545" s="14" t="s">
        <v>1</v>
      </c>
      <c r="R545" s="14"/>
      <c r="S545" s="14"/>
      <c r="T545" s="3" t="s">
        <v>1</v>
      </c>
      <c r="U545" s="3"/>
      <c r="V545" s="3"/>
      <c r="W545" s="3" t="s">
        <v>1</v>
      </c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hidden="1">
      <c r="A546" s="10" t="s">
        <v>40</v>
      </c>
      <c r="B546" s="10">
        <f>+B519+B541</f>
        <v>10077156120</v>
      </c>
      <c r="C546" s="10" t="e">
        <f>+C522+C527+C529+C533+C534+C535+C537+#REF!+#REF!+C542+C543+C544+#REF!</f>
        <v>#REF!</v>
      </c>
      <c r="D546" s="10" t="e">
        <f>+D522+D527+D529+D533+D534+D535+D537+#REF!+#REF!+D542+D543+D544+#REF!</f>
        <v>#REF!</v>
      </c>
      <c r="E546" s="10" t="e">
        <f>+E522+E527+E529+E533+E534+E535+E537+#REF!+#REF!+E542+E543+E544+#REF!</f>
        <v>#REF!</v>
      </c>
      <c r="F546" s="10" t="e">
        <f>+F522+F527+F529+F533+F534+F535+F537+#REF!+#REF!+F542+F543+F544+#REF!</f>
        <v>#REF!</v>
      </c>
      <c r="G546" s="10" t="e">
        <f>+G522+G527+G529+G533+G534+G535+G537+#REF!+#REF!+G542+G543+G544+#REF!</f>
        <v>#REF!</v>
      </c>
      <c r="H546" s="10" t="e">
        <f>+H522+H527+H529+H533+H534+H535+H537+#REF!+#REF!+H542+H543+H544+#REF!</f>
        <v>#REF!</v>
      </c>
      <c r="I546" s="10" t="e">
        <f>+I522+I527+I529+I533+I534+I535+I537+#REF!+#REF!+I542+I543+I544+#REF!</f>
        <v>#REF!</v>
      </c>
      <c r="J546" s="10" t="e">
        <f>+J522+J527+J529+J533+J534+J535+J537+#REF!+#REF!+J542+J543+J544+#REF!</f>
        <v>#REF!</v>
      </c>
      <c r="K546" s="10" t="e">
        <f>+K522+K527+K529+K533+K534+K535+K537+#REF!+#REF!+K542+K543+K544+#REF!</f>
        <v>#REF!</v>
      </c>
      <c r="L546" s="10" t="e">
        <f>+L522+L527+L529+L533+L534+L535+L537+#REF!+#REF!+L542+L543+L544+#REF!</f>
        <v>#REF!</v>
      </c>
      <c r="M546" s="10" t="e">
        <f>+M522+M527+M529+M533+M534+M535+M537+#REF!+#REF!+M542+M543+M544+#REF!</f>
        <v>#REF!</v>
      </c>
      <c r="N546" s="10" t="e">
        <f>+N522+N527+N529+N533+N534+N535+N537+#REF!+#REF!+N542+N543+N544+#REF!</f>
        <v>#REF!</v>
      </c>
      <c r="O546" s="10">
        <f>+O519+O541</f>
        <v>1309545600</v>
      </c>
      <c r="P546" s="10">
        <f>+P519+P541</f>
        <v>11386701720</v>
      </c>
      <c r="Q546" s="10">
        <f>+Q519+Q541</f>
        <v>1469817439</v>
      </c>
      <c r="R546" s="10"/>
      <c r="S546" s="10"/>
      <c r="T546" s="3">
        <f t="shared" si="39"/>
        <v>1469817439</v>
      </c>
      <c r="U546" s="3"/>
      <c r="V546" s="3"/>
      <c r="W546" s="3">
        <f>+T546/P546*100</f>
        <v>12.908193040820255</v>
      </c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hidden="1">
      <c r="A547" s="10" t="s">
        <v>41</v>
      </c>
      <c r="B547" s="11">
        <f>+B497</f>
        <v>0</v>
      </c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>
        <f>150200000+1005600000</f>
        <v>1155800000</v>
      </c>
      <c r="P547" s="1">
        <f>+B547+O547</f>
        <v>1155800000</v>
      </c>
      <c r="Q547" s="1">
        <f>564791544+1155800000-390707686</f>
        <v>1329883858</v>
      </c>
      <c r="R547" s="1"/>
      <c r="S547" s="1"/>
      <c r="T547" s="3">
        <f t="shared" si="39"/>
        <v>1329883858</v>
      </c>
      <c r="U547" s="3"/>
      <c r="V547" s="3"/>
      <c r="W547" s="3">
        <f>+T547/P547*100</f>
        <v>115.06176310780411</v>
      </c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hidden="1">
      <c r="A548" s="1"/>
      <c r="B548" s="1" t="s">
        <v>1</v>
      </c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 t="s">
        <v>1</v>
      </c>
      <c r="P548" s="1"/>
      <c r="Q548" s="14" t="s">
        <v>1</v>
      </c>
      <c r="R548" s="14"/>
      <c r="S548" s="14"/>
      <c r="T548" s="3" t="s">
        <v>1</v>
      </c>
      <c r="U548" s="3"/>
      <c r="V548" s="3"/>
      <c r="W548" s="3" t="s">
        <v>1</v>
      </c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hidden="1">
      <c r="A549" s="10" t="s">
        <v>42</v>
      </c>
      <c r="B549" s="14">
        <f>+B546+B547</f>
        <v>10077156120</v>
      </c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>
        <f>+O546+O547</f>
        <v>2465345600</v>
      </c>
      <c r="P549" s="14">
        <f>+P546+P547</f>
        <v>12542501720</v>
      </c>
      <c r="Q549" s="14">
        <f>+Q546+Q547</f>
        <v>2799701297</v>
      </c>
      <c r="R549" s="14"/>
      <c r="S549" s="14"/>
      <c r="T549" s="3">
        <f t="shared" si="39"/>
        <v>2799701297</v>
      </c>
      <c r="U549" s="3"/>
      <c r="V549" s="3"/>
      <c r="W549" s="3">
        <f>+T549/P549*100</f>
        <v>22.32171347870463</v>
      </c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hidden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hidden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hidden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hidden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hidden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hidden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hidden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hidden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hidden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hidden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hidden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hidden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hidden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hidden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hidden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hidden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hidden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hidden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hidden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hidden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hidden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hidden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hidden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hidden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hidden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hidden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hidden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hidden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hidden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hidden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hidden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hidden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hidden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hidden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hidden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hidden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hidden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hidden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hidden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hidden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hidden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hidden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hidden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hidden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hidden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hidden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hidden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hidden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hidden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hidden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hidden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hidden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hidden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hidden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hidden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hidden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hidden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hidden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hidden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hidden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hidden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hidden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hidden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hidden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hidden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hidden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hidden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hidden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hidden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hidden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hidden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hidden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hidden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hidden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hidden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hidden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hidden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hidden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hidden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hidden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hidden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hidden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hidden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hidden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hidden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hidden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hidden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hidden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hidden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hidden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hidden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hidden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hidden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hidden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hidden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hidden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hidden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hidden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hidden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hidden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hidden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hidden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hidden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hidden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hidden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hidden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hidden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hidden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hidden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hidden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hidden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hidden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hidden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hidden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hidden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hidden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hidden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hidden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hidden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hidden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hidden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hidden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hidden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hidden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hidden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hidden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hidden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hidden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hidden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hidden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hidden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hidden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hidden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hidden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hidden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hidden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hidden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hidden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hidden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hidden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hidden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hidden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hidden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hidden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hidden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hidden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hidden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hidden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hidden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hidden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hidden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hidden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hidden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hidden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hidden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hidden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hidden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hidden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hidden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hidden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hidden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hidden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hidden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hidden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hidden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hidden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hidden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hidden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hidden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hidden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hidden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hidden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hidden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hidden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hidden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hidden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hidden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hidden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hidden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hidden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hidden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hidden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hidden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hidden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hidden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hidden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hidden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hidden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hidden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hidden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hidden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hidden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hidden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>
      <c r="A743" s="1" t="s">
        <v>102</v>
      </c>
      <c r="B743" s="1">
        <v>505334787</v>
      </c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>
        <f>374310045+358824003</f>
        <v>733134048</v>
      </c>
      <c r="P743" s="1" t="s">
        <v>1</v>
      </c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2:16" ht="12.7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12.75">
      <c r="A745" s="2" t="s">
        <v>107</v>
      </c>
      <c r="B745" s="14">
        <f>+B47-B743</f>
        <v>765535401.3</v>
      </c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>
        <f>+O47-O743</f>
        <v>-150505090.79999995</v>
      </c>
      <c r="P745" s="1"/>
    </row>
    <row r="746" spans="2:16" ht="12.7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2:16" ht="12.7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2:16" ht="12.7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2:16" ht="12.7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</sheetData>
  <mergeCells count="30">
    <mergeCell ref="A510:W510"/>
    <mergeCell ref="A511:W511"/>
    <mergeCell ref="C513:M513"/>
    <mergeCell ref="C516:M516"/>
    <mergeCell ref="C279:M279"/>
    <mergeCell ref="C230:M230"/>
    <mergeCell ref="A228:W228"/>
    <mergeCell ref="X52:AF52"/>
    <mergeCell ref="C52:M52"/>
    <mergeCell ref="A227:W227"/>
    <mergeCell ref="C91:M91"/>
    <mergeCell ref="C137:M137"/>
    <mergeCell ref="C183:M183"/>
    <mergeCell ref="A134:W134"/>
    <mergeCell ref="A1:Z1"/>
    <mergeCell ref="A2:Z2"/>
    <mergeCell ref="C4:M4"/>
    <mergeCell ref="X51:AF51"/>
    <mergeCell ref="A135:W135"/>
    <mergeCell ref="A180:W180"/>
    <mergeCell ref="A181:W181"/>
    <mergeCell ref="A49:W49"/>
    <mergeCell ref="A50:W50"/>
    <mergeCell ref="A88:W88"/>
    <mergeCell ref="A89:W89"/>
    <mergeCell ref="A277:W277"/>
    <mergeCell ref="A273:W273"/>
    <mergeCell ref="A274:W274"/>
    <mergeCell ref="C233:M233"/>
    <mergeCell ref="A276:W276"/>
  </mergeCells>
  <printOptions/>
  <pageMargins left="0.1968503937007874" right="0.75" top="0.5905511811023623" bottom="0.984251968503937" header="0" footer="0"/>
  <pageSetup horizontalDpi="120" verticalDpi="12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vbarrera</cp:lastModifiedBy>
  <cp:lastPrinted>2009-10-21T14:00:48Z</cp:lastPrinted>
  <dcterms:created xsi:type="dcterms:W3CDTF">2007-01-13T18:42:48Z</dcterms:created>
  <dcterms:modified xsi:type="dcterms:W3CDTF">2009-10-21T15:33:00Z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