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Hoja1" sheetId="1" r:id="rId1"/>
    <sheet name="INGRESOS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<sst xmlns="http://schemas.openxmlformats.org/spreadsheetml/2006/main" count="746" uniqueCount="101">
  <si>
    <t>CORPORACION AUTONOMA REGIONAL DEL ALTO MAGDALENA CAM</t>
  </si>
  <si>
    <t xml:space="preserve"> </t>
  </si>
  <si>
    <t>MODIFICACIONES</t>
  </si>
  <si>
    <t>TRIBUTARIOS</t>
  </si>
  <si>
    <t>NO TRIBUTARIOS</t>
  </si>
  <si>
    <t>VENTA DE BIENES Y SERVICIOS</t>
  </si>
  <si>
    <t>RENDIMIENTOS FINANCIEROS</t>
  </si>
  <si>
    <t>INGRESOS</t>
  </si>
  <si>
    <t>MAYO</t>
  </si>
  <si>
    <t>EXCEDENTES FINANCIEROS</t>
  </si>
  <si>
    <t>PRESUPUESTO INICIAL</t>
  </si>
  <si>
    <t>EJECUTADO</t>
  </si>
  <si>
    <t>PRESUPUESTO DEFINITIVO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</si>
  <si>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</si>
  <si>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</si>
  <si>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</si>
  <si>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</si>
  <si>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</si>
  <si>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</si>
  <si>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</si>
  <si>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</si>
  <si>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</si>
  <si>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</si>
  <si>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</si>
  <si>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INGRESOS CORRIENTES</t>
  </si>
  <si>
    <t>PREDIAL</t>
  </si>
  <si>
    <t>Neiva</t>
  </si>
  <si>
    <t>Municipios</t>
  </si>
  <si>
    <t>CHB</t>
  </si>
  <si>
    <t>TASAS</t>
  </si>
  <si>
    <t>TASAS RETRIBUTIVAS</t>
  </si>
  <si>
    <t>TASAS POR USO DEL RECURSO AGUA</t>
  </si>
  <si>
    <t>TASAS FORESTALES</t>
  </si>
  <si>
    <t>MULTAS Y SANCIONES</t>
  </si>
  <si>
    <t>VENTA DE BIENES PRODUCIDOS</t>
  </si>
  <si>
    <t>VENTA DE OTROS SERVICIOS</t>
  </si>
  <si>
    <t>LICENCIAS Y PERMISOS</t>
  </si>
  <si>
    <t>OTROS INGRESOS NO TRIBUTARIOS</t>
  </si>
  <si>
    <t>RECURSOS DE CAPITAL</t>
  </si>
  <si>
    <t>RECUPERACION CARTERA</t>
  </si>
  <si>
    <t>TOTAL INGRESOS PROPIOS</t>
  </si>
  <si>
    <t>INGRESO NACION</t>
  </si>
  <si>
    <t>TOTAL INGRESOS  2008</t>
  </si>
  <si>
    <t>RECAUDOS</t>
  </si>
  <si>
    <t>APORTES DE OTRAS ENTIDADES</t>
  </si>
  <si>
    <t>FNR</t>
  </si>
  <si>
    <t>% DE EJECUCION</t>
  </si>
  <si>
    <t>EJECUCION DE INGRESOS 2008</t>
  </si>
  <si>
    <t>MUNICIPIO DE VILLAVIEJA</t>
  </si>
  <si>
    <t>RECAUDOS DEL PERIODO</t>
  </si>
  <si>
    <t>RECAUDOS ACUMULADOS</t>
  </si>
  <si>
    <t>CAUSACIONES</t>
  </si>
  <si>
    <t xml:space="preserve">  </t>
  </si>
  <si>
    <t>PROYECTO DE PRESUPUESTO DE INGRESOS VIGENCIA 2008</t>
  </si>
  <si>
    <t>CONCEPTO</t>
  </si>
  <si>
    <t>EJECUCION PROYECTO   IX-2007</t>
  </si>
  <si>
    <t>INGRESOS INVERSION</t>
  </si>
  <si>
    <t>INGRESOS FUNCIONAMIENTO</t>
  </si>
  <si>
    <t>FCA</t>
  </si>
  <si>
    <t>TOTAL</t>
  </si>
  <si>
    <t>BASE LEGAL</t>
  </si>
  <si>
    <t>PRESUPUESTO</t>
  </si>
  <si>
    <t>TRANSFERENCIAS C.H.B</t>
  </si>
  <si>
    <t>Art 45 Ley 99/93</t>
  </si>
  <si>
    <t>PORCENTAJE SOBRETASA IMPREDIAL</t>
  </si>
  <si>
    <t>Art 44 Ley 99/93</t>
  </si>
  <si>
    <t>NEIVA</t>
  </si>
  <si>
    <t>MPIOS</t>
  </si>
  <si>
    <t>TASA UTILIZACION AGUAS</t>
  </si>
  <si>
    <t>Art 43 Ley 99/93</t>
  </si>
  <si>
    <t>TASAS RETRIBUTIVAS Y COMPENSATORIAS</t>
  </si>
  <si>
    <t>Art 42 Ley 99/93</t>
  </si>
  <si>
    <t>MULTAS</t>
  </si>
  <si>
    <t>Art 46 Ley 99/93</t>
  </si>
  <si>
    <t xml:space="preserve">VENTA DE BIENES </t>
  </si>
  <si>
    <t>LICENCIAS Y PERMISOS AMBIENTALES</t>
  </si>
  <si>
    <t>OTROS INGRESOS</t>
  </si>
  <si>
    <t>APORTES  DE OTRAS ENTIDADES</t>
  </si>
  <si>
    <t>RECUPERACION DE CARTERA</t>
  </si>
  <si>
    <t>TOTAL INGRESOS 2008</t>
  </si>
  <si>
    <t>INGRESOS NACION</t>
  </si>
  <si>
    <t>Ley PGN</t>
  </si>
  <si>
    <t>TOTAL PRESUPUESTO 2008</t>
  </si>
  <si>
    <t>EXCEDENTES FROS</t>
  </si>
  <si>
    <t>VALOR EJECUTADO</t>
  </si>
  <si>
    <t>RECAUDOS EFECTIVOS DEL PERIODO</t>
  </si>
  <si>
    <t>RECAUDOS ACUMULADOS EFECTIVOS</t>
  </si>
  <si>
    <t>TOTAL RECAUDOS EFECTIVOS MAS CAUSACIONES</t>
  </si>
  <si>
    <t>CAV</t>
  </si>
  <si>
    <t>EJECUCION DE INGRESOS  AGOSTO 25 DE 2008</t>
  </si>
  <si>
    <t>VITELIO BARRERA ALVAREZ</t>
  </si>
  <si>
    <t>Contador</t>
  </si>
  <si>
    <t>Convenio/2008</t>
  </si>
  <si>
    <t>Acuerdo Consejo Directivo</t>
  </si>
  <si>
    <t>Nota: Ingreso de Sobretasa predial de Neiva primer trimestre 2008</t>
  </si>
  <si>
    <t>RECAUDOS MES</t>
  </si>
  <si>
    <t>% de ejecucion</t>
  </si>
  <si>
    <t>EJECUCION DE INGRESOS 2009</t>
  </si>
  <si>
    <t>NEIVA CONSIGNO $ 1,500,000,000,00 CONSIGNADO EN MAYO</t>
  </si>
  <si>
    <t>CHB CONSIGNACION MES DE ENERO</t>
  </si>
  <si>
    <t>PHULIPS MORRIS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</si>
</sst>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/>
    </xf>
    <xf numFmtId="17" fontId="1" fillId="0" borderId="0" xfId="0" applyNumberFormat="1" applyFont="1" applyFill="1" applyAlignment="1">
      <alignment horizontal="center"/>
    </xf>
    <xf numFmtId="17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/>
    </xf>
    <xf numFmtId="0" fontId="0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Mis%20documentos\presupuesto%202008\INGRESOS-2008%20(Julio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Mis%20documentos\presupuesto%202008\Copia%20de%20BEPIN%20INVERSION%202.008Silv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O%202.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Configuraci&#243;n%20local\Archivos%20temporales%20de%20Internet\OLK3\INGRESOS-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JECUIN%20PRESUPUESTAL2009ASTOSab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ERO08"/>
      <sheetName val="MARZO08"/>
      <sheetName val="ABRIL08"/>
      <sheetName val="MAYO08"/>
      <sheetName val="JUNIO08"/>
      <sheetName val="JULIO08"/>
      <sheetName val="AGOSTO07"/>
      <sheetName val="SEPTIEMBRE07"/>
      <sheetName val="OCTUBRE07"/>
      <sheetName val="NOVIEMBRE07"/>
      <sheetName val="DICIEMBRE06"/>
      <sheetName val="ENERO2008"/>
    </sheetNames>
    <sheetDataSet>
      <sheetData sheetId="5">
        <row r="12">
          <cell r="B12">
            <v>1384500</v>
          </cell>
        </row>
        <row r="20">
          <cell r="B20">
            <v>2322000</v>
          </cell>
        </row>
        <row r="35">
          <cell r="B35">
            <v>166575</v>
          </cell>
        </row>
        <row r="64">
          <cell r="B64">
            <v>7500150</v>
          </cell>
          <cell r="C64">
            <v>1664474</v>
          </cell>
        </row>
        <row r="73">
          <cell r="B73">
            <v>3225410</v>
          </cell>
        </row>
        <row r="77">
          <cell r="B77">
            <v>346790</v>
          </cell>
        </row>
        <row r="90">
          <cell r="B90">
            <v>334500</v>
          </cell>
        </row>
        <row r="108">
          <cell r="B108">
            <v>339812622.05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Hoja1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analisis"/>
      <sheetName val="0630-0900-01-81"/>
      <sheetName val="0630-0900-01-82"/>
      <sheetName val="0520-0900-07 FORTALECIMIENTO"/>
    </sheetNames>
    <sheetDataSet>
      <sheetData sheetId="7">
        <row r="16">
          <cell r="B16">
            <v>146140388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STEO"/>
      <sheetName val="anexos"/>
      <sheetName val="ingresos"/>
      <sheetName val="fuentes  y usos"/>
      <sheetName val="COMPARATIVO"/>
      <sheetName val="INGRESOS 2009"/>
      <sheetName val="COMPOSICION D EINGRESOS"/>
      <sheetName val="INGRESOS PROPIOS2009"/>
      <sheetName val="SOBRETASA2009"/>
      <sheetName val="VENTA BIENES SERVICIOS2009"/>
      <sheetName val="RECUPERACION CARTERA 2009"/>
      <sheetName val="GASTOS 2009"/>
      <sheetName val="COMPOSICION GOS 2009"/>
      <sheetName val="GTOSD FUNCIONAMIENTO"/>
      <sheetName val="COMAPRATIVO2008-2009"/>
      <sheetName val="COMPOSICION GASTOS2009"/>
      <sheetName val="tablas"/>
      <sheetName val="Hoja16"/>
    </sheetNames>
    <sheetDataSet>
      <sheetData sheetId="2">
        <row r="10">
          <cell r="C10">
            <v>2232678000</v>
          </cell>
        </row>
        <row r="11">
          <cell r="C11">
            <v>1446900000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09"/>
      <sheetName val="FEBRERO09"/>
      <sheetName val="MARZO08"/>
      <sheetName val="ABRIL08"/>
      <sheetName val="MAYO08"/>
      <sheetName val="JUNIO08"/>
      <sheetName val="JULIO08"/>
      <sheetName val="AGOSTO08"/>
      <sheetName val="SEPTIEMBRE08"/>
      <sheetName val="OCTUBRE08"/>
      <sheetName val="NOVIEMBRE08"/>
      <sheetName val="DICIEMBRE06"/>
      <sheetName val="ENERO2008"/>
    </sheetNames>
    <sheetDataSet>
      <sheetData sheetId="0">
        <row r="32">
          <cell r="B32">
            <v>0</v>
          </cell>
        </row>
        <row r="44">
          <cell r="B44">
            <v>0</v>
          </cell>
        </row>
        <row r="98">
          <cell r="F9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S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C1">
      <selection activeCell="H4" sqref="H4"/>
    </sheetView>
  </sheetViews>
  <sheetFormatPr defaultColWidth="11.421875" defaultRowHeight="12.75"/>
  <cols>
    <col min="1" max="1" width="41.421875" style="0" customWidth="1"/>
    <col min="2" max="2" width="28.140625" style="0" hidden="1" customWidth="1"/>
    <col min="3" max="3" width="23.8515625" style="0" customWidth="1"/>
    <col min="4" max="4" width="23.140625" style="0" customWidth="1"/>
    <col min="5" max="5" width="22.57421875" style="0" customWidth="1"/>
    <col min="6" max="6" width="25.00390625" style="0" customWidth="1"/>
    <col min="7" max="7" width="21.00390625" style="0" customWidth="1"/>
    <col min="8" max="8" width="23.8515625" style="0" customWidth="1"/>
    <col min="9" max="9" width="18.00390625" style="0" customWidth="1"/>
  </cols>
  <sheetData>
    <row r="1" spans="1:8" ht="12.75">
      <c r="A1" s="41" t="s">
        <v>0</v>
      </c>
      <c r="B1" s="42"/>
      <c r="C1" s="42"/>
      <c r="D1" s="42"/>
      <c r="E1" s="42"/>
      <c r="F1" s="42"/>
      <c r="G1" s="42"/>
      <c r="H1" s="27"/>
    </row>
    <row r="2" spans="1:8" ht="12.75">
      <c r="A2" s="43" t="s">
        <v>53</v>
      </c>
      <c r="B2" s="44"/>
      <c r="C2" s="44"/>
      <c r="D2" s="44"/>
      <c r="E2" s="44"/>
      <c r="F2" s="44"/>
      <c r="G2" s="44"/>
      <c r="H2" s="28"/>
    </row>
    <row r="3" spans="1:8" ht="12.75">
      <c r="A3" s="29"/>
      <c r="B3" s="20"/>
      <c r="C3" s="20"/>
      <c r="D3" s="20"/>
      <c r="E3" s="20"/>
      <c r="F3" s="20"/>
      <c r="G3" s="20"/>
      <c r="H3" s="28"/>
    </row>
    <row r="4" spans="1:8" ht="25.5">
      <c r="A4" s="30" t="s">
        <v>54</v>
      </c>
      <c r="B4" s="21" t="s">
        <v>55</v>
      </c>
      <c r="C4" s="21" t="s">
        <v>84</v>
      </c>
      <c r="D4" s="45" t="s">
        <v>56</v>
      </c>
      <c r="E4" s="45" t="s">
        <v>57</v>
      </c>
      <c r="F4" s="19" t="s">
        <v>58</v>
      </c>
      <c r="G4" s="19" t="s">
        <v>59</v>
      </c>
      <c r="H4" s="31" t="s">
        <v>60</v>
      </c>
    </row>
    <row r="5" spans="1:8" ht="12.75">
      <c r="A5" s="29"/>
      <c r="B5" s="20"/>
      <c r="C5" s="20"/>
      <c r="D5" s="46"/>
      <c r="E5" s="46"/>
      <c r="F5" s="19"/>
      <c r="G5" s="19" t="s">
        <v>61</v>
      </c>
      <c r="H5" s="28"/>
    </row>
    <row r="6" spans="1:8" ht="12.75">
      <c r="A6" s="32" t="s">
        <v>7</v>
      </c>
      <c r="B6" s="22" t="s">
        <v>1</v>
      </c>
      <c r="C6" s="22" t="s">
        <v>1</v>
      </c>
      <c r="D6" s="23" t="s">
        <v>1</v>
      </c>
      <c r="E6" s="23" t="s">
        <v>1</v>
      </c>
      <c r="F6" s="23" t="s">
        <v>52</v>
      </c>
      <c r="G6" s="23" t="s">
        <v>1</v>
      </c>
      <c r="H6" s="28"/>
    </row>
    <row r="7" spans="1:8" ht="12.75">
      <c r="A7" s="29"/>
      <c r="B7" s="23" t="s">
        <v>1</v>
      </c>
      <c r="C7" s="23" t="s">
        <v>1</v>
      </c>
      <c r="D7" s="20" t="s">
        <v>1</v>
      </c>
      <c r="E7" s="20" t="s">
        <v>1</v>
      </c>
      <c r="F7" s="20" t="s">
        <v>1</v>
      </c>
      <c r="G7" s="20" t="s">
        <v>1</v>
      </c>
      <c r="H7" s="28"/>
    </row>
    <row r="8" spans="1:9" ht="12.75">
      <c r="A8" s="33" t="s">
        <v>62</v>
      </c>
      <c r="B8" s="25">
        <v>2536800000</v>
      </c>
      <c r="C8" s="25">
        <f>+INGRESOS!T287</f>
        <v>2141075725</v>
      </c>
      <c r="D8" s="25">
        <f>+C8*70%</f>
        <v>1498753007.5</v>
      </c>
      <c r="E8" s="25">
        <f>+C8*10%</f>
        <v>214107572.5</v>
      </c>
      <c r="F8" s="25">
        <f>+C8*20%</f>
        <v>428215145</v>
      </c>
      <c r="G8" s="25">
        <f>+D8+E8+F8</f>
        <v>2141075725</v>
      </c>
      <c r="H8" s="34" t="s">
        <v>63</v>
      </c>
      <c r="I8" s="1"/>
    </row>
    <row r="9" spans="1:9" ht="12.75">
      <c r="A9" s="33" t="s">
        <v>64</v>
      </c>
      <c r="B9" s="25">
        <f>+B10+B11</f>
        <v>3306000000</v>
      </c>
      <c r="C9" s="25">
        <f>+C10+C11</f>
        <v>1161760301.05</v>
      </c>
      <c r="D9" s="25">
        <f>SUM(D10:D11)</f>
        <v>548002334.005285</v>
      </c>
      <c r="E9" s="25">
        <f>SUM(E10:E11)</f>
        <v>613757967.0447149</v>
      </c>
      <c r="F9" s="25">
        <f>SUM(F10:F11)</f>
        <v>0</v>
      </c>
      <c r="G9" s="25">
        <f>+D9+E9+F9</f>
        <v>1161760301.05</v>
      </c>
      <c r="H9" s="34" t="s">
        <v>65</v>
      </c>
      <c r="I9" s="1"/>
    </row>
    <row r="10" spans="1:9" ht="12.75">
      <c r="A10" s="29" t="s">
        <v>66</v>
      </c>
      <c r="B10" s="23">
        <v>2006000000</v>
      </c>
      <c r="C10" s="23">
        <f>+INGRESOS!T283</f>
        <v>0</v>
      </c>
      <c r="D10" s="23">
        <f>+C10*55%</f>
        <v>0</v>
      </c>
      <c r="E10" s="23">
        <f>+C10-D10</f>
        <v>0</v>
      </c>
      <c r="F10" s="23"/>
      <c r="G10" s="23">
        <f>+D10+E10+F10</f>
        <v>0</v>
      </c>
      <c r="H10" s="34" t="str">
        <f>+H9</f>
        <v>Art 44 Ley 99/93</v>
      </c>
      <c r="I10" s="1"/>
    </row>
    <row r="11" spans="1:9" ht="12.75">
      <c r="A11" s="29" t="s">
        <v>67</v>
      </c>
      <c r="B11" s="23">
        <v>1300000000</v>
      </c>
      <c r="C11" s="23">
        <f>+INGRESOS!T284</f>
        <v>1161760301.05</v>
      </c>
      <c r="D11" s="23">
        <f>+C11-E11</f>
        <v>548002334.005285</v>
      </c>
      <c r="E11" s="23">
        <f>+C11*52.83%</f>
        <v>613757967.0447149</v>
      </c>
      <c r="F11" s="23"/>
      <c r="G11" s="23">
        <f>+D11+E11+F11</f>
        <v>1161760301.05</v>
      </c>
      <c r="H11" s="34" t="str">
        <f>+H10</f>
        <v>Art 44 Ley 99/93</v>
      </c>
      <c r="I11" s="1"/>
    </row>
    <row r="12" spans="1:9" ht="12.75">
      <c r="A12" s="33" t="s">
        <v>5</v>
      </c>
      <c r="B12" s="25">
        <f>SUM(B13:B18)</f>
        <v>1864850000</v>
      </c>
      <c r="C12" s="25">
        <f>SUM(C13:C18)</f>
        <v>487596368.64</v>
      </c>
      <c r="D12" s="25">
        <f>SUM(D13:D18)</f>
        <v>415740858.87600005</v>
      </c>
      <c r="E12" s="25">
        <f>SUM(E13:E18)</f>
        <v>23095872.900000002</v>
      </c>
      <c r="F12" s="25">
        <f>SUM(F13:F18)</f>
        <v>48759637.064</v>
      </c>
      <c r="G12" s="25">
        <f>+D12+E12+F12</f>
        <v>487596368.84000003</v>
      </c>
      <c r="H12" s="34" t="s">
        <v>1</v>
      </c>
      <c r="I12" s="1"/>
    </row>
    <row r="13" spans="1:9" ht="12.75">
      <c r="A13" s="29" t="s">
        <v>68</v>
      </c>
      <c r="B13" s="23">
        <v>689850000</v>
      </c>
      <c r="C13" s="23">
        <f>+INGRESOS!T291</f>
        <v>93566330</v>
      </c>
      <c r="D13" s="23">
        <f>+C13*90%</f>
        <v>84209697</v>
      </c>
      <c r="E13" s="23">
        <v>0</v>
      </c>
      <c r="F13" s="23">
        <f>+C13*0.1</f>
        <v>9356633</v>
      </c>
      <c r="G13" s="23">
        <f aca="true" t="shared" si="0" ref="G13:G33">+D13+E13+F13</f>
        <v>93566330</v>
      </c>
      <c r="H13" s="34" t="s">
        <v>69</v>
      </c>
      <c r="I13" s="1"/>
    </row>
    <row r="14" spans="1:9" ht="12.75">
      <c r="A14" s="29" t="s">
        <v>70</v>
      </c>
      <c r="B14" s="23">
        <v>981000000</v>
      </c>
      <c r="C14" s="23">
        <f>+INGRESOS!T290</f>
        <v>256259168</v>
      </c>
      <c r="D14" s="23">
        <f>+C14*0.9</f>
        <v>230633251.20000002</v>
      </c>
      <c r="E14" s="23">
        <v>0</v>
      </c>
      <c r="F14" s="23">
        <f>+C14*0.1+0.2</f>
        <v>25625917</v>
      </c>
      <c r="G14" s="23">
        <f t="shared" si="0"/>
        <v>256259168.20000002</v>
      </c>
      <c r="H14" s="34" t="s">
        <v>71</v>
      </c>
      <c r="I14" s="1"/>
    </row>
    <row r="15" spans="1:9" ht="12.75">
      <c r="A15" s="29" t="s">
        <v>72</v>
      </c>
      <c r="B15" s="23">
        <v>62000000</v>
      </c>
      <c r="C15" s="23">
        <f>+INGRESOS!T293</f>
        <v>25662081</v>
      </c>
      <c r="D15" s="23">
        <v>0</v>
      </c>
      <c r="E15" s="23">
        <f>+C15*90%</f>
        <v>23095872.900000002</v>
      </c>
      <c r="F15" s="23">
        <f>+C15*10%</f>
        <v>2566208.1</v>
      </c>
      <c r="G15" s="23">
        <f t="shared" si="0"/>
        <v>25662081.000000004</v>
      </c>
      <c r="H15" s="34" t="s">
        <v>73</v>
      </c>
      <c r="I15" s="1"/>
    </row>
    <row r="16" spans="1:9" ht="12.75">
      <c r="A16" s="29" t="s">
        <v>74</v>
      </c>
      <c r="B16" s="23">
        <f>1000000</f>
        <v>1000000</v>
      </c>
      <c r="C16" s="23">
        <v>0</v>
      </c>
      <c r="D16" s="23">
        <v>0</v>
      </c>
      <c r="E16" s="23">
        <f>+C16*0.9</f>
        <v>0</v>
      </c>
      <c r="F16" s="23">
        <f>+C16*0.1</f>
        <v>0</v>
      </c>
      <c r="G16" s="23">
        <f t="shared" si="0"/>
        <v>0</v>
      </c>
      <c r="H16" s="34" t="s">
        <v>73</v>
      </c>
      <c r="I16" s="1"/>
    </row>
    <row r="17" spans="1:9" ht="12.75">
      <c r="A17" s="29" t="s">
        <v>32</v>
      </c>
      <c r="B17" s="23">
        <v>15000000</v>
      </c>
      <c r="C17" s="23">
        <f>+INGRESOS!T292</f>
        <v>6973691</v>
      </c>
      <c r="D17" s="23">
        <f>+C17*0.9</f>
        <v>6276321.9</v>
      </c>
      <c r="E17" s="23"/>
      <c r="F17" s="23">
        <f>+C17*0.1</f>
        <v>697369.1000000001</v>
      </c>
      <c r="G17" s="23">
        <f t="shared" si="0"/>
        <v>6973691</v>
      </c>
      <c r="H17" s="34" t="s">
        <v>73</v>
      </c>
      <c r="I17" s="1"/>
    </row>
    <row r="18" spans="1:9" ht="12.75">
      <c r="A18" s="29" t="s">
        <v>75</v>
      </c>
      <c r="B18" s="26">
        <v>116000000</v>
      </c>
      <c r="C18" s="23">
        <f>+INGRESOS!T296</f>
        <v>105135098.64</v>
      </c>
      <c r="D18" s="23">
        <f>+C18*0.9</f>
        <v>94621588.77600001</v>
      </c>
      <c r="E18" s="23">
        <v>0</v>
      </c>
      <c r="F18" s="23">
        <f>+C18*0.1</f>
        <v>10513509.864</v>
      </c>
      <c r="G18" s="23">
        <f t="shared" si="0"/>
        <v>105135098.64000002</v>
      </c>
      <c r="H18" s="34" t="s">
        <v>73</v>
      </c>
      <c r="I18" s="1"/>
    </row>
    <row r="19" spans="1:9" ht="12.75">
      <c r="A19" s="33" t="s">
        <v>76</v>
      </c>
      <c r="B19" s="25">
        <v>68500000</v>
      </c>
      <c r="C19" s="25">
        <f>+INGRESOS!T297</f>
        <v>26074698</v>
      </c>
      <c r="D19" s="25">
        <v>0</v>
      </c>
      <c r="E19" s="25">
        <f>+C19*0.9</f>
        <v>23467228.2</v>
      </c>
      <c r="F19" s="25">
        <f>+C19*0.1</f>
        <v>2607469.8000000003</v>
      </c>
      <c r="G19" s="25">
        <f t="shared" si="0"/>
        <v>26074698</v>
      </c>
      <c r="H19" s="34" t="s">
        <v>73</v>
      </c>
      <c r="I19" s="1"/>
    </row>
    <row r="20" spans="1:9" ht="12.75">
      <c r="A20" s="33" t="s">
        <v>77</v>
      </c>
      <c r="B20" s="23" t="e">
        <f>+#REF!+B21</f>
        <v>#REF!</v>
      </c>
      <c r="C20" s="25">
        <f>SUM(C21:C23)</f>
        <v>1511772478</v>
      </c>
      <c r="D20" s="25">
        <f>SUM(D21:D23)</f>
        <v>1511772478</v>
      </c>
      <c r="E20" s="25">
        <f>+E21+E22</f>
        <v>0</v>
      </c>
      <c r="F20" s="25">
        <f>+F21+F22</f>
        <v>0</v>
      </c>
      <c r="G20" s="25">
        <f>+G21+G22</f>
        <v>1365632090</v>
      </c>
      <c r="H20" s="34" t="s">
        <v>1</v>
      </c>
      <c r="I20" s="1"/>
    </row>
    <row r="21" spans="1:9" ht="12.75">
      <c r="A21" s="29" t="s">
        <v>45</v>
      </c>
      <c r="B21" s="23">
        <v>0</v>
      </c>
      <c r="C21" s="23">
        <f>+INGRESOS!T299</f>
        <v>1286432090</v>
      </c>
      <c r="D21" s="23">
        <f>+C21*100%</f>
        <v>1286432090</v>
      </c>
      <c r="E21" s="23"/>
      <c r="F21" s="23"/>
      <c r="G21" s="23">
        <f t="shared" si="0"/>
        <v>1286432090</v>
      </c>
      <c r="H21" s="34" t="s">
        <v>92</v>
      </c>
      <c r="I21" s="1"/>
    </row>
    <row r="22" spans="1:9" ht="12.75">
      <c r="A22" s="29" t="s">
        <v>48</v>
      </c>
      <c r="B22" s="23"/>
      <c r="C22" s="23">
        <f>+INGRESOS!T300</f>
        <v>79200000</v>
      </c>
      <c r="D22" s="23">
        <f>+C22*100%</f>
        <v>79200000</v>
      </c>
      <c r="E22" s="23"/>
      <c r="F22" s="23"/>
      <c r="G22" s="23">
        <f t="shared" si="0"/>
        <v>79200000</v>
      </c>
      <c r="H22" s="34" t="s">
        <v>92</v>
      </c>
      <c r="I22" s="1"/>
    </row>
    <row r="23" spans="1:9" ht="12.75">
      <c r="A23" s="29" t="s">
        <v>88</v>
      </c>
      <c r="B23" s="23"/>
      <c r="C23" s="23">
        <f>+INGRESOS!T301</f>
        <v>146140388</v>
      </c>
      <c r="D23" s="23">
        <f>+C23</f>
        <v>146140388</v>
      </c>
      <c r="E23" s="23"/>
      <c r="F23" s="23"/>
      <c r="G23" s="23">
        <f t="shared" si="0"/>
        <v>146140388</v>
      </c>
      <c r="H23" s="34" t="s">
        <v>92</v>
      </c>
      <c r="I23" s="1"/>
    </row>
    <row r="24" spans="1:9" ht="12.75">
      <c r="A24" s="33" t="s">
        <v>38</v>
      </c>
      <c r="B24" s="23">
        <f>+B26+B27</f>
        <v>1826329576.3333333</v>
      </c>
      <c r="C24" s="25">
        <f>+C25+C26+C27</f>
        <v>3271767536.55</v>
      </c>
      <c r="D24" s="25">
        <f>+D26+D27+D25</f>
        <v>2425360696.4</v>
      </c>
      <c r="E24" s="25">
        <f>+E26+E27+E25</f>
        <v>128399386.395</v>
      </c>
      <c r="F24" s="25">
        <f>+F26+F27+F25</f>
        <v>202597507.75499997</v>
      </c>
      <c r="G24" s="25">
        <f t="shared" si="0"/>
        <v>2756357590.55</v>
      </c>
      <c r="H24" s="34" t="str">
        <f>+H20</f>
        <v> </v>
      </c>
      <c r="I24" s="1"/>
    </row>
    <row r="25" spans="1:9" ht="12.75">
      <c r="A25" s="33" t="s">
        <v>83</v>
      </c>
      <c r="B25" s="23"/>
      <c r="C25" s="25">
        <f>+INGRESOS!T304</f>
        <v>2095812285</v>
      </c>
      <c r="D25" s="25">
        <f>737744285+0+691656071</f>
        <v>1429400356</v>
      </c>
      <c r="E25" s="25">
        <f>151001983-85001983</f>
        <v>66000000</v>
      </c>
      <c r="F25" s="25">
        <v>85001983</v>
      </c>
      <c r="G25" s="25">
        <f>+D25+E25+F25</f>
        <v>1580402339</v>
      </c>
      <c r="H25" s="34" t="s">
        <v>93</v>
      </c>
      <c r="I25" s="1"/>
    </row>
    <row r="26" spans="1:9" ht="12.75">
      <c r="A26" s="33" t="s">
        <v>6</v>
      </c>
      <c r="B26" s="25">
        <v>70000000</v>
      </c>
      <c r="C26" s="25">
        <f>+INGRESOS!T303</f>
        <v>69332651.55</v>
      </c>
      <c r="D26" s="25">
        <v>0</v>
      </c>
      <c r="E26" s="25">
        <f>+C26*0.9</f>
        <v>62399386.394999996</v>
      </c>
      <c r="F26" s="25">
        <f>+C26*0.1</f>
        <v>6933265.155</v>
      </c>
      <c r="G26" s="25">
        <f t="shared" si="0"/>
        <v>69332651.55</v>
      </c>
      <c r="H26" s="34" t="str">
        <f>+H19</f>
        <v>Art 46 Ley 99/93</v>
      </c>
      <c r="I26" s="1"/>
    </row>
    <row r="27" spans="1:9" ht="12.75">
      <c r="A27" s="33" t="s">
        <v>78</v>
      </c>
      <c r="B27" s="23">
        <f>+B28+B29</f>
        <v>1756329576.3333333</v>
      </c>
      <c r="C27" s="25">
        <f>+C28+C29</f>
        <v>1106622600</v>
      </c>
      <c r="D27" s="25">
        <f>SUM(D28:D29)</f>
        <v>995960340.4000001</v>
      </c>
      <c r="E27" s="25">
        <f>SUM(E28:E29)</f>
        <v>0</v>
      </c>
      <c r="F27" s="25">
        <f>SUM(F28:F29)</f>
        <v>110662259.59999996</v>
      </c>
      <c r="G27" s="25">
        <f>+D27+E27+F27</f>
        <v>1106622600</v>
      </c>
      <c r="H27" s="34" t="str">
        <f>+H11</f>
        <v>Art 44 Ley 99/93</v>
      </c>
      <c r="I27" s="1"/>
    </row>
    <row r="28" spans="1:9" ht="12.75">
      <c r="A28" s="29" t="s">
        <v>31</v>
      </c>
      <c r="B28" s="23">
        <v>585175077</v>
      </c>
      <c r="C28" s="23">
        <f>+INGRESOS!T306</f>
        <v>225724052</v>
      </c>
      <c r="D28" s="23">
        <f>+C28*90%</f>
        <v>203151646.8</v>
      </c>
      <c r="E28" s="23"/>
      <c r="F28" s="23">
        <f>+C28-D28</f>
        <v>22572405.199999988</v>
      </c>
      <c r="G28" s="23">
        <f t="shared" si="0"/>
        <v>225724052</v>
      </c>
      <c r="H28" s="34" t="str">
        <f>+H13</f>
        <v>Art 43 Ley 99/93</v>
      </c>
      <c r="I28" s="1"/>
    </row>
    <row r="29" spans="1:9" ht="12.75">
      <c r="A29" s="35" t="s">
        <v>70</v>
      </c>
      <c r="B29" s="23">
        <f>3513463498/3</f>
        <v>1171154499.3333333</v>
      </c>
      <c r="C29" s="23">
        <f>+INGRESOS!T307</f>
        <v>880898548</v>
      </c>
      <c r="D29" s="23">
        <f>+C29*90%+0.4</f>
        <v>792808693.6</v>
      </c>
      <c r="E29" s="23"/>
      <c r="F29" s="23">
        <f>+C29-D29</f>
        <v>88089854.39999998</v>
      </c>
      <c r="G29" s="23">
        <f t="shared" si="0"/>
        <v>880898548</v>
      </c>
      <c r="H29" s="34" t="str">
        <f>+H14</f>
        <v>Art 42 Ley 99/93</v>
      </c>
      <c r="I29" s="1"/>
    </row>
    <row r="30" spans="1:9" ht="12.75">
      <c r="A30" s="33"/>
      <c r="B30" s="23"/>
      <c r="C30" s="23" t="s">
        <v>1</v>
      </c>
      <c r="D30" s="23"/>
      <c r="E30" s="23"/>
      <c r="F30" s="23"/>
      <c r="G30" s="23" t="s">
        <v>1</v>
      </c>
      <c r="H30" s="34"/>
      <c r="I30" s="1"/>
    </row>
    <row r="31" spans="1:9" ht="12.75">
      <c r="A31" s="32" t="s">
        <v>79</v>
      </c>
      <c r="B31" s="23" t="e">
        <f>+B8+B9+B12+B19+B24+B20</f>
        <v>#REF!</v>
      </c>
      <c r="C31" s="25">
        <f>+C8+C9+C12+C19+C20+C24</f>
        <v>8600047107.240002</v>
      </c>
      <c r="D31" s="25">
        <f>+D8+D9+D12+D19+D24+D20</f>
        <v>6399629374.781285</v>
      </c>
      <c r="E31" s="25">
        <f>+E8+E9+E12+E19+E24+E20</f>
        <v>1002828027.0397149</v>
      </c>
      <c r="F31" s="25">
        <f>+F8+F9+F12+F19+F24+F20</f>
        <v>682179759.619</v>
      </c>
      <c r="G31" s="25">
        <f>+D31+E31+F31</f>
        <v>8084637161.440001</v>
      </c>
      <c r="H31" s="34" t="s">
        <v>1</v>
      </c>
      <c r="I31" s="1"/>
    </row>
    <row r="32" spans="1:9" ht="12.75">
      <c r="A32" s="29"/>
      <c r="B32" s="23" t="s">
        <v>1</v>
      </c>
      <c r="C32" s="23" t="s">
        <v>1</v>
      </c>
      <c r="D32" s="23"/>
      <c r="E32" s="23" t="s">
        <v>1</v>
      </c>
      <c r="F32" s="23" t="s">
        <v>1</v>
      </c>
      <c r="G32" s="23" t="s">
        <v>1</v>
      </c>
      <c r="H32" s="36" t="s">
        <v>1</v>
      </c>
      <c r="I32" s="1"/>
    </row>
    <row r="33" spans="1:9" ht="12.75">
      <c r="A33" s="33" t="s">
        <v>80</v>
      </c>
      <c r="B33" s="23">
        <v>1242271202</v>
      </c>
      <c r="C33" s="25">
        <f>+INGRESOS!T311</f>
        <v>1918210070</v>
      </c>
      <c r="D33" s="25">
        <v>1155800000</v>
      </c>
      <c r="E33" s="25">
        <f>+C33-D33</f>
        <v>762410070</v>
      </c>
      <c r="F33" s="25">
        <v>0</v>
      </c>
      <c r="G33" s="25">
        <f t="shared" si="0"/>
        <v>1918210070</v>
      </c>
      <c r="H33" s="37" t="s">
        <v>81</v>
      </c>
      <c r="I33" s="1"/>
    </row>
    <row r="34" spans="1:9" ht="12.75">
      <c r="A34" s="33" t="s">
        <v>1</v>
      </c>
      <c r="B34" s="23"/>
      <c r="C34" s="23" t="s">
        <v>1</v>
      </c>
      <c r="D34" s="23"/>
      <c r="E34" s="23" t="s">
        <v>1</v>
      </c>
      <c r="F34" s="23" t="s">
        <v>1</v>
      </c>
      <c r="G34" s="23"/>
      <c r="H34" s="37"/>
      <c r="I34" s="1"/>
    </row>
    <row r="35" spans="1:9" ht="12.75">
      <c r="A35" s="33" t="s">
        <v>82</v>
      </c>
      <c r="B35" s="23" t="e">
        <f aca="true" t="shared" si="1" ref="B35:G35">+B31+B33</f>
        <v>#REF!</v>
      </c>
      <c r="C35" s="25">
        <f>+C31+C33</f>
        <v>10518257177.240002</v>
      </c>
      <c r="D35" s="25">
        <f t="shared" si="1"/>
        <v>7555429374.781285</v>
      </c>
      <c r="E35" s="25">
        <f t="shared" si="1"/>
        <v>1765238097.0397148</v>
      </c>
      <c r="F35" s="25">
        <f t="shared" si="1"/>
        <v>682179759.619</v>
      </c>
      <c r="G35" s="25">
        <f t="shared" si="1"/>
        <v>10002847231.44</v>
      </c>
      <c r="H35" s="37"/>
      <c r="I35" s="1"/>
    </row>
    <row r="36" spans="1:9" ht="12.75">
      <c r="A36" s="29"/>
      <c r="B36" s="20"/>
      <c r="C36" s="23" t="s">
        <v>1</v>
      </c>
      <c r="D36" s="20"/>
      <c r="E36" s="23" t="s">
        <v>1</v>
      </c>
      <c r="F36" s="20"/>
      <c r="G36" s="20"/>
      <c r="H36" s="28"/>
      <c r="I36" s="1"/>
    </row>
    <row r="37" spans="1:8" ht="12.75">
      <c r="A37" s="29"/>
      <c r="B37" s="20"/>
      <c r="C37" s="20"/>
      <c r="D37" s="23"/>
      <c r="E37" s="23"/>
      <c r="F37" s="20"/>
      <c r="G37" s="20"/>
      <c r="H37" s="28"/>
    </row>
    <row r="38" spans="1:8" ht="12.75">
      <c r="A38" s="33" t="s">
        <v>94</v>
      </c>
      <c r="B38" s="24"/>
      <c r="C38" s="24"/>
      <c r="D38" s="23"/>
      <c r="E38" s="23"/>
      <c r="F38" s="20"/>
      <c r="G38" s="20"/>
      <c r="H38" s="28"/>
    </row>
    <row r="39" spans="1:8" ht="12.75">
      <c r="A39" s="29"/>
      <c r="B39" s="20"/>
      <c r="C39" s="20"/>
      <c r="D39" s="23"/>
      <c r="E39" s="23"/>
      <c r="F39" s="20"/>
      <c r="G39" s="20"/>
      <c r="H39" s="28"/>
    </row>
    <row r="40" spans="1:8" ht="12.75">
      <c r="A40" s="29"/>
      <c r="B40" s="20"/>
      <c r="C40" s="20"/>
      <c r="D40" s="23"/>
      <c r="E40" s="23"/>
      <c r="F40" s="20"/>
      <c r="G40" s="20"/>
      <c r="H40" s="28"/>
    </row>
    <row r="41" spans="1:8" ht="12.75">
      <c r="A41" s="29"/>
      <c r="B41" s="20"/>
      <c r="C41" s="20"/>
      <c r="D41" s="20"/>
      <c r="E41" s="20"/>
      <c r="F41" s="20"/>
      <c r="G41" s="20"/>
      <c r="H41" s="28"/>
    </row>
    <row r="42" spans="1:8" ht="12.75">
      <c r="A42" s="29"/>
      <c r="B42" s="20"/>
      <c r="C42" s="20"/>
      <c r="D42" s="20"/>
      <c r="E42" s="20"/>
      <c r="F42" s="20"/>
      <c r="G42" s="20"/>
      <c r="H42" s="28"/>
    </row>
    <row r="43" spans="1:8" ht="12.75">
      <c r="A43" s="29"/>
      <c r="B43" s="20"/>
      <c r="C43" s="20"/>
      <c r="D43" s="20"/>
      <c r="E43" s="20"/>
      <c r="F43" s="20"/>
      <c r="G43" s="20"/>
      <c r="H43" s="28"/>
    </row>
    <row r="44" spans="1:8" ht="12.75">
      <c r="A44" s="29"/>
      <c r="B44" s="20"/>
      <c r="C44" s="20"/>
      <c r="D44" s="20"/>
      <c r="E44" s="20"/>
      <c r="F44" s="20"/>
      <c r="G44" s="20"/>
      <c r="H44" s="28"/>
    </row>
    <row r="45" spans="1:8" ht="12.75">
      <c r="A45" s="29"/>
      <c r="B45" s="20"/>
      <c r="C45" s="20"/>
      <c r="D45" s="20"/>
      <c r="E45" s="20"/>
      <c r="F45" s="20"/>
      <c r="G45" s="20"/>
      <c r="H45" s="28"/>
    </row>
    <row r="46" spans="1:8" ht="12.75">
      <c r="A46" s="33" t="s">
        <v>90</v>
      </c>
      <c r="B46" s="20"/>
      <c r="C46" s="20"/>
      <c r="D46" s="20"/>
      <c r="E46" s="20"/>
      <c r="F46" s="20"/>
      <c r="G46" s="20"/>
      <c r="H46" s="28"/>
    </row>
    <row r="47" spans="1:8" ht="12.75">
      <c r="A47" s="33" t="s">
        <v>91</v>
      </c>
      <c r="B47" s="20"/>
      <c r="C47" s="20"/>
      <c r="D47" s="20"/>
      <c r="E47" s="20"/>
      <c r="F47" s="20"/>
      <c r="G47" s="20"/>
      <c r="H47" s="28"/>
    </row>
    <row r="48" spans="1:8" ht="13.5" thickBot="1">
      <c r="A48" s="38"/>
      <c r="B48" s="39"/>
      <c r="C48" s="39"/>
      <c r="D48" s="39"/>
      <c r="E48" s="39"/>
      <c r="F48" s="39"/>
      <c r="G48" s="39"/>
      <c r="H48" s="40"/>
    </row>
  </sheetData>
  <mergeCells count="4">
    <mergeCell ref="A1:G1"/>
    <mergeCell ref="A2:G2"/>
    <mergeCell ref="D4:D5"/>
    <mergeCell ref="E4:E5"/>
  </mergeCells>
  <printOptions/>
  <pageMargins left="0.75" right="0.75" top="1" bottom="1" header="0" footer="0"/>
  <pageSetup horizontalDpi="120" verticalDpi="12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6"/>
  <sheetViews>
    <sheetView tabSelected="1" workbookViewId="0" topLeftCell="A1">
      <selection activeCell="A1" sqref="A1:X1"/>
    </sheetView>
  </sheetViews>
  <sheetFormatPr defaultColWidth="11.421875" defaultRowHeight="12.75"/>
  <cols>
    <col min="1" max="1" width="40.421875" style="0" customWidth="1"/>
    <col min="2" max="2" width="22.57421875" style="0" customWidth="1"/>
    <col min="3" max="3" width="16.28125" style="0" hidden="1" customWidth="1"/>
    <col min="4" max="4" width="18.28125" style="0" hidden="1" customWidth="1"/>
    <col min="5" max="5" width="17.57421875" style="0" hidden="1" customWidth="1"/>
    <col min="6" max="6" width="21.140625" style="0" hidden="1" customWidth="1"/>
    <col min="7" max="7" width="15.7109375" style="0" hidden="1" customWidth="1"/>
    <col min="8" max="8" width="15.8515625" style="0" hidden="1" customWidth="1"/>
    <col min="9" max="14" width="11.421875" style="0" hidden="1" customWidth="1"/>
    <col min="15" max="15" width="18.8515625" style="0" customWidth="1"/>
    <col min="16" max="16" width="21.00390625" style="0" customWidth="1"/>
    <col min="17" max="17" width="21.00390625" style="0" hidden="1" customWidth="1"/>
    <col min="18" max="18" width="21.8515625" style="0" customWidth="1"/>
    <col min="19" max="20" width="18.28125" style="0" hidden="1" customWidth="1"/>
    <col min="21" max="21" width="17.57421875" style="0" customWidth="1"/>
    <col min="22" max="22" width="25.140625" style="0" customWidth="1"/>
    <col min="23" max="23" width="18.140625" style="0" customWidth="1"/>
    <col min="24" max="24" width="14.00390625" style="0" customWidth="1"/>
    <col min="25" max="25" width="15.8515625" style="0" bestFit="1" customWidth="1"/>
    <col min="26" max="26" width="18.140625" style="0" customWidth="1"/>
    <col min="27" max="27" width="16.57421875" style="0" customWidth="1"/>
    <col min="28" max="28" width="18.421875" style="0" customWidth="1"/>
    <col min="29" max="29" width="13.7109375" style="0" bestFit="1" customWidth="1"/>
    <col min="30" max="30" width="15.7109375" style="0" customWidth="1"/>
    <col min="31" max="31" width="13.00390625" style="0" customWidth="1"/>
  </cols>
  <sheetData>
    <row r="1" spans="1:24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12.75">
      <c r="A2" s="49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12.75">
      <c r="A3" s="4"/>
      <c r="B3" s="3" t="s">
        <v>1</v>
      </c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 t="s">
        <v>1</v>
      </c>
      <c r="S3" s="3"/>
      <c r="T3" s="3"/>
      <c r="U3" s="17">
        <v>39904</v>
      </c>
      <c r="V3" s="3" t="s">
        <v>1</v>
      </c>
      <c r="W3" s="5"/>
      <c r="X3" s="5"/>
    </row>
    <row r="4" spans="1:28" ht="25.5">
      <c r="A4" s="4" t="s">
        <v>7</v>
      </c>
      <c r="B4" s="6" t="s">
        <v>10</v>
      </c>
      <c r="C4" s="48" t="s">
        <v>11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5"/>
      <c r="O4" s="4" t="s">
        <v>2</v>
      </c>
      <c r="P4" s="6" t="s">
        <v>12</v>
      </c>
      <c r="Q4" s="6" t="s">
        <v>95</v>
      </c>
      <c r="R4" s="8" t="s">
        <v>50</v>
      </c>
      <c r="S4" s="8"/>
      <c r="T4" s="8"/>
      <c r="U4" s="8" t="s">
        <v>96</v>
      </c>
      <c r="V4" s="8"/>
      <c r="W4" s="6"/>
      <c r="X4" s="6"/>
      <c r="Y4" s="8"/>
      <c r="Z4" s="8"/>
      <c r="AA4" s="8"/>
      <c r="AB4" s="8"/>
    </row>
    <row r="5" spans="1:24" ht="12.75">
      <c r="A5" s="4" t="s">
        <v>1</v>
      </c>
      <c r="B5" s="4" t="s">
        <v>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8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21</v>
      </c>
      <c r="M5" s="4" t="s">
        <v>22</v>
      </c>
      <c r="N5" s="4" t="s">
        <v>23</v>
      </c>
      <c r="O5" s="4"/>
      <c r="P5" s="4"/>
      <c r="Q5" s="4"/>
      <c r="R5" s="4"/>
      <c r="S5" s="4"/>
      <c r="T5" s="4"/>
      <c r="U5" s="4"/>
      <c r="V5" s="4"/>
      <c r="W5" s="4"/>
      <c r="X5" s="4"/>
    </row>
    <row r="6" spans="1:27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"/>
      <c r="S6" s="3"/>
      <c r="T6" s="3"/>
      <c r="U6" s="3"/>
      <c r="V6" s="4"/>
      <c r="W6" s="4"/>
      <c r="X6" s="4"/>
      <c r="AA6" s="1"/>
    </row>
    <row r="7" spans="1:24" ht="12.75">
      <c r="A7" s="9" t="s">
        <v>24</v>
      </c>
      <c r="B7" s="3">
        <f>+B9+B14</f>
        <v>8331515258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>
        <f>+O9+O14</f>
        <v>56086490</v>
      </c>
      <c r="P7" s="3">
        <f>+P9+P14</f>
        <v>8387601748</v>
      </c>
      <c r="Q7" s="3">
        <f>+Q9+Q14</f>
        <v>5028404</v>
      </c>
      <c r="R7" s="3">
        <f>+R9+R14</f>
        <v>990002669.64</v>
      </c>
      <c r="S7" s="3"/>
      <c r="T7" s="3"/>
      <c r="U7" s="3">
        <f>+R7/P7*100</f>
        <v>11.80316733416752</v>
      </c>
      <c r="V7" s="3" t="s">
        <v>1</v>
      </c>
      <c r="W7" s="3"/>
      <c r="X7" s="4"/>
    </row>
    <row r="8" spans="1:24" ht="12.7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 t="s">
        <v>1</v>
      </c>
      <c r="S8" s="3"/>
      <c r="T8" s="3"/>
      <c r="U8" s="3" t="s">
        <v>1</v>
      </c>
      <c r="V8" s="4"/>
      <c r="W8" s="4"/>
      <c r="X8" s="4"/>
    </row>
    <row r="9" spans="1:28" ht="12.75">
      <c r="A9" s="7" t="s">
        <v>3</v>
      </c>
      <c r="B9" s="10">
        <f>+B10</f>
        <v>3679578000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0">
        <f>+O10</f>
        <v>0</v>
      </c>
      <c r="P9" s="11">
        <f>+B9+O9</f>
        <v>3679578000</v>
      </c>
      <c r="Q9" s="10">
        <f>+Q10</f>
        <v>0</v>
      </c>
      <c r="R9" s="3">
        <f>+R10</f>
        <v>613406753</v>
      </c>
      <c r="S9" s="3"/>
      <c r="T9" s="3"/>
      <c r="U9" s="3">
        <f aca="true" t="shared" si="0" ref="U9:U31">+R9/P9*100</f>
        <v>16.6705734461941</v>
      </c>
      <c r="V9" s="10"/>
      <c r="W9" s="3"/>
      <c r="X9" s="3"/>
      <c r="Y9" s="10"/>
      <c r="Z9" s="10"/>
      <c r="AA9" s="10"/>
      <c r="AB9" s="1"/>
    </row>
    <row r="10" spans="1:28" ht="12.75">
      <c r="A10" s="7" t="s">
        <v>25</v>
      </c>
      <c r="B10" s="10">
        <f>+B11+B12</f>
        <v>3679578000</v>
      </c>
      <c r="C10" s="11"/>
      <c r="D10" s="11">
        <v>177520</v>
      </c>
      <c r="E10" s="11"/>
      <c r="F10" s="11">
        <v>165006728</v>
      </c>
      <c r="G10" s="11">
        <v>1414514385</v>
      </c>
      <c r="H10" s="11">
        <v>4948458</v>
      </c>
      <c r="I10" s="11">
        <v>573117327</v>
      </c>
      <c r="J10" s="11">
        <f>139033811-14448995.38</f>
        <v>124584815.62</v>
      </c>
      <c r="K10" s="11">
        <v>93361900</v>
      </c>
      <c r="L10" s="11">
        <v>25720312</v>
      </c>
      <c r="M10" s="11">
        <v>242733948</v>
      </c>
      <c r="N10" s="11">
        <f>65086606+14219504.38-900076.38-6867260+6687809</f>
        <v>78226583</v>
      </c>
      <c r="O10" s="10">
        <f>+O11+O12</f>
        <v>0</v>
      </c>
      <c r="P10" s="11">
        <f>+B10+O10</f>
        <v>3679578000</v>
      </c>
      <c r="Q10" s="10">
        <f>+Q11+Q12</f>
        <v>0</v>
      </c>
      <c r="R10" s="3">
        <f>+R11+R12</f>
        <v>613406753</v>
      </c>
      <c r="S10" s="3"/>
      <c r="T10" s="3"/>
      <c r="U10" s="3">
        <f t="shared" si="0"/>
        <v>16.6705734461941</v>
      </c>
      <c r="V10" s="10"/>
      <c r="W10" s="3"/>
      <c r="X10" s="3"/>
      <c r="Y10" s="10"/>
      <c r="Z10" s="10"/>
      <c r="AA10" s="10"/>
      <c r="AB10" s="1"/>
    </row>
    <row r="11" spans="1:28" ht="12.75">
      <c r="A11" s="5" t="s">
        <v>26</v>
      </c>
      <c r="B11" s="11">
        <f>+'[3]ingresos'!$C$10</f>
        <v>2232678000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0</v>
      </c>
      <c r="P11" s="11">
        <f>+B11+O11</f>
        <v>2232678000</v>
      </c>
      <c r="Q11" s="11">
        <v>0</v>
      </c>
      <c r="R11" s="3">
        <v>0</v>
      </c>
      <c r="S11" s="3"/>
      <c r="T11" s="3"/>
      <c r="U11" s="3">
        <f t="shared" si="0"/>
        <v>0</v>
      </c>
      <c r="V11" s="11"/>
      <c r="W11" s="3"/>
      <c r="X11" s="3"/>
      <c r="Y11" s="11"/>
      <c r="Z11" s="11"/>
      <c r="AA11" s="11"/>
      <c r="AB11" s="1"/>
    </row>
    <row r="12" spans="1:28" ht="12.75">
      <c r="A12" s="5" t="s">
        <v>27</v>
      </c>
      <c r="B12" s="11">
        <f>+'[3]ingresos'!$C$11</f>
        <v>1446900000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>+'[4]ENERO 09'!$B$44</f>
        <v>0</v>
      </c>
      <c r="P12" s="11">
        <f>+B12+O12</f>
        <v>1446900000</v>
      </c>
      <c r="Q12" s="11">
        <v>0</v>
      </c>
      <c r="R12" s="3">
        <v>613406753</v>
      </c>
      <c r="S12" s="3"/>
      <c r="T12" s="3"/>
      <c r="U12" s="3">
        <f t="shared" si="0"/>
        <v>42.394550625475155</v>
      </c>
      <c r="V12" s="11"/>
      <c r="W12" s="3"/>
      <c r="X12" s="3"/>
      <c r="Y12" s="11"/>
      <c r="Z12" s="11"/>
      <c r="AA12" s="11"/>
      <c r="AB12" s="1"/>
    </row>
    <row r="13" spans="1:28" ht="12.75">
      <c r="A13" s="7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 t="s">
        <v>1</v>
      </c>
      <c r="Q13" s="10"/>
      <c r="R13" s="3" t="s">
        <v>1</v>
      </c>
      <c r="S13" s="3"/>
      <c r="T13" s="3"/>
      <c r="U13" s="3" t="s">
        <v>52</v>
      </c>
      <c r="V13" s="10"/>
      <c r="W13" s="3"/>
      <c r="X13" s="3"/>
      <c r="Y13" s="10"/>
      <c r="Z13" s="10"/>
      <c r="AA13" s="10"/>
      <c r="AB13" s="1"/>
    </row>
    <row r="14" spans="1:28" ht="12.75">
      <c r="A14" s="7" t="s">
        <v>4</v>
      </c>
      <c r="B14" s="10">
        <f>+B15+B16+B25+B26</f>
        <v>4651937258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>
        <f>+O15+O16+O25+O26</f>
        <v>56086490</v>
      </c>
      <c r="P14" s="10">
        <f>+P15+P16+P25+P26</f>
        <v>4708023748</v>
      </c>
      <c r="Q14" s="10">
        <f>+Q15+Q16+Q25+Q26</f>
        <v>5028404</v>
      </c>
      <c r="R14" s="3">
        <f>+R15+R16+R25</f>
        <v>376595916.64</v>
      </c>
      <c r="S14" s="3"/>
      <c r="T14" s="3"/>
      <c r="U14" s="3">
        <f t="shared" si="0"/>
        <v>7.99902330144321</v>
      </c>
      <c r="V14" s="10"/>
      <c r="W14" s="3"/>
      <c r="X14" s="3"/>
      <c r="Y14" s="10"/>
      <c r="Z14" s="10"/>
      <c r="AA14" s="10"/>
      <c r="AB14" s="1"/>
    </row>
    <row r="15" spans="1:28" ht="12.75">
      <c r="A15" s="7" t="s">
        <v>28</v>
      </c>
      <c r="B15" s="10">
        <v>2917925258</v>
      </c>
      <c r="C15" s="11">
        <v>0</v>
      </c>
      <c r="D15" s="11">
        <v>0</v>
      </c>
      <c r="E15" s="11">
        <v>0</v>
      </c>
      <c r="F15" s="11">
        <v>196495882</v>
      </c>
      <c r="G15" s="11">
        <v>164927418</v>
      </c>
      <c r="H15" s="11">
        <v>262941303</v>
      </c>
      <c r="I15" s="11">
        <v>280282246</v>
      </c>
      <c r="J15" s="11">
        <v>246192273</v>
      </c>
      <c r="K15" s="11">
        <v>308626989</v>
      </c>
      <c r="L15" s="11">
        <v>243645342</v>
      </c>
      <c r="M15" s="11">
        <v>247491577</v>
      </c>
      <c r="N15" s="11">
        <v>165492691</v>
      </c>
      <c r="O15" s="11">
        <v>0</v>
      </c>
      <c r="P15" s="11">
        <f aca="true" t="shared" si="1" ref="P15:P31">+B15+O15</f>
        <v>2917925258</v>
      </c>
      <c r="Q15" s="10">
        <v>0</v>
      </c>
      <c r="R15" s="3">
        <v>291070670</v>
      </c>
      <c r="S15" s="3"/>
      <c r="T15" s="3"/>
      <c r="U15" s="3">
        <f t="shared" si="0"/>
        <v>9.975261333441598</v>
      </c>
      <c r="V15" s="10"/>
      <c r="W15" s="3"/>
      <c r="X15" s="3"/>
      <c r="Y15" s="10"/>
      <c r="Z15" s="10"/>
      <c r="AA15" s="10"/>
      <c r="AB15" s="1"/>
    </row>
    <row r="16" spans="1:28" ht="12.75">
      <c r="A16" s="7" t="s">
        <v>5</v>
      </c>
      <c r="B16" s="10">
        <f>+B17+B21+B22+B23</f>
        <v>1653024000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0">
        <f>+O17+O21+O22+O23</f>
        <v>0</v>
      </c>
      <c r="P16" s="11">
        <f t="shared" si="1"/>
        <v>1653024000</v>
      </c>
      <c r="Q16" s="10">
        <f>+Q17+Q21+Q22+Q23</f>
        <v>3440508</v>
      </c>
      <c r="R16" s="3">
        <f>+R17+R21+R22+R23</f>
        <v>62787744.64</v>
      </c>
      <c r="S16" s="3"/>
      <c r="T16" s="3"/>
      <c r="U16" s="3">
        <f t="shared" si="0"/>
        <v>3.79835650541069</v>
      </c>
      <c r="V16" s="10"/>
      <c r="W16" s="3"/>
      <c r="X16" s="3"/>
      <c r="Y16" s="10"/>
      <c r="Z16" s="10"/>
      <c r="AA16" s="10"/>
      <c r="AB16" s="1"/>
    </row>
    <row r="17" spans="1:28" ht="12.75">
      <c r="A17" s="7" t="s">
        <v>29</v>
      </c>
      <c r="B17" s="10">
        <f>SUM(B18:B20)</f>
        <v>1419629000</v>
      </c>
      <c r="C17" s="11">
        <f>SUM(C18:C20)</f>
        <v>0</v>
      </c>
      <c r="D17" s="11">
        <f aca="true" t="shared" si="2" ref="D17:N17">SUM(D18:D20)</f>
        <v>9764370</v>
      </c>
      <c r="E17" s="11">
        <f t="shared" si="2"/>
        <v>1633088</v>
      </c>
      <c r="F17" s="11">
        <f t="shared" si="2"/>
        <v>9527326</v>
      </c>
      <c r="G17" s="11">
        <f t="shared" si="2"/>
        <v>5166613</v>
      </c>
      <c r="H17" s="11">
        <f t="shared" si="2"/>
        <v>8550758</v>
      </c>
      <c r="I17" s="11">
        <f t="shared" si="2"/>
        <v>19667967</v>
      </c>
      <c r="J17" s="11">
        <f t="shared" si="2"/>
        <v>32121947.88</v>
      </c>
      <c r="K17" s="11">
        <f t="shared" si="2"/>
        <v>57803883</v>
      </c>
      <c r="L17" s="11">
        <f t="shared" si="2"/>
        <v>248550137</v>
      </c>
      <c r="M17" s="11">
        <f t="shared" si="2"/>
        <v>56476839</v>
      </c>
      <c r="N17" s="11">
        <f t="shared" si="2"/>
        <v>203635166</v>
      </c>
      <c r="O17" s="10">
        <f>SUM(O18:O20)</f>
        <v>0</v>
      </c>
      <c r="P17" s="11">
        <f t="shared" si="1"/>
        <v>1419629000</v>
      </c>
      <c r="Q17" s="10">
        <f>SUM(Q18:Q20)</f>
        <v>0</v>
      </c>
      <c r="R17" s="3">
        <f>+R18+R19+R20</f>
        <v>3175176</v>
      </c>
      <c r="S17" s="3"/>
      <c r="T17" s="3"/>
      <c r="U17" s="3">
        <f t="shared" si="0"/>
        <v>0.22366237939630706</v>
      </c>
      <c r="V17" s="10"/>
      <c r="W17" s="3"/>
      <c r="X17" s="3"/>
      <c r="Y17" s="10"/>
      <c r="Z17" s="10"/>
      <c r="AA17" s="10"/>
      <c r="AB17" s="1"/>
    </row>
    <row r="18" spans="1:28" ht="12.75">
      <c r="A18" s="5" t="s">
        <v>30</v>
      </c>
      <c r="B18" s="11">
        <v>895837000</v>
      </c>
      <c r="C18" s="11">
        <v>0</v>
      </c>
      <c r="D18" s="11">
        <v>9764370</v>
      </c>
      <c r="E18" s="11">
        <v>0</v>
      </c>
      <c r="F18" s="11">
        <f>274606+765092</f>
        <v>1039698</v>
      </c>
      <c r="G18" s="11">
        <v>4660304</v>
      </c>
      <c r="H18" s="11">
        <v>7848958</v>
      </c>
      <c r="I18" s="11">
        <v>15343416</v>
      </c>
      <c r="J18" s="11">
        <v>22521927</v>
      </c>
      <c r="K18" s="11">
        <v>33311437</v>
      </c>
      <c r="L18" s="11">
        <f>309295398-94490110</f>
        <v>214805288</v>
      </c>
      <c r="M18" s="11">
        <v>28836508</v>
      </c>
      <c r="N18" s="11">
        <f>98225097-2027734+2337372</f>
        <v>98534735</v>
      </c>
      <c r="O18" s="11">
        <f>+'[4]ENERO 09'!$B$32</f>
        <v>0</v>
      </c>
      <c r="P18" s="11">
        <f t="shared" si="1"/>
        <v>895837000</v>
      </c>
      <c r="Q18" s="11">
        <v>0</v>
      </c>
      <c r="R18" s="3">
        <v>0</v>
      </c>
      <c r="S18" s="3"/>
      <c r="T18" s="3"/>
      <c r="U18" s="3">
        <f t="shared" si="0"/>
        <v>0</v>
      </c>
      <c r="V18" s="11"/>
      <c r="W18" s="3"/>
      <c r="X18" s="3"/>
      <c r="Y18" s="11"/>
      <c r="Z18" s="11"/>
      <c r="AA18" s="11"/>
      <c r="AB18" s="1"/>
    </row>
    <row r="19" spans="1:28" ht="12.75">
      <c r="A19" s="5" t="s">
        <v>31</v>
      </c>
      <c r="B19" s="11">
        <v>511069000</v>
      </c>
      <c r="C19" s="11"/>
      <c r="D19" s="11">
        <v>0</v>
      </c>
      <c r="E19" s="11">
        <v>0</v>
      </c>
      <c r="F19" s="11">
        <v>0</v>
      </c>
      <c r="G19" s="11">
        <v>0</v>
      </c>
      <c r="H19" s="11">
        <v>25090</v>
      </c>
      <c r="I19" s="11">
        <v>946365</v>
      </c>
      <c r="J19" s="11">
        <v>8764131</v>
      </c>
      <c r="K19" s="11">
        <v>21523596</v>
      </c>
      <c r="L19" s="11">
        <v>33159819</v>
      </c>
      <c r="M19" s="11">
        <v>27504331</v>
      </c>
      <c r="N19" s="11">
        <f>101300092+707323</f>
        <v>102007415</v>
      </c>
      <c r="O19" s="11">
        <f>+'[4]ENERO 09'!$F$98</f>
        <v>0</v>
      </c>
      <c r="P19" s="11">
        <f t="shared" si="1"/>
        <v>511069000</v>
      </c>
      <c r="Q19" s="11">
        <v>0</v>
      </c>
      <c r="R19" s="3">
        <v>0</v>
      </c>
      <c r="S19" s="3"/>
      <c r="T19" s="3"/>
      <c r="U19" s="3">
        <f t="shared" si="0"/>
        <v>0</v>
      </c>
      <c r="V19" s="11"/>
      <c r="W19" s="3"/>
      <c r="X19" s="3"/>
      <c r="Y19" s="11"/>
      <c r="Z19" s="11"/>
      <c r="AA19" s="11"/>
      <c r="AB19" s="1"/>
    </row>
    <row r="20" spans="1:28" ht="12.75">
      <c r="A20" s="5" t="s">
        <v>32</v>
      </c>
      <c r="B20" s="11">
        <v>12723000</v>
      </c>
      <c r="C20" s="11"/>
      <c r="D20" s="11"/>
      <c r="E20" s="11">
        <v>1633088</v>
      </c>
      <c r="F20" s="11">
        <v>8487628</v>
      </c>
      <c r="G20" s="11">
        <v>506309</v>
      </c>
      <c r="H20" s="11">
        <v>676710</v>
      </c>
      <c r="I20" s="11">
        <v>3378186</v>
      </c>
      <c r="J20" s="11">
        <f>628640+207249.88</f>
        <v>835889.88</v>
      </c>
      <c r="K20" s="11">
        <v>2968850</v>
      </c>
      <c r="L20" s="11">
        <v>585030</v>
      </c>
      <c r="M20" s="11">
        <v>136000</v>
      </c>
      <c r="N20" s="11">
        <f>22300706.88-19207690.88</f>
        <v>3093016</v>
      </c>
      <c r="O20" s="11"/>
      <c r="P20" s="11">
        <f t="shared" si="1"/>
        <v>12723000</v>
      </c>
      <c r="Q20" s="11">
        <v>0</v>
      </c>
      <c r="R20" s="3">
        <v>3175176</v>
      </c>
      <c r="S20" s="3"/>
      <c r="T20" s="3"/>
      <c r="U20" s="3">
        <f t="shared" si="0"/>
        <v>24.956189577929734</v>
      </c>
      <c r="V20" s="11"/>
      <c r="W20" s="3"/>
      <c r="X20" s="3"/>
      <c r="Y20" s="11"/>
      <c r="Z20" s="11"/>
      <c r="AA20" s="11"/>
      <c r="AB20" s="1"/>
    </row>
    <row r="21" spans="1:28" ht="12.75">
      <c r="A21" s="7" t="s">
        <v>33</v>
      </c>
      <c r="B21" s="10">
        <v>54428000</v>
      </c>
      <c r="C21" s="11">
        <v>426256</v>
      </c>
      <c r="D21" s="11">
        <v>177520</v>
      </c>
      <c r="E21" s="11">
        <v>815304</v>
      </c>
      <c r="F21" s="11">
        <v>1044670</v>
      </c>
      <c r="G21" s="11">
        <v>210000</v>
      </c>
      <c r="H21" s="11">
        <v>497000</v>
      </c>
      <c r="I21" s="11">
        <v>1908400</v>
      </c>
      <c r="J21" s="11">
        <v>2080000</v>
      </c>
      <c r="K21" s="11">
        <v>1960300</v>
      </c>
      <c r="L21" s="11">
        <v>1071750</v>
      </c>
      <c r="M21" s="11">
        <v>486631</v>
      </c>
      <c r="N21" s="11">
        <v>3040000</v>
      </c>
      <c r="O21" s="11"/>
      <c r="P21" s="11">
        <f t="shared" si="1"/>
        <v>54428000</v>
      </c>
      <c r="Q21" s="10">
        <v>850652</v>
      </c>
      <c r="R21" s="3">
        <v>10158108</v>
      </c>
      <c r="S21" s="3"/>
      <c r="T21" s="3"/>
      <c r="U21" s="3">
        <f t="shared" si="0"/>
        <v>18.663386492246637</v>
      </c>
      <c r="V21" s="10"/>
      <c r="W21" s="3"/>
      <c r="X21" s="3"/>
      <c r="Y21" s="10"/>
      <c r="Z21" s="10"/>
      <c r="AA21" s="10"/>
      <c r="AB21" s="1"/>
    </row>
    <row r="22" spans="1:28" ht="12.75">
      <c r="A22" s="7" t="s">
        <v>34</v>
      </c>
      <c r="B22" s="10">
        <v>1000000</v>
      </c>
      <c r="C22" s="11">
        <v>7540000</v>
      </c>
      <c r="D22" s="11"/>
      <c r="E22" s="11"/>
      <c r="F22" s="11"/>
      <c r="G22" s="11"/>
      <c r="H22" s="11"/>
      <c r="I22" s="11">
        <v>294000</v>
      </c>
      <c r="J22" s="11"/>
      <c r="K22" s="11"/>
      <c r="L22" s="11">
        <v>29000</v>
      </c>
      <c r="M22" s="11"/>
      <c r="N22" s="11"/>
      <c r="O22" s="11"/>
      <c r="P22" s="11">
        <f t="shared" si="1"/>
        <v>1000000</v>
      </c>
      <c r="Q22" s="10">
        <v>0</v>
      </c>
      <c r="R22" s="3">
        <f>+R152+Q22</f>
        <v>0</v>
      </c>
      <c r="S22" s="3"/>
      <c r="T22" s="3"/>
      <c r="U22" s="3">
        <f t="shared" si="0"/>
        <v>0</v>
      </c>
      <c r="V22" s="10"/>
      <c r="W22" s="3"/>
      <c r="X22" s="3"/>
      <c r="Y22" s="10"/>
      <c r="Z22" s="10"/>
      <c r="AA22" s="10"/>
      <c r="AB22" s="1"/>
    </row>
    <row r="23" spans="1:28" ht="12.75">
      <c r="A23" s="7" t="s">
        <v>35</v>
      </c>
      <c r="B23" s="10">
        <f aca="true" t="shared" si="3" ref="B23:O23">SUM(B24:B24)</f>
        <v>177967000</v>
      </c>
      <c r="C23" s="11">
        <f t="shared" si="3"/>
        <v>4768052</v>
      </c>
      <c r="D23" s="11">
        <f t="shared" si="3"/>
        <v>8290086</v>
      </c>
      <c r="E23" s="11">
        <f t="shared" si="3"/>
        <v>10672897</v>
      </c>
      <c r="F23" s="11">
        <f t="shared" si="3"/>
        <v>13361106</v>
      </c>
      <c r="G23" s="11">
        <f t="shared" si="3"/>
        <v>5435392</v>
      </c>
      <c r="H23" s="11">
        <f t="shared" si="3"/>
        <v>6359364</v>
      </c>
      <c r="I23" s="11">
        <f t="shared" si="3"/>
        <v>17667466</v>
      </c>
      <c r="J23" s="11">
        <f t="shared" si="3"/>
        <v>22629676</v>
      </c>
      <c r="K23" s="11">
        <f t="shared" si="3"/>
        <v>24318846</v>
      </c>
      <c r="L23" s="11">
        <f t="shared" si="3"/>
        <v>14234424</v>
      </c>
      <c r="M23" s="11">
        <f t="shared" si="3"/>
        <v>14378768</v>
      </c>
      <c r="N23" s="11">
        <f t="shared" si="3"/>
        <v>23388888</v>
      </c>
      <c r="O23" s="10">
        <f t="shared" si="3"/>
        <v>0</v>
      </c>
      <c r="P23" s="11">
        <f t="shared" si="1"/>
        <v>177967000</v>
      </c>
      <c r="Q23" s="10">
        <f>+Q24</f>
        <v>2589856</v>
      </c>
      <c r="R23" s="3">
        <f>+R24</f>
        <v>49454460.64</v>
      </c>
      <c r="S23" s="3"/>
      <c r="T23" s="3"/>
      <c r="U23" s="3">
        <f t="shared" si="0"/>
        <v>27.788556664999692</v>
      </c>
      <c r="V23" s="10"/>
      <c r="W23" s="3"/>
      <c r="X23" s="3"/>
      <c r="Y23" s="10"/>
      <c r="Z23" s="10"/>
      <c r="AA23" s="10"/>
      <c r="AB23" s="1"/>
    </row>
    <row r="24" spans="1:28" ht="12.75">
      <c r="A24" s="5" t="s">
        <v>36</v>
      </c>
      <c r="B24" s="11">
        <v>177967000</v>
      </c>
      <c r="C24" s="11">
        <v>4768052</v>
      </c>
      <c r="D24" s="11">
        <v>8290086</v>
      </c>
      <c r="E24" s="11">
        <v>10672897</v>
      </c>
      <c r="F24" s="11">
        <v>13361106</v>
      </c>
      <c r="G24" s="11">
        <v>5435392</v>
      </c>
      <c r="H24" s="11">
        <v>6359364</v>
      </c>
      <c r="I24" s="11">
        <v>17667466</v>
      </c>
      <c r="J24" s="11">
        <f>15777671+6852005</f>
        <v>22629676</v>
      </c>
      <c r="K24" s="11">
        <v>24318846</v>
      </c>
      <c r="L24" s="11">
        <v>14234424</v>
      </c>
      <c r="M24" s="11">
        <f>14378768</f>
        <v>14378768</v>
      </c>
      <c r="N24" s="11">
        <f>165504965-142116077</f>
        <v>23388888</v>
      </c>
      <c r="O24" s="11"/>
      <c r="P24" s="11">
        <f t="shared" si="1"/>
        <v>177967000</v>
      </c>
      <c r="Q24" s="11">
        <v>2589856</v>
      </c>
      <c r="R24" s="3">
        <f>45132702+4321758.64</f>
        <v>49454460.64</v>
      </c>
      <c r="S24" s="3"/>
      <c r="T24" s="3"/>
      <c r="U24" s="3">
        <f t="shared" si="0"/>
        <v>27.788556664999692</v>
      </c>
      <c r="V24" s="11"/>
      <c r="W24" s="3"/>
      <c r="X24" s="3"/>
      <c r="Y24" s="11"/>
      <c r="Z24" s="11"/>
      <c r="AA24" s="11"/>
      <c r="AB24" s="1"/>
    </row>
    <row r="25" spans="1:28" ht="12.75">
      <c r="A25" s="7" t="s">
        <v>37</v>
      </c>
      <c r="B25" s="10">
        <v>80988000</v>
      </c>
      <c r="C25" s="11" t="e">
        <f>SUM(#REF!)</f>
        <v>#REF!</v>
      </c>
      <c r="D25" s="11" t="e">
        <f>SUM(#REF!)</f>
        <v>#REF!</v>
      </c>
      <c r="E25" s="11" t="e">
        <f>SUM(#REF!)</f>
        <v>#REF!</v>
      </c>
      <c r="F25" s="11" t="e">
        <f>SUM(#REF!)</f>
        <v>#REF!</v>
      </c>
      <c r="G25" s="11" t="e">
        <f>SUM(#REF!)</f>
        <v>#REF!</v>
      </c>
      <c r="H25" s="11" t="e">
        <f>SUM(#REF!)</f>
        <v>#REF!</v>
      </c>
      <c r="I25" s="11" t="e">
        <f>SUM(#REF!)</f>
        <v>#REF!</v>
      </c>
      <c r="J25" s="11" t="e">
        <f>SUM(#REF!)</f>
        <v>#REF!</v>
      </c>
      <c r="K25" s="11" t="e">
        <f>SUM(#REF!)</f>
        <v>#REF!</v>
      </c>
      <c r="L25" s="11" t="e">
        <f>SUM(#REF!)</f>
        <v>#REF!</v>
      </c>
      <c r="M25" s="11" t="e">
        <f>SUM(#REF!)</f>
        <v>#REF!</v>
      </c>
      <c r="N25" s="11" t="e">
        <f>SUM(#REF!)</f>
        <v>#REF!</v>
      </c>
      <c r="O25" s="10">
        <v>0</v>
      </c>
      <c r="P25" s="11">
        <f t="shared" si="1"/>
        <v>80988000</v>
      </c>
      <c r="Q25" s="11">
        <v>1587896</v>
      </c>
      <c r="R25" s="3">
        <f>7944000+163929+14629573</f>
        <v>22737502</v>
      </c>
      <c r="S25" s="3"/>
      <c r="T25" s="3"/>
      <c r="U25" s="3">
        <f t="shared" si="0"/>
        <v>28.0751494048501</v>
      </c>
      <c r="V25" s="11"/>
      <c r="W25" s="3"/>
      <c r="X25" s="3"/>
      <c r="Y25" s="10"/>
      <c r="Z25" s="10"/>
      <c r="AA25" s="10"/>
      <c r="AB25" s="1"/>
    </row>
    <row r="26" spans="1:28" ht="12.75">
      <c r="A26" s="7" t="s">
        <v>44</v>
      </c>
      <c r="B26" s="10">
        <f>+B27</f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0">
        <f>+O27</f>
        <v>56086490</v>
      </c>
      <c r="P26" s="11">
        <f t="shared" si="1"/>
        <v>56086490</v>
      </c>
      <c r="Q26" s="10">
        <f>+Q27</f>
        <v>0</v>
      </c>
      <c r="R26" s="3">
        <f>+R27</f>
        <v>56086490</v>
      </c>
      <c r="S26" s="3"/>
      <c r="T26" s="3"/>
      <c r="U26" s="3">
        <v>0</v>
      </c>
      <c r="V26" s="10"/>
      <c r="W26" s="3"/>
      <c r="X26" s="3"/>
      <c r="Y26" s="10"/>
      <c r="Z26" s="10"/>
      <c r="AA26" s="10"/>
      <c r="AB26" s="1"/>
    </row>
    <row r="27" spans="1:28" ht="12.75">
      <c r="A27" s="7" t="s">
        <v>100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0">
        <v>56086490</v>
      </c>
      <c r="P27" s="11">
        <f t="shared" si="1"/>
        <v>56086490</v>
      </c>
      <c r="Q27" s="10">
        <v>0</v>
      </c>
      <c r="R27" s="3">
        <f>+P27</f>
        <v>56086490</v>
      </c>
      <c r="S27" s="3"/>
      <c r="T27" s="3"/>
      <c r="U27" s="3">
        <v>0</v>
      </c>
      <c r="V27" s="10"/>
      <c r="W27" s="3"/>
      <c r="X27" s="3"/>
      <c r="Y27" s="10"/>
      <c r="Z27" s="10"/>
      <c r="AA27" s="10"/>
      <c r="AB27" s="1"/>
    </row>
    <row r="28" spans="1:28" ht="12.75">
      <c r="A28" s="7" t="s">
        <v>38</v>
      </c>
      <c r="B28" s="10">
        <f>+B29+B30+B31</f>
        <v>1932248000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0">
        <f>+O29+O30+O31</f>
        <v>515409946</v>
      </c>
      <c r="P28" s="11">
        <f>+B28+O28</f>
        <v>2447657946</v>
      </c>
      <c r="Q28" s="10">
        <f>+Q29+Q30+Q31</f>
        <v>120584565</v>
      </c>
      <c r="R28" s="3">
        <f>+R29+R30+R31</f>
        <v>1178168385.55</v>
      </c>
      <c r="S28" s="3"/>
      <c r="T28" s="3"/>
      <c r="U28" s="3">
        <f t="shared" si="0"/>
        <v>48.13451926464565</v>
      </c>
      <c r="V28" s="10"/>
      <c r="W28" s="3"/>
      <c r="X28" s="3"/>
      <c r="Y28" s="10"/>
      <c r="Z28" s="10"/>
      <c r="AA28" s="10"/>
      <c r="AB28" s="1"/>
    </row>
    <row r="29" spans="1:28" ht="12.75">
      <c r="A29" s="7" t="s">
        <v>6</v>
      </c>
      <c r="B29" s="10">
        <v>171248000</v>
      </c>
      <c r="C29" s="11">
        <v>898886</v>
      </c>
      <c r="D29" s="11">
        <f>4306726+216132</f>
        <v>4522858</v>
      </c>
      <c r="E29" s="11">
        <f>751140+23292827</f>
        <v>24043967</v>
      </c>
      <c r="F29" s="11">
        <v>8452240</v>
      </c>
      <c r="G29" s="11">
        <v>4422172</v>
      </c>
      <c r="H29" s="11">
        <f>7484642+234363</f>
        <v>7719005</v>
      </c>
      <c r="I29" s="11">
        <f>102855+5416914</f>
        <v>5519769</v>
      </c>
      <c r="J29" s="11">
        <f>6098966+444960+3514791+65855</f>
        <v>10124572</v>
      </c>
      <c r="K29" s="11">
        <f>191152+1348022+3219820.01</f>
        <v>4758994.01</v>
      </c>
      <c r="L29" s="11">
        <f>350566+9695840</f>
        <v>10046406</v>
      </c>
      <c r="M29" s="11">
        <f>579536+7833208+436291+345639</f>
        <v>9194674</v>
      </c>
      <c r="N29" s="11">
        <f>112132152.5-89703543.01</f>
        <v>22428609.489999995</v>
      </c>
      <c r="O29" s="11"/>
      <c r="P29" s="11">
        <f t="shared" si="1"/>
        <v>171248000</v>
      </c>
      <c r="Q29" s="10">
        <f>+'[4]ENERO 09'!$A$69</f>
        <v>0</v>
      </c>
      <c r="R29" s="3">
        <v>43722060.55</v>
      </c>
      <c r="S29" s="3"/>
      <c r="T29" s="3"/>
      <c r="U29" s="3">
        <f t="shared" si="0"/>
        <v>25.531428425441465</v>
      </c>
      <c r="V29" s="10"/>
      <c r="W29" s="3"/>
      <c r="X29" s="3"/>
      <c r="Y29" s="10"/>
      <c r="Z29" s="10"/>
      <c r="AA29" s="10"/>
      <c r="AB29" s="1"/>
    </row>
    <row r="30" spans="1:28" ht="12.75">
      <c r="A30" s="7" t="s">
        <v>9</v>
      </c>
      <c r="B30" s="10">
        <v>0</v>
      </c>
      <c r="C30" s="11"/>
      <c r="D30" s="11"/>
      <c r="E30" s="11"/>
      <c r="F30" s="11">
        <f>+B30</f>
        <v>0</v>
      </c>
      <c r="G30" s="11"/>
      <c r="H30" s="11"/>
      <c r="I30" s="11"/>
      <c r="J30" s="11"/>
      <c r="K30" s="11"/>
      <c r="L30" s="11"/>
      <c r="M30" s="11"/>
      <c r="N30" s="11"/>
      <c r="O30" s="11">
        <v>515409946</v>
      </c>
      <c r="P30" s="11">
        <f t="shared" si="1"/>
        <v>515409946</v>
      </c>
      <c r="Q30" s="11">
        <v>0</v>
      </c>
      <c r="R30" s="3">
        <v>515409946</v>
      </c>
      <c r="S30" s="3"/>
      <c r="T30" s="3"/>
      <c r="U30" s="3">
        <f>+R30/P30*100</f>
        <v>100</v>
      </c>
      <c r="V30" s="11"/>
      <c r="W30" s="3"/>
      <c r="X30" s="3"/>
      <c r="Y30" s="11"/>
      <c r="Z30" s="11"/>
      <c r="AA30" s="11"/>
      <c r="AB30" s="1"/>
    </row>
    <row r="31" spans="1:28" ht="12.75">
      <c r="A31" s="7" t="s">
        <v>39</v>
      </c>
      <c r="B31" s="10">
        <v>1761000000</v>
      </c>
      <c r="C31" s="11" t="e">
        <f>+#REF!+#REF!</f>
        <v>#REF!</v>
      </c>
      <c r="D31" s="11" t="e">
        <f>+#REF!+#REF!</f>
        <v>#REF!</v>
      </c>
      <c r="E31" s="11" t="e">
        <f>+#REF!+#REF!</f>
        <v>#REF!</v>
      </c>
      <c r="F31" s="11" t="e">
        <f>+#REF!+#REF!</f>
        <v>#REF!</v>
      </c>
      <c r="G31" s="11" t="e">
        <f>+#REF!+#REF!</f>
        <v>#REF!</v>
      </c>
      <c r="H31" s="11" t="e">
        <f>+#REF!+#REF!</f>
        <v>#REF!</v>
      </c>
      <c r="I31" s="11" t="e">
        <f>+#REF!+#REF!</f>
        <v>#REF!</v>
      </c>
      <c r="J31" s="11" t="e">
        <f>+#REF!+#REF!</f>
        <v>#REF!</v>
      </c>
      <c r="K31" s="11" t="e">
        <f>+#REF!+#REF!</f>
        <v>#REF!</v>
      </c>
      <c r="L31" s="11" t="e">
        <f>+#REF!+#REF!</f>
        <v>#REF!</v>
      </c>
      <c r="M31" s="11" t="e">
        <f>+#REF!+#REF!</f>
        <v>#REF!</v>
      </c>
      <c r="N31" s="11" t="e">
        <f>+#REF!+#REF!</f>
        <v>#REF!</v>
      </c>
      <c r="O31" s="10">
        <v>0</v>
      </c>
      <c r="P31" s="11">
        <f t="shared" si="1"/>
        <v>1761000000</v>
      </c>
      <c r="Q31" s="10">
        <v>120584565</v>
      </c>
      <c r="R31" s="3">
        <f>585062663+429036+129537+68164+134736+288720+2035605+1197553+527293+122706+308287+686446+1140000+225442+298584+1237164+8202834+2000000+67668+86616+2194272+98163+596688+1125527+73623+103500+7239144+663644+2691898+866</f>
        <v>619036379</v>
      </c>
      <c r="S31" s="3"/>
      <c r="T31" s="3"/>
      <c r="U31" s="3">
        <f t="shared" si="0"/>
        <v>35.1525484951732</v>
      </c>
      <c r="V31" s="10"/>
      <c r="W31" s="3"/>
      <c r="X31" s="3"/>
      <c r="Y31" s="10"/>
      <c r="Z31" s="10"/>
      <c r="AA31" s="10"/>
      <c r="AB31" s="1"/>
    </row>
    <row r="32" spans="1:28" ht="12.75">
      <c r="A32" s="5"/>
      <c r="B32" s="11"/>
      <c r="C32" s="11"/>
      <c r="D32" s="11"/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  <c r="O32" s="11"/>
      <c r="P32" s="11" t="s">
        <v>1</v>
      </c>
      <c r="Q32" s="11" t="s">
        <v>1</v>
      </c>
      <c r="R32" s="3" t="s">
        <v>1</v>
      </c>
      <c r="S32" s="3"/>
      <c r="T32" s="3"/>
      <c r="U32" s="3" t="s">
        <v>1</v>
      </c>
      <c r="V32" s="11"/>
      <c r="W32" s="3"/>
      <c r="Y32" s="1"/>
      <c r="Z32" s="1"/>
      <c r="AA32" s="1"/>
      <c r="AB32" s="1"/>
    </row>
    <row r="33" spans="1:27" ht="12.75">
      <c r="A33" s="7" t="s">
        <v>40</v>
      </c>
      <c r="B33" s="10">
        <f>+B7+B28</f>
        <v>10263763258</v>
      </c>
      <c r="C33" s="10" t="e">
        <f>+C10+C15+C17+C21+C22+C23+C25+#REF!+#REF!+C29+C30+C31+#REF!</f>
        <v>#REF!</v>
      </c>
      <c r="D33" s="10" t="e">
        <f>+D10+D15+D17+D21+D22+D23+D25+#REF!+#REF!+D29+D30+D31+#REF!</f>
        <v>#REF!</v>
      </c>
      <c r="E33" s="10" t="e">
        <f>+E10+E15+E17+E21+E22+E23+E25+#REF!+#REF!+E29+E30+E31+#REF!</f>
        <v>#REF!</v>
      </c>
      <c r="F33" s="10" t="e">
        <f>+F10+F15+F17+F21+F22+F23+F25+#REF!+#REF!+F29+F30+F31+#REF!</f>
        <v>#REF!</v>
      </c>
      <c r="G33" s="10" t="e">
        <f>+G10+G15+G17+G21+G22+G23+G25+#REF!+#REF!+G29+G30+G31+#REF!</f>
        <v>#REF!</v>
      </c>
      <c r="H33" s="10" t="e">
        <f>+H10+H15+H17+H21+H22+H23+H25+#REF!+#REF!+H29+H30+H31+#REF!</f>
        <v>#REF!</v>
      </c>
      <c r="I33" s="10" t="e">
        <f>+I10+I15+I17+I21+I22+I23+I25+#REF!+#REF!+I29+I30+I31+#REF!</f>
        <v>#REF!</v>
      </c>
      <c r="J33" s="10" t="e">
        <f>+J10+J15+J17+J21+J22+J23+J25+#REF!+#REF!+J29+J30+J31+#REF!</f>
        <v>#REF!</v>
      </c>
      <c r="K33" s="10" t="e">
        <f>+K10+K15+K17+K21+K22+K23+K25+#REF!+#REF!+K29+K30+K31+#REF!</f>
        <v>#REF!</v>
      </c>
      <c r="L33" s="10" t="e">
        <f>+L10+L15+L17+L21+L22+L23+L25+#REF!+#REF!+L29+L30+L31+#REF!</f>
        <v>#REF!</v>
      </c>
      <c r="M33" s="10" t="e">
        <f>+M10+M15+M17+M21+M22+M23+M25+#REF!+#REF!+M29+M30+M31+#REF!</f>
        <v>#REF!</v>
      </c>
      <c r="N33" s="10" t="e">
        <f>+N10+N15+N17+N21+N22+N23+N25+#REF!+#REF!+N29+N30+N31+#REF!</f>
        <v>#REF!</v>
      </c>
      <c r="O33" s="10">
        <f>+O7+O28</f>
        <v>571496436</v>
      </c>
      <c r="P33" s="10">
        <f>+P7+P28</f>
        <v>10835259694</v>
      </c>
      <c r="Q33" s="16">
        <f>+Q28+Q7</f>
        <v>125612969</v>
      </c>
      <c r="R33" s="3">
        <f>+R7+R28</f>
        <v>2168171055.19</v>
      </c>
      <c r="S33" s="3"/>
      <c r="T33" s="3"/>
      <c r="U33" s="3">
        <f>+R33/P33*100</f>
        <v>20.010328468551794</v>
      </c>
      <c r="V33" s="16"/>
      <c r="W33" s="12"/>
      <c r="AA33" s="1"/>
    </row>
    <row r="34" spans="1:28" ht="12.75">
      <c r="A34" s="7" t="s">
        <v>41</v>
      </c>
      <c r="B34" s="11">
        <v>1334597240</v>
      </c>
      <c r="O34" s="1">
        <v>1243847230</v>
      </c>
      <c r="P34" s="1">
        <f>+B34+O34</f>
        <v>2578444470</v>
      </c>
      <c r="Q34" s="1">
        <v>83587896</v>
      </c>
      <c r="R34" s="3">
        <v>397695190</v>
      </c>
      <c r="S34" s="3"/>
      <c r="T34" s="3"/>
      <c r="U34" s="3">
        <f>+R34/P34*100</f>
        <v>15.423841569099217</v>
      </c>
      <c r="V34" s="1"/>
      <c r="W34" s="12"/>
      <c r="AB34" s="1"/>
    </row>
    <row r="35" spans="2:23" ht="12.75">
      <c r="B35" s="1" t="s">
        <v>1</v>
      </c>
      <c r="O35" s="1" t="s">
        <v>1</v>
      </c>
      <c r="Q35" s="1"/>
      <c r="R35" s="3" t="s">
        <v>1</v>
      </c>
      <c r="S35" s="3"/>
      <c r="T35" s="3"/>
      <c r="U35" s="3" t="s">
        <v>1</v>
      </c>
      <c r="V35" s="1"/>
      <c r="W35" s="12"/>
    </row>
    <row r="36" spans="1:23" ht="12.75">
      <c r="A36" s="7" t="s">
        <v>42</v>
      </c>
      <c r="B36" s="16">
        <f>+B33+B34</f>
        <v>11598360498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6">
        <f>+O33+O34</f>
        <v>1815343666</v>
      </c>
      <c r="P36" s="16">
        <f>+P33+P34</f>
        <v>13413704164</v>
      </c>
      <c r="Q36" s="16">
        <f>+Q33+Q34</f>
        <v>209200865</v>
      </c>
      <c r="R36" s="3">
        <f>+R33+R34</f>
        <v>2565866245.19</v>
      </c>
      <c r="S36" s="3"/>
      <c r="T36" s="3"/>
      <c r="U36" s="3">
        <f>+R36/P36*100</f>
        <v>19.12869266996606</v>
      </c>
      <c r="V36" s="16"/>
      <c r="W36" s="12"/>
    </row>
    <row r="37" spans="16:23" ht="12.75">
      <c r="P37" s="1" t="s">
        <v>1</v>
      </c>
      <c r="Q37" s="1"/>
      <c r="R37" s="1" t="s">
        <v>1</v>
      </c>
      <c r="S37" s="1"/>
      <c r="T37" s="1"/>
      <c r="W37" s="12"/>
    </row>
    <row r="38" spans="17:23" ht="12.75">
      <c r="Q38" s="1" t="s">
        <v>1</v>
      </c>
      <c r="R38" t="s">
        <v>1</v>
      </c>
      <c r="U38" t="s">
        <v>1</v>
      </c>
      <c r="W38" s="12"/>
    </row>
    <row r="39" spans="1:23" ht="12.75">
      <c r="A39" s="2" t="s">
        <v>98</v>
      </c>
      <c r="Q39" s="1" t="s">
        <v>1</v>
      </c>
      <c r="W39" s="12"/>
    </row>
    <row r="40" spans="1:23" ht="12.75">
      <c r="A40" s="2" t="s">
        <v>99</v>
      </c>
      <c r="W40" s="12"/>
    </row>
    <row r="41" ht="12.75">
      <c r="W41" s="1"/>
    </row>
    <row r="42" ht="12.75">
      <c r="W42" s="1"/>
    </row>
    <row r="43" ht="12.75">
      <c r="W43" s="1"/>
    </row>
    <row r="44" ht="12.75">
      <c r="W44" s="1"/>
    </row>
    <row r="45" ht="12.75" hidden="1">
      <c r="W45" s="1"/>
    </row>
    <row r="46" spans="1:23" ht="12.75" hidden="1">
      <c r="A46" s="47" t="s">
        <v>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W46" s="1"/>
    </row>
    <row r="47" spans="1:21" ht="12.75" hidden="1">
      <c r="A47" s="47" t="s">
        <v>47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21:30" ht="12.75" hidden="1">
      <c r="U48" s="18">
        <v>39448</v>
      </c>
      <c r="V48" s="47"/>
      <c r="W48" s="47"/>
      <c r="X48" s="47"/>
      <c r="Y48" s="47"/>
      <c r="Z48" s="47"/>
      <c r="AA48" s="47"/>
      <c r="AB48" s="47"/>
      <c r="AC48" s="47"/>
      <c r="AD48" s="47"/>
    </row>
    <row r="49" spans="1:30" ht="25.5" hidden="1">
      <c r="A49" s="5"/>
      <c r="B49" s="6" t="s">
        <v>10</v>
      </c>
      <c r="C49" s="48" t="s">
        <v>11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5"/>
      <c r="O49" s="4" t="s">
        <v>2</v>
      </c>
      <c r="P49" s="6" t="s">
        <v>12</v>
      </c>
      <c r="Q49" s="6" t="s">
        <v>49</v>
      </c>
      <c r="R49" s="8" t="s">
        <v>50</v>
      </c>
      <c r="S49" s="8"/>
      <c r="T49" s="8"/>
      <c r="U49" s="8" t="s">
        <v>46</v>
      </c>
      <c r="V49" s="47"/>
      <c r="W49" s="47"/>
      <c r="X49" s="47"/>
      <c r="Y49" s="47"/>
      <c r="Z49" s="47"/>
      <c r="AA49" s="47"/>
      <c r="AB49" s="47"/>
      <c r="AC49" s="47"/>
      <c r="AD49" s="47"/>
    </row>
    <row r="50" spans="1:25" ht="12.75" hidden="1">
      <c r="A50" s="4" t="s">
        <v>7</v>
      </c>
      <c r="B50" s="4" t="s">
        <v>1</v>
      </c>
      <c r="C50" s="4" t="s">
        <v>13</v>
      </c>
      <c r="D50" s="4" t="s">
        <v>14</v>
      </c>
      <c r="E50" s="4" t="s">
        <v>15</v>
      </c>
      <c r="F50" s="4" t="s">
        <v>16</v>
      </c>
      <c r="G50" s="4" t="s">
        <v>8</v>
      </c>
      <c r="H50" s="4" t="s">
        <v>17</v>
      </c>
      <c r="I50" s="4" t="s">
        <v>18</v>
      </c>
      <c r="J50" s="4" t="s">
        <v>19</v>
      </c>
      <c r="K50" s="4" t="s">
        <v>20</v>
      </c>
      <c r="L50" s="4" t="s">
        <v>21</v>
      </c>
      <c r="M50" s="4" t="s">
        <v>22</v>
      </c>
      <c r="N50" s="4" t="s">
        <v>23</v>
      </c>
      <c r="O50" s="4"/>
      <c r="P50" s="4"/>
      <c r="Q50" s="4"/>
      <c r="R50" s="4"/>
      <c r="S50" s="4"/>
      <c r="T50" s="4"/>
      <c r="U50" s="4"/>
      <c r="V50" s="2"/>
      <c r="W50" s="2"/>
      <c r="X50" s="2"/>
      <c r="Y50" s="2"/>
    </row>
    <row r="51" spans="1:30" ht="12.75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3"/>
      <c r="S51" s="3"/>
      <c r="T51" s="3"/>
      <c r="U51" s="3"/>
      <c r="V51" s="13"/>
      <c r="W51" s="13"/>
      <c r="X51" s="13"/>
      <c r="Y51" s="13"/>
      <c r="Z51" s="13"/>
      <c r="AA51" s="13"/>
      <c r="AB51" s="13"/>
      <c r="AC51" s="15"/>
      <c r="AD51" s="13"/>
    </row>
    <row r="52" spans="1:30" ht="12.75" hidden="1">
      <c r="A52" s="9" t="s">
        <v>24</v>
      </c>
      <c r="B52" s="3">
        <f>+B54+B59</f>
        <v>8163010065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3">
        <f>+O54+O59</f>
        <v>1230345600</v>
      </c>
      <c r="P52" s="3">
        <f>+P54+P59</f>
        <v>9393355665</v>
      </c>
      <c r="Q52" s="3">
        <f>+Q54+Q59</f>
        <v>42955807</v>
      </c>
      <c r="R52" s="3">
        <f>+R54+R59</f>
        <v>345047922</v>
      </c>
      <c r="S52" s="3"/>
      <c r="T52" s="3"/>
      <c r="U52" s="3">
        <f>+R52/P52*100</f>
        <v>3.6733190385376515</v>
      </c>
      <c r="V52" s="13"/>
      <c r="W52" s="13"/>
      <c r="X52" s="13"/>
      <c r="Y52" s="15"/>
      <c r="Z52" s="13"/>
      <c r="AA52" s="15"/>
      <c r="AB52" s="13"/>
      <c r="AC52" s="13"/>
      <c r="AD52" s="13"/>
    </row>
    <row r="53" spans="1:30" ht="12.75" hidden="1">
      <c r="A53" s="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"/>
      <c r="V53" s="13"/>
      <c r="W53" s="13"/>
      <c r="X53" s="13"/>
      <c r="Y53" s="15"/>
      <c r="Z53" s="13"/>
      <c r="AA53" s="15"/>
      <c r="AB53" s="13"/>
      <c r="AC53" s="13"/>
      <c r="AD53" s="13"/>
    </row>
    <row r="54" spans="1:31" ht="12.75" hidden="1">
      <c r="A54" s="7" t="s">
        <v>3</v>
      </c>
      <c r="B54" s="10">
        <f>+B55</f>
        <v>3471300000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0">
        <f>+O55</f>
        <v>0</v>
      </c>
      <c r="P54" s="11">
        <f>+B54+O54</f>
        <v>3471300000</v>
      </c>
      <c r="Q54" s="10">
        <f>+Q55</f>
        <v>0</v>
      </c>
      <c r="R54" s="10">
        <f>+R55</f>
        <v>0</v>
      </c>
      <c r="S54" s="10"/>
      <c r="T54" s="10"/>
      <c r="U54" s="3">
        <f>+R54/P54*100</f>
        <v>0</v>
      </c>
      <c r="W54" s="1"/>
      <c r="X54" s="1"/>
      <c r="Y54" s="1"/>
      <c r="Z54" s="1"/>
      <c r="AD54" s="1"/>
      <c r="AE54" s="1">
        <f aca="true" t="shared" si="4" ref="AE54:AE59">+W54-AD54</f>
        <v>0</v>
      </c>
    </row>
    <row r="55" spans="1:31" ht="12.75" hidden="1">
      <c r="A55" s="7" t="s">
        <v>25</v>
      </c>
      <c r="B55" s="10">
        <f>+B56+B57</f>
        <v>3471300000</v>
      </c>
      <c r="C55" s="11"/>
      <c r="D55" s="11">
        <v>177520</v>
      </c>
      <c r="E55" s="11"/>
      <c r="F55" s="11">
        <v>165006728</v>
      </c>
      <c r="G55" s="11">
        <v>1414514385</v>
      </c>
      <c r="H55" s="11">
        <v>4948458</v>
      </c>
      <c r="I55" s="11">
        <v>573117327</v>
      </c>
      <c r="J55" s="11">
        <f>139033811-14448995.38</f>
        <v>124584815.62</v>
      </c>
      <c r="K55" s="11">
        <v>93361900</v>
      </c>
      <c r="L55" s="11">
        <v>25720312</v>
      </c>
      <c r="M55" s="11">
        <v>242733948</v>
      </c>
      <c r="N55" s="11">
        <f>65086606+14219504.38-900076.38-6867260+6687809</f>
        <v>78226583</v>
      </c>
      <c r="O55" s="10">
        <f>+O56+O57</f>
        <v>0</v>
      </c>
      <c r="P55" s="11">
        <f>+B55+O55</f>
        <v>3471300000</v>
      </c>
      <c r="Q55" s="10">
        <f>+Q56+Q57</f>
        <v>0</v>
      </c>
      <c r="R55" s="10">
        <f>+R56+R57</f>
        <v>0</v>
      </c>
      <c r="S55" s="10"/>
      <c r="T55" s="10"/>
      <c r="U55" s="3">
        <f>+R55/P55*100</f>
        <v>0</v>
      </c>
      <c r="W55" s="1"/>
      <c r="X55" s="1"/>
      <c r="Y55" s="1"/>
      <c r="Z55" s="1"/>
      <c r="AA55" s="1"/>
      <c r="AB55" s="1"/>
      <c r="AC55" s="1"/>
      <c r="AD55" s="1"/>
      <c r="AE55" s="1">
        <f t="shared" si="4"/>
        <v>0</v>
      </c>
    </row>
    <row r="56" spans="1:31" ht="12.75" hidden="1">
      <c r="A56" s="5" t="s">
        <v>26</v>
      </c>
      <c r="B56" s="11">
        <v>2106300000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>
        <f>+B56+O56</f>
        <v>2106300000</v>
      </c>
      <c r="Q56" s="11">
        <v>0</v>
      </c>
      <c r="R56" s="11">
        <v>0</v>
      </c>
      <c r="S56" s="11"/>
      <c r="T56" s="11"/>
      <c r="U56" s="3">
        <f>+R56/P56*100</f>
        <v>0</v>
      </c>
      <c r="W56" s="1"/>
      <c r="X56" s="1"/>
      <c r="Y56" s="1"/>
      <c r="Z56" s="1"/>
      <c r="AB56" s="1"/>
      <c r="AD56" s="1"/>
      <c r="AE56" s="1">
        <f t="shared" si="4"/>
        <v>0</v>
      </c>
    </row>
    <row r="57" spans="1:31" ht="12.75" hidden="1">
      <c r="A57" s="5" t="s">
        <v>27</v>
      </c>
      <c r="B57" s="11">
        <v>1365000000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>
        <f>+B57+O57</f>
        <v>1365000000</v>
      </c>
      <c r="Q57" s="11">
        <v>0</v>
      </c>
      <c r="R57" s="11">
        <v>0</v>
      </c>
      <c r="S57" s="11"/>
      <c r="T57" s="11"/>
      <c r="U57" s="3">
        <f>+R57/P57*100</f>
        <v>0</v>
      </c>
      <c r="W57" s="1"/>
      <c r="X57" s="1"/>
      <c r="Y57" s="1"/>
      <c r="Z57" s="1"/>
      <c r="AB57" s="1"/>
      <c r="AD57" s="1"/>
      <c r="AE57" s="1">
        <f t="shared" si="4"/>
        <v>0</v>
      </c>
    </row>
    <row r="58" spans="1:31" ht="12.75" hidden="1">
      <c r="A58" s="7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 t="s">
        <v>1</v>
      </c>
      <c r="Q58" s="10"/>
      <c r="R58" s="10"/>
      <c r="S58" s="10"/>
      <c r="T58" s="10"/>
      <c r="U58" s="3" t="s">
        <v>1</v>
      </c>
      <c r="W58" s="1"/>
      <c r="X58" s="1"/>
      <c r="Y58" s="1"/>
      <c r="Z58" s="1"/>
      <c r="AA58" s="1"/>
      <c r="AD58" s="1"/>
      <c r="AE58" s="1">
        <f t="shared" si="4"/>
        <v>0</v>
      </c>
    </row>
    <row r="59" spans="1:31" ht="12.75" hidden="1">
      <c r="A59" s="7" t="s">
        <v>4</v>
      </c>
      <c r="B59" s="10">
        <f>+B60+B61+B70+B71</f>
        <v>4691710065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0">
        <f>+O60+O61+O70+O71</f>
        <v>1230345600</v>
      </c>
      <c r="P59" s="10">
        <f>+P60+P61+P70+P71</f>
        <v>5922055665</v>
      </c>
      <c r="Q59" s="10">
        <f>+Q60+Q61+Q70+Q71</f>
        <v>42955807</v>
      </c>
      <c r="R59" s="10">
        <f>+R60+R61+R70+R71</f>
        <v>345047922</v>
      </c>
      <c r="S59" s="10"/>
      <c r="T59" s="10"/>
      <c r="U59" s="3">
        <f aca="true" t="shared" si="5" ref="U59:U74">+R59/P59*100</f>
        <v>5.826489001771313</v>
      </c>
      <c r="W59" s="1"/>
      <c r="X59" s="1"/>
      <c r="Y59" s="1"/>
      <c r="Z59" s="1"/>
      <c r="AB59" s="1"/>
      <c r="AD59" s="1"/>
      <c r="AE59" s="1">
        <f t="shared" si="4"/>
        <v>0</v>
      </c>
    </row>
    <row r="60" spans="1:31" ht="12.75" hidden="1">
      <c r="A60" s="7" t="s">
        <v>28</v>
      </c>
      <c r="B60" s="10">
        <v>2752759677</v>
      </c>
      <c r="C60" s="11">
        <v>0</v>
      </c>
      <c r="D60" s="11">
        <v>0</v>
      </c>
      <c r="E60" s="11">
        <v>0</v>
      </c>
      <c r="F60" s="11">
        <v>196495882</v>
      </c>
      <c r="G60" s="11">
        <v>164927418</v>
      </c>
      <c r="H60" s="11">
        <v>262941303</v>
      </c>
      <c r="I60" s="11">
        <v>280282246</v>
      </c>
      <c r="J60" s="11">
        <v>246192273</v>
      </c>
      <c r="K60" s="11">
        <v>308626989</v>
      </c>
      <c r="L60" s="11">
        <v>243645342</v>
      </c>
      <c r="M60" s="11">
        <v>247491577</v>
      </c>
      <c r="N60" s="11">
        <v>165492691</v>
      </c>
      <c r="O60" s="11"/>
      <c r="P60" s="11">
        <f aca="true" t="shared" si="6" ref="P60:P72">+B60+O60</f>
        <v>2752759677</v>
      </c>
      <c r="Q60" s="10">
        <v>0</v>
      </c>
      <c r="R60" s="10">
        <f>+Q60</f>
        <v>0</v>
      </c>
      <c r="S60" s="10"/>
      <c r="T60" s="10"/>
      <c r="U60" s="3">
        <f t="shared" si="5"/>
        <v>0</v>
      </c>
      <c r="W60" s="1"/>
      <c r="X60" s="1"/>
      <c r="Y60" s="1"/>
      <c r="Z60" s="1"/>
      <c r="AD60" s="1"/>
      <c r="AE60" s="1" t="s">
        <v>1</v>
      </c>
    </row>
    <row r="61" spans="1:31" ht="12.75" hidden="1">
      <c r="A61" s="7" t="s">
        <v>5</v>
      </c>
      <c r="B61" s="10">
        <f>+B62+B66+B67+B68</f>
        <v>1867025388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0">
        <f>+O62+O66+O67+O68</f>
        <v>0</v>
      </c>
      <c r="P61" s="11">
        <f t="shared" si="6"/>
        <v>1867025388</v>
      </c>
      <c r="Q61" s="10">
        <f>+Q62+Q66+Q67+Q68</f>
        <v>42940422</v>
      </c>
      <c r="R61" s="10">
        <f>+R62+R66+R67+R68</f>
        <v>42940422</v>
      </c>
      <c r="S61" s="10"/>
      <c r="T61" s="10"/>
      <c r="U61" s="3">
        <f t="shared" si="5"/>
        <v>2.299937766031064</v>
      </c>
      <c r="V61" s="14"/>
      <c r="W61" s="16"/>
      <c r="X61" s="16"/>
      <c r="Y61" s="16"/>
      <c r="Z61" s="16"/>
      <c r="AA61" s="16"/>
      <c r="AB61" s="16"/>
      <c r="AC61" s="16"/>
      <c r="AD61" s="16"/>
      <c r="AE61" s="1">
        <f aca="true" t="shared" si="7" ref="AE61:AE70">+W61-AD61</f>
        <v>0</v>
      </c>
    </row>
    <row r="62" spans="1:31" ht="12.75" hidden="1">
      <c r="A62" s="7" t="s">
        <v>29</v>
      </c>
      <c r="B62" s="10">
        <f>SUM(B63:B65)</f>
        <v>1679125388</v>
      </c>
      <c r="C62" s="11">
        <f>SUM(C63:C65)</f>
        <v>0</v>
      </c>
      <c r="D62" s="11">
        <f aca="true" t="shared" si="8" ref="D62:N62">SUM(D63:D65)</f>
        <v>9764370</v>
      </c>
      <c r="E62" s="11">
        <f t="shared" si="8"/>
        <v>1633088</v>
      </c>
      <c r="F62" s="11">
        <f t="shared" si="8"/>
        <v>9527326</v>
      </c>
      <c r="G62" s="11">
        <f t="shared" si="8"/>
        <v>5166613</v>
      </c>
      <c r="H62" s="11">
        <f t="shared" si="8"/>
        <v>8550758</v>
      </c>
      <c r="I62" s="11">
        <f t="shared" si="8"/>
        <v>19667967</v>
      </c>
      <c r="J62" s="11">
        <f t="shared" si="8"/>
        <v>32121947.88</v>
      </c>
      <c r="K62" s="11">
        <f t="shared" si="8"/>
        <v>57803883</v>
      </c>
      <c r="L62" s="11">
        <f t="shared" si="8"/>
        <v>248550137</v>
      </c>
      <c r="M62" s="11">
        <f t="shared" si="8"/>
        <v>56476839</v>
      </c>
      <c r="N62" s="11">
        <f t="shared" si="8"/>
        <v>203635166</v>
      </c>
      <c r="O62" s="10">
        <f>SUM(O63:O65)</f>
        <v>0</v>
      </c>
      <c r="P62" s="11">
        <f t="shared" si="6"/>
        <v>1679125388</v>
      </c>
      <c r="Q62" s="10">
        <f>SUM(Q63:Q65)</f>
        <v>42651562</v>
      </c>
      <c r="R62" s="10">
        <f>SUM(R63:R65)</f>
        <v>42651562</v>
      </c>
      <c r="S62" s="10"/>
      <c r="T62" s="10"/>
      <c r="U62" s="3">
        <f t="shared" si="5"/>
        <v>2.5401058375278405</v>
      </c>
      <c r="W62" s="1"/>
      <c r="X62" s="1"/>
      <c r="Y62" s="1"/>
      <c r="Z62" s="1"/>
      <c r="AD62" s="1"/>
      <c r="AE62" s="1">
        <f t="shared" si="7"/>
        <v>0</v>
      </c>
    </row>
    <row r="63" spans="1:31" ht="12.75" hidden="1">
      <c r="A63" s="5" t="s">
        <v>30</v>
      </c>
      <c r="B63" s="11">
        <v>939032888</v>
      </c>
      <c r="C63" s="11">
        <v>0</v>
      </c>
      <c r="D63" s="11">
        <v>9764370</v>
      </c>
      <c r="E63" s="11">
        <v>0</v>
      </c>
      <c r="F63" s="11">
        <f>274606+765092</f>
        <v>1039698</v>
      </c>
      <c r="G63" s="11">
        <v>4660304</v>
      </c>
      <c r="H63" s="11">
        <v>7848958</v>
      </c>
      <c r="I63" s="11">
        <v>15343416</v>
      </c>
      <c r="J63" s="11">
        <v>22521927</v>
      </c>
      <c r="K63" s="11">
        <v>33311437</v>
      </c>
      <c r="L63" s="11">
        <f>309295398-94490110</f>
        <v>214805288</v>
      </c>
      <c r="M63" s="11">
        <v>28836508</v>
      </c>
      <c r="N63" s="11">
        <f>98225097-2027734+2337372</f>
        <v>98534735</v>
      </c>
      <c r="O63" s="11"/>
      <c r="P63" s="11">
        <f t="shared" si="6"/>
        <v>939032888</v>
      </c>
      <c r="Q63" s="11">
        <v>42651562</v>
      </c>
      <c r="R63" s="11">
        <v>42651562</v>
      </c>
      <c r="S63" s="11"/>
      <c r="T63" s="11"/>
      <c r="U63" s="3">
        <f t="shared" si="5"/>
        <v>4.542073291047501</v>
      </c>
      <c r="V63" s="14"/>
      <c r="W63" s="1"/>
      <c r="X63" s="1"/>
      <c r="Y63" s="1"/>
      <c r="Z63" s="1"/>
      <c r="AD63" s="1"/>
      <c r="AE63" s="1">
        <f t="shared" si="7"/>
        <v>0</v>
      </c>
    </row>
    <row r="64" spans="1:31" ht="12.75" hidden="1">
      <c r="A64" s="5" t="s">
        <v>31</v>
      </c>
      <c r="B64" s="11">
        <v>724342500</v>
      </c>
      <c r="C64" s="11"/>
      <c r="D64" s="11">
        <v>0</v>
      </c>
      <c r="E64" s="11">
        <v>0</v>
      </c>
      <c r="F64" s="11">
        <v>0</v>
      </c>
      <c r="G64" s="11">
        <v>0</v>
      </c>
      <c r="H64" s="11">
        <v>25090</v>
      </c>
      <c r="I64" s="11">
        <v>946365</v>
      </c>
      <c r="J64" s="11">
        <v>8764131</v>
      </c>
      <c r="K64" s="11">
        <v>21523596</v>
      </c>
      <c r="L64" s="11">
        <v>33159819</v>
      </c>
      <c r="M64" s="11">
        <v>27504331</v>
      </c>
      <c r="N64" s="11">
        <f>101300092+707323</f>
        <v>102007415</v>
      </c>
      <c r="O64" s="11">
        <v>0</v>
      </c>
      <c r="P64" s="11">
        <f t="shared" si="6"/>
        <v>724342500</v>
      </c>
      <c r="Q64" s="11">
        <v>0</v>
      </c>
      <c r="R64" s="11">
        <v>0</v>
      </c>
      <c r="S64" s="11"/>
      <c r="T64" s="11"/>
      <c r="U64" s="3">
        <f t="shared" si="5"/>
        <v>0</v>
      </c>
      <c r="W64" s="1"/>
      <c r="X64" s="1"/>
      <c r="Y64" s="1"/>
      <c r="Z64" s="1"/>
      <c r="AD64" s="1"/>
      <c r="AE64" s="1">
        <f t="shared" si="7"/>
        <v>0</v>
      </c>
    </row>
    <row r="65" spans="1:31" ht="12.75" hidden="1">
      <c r="A65" s="5" t="s">
        <v>32</v>
      </c>
      <c r="B65" s="11">
        <v>15750000</v>
      </c>
      <c r="C65" s="11"/>
      <c r="D65" s="11"/>
      <c r="E65" s="11">
        <v>1633088</v>
      </c>
      <c r="F65" s="11">
        <v>8487628</v>
      </c>
      <c r="G65" s="11">
        <v>506309</v>
      </c>
      <c r="H65" s="11">
        <v>676710</v>
      </c>
      <c r="I65" s="11">
        <v>3378186</v>
      </c>
      <c r="J65" s="11">
        <f>628640+207249.88</f>
        <v>835889.88</v>
      </c>
      <c r="K65" s="11">
        <v>2968850</v>
      </c>
      <c r="L65" s="11">
        <v>585030</v>
      </c>
      <c r="M65" s="11">
        <v>136000</v>
      </c>
      <c r="N65" s="11">
        <f>22300706.88-19207690.88</f>
        <v>3093016</v>
      </c>
      <c r="O65" s="11"/>
      <c r="P65" s="11">
        <f t="shared" si="6"/>
        <v>15750000</v>
      </c>
      <c r="Q65" s="11">
        <v>0</v>
      </c>
      <c r="R65" s="11">
        <v>0</v>
      </c>
      <c r="S65" s="11"/>
      <c r="T65" s="11"/>
      <c r="U65" s="3">
        <f t="shared" si="5"/>
        <v>0</v>
      </c>
      <c r="W65" s="1"/>
      <c r="X65" s="1"/>
      <c r="Y65" s="1"/>
      <c r="Z65" s="1"/>
      <c r="AC65" s="1"/>
      <c r="AD65" s="1"/>
      <c r="AE65" s="1">
        <f t="shared" si="7"/>
        <v>0</v>
      </c>
    </row>
    <row r="66" spans="1:31" ht="12.75" hidden="1">
      <c r="A66" s="7" t="s">
        <v>33</v>
      </c>
      <c r="B66" s="10">
        <v>65100000</v>
      </c>
      <c r="C66" s="11">
        <v>426256</v>
      </c>
      <c r="D66" s="11">
        <v>177520</v>
      </c>
      <c r="E66" s="11">
        <v>815304</v>
      </c>
      <c r="F66" s="11">
        <v>1044670</v>
      </c>
      <c r="G66" s="11">
        <v>210000</v>
      </c>
      <c r="H66" s="11">
        <v>497000</v>
      </c>
      <c r="I66" s="11">
        <v>1908400</v>
      </c>
      <c r="J66" s="11">
        <v>2080000</v>
      </c>
      <c r="K66" s="11">
        <v>1960300</v>
      </c>
      <c r="L66" s="11">
        <v>1071750</v>
      </c>
      <c r="M66" s="11">
        <v>486631</v>
      </c>
      <c r="N66" s="11">
        <v>3040000</v>
      </c>
      <c r="O66" s="11"/>
      <c r="P66" s="11">
        <f t="shared" si="6"/>
        <v>65100000</v>
      </c>
      <c r="Q66" s="10">
        <v>288860</v>
      </c>
      <c r="R66" s="10">
        <v>288860</v>
      </c>
      <c r="S66" s="10"/>
      <c r="T66" s="10"/>
      <c r="U66" s="3">
        <f t="shared" si="5"/>
        <v>0.4437173579109063</v>
      </c>
      <c r="W66" s="1"/>
      <c r="X66" s="1"/>
      <c r="Y66" s="1"/>
      <c r="Z66" s="1"/>
      <c r="AB66" s="1"/>
      <c r="AD66" s="1"/>
      <c r="AE66" s="1">
        <f t="shared" si="7"/>
        <v>0</v>
      </c>
    </row>
    <row r="67" spans="1:31" ht="12.75" hidden="1">
      <c r="A67" s="7" t="s">
        <v>34</v>
      </c>
      <c r="B67" s="10">
        <v>1000000</v>
      </c>
      <c r="C67" s="11">
        <v>7540000</v>
      </c>
      <c r="D67" s="11"/>
      <c r="E67" s="11"/>
      <c r="F67" s="11"/>
      <c r="G67" s="11"/>
      <c r="H67" s="11"/>
      <c r="I67" s="11">
        <v>294000</v>
      </c>
      <c r="J67" s="11"/>
      <c r="K67" s="11"/>
      <c r="L67" s="11">
        <v>29000</v>
      </c>
      <c r="M67" s="11"/>
      <c r="N67" s="11"/>
      <c r="O67" s="11"/>
      <c r="P67" s="11">
        <f t="shared" si="6"/>
        <v>1000000</v>
      </c>
      <c r="Q67" s="10">
        <v>0</v>
      </c>
      <c r="R67" s="10">
        <v>0</v>
      </c>
      <c r="S67" s="10"/>
      <c r="T67" s="10"/>
      <c r="U67" s="3">
        <f t="shared" si="5"/>
        <v>0</v>
      </c>
      <c r="W67" s="1"/>
      <c r="X67" s="1"/>
      <c r="Y67" s="1"/>
      <c r="Z67" s="1"/>
      <c r="AD67" s="1"/>
      <c r="AE67" s="1">
        <f t="shared" si="7"/>
        <v>0</v>
      </c>
    </row>
    <row r="68" spans="1:31" ht="12.75" hidden="1">
      <c r="A68" s="7" t="s">
        <v>35</v>
      </c>
      <c r="B68" s="10">
        <f aca="true" t="shared" si="9" ref="B68:O68">SUM(B69:B69)</f>
        <v>121800000</v>
      </c>
      <c r="C68" s="11">
        <f t="shared" si="9"/>
        <v>4768052</v>
      </c>
      <c r="D68" s="11">
        <f t="shared" si="9"/>
        <v>8290086</v>
      </c>
      <c r="E68" s="11">
        <f t="shared" si="9"/>
        <v>10672897</v>
      </c>
      <c r="F68" s="11">
        <f t="shared" si="9"/>
        <v>13361106</v>
      </c>
      <c r="G68" s="11">
        <f t="shared" si="9"/>
        <v>5435392</v>
      </c>
      <c r="H68" s="11">
        <f t="shared" si="9"/>
        <v>6359364</v>
      </c>
      <c r="I68" s="11">
        <f t="shared" si="9"/>
        <v>17667466</v>
      </c>
      <c r="J68" s="11">
        <f t="shared" si="9"/>
        <v>22629676</v>
      </c>
      <c r="K68" s="11">
        <f t="shared" si="9"/>
        <v>24318846</v>
      </c>
      <c r="L68" s="11">
        <f t="shared" si="9"/>
        <v>14234424</v>
      </c>
      <c r="M68" s="11">
        <f t="shared" si="9"/>
        <v>14378768</v>
      </c>
      <c r="N68" s="11">
        <f t="shared" si="9"/>
        <v>23388888</v>
      </c>
      <c r="O68" s="10">
        <f t="shared" si="9"/>
        <v>0</v>
      </c>
      <c r="P68" s="11">
        <f t="shared" si="6"/>
        <v>121800000</v>
      </c>
      <c r="Q68" s="10">
        <f>SUM(Q69:Q69)</f>
        <v>0</v>
      </c>
      <c r="R68" s="10">
        <f>SUM(R69:R69)</f>
        <v>0</v>
      </c>
      <c r="S68" s="10"/>
      <c r="T68" s="10"/>
      <c r="U68" s="3">
        <f t="shared" si="5"/>
        <v>0</v>
      </c>
      <c r="V68" s="14"/>
      <c r="W68" s="16"/>
      <c r="X68" s="16"/>
      <c r="Y68" s="16"/>
      <c r="Z68" s="16"/>
      <c r="AA68" s="16"/>
      <c r="AB68" s="16"/>
      <c r="AC68" s="16"/>
      <c r="AD68" s="16"/>
      <c r="AE68" s="1">
        <f t="shared" si="7"/>
        <v>0</v>
      </c>
    </row>
    <row r="69" spans="1:31" ht="12.75" hidden="1">
      <c r="A69" s="5" t="s">
        <v>36</v>
      </c>
      <c r="B69" s="11">
        <v>121800000</v>
      </c>
      <c r="C69" s="11">
        <v>4768052</v>
      </c>
      <c r="D69" s="11">
        <v>8290086</v>
      </c>
      <c r="E69" s="11">
        <v>10672897</v>
      </c>
      <c r="F69" s="11">
        <v>13361106</v>
      </c>
      <c r="G69" s="11">
        <v>5435392</v>
      </c>
      <c r="H69" s="11">
        <v>6359364</v>
      </c>
      <c r="I69" s="11">
        <v>17667466</v>
      </c>
      <c r="J69" s="11">
        <f>15777671+6852005</f>
        <v>22629676</v>
      </c>
      <c r="K69" s="11">
        <v>24318846</v>
      </c>
      <c r="L69" s="11">
        <v>14234424</v>
      </c>
      <c r="M69" s="11">
        <f>14378768</f>
        <v>14378768</v>
      </c>
      <c r="N69" s="11">
        <f>165504965-142116077</f>
        <v>23388888</v>
      </c>
      <c r="O69" s="11"/>
      <c r="P69" s="11">
        <f t="shared" si="6"/>
        <v>121800000</v>
      </c>
      <c r="Q69" s="11">
        <v>0</v>
      </c>
      <c r="R69" s="11">
        <v>0</v>
      </c>
      <c r="S69" s="11"/>
      <c r="T69" s="11"/>
      <c r="U69" s="3">
        <f t="shared" si="5"/>
        <v>0</v>
      </c>
      <c r="V69" s="2"/>
      <c r="W69" s="16"/>
      <c r="X69" s="16"/>
      <c r="Y69" s="16"/>
      <c r="Z69" s="16"/>
      <c r="AA69" s="16"/>
      <c r="AB69" s="16"/>
      <c r="AC69" s="16"/>
      <c r="AD69" s="16"/>
      <c r="AE69" s="1">
        <f t="shared" si="7"/>
        <v>0</v>
      </c>
    </row>
    <row r="70" spans="1:31" ht="12.75" hidden="1">
      <c r="A70" s="7" t="s">
        <v>37</v>
      </c>
      <c r="B70" s="10">
        <v>71925000</v>
      </c>
      <c r="C70" s="11" t="e">
        <f>SUM(#REF!)</f>
        <v>#REF!</v>
      </c>
      <c r="D70" s="11" t="e">
        <f>SUM(#REF!)</f>
        <v>#REF!</v>
      </c>
      <c r="E70" s="11" t="e">
        <f>SUM(#REF!)</f>
        <v>#REF!</v>
      </c>
      <c r="F70" s="11" t="e">
        <f>SUM(#REF!)</f>
        <v>#REF!</v>
      </c>
      <c r="G70" s="11" t="e">
        <f>SUM(#REF!)</f>
        <v>#REF!</v>
      </c>
      <c r="H70" s="11" t="e">
        <f>SUM(#REF!)</f>
        <v>#REF!</v>
      </c>
      <c r="I70" s="11" t="e">
        <f>SUM(#REF!)</f>
        <v>#REF!</v>
      </c>
      <c r="J70" s="11" t="e">
        <f>SUM(#REF!)</f>
        <v>#REF!</v>
      </c>
      <c r="K70" s="11" t="e">
        <f>SUM(#REF!)</f>
        <v>#REF!</v>
      </c>
      <c r="L70" s="11" t="e">
        <f>SUM(#REF!)</f>
        <v>#REF!</v>
      </c>
      <c r="M70" s="11" t="e">
        <f>SUM(#REF!)</f>
        <v>#REF!</v>
      </c>
      <c r="N70" s="11" t="e">
        <f>SUM(#REF!)</f>
        <v>#REF!</v>
      </c>
      <c r="O70" s="10">
        <v>0</v>
      </c>
      <c r="P70" s="11">
        <f t="shared" si="6"/>
        <v>71925000</v>
      </c>
      <c r="Q70" s="11">
        <f>15385+0</f>
        <v>15385</v>
      </c>
      <c r="R70" s="11">
        <f>15385+0</f>
        <v>15385</v>
      </c>
      <c r="S70" s="11"/>
      <c r="T70" s="11"/>
      <c r="U70" s="3">
        <f t="shared" si="5"/>
        <v>0.021390337156760517</v>
      </c>
      <c r="V70" s="2"/>
      <c r="W70" s="16"/>
      <c r="X70" s="16"/>
      <c r="Y70" s="16"/>
      <c r="Z70" s="16"/>
      <c r="AA70" s="16"/>
      <c r="AB70" s="16"/>
      <c r="AC70" s="16"/>
      <c r="AD70" s="16"/>
      <c r="AE70" s="1">
        <f t="shared" si="7"/>
        <v>0</v>
      </c>
    </row>
    <row r="71" spans="1:31" ht="12.75" hidden="1">
      <c r="A71" s="7" t="s">
        <v>44</v>
      </c>
      <c r="B71" s="10">
        <f>+B72</f>
        <v>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>
        <f>+O72</f>
        <v>1230345600</v>
      </c>
      <c r="P71" s="11">
        <f t="shared" si="6"/>
        <v>1230345600</v>
      </c>
      <c r="Q71" s="10">
        <f>+Q72</f>
        <v>0</v>
      </c>
      <c r="R71" s="10">
        <f>+R72+R73+R74</f>
        <v>302092115</v>
      </c>
      <c r="S71" s="10"/>
      <c r="T71" s="10"/>
      <c r="U71" s="3">
        <f t="shared" si="5"/>
        <v>24.553435636296015</v>
      </c>
      <c r="W71" s="1"/>
      <c r="X71" s="1"/>
      <c r="Y71" s="1"/>
      <c r="Z71" s="1"/>
      <c r="AD71" s="1"/>
      <c r="AE71" s="1"/>
    </row>
    <row r="72" spans="1:31" ht="12.75" hidden="1">
      <c r="A72" s="7" t="s">
        <v>45</v>
      </c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0">
        <v>1230345600</v>
      </c>
      <c r="P72" s="11">
        <f t="shared" si="6"/>
        <v>1230345600</v>
      </c>
      <c r="Q72" s="10">
        <v>0</v>
      </c>
      <c r="R72" s="10">
        <v>0</v>
      </c>
      <c r="S72" s="10"/>
      <c r="T72" s="10"/>
      <c r="U72" s="3">
        <f t="shared" si="5"/>
        <v>0</v>
      </c>
      <c r="W72" s="1"/>
      <c r="X72" s="1"/>
      <c r="Y72" s="1"/>
      <c r="Z72" s="1"/>
      <c r="AD72" s="1"/>
      <c r="AE72" s="1"/>
    </row>
    <row r="73" spans="1:31" ht="12.75" hidden="1">
      <c r="A73" s="7" t="s">
        <v>38</v>
      </c>
      <c r="B73" s="10">
        <f>+B74+B75+B76</f>
        <v>1914146055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0">
        <f>+O74+O75+O76</f>
        <v>0</v>
      </c>
      <c r="P73" s="11">
        <f>+B73+O73</f>
        <v>1914146055</v>
      </c>
      <c r="Q73" s="10">
        <f>+Q74+Q75+Q76</f>
        <v>300904887</v>
      </c>
      <c r="R73" s="10">
        <f>+R74+R75+R76</f>
        <v>300904887</v>
      </c>
      <c r="S73" s="10"/>
      <c r="T73" s="10"/>
      <c r="U73" s="3">
        <f t="shared" si="5"/>
        <v>15.720058885475174</v>
      </c>
      <c r="W73" s="1"/>
      <c r="X73" s="1"/>
      <c r="Y73" s="1"/>
      <c r="Z73" s="1"/>
      <c r="AD73" s="1"/>
      <c r="AE73" s="1"/>
    </row>
    <row r="74" spans="1:31" ht="12.75" hidden="1">
      <c r="A74" s="7" t="s">
        <v>6</v>
      </c>
      <c r="B74" s="10">
        <v>70000000</v>
      </c>
      <c r="C74" s="11">
        <v>898886</v>
      </c>
      <c r="D74" s="11">
        <f>4306726+216132</f>
        <v>4522858</v>
      </c>
      <c r="E74" s="11">
        <f>751140+23292827</f>
        <v>24043967</v>
      </c>
      <c r="F74" s="11">
        <v>8452240</v>
      </c>
      <c r="G74" s="11">
        <v>4422172</v>
      </c>
      <c r="H74" s="11">
        <f>7484642+234363</f>
        <v>7719005</v>
      </c>
      <c r="I74" s="11">
        <f>102855+5416914</f>
        <v>5519769</v>
      </c>
      <c r="J74" s="11">
        <f>6098966+444960+3514791+65855</f>
        <v>10124572</v>
      </c>
      <c r="K74" s="11">
        <f>191152+1348022+3219820.01</f>
        <v>4758994.01</v>
      </c>
      <c r="L74" s="11">
        <f>350566+9695840</f>
        <v>10046406</v>
      </c>
      <c r="M74" s="11">
        <f>579536+7833208+436291+345639</f>
        <v>9194674</v>
      </c>
      <c r="N74" s="11">
        <f>112132152.5-89703543.01</f>
        <v>22428609.489999995</v>
      </c>
      <c r="O74" s="11"/>
      <c r="P74" s="11">
        <f>+B74+O74</f>
        <v>70000000</v>
      </c>
      <c r="Q74" s="10">
        <f>1187228+0</f>
        <v>1187228</v>
      </c>
      <c r="R74" s="10">
        <f>1187228+0</f>
        <v>1187228</v>
      </c>
      <c r="S74" s="10"/>
      <c r="T74" s="10"/>
      <c r="U74" s="3">
        <f t="shared" si="5"/>
        <v>1.69604</v>
      </c>
      <c r="W74" s="1"/>
      <c r="X74" s="1"/>
      <c r="Y74" s="1"/>
      <c r="Z74" s="1"/>
      <c r="AD74" s="1"/>
      <c r="AE74" s="1"/>
    </row>
    <row r="75" spans="1:31" ht="12.75" hidden="1">
      <c r="A75" s="7" t="s">
        <v>9</v>
      </c>
      <c r="B75" s="10">
        <v>0</v>
      </c>
      <c r="C75" s="11"/>
      <c r="D75" s="11"/>
      <c r="E75" s="11"/>
      <c r="F75" s="11">
        <f>+B75</f>
        <v>0</v>
      </c>
      <c r="G75" s="11"/>
      <c r="H75" s="11"/>
      <c r="I75" s="11"/>
      <c r="J75" s="11"/>
      <c r="K75" s="11"/>
      <c r="L75" s="11"/>
      <c r="M75" s="11"/>
      <c r="N75" s="11"/>
      <c r="O75" s="11">
        <v>0</v>
      </c>
      <c r="P75" s="11">
        <f>+B75+O75</f>
        <v>0</v>
      </c>
      <c r="Q75" s="11">
        <f>+O75</f>
        <v>0</v>
      </c>
      <c r="R75" s="11">
        <f>+P75</f>
        <v>0</v>
      </c>
      <c r="S75" s="11"/>
      <c r="T75" s="11"/>
      <c r="U75" s="3" t="s">
        <v>1</v>
      </c>
      <c r="W75" s="1"/>
      <c r="X75" s="1"/>
      <c r="Y75" s="1"/>
      <c r="Z75" s="1"/>
      <c r="AD75" s="1"/>
      <c r="AE75" s="1"/>
    </row>
    <row r="76" spans="1:31" ht="12.75" hidden="1">
      <c r="A76" s="7" t="s">
        <v>39</v>
      </c>
      <c r="B76" s="10">
        <v>1844146055</v>
      </c>
      <c r="C76" s="11" t="e">
        <f>+#REF!+#REF!</f>
        <v>#REF!</v>
      </c>
      <c r="D76" s="11" t="e">
        <f>+#REF!+#REF!</f>
        <v>#REF!</v>
      </c>
      <c r="E76" s="11" t="e">
        <f>+#REF!+#REF!</f>
        <v>#REF!</v>
      </c>
      <c r="F76" s="11" t="e">
        <f>+#REF!+#REF!</f>
        <v>#REF!</v>
      </c>
      <c r="G76" s="11" t="e">
        <f>+#REF!+#REF!</f>
        <v>#REF!</v>
      </c>
      <c r="H76" s="11" t="e">
        <f>+#REF!+#REF!</f>
        <v>#REF!</v>
      </c>
      <c r="I76" s="11" t="e">
        <f>+#REF!+#REF!</f>
        <v>#REF!</v>
      </c>
      <c r="J76" s="11" t="e">
        <f>+#REF!+#REF!</f>
        <v>#REF!</v>
      </c>
      <c r="K76" s="11" t="e">
        <f>+#REF!+#REF!</f>
        <v>#REF!</v>
      </c>
      <c r="L76" s="11" t="e">
        <f>+#REF!+#REF!</f>
        <v>#REF!</v>
      </c>
      <c r="M76" s="11" t="e">
        <f>+#REF!+#REF!</f>
        <v>#REF!</v>
      </c>
      <c r="N76" s="11" t="e">
        <f>+#REF!+#REF!</f>
        <v>#REF!</v>
      </c>
      <c r="O76" s="10">
        <v>0</v>
      </c>
      <c r="P76" s="11">
        <f>+B76+O76</f>
        <v>1844146055</v>
      </c>
      <c r="Q76" s="10">
        <f>260296153+39421506</f>
        <v>299717659</v>
      </c>
      <c r="R76" s="10">
        <f>260296153+39421506</f>
        <v>299717659</v>
      </c>
      <c r="S76" s="10"/>
      <c r="T76" s="10"/>
      <c r="U76" s="3">
        <f>+R76/P76*100</f>
        <v>16.25238186462406</v>
      </c>
      <c r="W76" s="1"/>
      <c r="X76" s="1"/>
      <c r="Y76" s="1"/>
      <c r="Z76" s="1"/>
      <c r="AD76" s="1"/>
      <c r="AE76" s="1"/>
    </row>
    <row r="77" spans="1:31" ht="12.75" hidden="1">
      <c r="A77" s="5"/>
      <c r="B77" s="11"/>
      <c r="C77" s="11"/>
      <c r="D77" s="11"/>
      <c r="E77" s="11" t="s">
        <v>1</v>
      </c>
      <c r="F77" s="11" t="s">
        <v>1</v>
      </c>
      <c r="G77" s="11" t="s">
        <v>1</v>
      </c>
      <c r="H77" s="11" t="s">
        <v>1</v>
      </c>
      <c r="I77" s="11" t="s">
        <v>1</v>
      </c>
      <c r="J77" s="11" t="s">
        <v>1</v>
      </c>
      <c r="K77" s="11" t="s">
        <v>1</v>
      </c>
      <c r="L77" s="11" t="s">
        <v>1</v>
      </c>
      <c r="M77" s="11" t="s">
        <v>1</v>
      </c>
      <c r="N77" s="11" t="s">
        <v>1</v>
      </c>
      <c r="O77" s="11"/>
      <c r="P77" s="11" t="s">
        <v>1</v>
      </c>
      <c r="Q77" s="11" t="s">
        <v>1</v>
      </c>
      <c r="R77" s="11" t="s">
        <v>1</v>
      </c>
      <c r="S77" s="11"/>
      <c r="T77" s="11"/>
      <c r="U77" s="3" t="s">
        <v>1</v>
      </c>
      <c r="W77" s="1"/>
      <c r="X77" s="1"/>
      <c r="Y77" s="1"/>
      <c r="Z77" s="1"/>
      <c r="AD77" s="1"/>
      <c r="AE77" s="1"/>
    </row>
    <row r="78" spans="1:31" ht="12.75" hidden="1">
      <c r="A78" s="7" t="s">
        <v>40</v>
      </c>
      <c r="B78" s="10">
        <f>+B52+B73</f>
        <v>10077156120</v>
      </c>
      <c r="C78" s="10" t="e">
        <f>+C55+C60+C62+C66+C67+C68+C70+#REF!+#REF!+C74+C75+C76+#REF!</f>
        <v>#REF!</v>
      </c>
      <c r="D78" s="10" t="e">
        <f>+D55+D60+D62+D66+D67+D68+D70+#REF!+#REF!+D74+D75+D76+#REF!</f>
        <v>#REF!</v>
      </c>
      <c r="E78" s="10" t="e">
        <f>+E55+E60+E62+E66+E67+E68+E70+#REF!+#REF!+E74+E75+E76+#REF!</f>
        <v>#REF!</v>
      </c>
      <c r="F78" s="10" t="e">
        <f>+F55+F60+F62+F66+F67+F68+F70+#REF!+#REF!+F74+F75+F76+#REF!</f>
        <v>#REF!</v>
      </c>
      <c r="G78" s="10" t="e">
        <f>+G55+G60+G62+G66+G67+G68+G70+#REF!+#REF!+G74+G75+G76+#REF!</f>
        <v>#REF!</v>
      </c>
      <c r="H78" s="10" t="e">
        <f>+H55+H60+H62+H66+H67+H68+H70+#REF!+#REF!+H74+H75+H76+#REF!</f>
        <v>#REF!</v>
      </c>
      <c r="I78" s="10" t="e">
        <f>+I55+I60+I62+I66+I67+I68+I70+#REF!+#REF!+I74+I75+I76+#REF!</f>
        <v>#REF!</v>
      </c>
      <c r="J78" s="10" t="e">
        <f>+J55+J60+J62+J66+J67+J68+J70+#REF!+#REF!+J74+J75+J76+#REF!</f>
        <v>#REF!</v>
      </c>
      <c r="K78" s="10" t="e">
        <f>+K55+K60+K62+K66+K67+K68+K70+#REF!+#REF!+K74+K75+K76+#REF!</f>
        <v>#REF!</v>
      </c>
      <c r="L78" s="10" t="e">
        <f>+L55+L60+L62+L66+L67+L68+L70+#REF!+#REF!+L74+L75+L76+#REF!</f>
        <v>#REF!</v>
      </c>
      <c r="M78" s="10" t="e">
        <f>+M55+M60+M62+M66+M67+M68+M70+#REF!+#REF!+M74+M75+M76+#REF!</f>
        <v>#REF!</v>
      </c>
      <c r="N78" s="10" t="e">
        <f>+N55+N60+N62+N66+N67+N68+N70+#REF!+#REF!+N74+N75+N76+#REF!</f>
        <v>#REF!</v>
      </c>
      <c r="O78" s="10">
        <f>+O52+O73</f>
        <v>1230345600</v>
      </c>
      <c r="P78" s="10">
        <f>+P52+P73</f>
        <v>11307501720</v>
      </c>
      <c r="Q78" s="16">
        <f>+Q52+Q73</f>
        <v>343860694</v>
      </c>
      <c r="R78" s="16">
        <f>+Q78</f>
        <v>343860694</v>
      </c>
      <c r="S78" s="16"/>
      <c r="T78" s="16"/>
      <c r="U78" s="3">
        <f>+R78/P78*100</f>
        <v>3.040996167984664</v>
      </c>
      <c r="W78" s="1"/>
      <c r="X78" s="1"/>
      <c r="Y78" s="1"/>
      <c r="Z78" s="1"/>
      <c r="AD78" s="1"/>
      <c r="AE78" s="1"/>
    </row>
    <row r="79" spans="1:31" ht="12.75" hidden="1">
      <c r="A79" s="7" t="s">
        <v>41</v>
      </c>
      <c r="B79" s="11">
        <f>+B34</f>
        <v>1334597240</v>
      </c>
      <c r="O79">
        <v>0</v>
      </c>
      <c r="P79" s="1">
        <f>+B79+O79</f>
        <v>1334597240</v>
      </c>
      <c r="Q79" s="1">
        <v>0</v>
      </c>
      <c r="R79" s="1">
        <v>0</v>
      </c>
      <c r="S79" s="1"/>
      <c r="T79" s="1"/>
      <c r="U79" s="3">
        <f>+R79/P79*100</f>
        <v>0</v>
      </c>
      <c r="W79" s="1"/>
      <c r="X79" s="1"/>
      <c r="Y79" s="1"/>
      <c r="Z79" s="1"/>
      <c r="AD79" s="1"/>
      <c r="AE79" s="1"/>
    </row>
    <row r="80" spans="2:31" ht="12.75" hidden="1">
      <c r="B80" s="1" t="s">
        <v>1</v>
      </c>
      <c r="O80" s="1" t="s">
        <v>1</v>
      </c>
      <c r="Q80" s="1"/>
      <c r="R80" s="1"/>
      <c r="S80" s="1"/>
      <c r="T80" s="1"/>
      <c r="U80" s="3" t="s">
        <v>1</v>
      </c>
      <c r="W80" s="1"/>
      <c r="X80" s="1"/>
      <c r="Y80" s="1"/>
      <c r="Z80" s="1"/>
      <c r="AD80" s="1"/>
      <c r="AE80" s="1"/>
    </row>
    <row r="81" spans="1:31" ht="12.75" hidden="1">
      <c r="A81" s="7" t="s">
        <v>42</v>
      </c>
      <c r="B81" s="16">
        <f>+B78+B79</f>
        <v>11411753360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6">
        <f>+O78+O79</f>
        <v>1230345600</v>
      </c>
      <c r="P81" s="16">
        <f>+P78+P79</f>
        <v>12642098960</v>
      </c>
      <c r="Q81" s="16">
        <f>+Q78+Q79</f>
        <v>343860694</v>
      </c>
      <c r="R81" s="16">
        <f>+R78+R79</f>
        <v>343860694</v>
      </c>
      <c r="S81" s="16"/>
      <c r="T81" s="16"/>
      <c r="U81" s="3">
        <f>+R81/P81*100</f>
        <v>2.7199652137511823</v>
      </c>
      <c r="W81" s="1"/>
      <c r="X81" s="1"/>
      <c r="Y81" s="1"/>
      <c r="Z81" s="1"/>
      <c r="AD81" s="1"/>
      <c r="AE81" s="1"/>
    </row>
    <row r="82" spans="16:31" ht="12.75" hidden="1">
      <c r="P82" s="1" t="s">
        <v>1</v>
      </c>
      <c r="Q82" s="1"/>
      <c r="W82" s="1"/>
      <c r="X82" s="1"/>
      <c r="Y82" s="1"/>
      <c r="Z82" s="1"/>
      <c r="AD82" s="1"/>
      <c r="AE82" s="1"/>
    </row>
    <row r="83" spans="23:31" ht="12.75" hidden="1">
      <c r="W83" s="1"/>
      <c r="X83" s="1"/>
      <c r="Y83" s="1"/>
      <c r="Z83" s="1"/>
      <c r="AD83" s="1"/>
      <c r="AE83" s="1"/>
    </row>
    <row r="84" spans="23:31" ht="12.75" hidden="1">
      <c r="W84" s="1"/>
      <c r="X84" s="1"/>
      <c r="Y84" s="1"/>
      <c r="Z84" s="1"/>
      <c r="AD84" s="1"/>
      <c r="AE84" s="1"/>
    </row>
    <row r="85" spans="1:31" ht="12.75" hidden="1">
      <c r="A85" s="47" t="s">
        <v>0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W85" s="1"/>
      <c r="X85" s="1"/>
      <c r="Y85" s="1"/>
      <c r="Z85" s="1"/>
      <c r="AD85" s="1"/>
      <c r="AE85" s="1"/>
    </row>
    <row r="86" spans="1:31" ht="12.75" hidden="1">
      <c r="A86" s="47" t="s">
        <v>47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W86" s="1"/>
      <c r="X86" s="1"/>
      <c r="Y86" s="1"/>
      <c r="Z86" s="1"/>
      <c r="AD86" s="1"/>
      <c r="AE86" s="1"/>
    </row>
    <row r="87" spans="21:31" ht="12.75" hidden="1">
      <c r="U87" s="18">
        <v>39479</v>
      </c>
      <c r="W87" s="1"/>
      <c r="X87" s="1"/>
      <c r="Y87" s="1"/>
      <c r="Z87" s="1"/>
      <c r="AD87" s="1"/>
      <c r="AE87" s="1"/>
    </row>
    <row r="88" spans="1:31" ht="25.5" hidden="1">
      <c r="A88" s="5"/>
      <c r="B88" s="6" t="s">
        <v>10</v>
      </c>
      <c r="C88" s="48" t="s">
        <v>11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5"/>
      <c r="O88" s="4" t="s">
        <v>2</v>
      </c>
      <c r="P88" s="6" t="s">
        <v>12</v>
      </c>
      <c r="Q88" s="6"/>
      <c r="R88" s="8" t="s">
        <v>43</v>
      </c>
      <c r="S88" s="8"/>
      <c r="T88" s="8"/>
      <c r="U88" s="8" t="s">
        <v>46</v>
      </c>
      <c r="W88" s="1"/>
      <c r="X88" s="1"/>
      <c r="Y88" s="1"/>
      <c r="Z88" s="1"/>
      <c r="AD88" s="1"/>
      <c r="AE88" s="1"/>
    </row>
    <row r="89" spans="1:31" ht="12.75" hidden="1">
      <c r="A89" s="4" t="s">
        <v>7</v>
      </c>
      <c r="B89" s="4" t="s">
        <v>1</v>
      </c>
      <c r="C89" s="4" t="s">
        <v>13</v>
      </c>
      <c r="D89" s="4" t="s">
        <v>14</v>
      </c>
      <c r="E89" s="4" t="s">
        <v>15</v>
      </c>
      <c r="F89" s="4" t="s">
        <v>16</v>
      </c>
      <c r="G89" s="4" t="s">
        <v>8</v>
      </c>
      <c r="H89" s="4" t="s">
        <v>17</v>
      </c>
      <c r="I89" s="4" t="s">
        <v>18</v>
      </c>
      <c r="J89" s="4" t="s">
        <v>19</v>
      </c>
      <c r="K89" s="4" t="s">
        <v>20</v>
      </c>
      <c r="L89" s="4" t="s">
        <v>21</v>
      </c>
      <c r="M89" s="4" t="s">
        <v>22</v>
      </c>
      <c r="N89" s="4" t="s">
        <v>23</v>
      </c>
      <c r="O89" s="4"/>
      <c r="P89" s="4"/>
      <c r="Q89" s="4"/>
      <c r="R89" s="4"/>
      <c r="S89" s="4"/>
      <c r="T89" s="4"/>
      <c r="U89" s="4"/>
      <c r="W89" s="1"/>
      <c r="X89" s="1"/>
      <c r="Y89" s="1"/>
      <c r="Z89" s="1"/>
      <c r="AD89" s="1"/>
      <c r="AE89" s="1"/>
    </row>
    <row r="90" spans="1:31" ht="12.75" hidden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3"/>
      <c r="S90" s="3"/>
      <c r="T90" s="3"/>
      <c r="U90" s="3"/>
      <c r="W90" s="1"/>
      <c r="X90" s="1"/>
      <c r="Y90" s="1"/>
      <c r="Z90" s="1"/>
      <c r="AD90" s="1"/>
      <c r="AE90" s="1"/>
    </row>
    <row r="91" spans="1:31" ht="12.75" hidden="1">
      <c r="A91" s="9" t="s">
        <v>24</v>
      </c>
      <c r="B91" s="3">
        <f>+B93+B98</f>
        <v>8163010065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3">
        <f>+O93+O98</f>
        <v>1230345600</v>
      </c>
      <c r="P91" s="3">
        <f>+P93+P98</f>
        <v>9393355665</v>
      </c>
      <c r="Q91" s="3">
        <f>+Q93+Q98</f>
        <v>19232471</v>
      </c>
      <c r="R91" s="3">
        <f>+R52+Q91</f>
        <v>364280393</v>
      </c>
      <c r="S91" s="3"/>
      <c r="T91" s="3"/>
      <c r="U91" s="3">
        <f>+R91/P91*100</f>
        <v>3.878064517000273</v>
      </c>
      <c r="W91" s="1"/>
      <c r="X91" s="1"/>
      <c r="Y91" s="1"/>
      <c r="Z91" s="1"/>
      <c r="AD91" s="1"/>
      <c r="AE91" s="1"/>
    </row>
    <row r="92" spans="1:31" ht="12.75" hidden="1">
      <c r="A92" s="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3"/>
      <c r="W92" s="1"/>
      <c r="X92" s="1"/>
      <c r="Y92" s="1"/>
      <c r="Z92" s="1"/>
      <c r="AD92" s="1"/>
      <c r="AE92" s="1"/>
    </row>
    <row r="93" spans="1:31" ht="12.75" hidden="1">
      <c r="A93" s="7" t="s">
        <v>3</v>
      </c>
      <c r="B93" s="10">
        <f>+B94</f>
        <v>3471300000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10">
        <f>+O94</f>
        <v>0</v>
      </c>
      <c r="P93" s="11">
        <f>+B93+O93</f>
        <v>3471300000</v>
      </c>
      <c r="Q93" s="10">
        <f>+Q94</f>
        <v>0</v>
      </c>
      <c r="R93" s="3">
        <f aca="true" t="shared" si="10" ref="R93:R120">+R54+Q93</f>
        <v>0</v>
      </c>
      <c r="S93" s="3"/>
      <c r="T93" s="3"/>
      <c r="U93" s="3">
        <f>+R93/P93*100</f>
        <v>0</v>
      </c>
      <c r="W93" s="1"/>
      <c r="X93" s="1"/>
      <c r="Y93" s="1"/>
      <c r="Z93" s="1"/>
      <c r="AD93" s="1"/>
      <c r="AE93" s="1"/>
    </row>
    <row r="94" spans="1:31" ht="12.75" hidden="1">
      <c r="A94" s="7" t="s">
        <v>25</v>
      </c>
      <c r="B94" s="10">
        <f>+B95+B96</f>
        <v>3471300000</v>
      </c>
      <c r="C94" s="11"/>
      <c r="D94" s="11">
        <v>177520</v>
      </c>
      <c r="E94" s="11"/>
      <c r="F94" s="11">
        <v>165006728</v>
      </c>
      <c r="G94" s="11">
        <v>1414514385</v>
      </c>
      <c r="H94" s="11">
        <v>4948458</v>
      </c>
      <c r="I94" s="11">
        <v>573117327</v>
      </c>
      <c r="J94" s="11">
        <f>139033811-14448995.38</f>
        <v>124584815.62</v>
      </c>
      <c r="K94" s="11">
        <v>93361900</v>
      </c>
      <c r="L94" s="11">
        <v>25720312</v>
      </c>
      <c r="M94" s="11">
        <v>242733948</v>
      </c>
      <c r="N94" s="11">
        <f>65086606+14219504.38-900076.38-6867260+6687809</f>
        <v>78226583</v>
      </c>
      <c r="O94" s="10">
        <f>+O95+O96</f>
        <v>0</v>
      </c>
      <c r="P94" s="11">
        <f>+B94+O94</f>
        <v>3471300000</v>
      </c>
      <c r="Q94" s="10">
        <f>+Q95+Q96</f>
        <v>0</v>
      </c>
      <c r="R94" s="3">
        <f t="shared" si="10"/>
        <v>0</v>
      </c>
      <c r="S94" s="3"/>
      <c r="T94" s="3"/>
      <c r="U94" s="3">
        <f>+R94/P94*100</f>
        <v>0</v>
      </c>
      <c r="W94" s="1"/>
      <c r="X94" s="1"/>
      <c r="Y94" s="1"/>
      <c r="Z94" s="1"/>
      <c r="AD94" s="1"/>
      <c r="AE94" s="1"/>
    </row>
    <row r="95" spans="1:31" ht="12.75" hidden="1">
      <c r="A95" s="5" t="s">
        <v>26</v>
      </c>
      <c r="B95" s="11">
        <v>2106300000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>
        <f>+B95+O95</f>
        <v>2106300000</v>
      </c>
      <c r="Q95" s="11">
        <v>0</v>
      </c>
      <c r="R95" s="3">
        <f t="shared" si="10"/>
        <v>0</v>
      </c>
      <c r="S95" s="3"/>
      <c r="T95" s="3"/>
      <c r="U95" s="3">
        <f>+R95/P95*100</f>
        <v>0</v>
      </c>
      <c r="W95" s="1"/>
      <c r="X95" s="1"/>
      <c r="Y95" s="1"/>
      <c r="Z95" s="1"/>
      <c r="AD95" s="1"/>
      <c r="AE95" s="1"/>
    </row>
    <row r="96" spans="1:31" ht="12.75" hidden="1">
      <c r="A96" s="5" t="s">
        <v>27</v>
      </c>
      <c r="B96" s="11">
        <v>1365000000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>
        <f>+B96+O96</f>
        <v>1365000000</v>
      </c>
      <c r="Q96" s="11">
        <v>0</v>
      </c>
      <c r="R96" s="3">
        <f t="shared" si="10"/>
        <v>0</v>
      </c>
      <c r="S96" s="3"/>
      <c r="T96" s="3"/>
      <c r="U96" s="3">
        <f>+R96/P96*100</f>
        <v>0</v>
      </c>
      <c r="W96" s="1"/>
      <c r="X96" s="1"/>
      <c r="Y96" s="1"/>
      <c r="Z96" s="1"/>
      <c r="AD96" s="1"/>
      <c r="AE96" s="1"/>
    </row>
    <row r="97" spans="1:26" ht="12.75" hidden="1">
      <c r="A97" s="7"/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 t="s">
        <v>1</v>
      </c>
      <c r="Q97" s="10"/>
      <c r="R97" s="3">
        <f t="shared" si="10"/>
        <v>0</v>
      </c>
      <c r="S97" s="3"/>
      <c r="T97" s="3"/>
      <c r="U97" s="3" t="s">
        <v>1</v>
      </c>
      <c r="W97" s="1"/>
      <c r="X97" s="1"/>
      <c r="Y97" s="1"/>
      <c r="Z97" s="1"/>
    </row>
    <row r="98" spans="1:26" ht="12.75" hidden="1">
      <c r="A98" s="7" t="s">
        <v>4</v>
      </c>
      <c r="B98" s="10">
        <f>+B99+B100+B109+B110</f>
        <v>4691710065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0">
        <f>+O99+O100+O109+O110</f>
        <v>1230345600</v>
      </c>
      <c r="P98" s="10">
        <f>+P99+P100+P109+P110</f>
        <v>5922055665</v>
      </c>
      <c r="Q98" s="10">
        <f>+Q99+Q100+Q109+Q110</f>
        <v>19232471</v>
      </c>
      <c r="R98" s="3">
        <f t="shared" si="10"/>
        <v>364280393</v>
      </c>
      <c r="S98" s="3"/>
      <c r="T98" s="3"/>
      <c r="U98" s="3">
        <f aca="true" t="shared" si="11" ref="U98:U115">+R98/P98*100</f>
        <v>6.151249052806733</v>
      </c>
      <c r="W98" s="1"/>
      <c r="X98" s="1"/>
      <c r="Y98" s="1"/>
      <c r="Z98" s="1"/>
    </row>
    <row r="99" spans="1:21" ht="12.75" hidden="1">
      <c r="A99" s="7" t="s">
        <v>28</v>
      </c>
      <c r="B99" s="10">
        <v>2752759677</v>
      </c>
      <c r="C99" s="11">
        <v>0</v>
      </c>
      <c r="D99" s="11">
        <v>0</v>
      </c>
      <c r="E99" s="11">
        <v>0</v>
      </c>
      <c r="F99" s="11">
        <v>196495882</v>
      </c>
      <c r="G99" s="11">
        <v>164927418</v>
      </c>
      <c r="H99" s="11">
        <v>262941303</v>
      </c>
      <c r="I99" s="11">
        <v>280282246</v>
      </c>
      <c r="J99" s="11">
        <v>246192273</v>
      </c>
      <c r="K99" s="11">
        <v>308626989</v>
      </c>
      <c r="L99" s="11">
        <v>243645342</v>
      </c>
      <c r="M99" s="11">
        <v>247491577</v>
      </c>
      <c r="N99" s="11">
        <v>165492691</v>
      </c>
      <c r="O99" s="11"/>
      <c r="P99" s="11">
        <f aca="true" t="shared" si="12" ref="P99:P111">+B99+O99</f>
        <v>2752759677</v>
      </c>
      <c r="Q99" s="10">
        <v>0</v>
      </c>
      <c r="R99" s="3">
        <f t="shared" si="10"/>
        <v>0</v>
      </c>
      <c r="S99" s="3"/>
      <c r="T99" s="3"/>
      <c r="U99" s="3">
        <f t="shared" si="11"/>
        <v>0</v>
      </c>
    </row>
    <row r="100" spans="1:21" ht="12.75" hidden="1">
      <c r="A100" s="7" t="s">
        <v>5</v>
      </c>
      <c r="B100" s="10">
        <f>+B101+B105+B106+B107</f>
        <v>1867025388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0">
        <f>+O101+O105+O106+O107</f>
        <v>0</v>
      </c>
      <c r="P100" s="11">
        <f t="shared" si="12"/>
        <v>1867025388</v>
      </c>
      <c r="Q100" s="10">
        <f>+Q101+Q105+Q106+Q107</f>
        <v>17203551</v>
      </c>
      <c r="R100" s="3">
        <f t="shared" si="10"/>
        <v>60143973</v>
      </c>
      <c r="S100" s="3"/>
      <c r="T100" s="3"/>
      <c r="U100" s="3">
        <f t="shared" si="11"/>
        <v>3.2213794941710776</v>
      </c>
    </row>
    <row r="101" spans="1:21" ht="12.75" hidden="1">
      <c r="A101" s="7" t="s">
        <v>29</v>
      </c>
      <c r="B101" s="10">
        <f>SUM(B102:B104)</f>
        <v>1679125388</v>
      </c>
      <c r="C101" s="11">
        <f>SUM(C102:C104)</f>
        <v>0</v>
      </c>
      <c r="D101" s="11">
        <f aca="true" t="shared" si="13" ref="D101:N101">SUM(D102:D104)</f>
        <v>9764370</v>
      </c>
      <c r="E101" s="11">
        <f t="shared" si="13"/>
        <v>1633088</v>
      </c>
      <c r="F101" s="11">
        <f t="shared" si="13"/>
        <v>9527326</v>
      </c>
      <c r="G101" s="11">
        <f t="shared" si="13"/>
        <v>5166613</v>
      </c>
      <c r="H101" s="11">
        <f t="shared" si="13"/>
        <v>8550758</v>
      </c>
      <c r="I101" s="11">
        <f t="shared" si="13"/>
        <v>19667967</v>
      </c>
      <c r="J101" s="11">
        <f t="shared" si="13"/>
        <v>32121947.88</v>
      </c>
      <c r="K101" s="11">
        <f t="shared" si="13"/>
        <v>57803883</v>
      </c>
      <c r="L101" s="11">
        <f t="shared" si="13"/>
        <v>248550137</v>
      </c>
      <c r="M101" s="11">
        <f t="shared" si="13"/>
        <v>56476839</v>
      </c>
      <c r="N101" s="11">
        <f t="shared" si="13"/>
        <v>203635166</v>
      </c>
      <c r="O101" s="10">
        <f>SUM(O102:O104)</f>
        <v>0</v>
      </c>
      <c r="P101" s="11">
        <f t="shared" si="12"/>
        <v>1679125388</v>
      </c>
      <c r="Q101" s="10">
        <f>SUM(Q102:Q104)</f>
        <v>196000</v>
      </c>
      <c r="R101" s="3">
        <f t="shared" si="10"/>
        <v>42847562</v>
      </c>
      <c r="S101" s="3"/>
      <c r="T101" s="3"/>
      <c r="U101" s="3">
        <f t="shared" si="11"/>
        <v>2.551778581052578</v>
      </c>
    </row>
    <row r="102" spans="1:21" ht="12.75" hidden="1">
      <c r="A102" s="5" t="s">
        <v>30</v>
      </c>
      <c r="B102" s="11">
        <v>939032888</v>
      </c>
      <c r="C102" s="11">
        <v>0</v>
      </c>
      <c r="D102" s="11">
        <v>9764370</v>
      </c>
      <c r="E102" s="11">
        <v>0</v>
      </c>
      <c r="F102" s="11">
        <f>274606+765092</f>
        <v>1039698</v>
      </c>
      <c r="G102" s="11">
        <v>4660304</v>
      </c>
      <c r="H102" s="11">
        <v>7848958</v>
      </c>
      <c r="I102" s="11">
        <v>15343416</v>
      </c>
      <c r="J102" s="11">
        <v>22521927</v>
      </c>
      <c r="K102" s="11">
        <v>33311437</v>
      </c>
      <c r="L102" s="11">
        <f>309295398-94490110</f>
        <v>214805288</v>
      </c>
      <c r="M102" s="11">
        <v>28836508</v>
      </c>
      <c r="N102" s="11">
        <f>98225097-2027734+2337372</f>
        <v>98534735</v>
      </c>
      <c r="O102" s="11"/>
      <c r="P102" s="11">
        <f t="shared" si="12"/>
        <v>939032888</v>
      </c>
      <c r="Q102" s="11">
        <v>0</v>
      </c>
      <c r="R102" s="3">
        <f t="shared" si="10"/>
        <v>42651562</v>
      </c>
      <c r="S102" s="3"/>
      <c r="T102" s="3"/>
      <c r="U102" s="3">
        <f t="shared" si="11"/>
        <v>4.542073291047501</v>
      </c>
    </row>
    <row r="103" spans="1:21" ht="12.75" hidden="1">
      <c r="A103" s="5" t="s">
        <v>31</v>
      </c>
      <c r="B103" s="11">
        <v>724342500</v>
      </c>
      <c r="C103" s="11"/>
      <c r="D103" s="11">
        <v>0</v>
      </c>
      <c r="E103" s="11">
        <v>0</v>
      </c>
      <c r="F103" s="11">
        <v>0</v>
      </c>
      <c r="G103" s="11">
        <v>0</v>
      </c>
      <c r="H103" s="11">
        <v>25090</v>
      </c>
      <c r="I103" s="11">
        <v>946365</v>
      </c>
      <c r="J103" s="11">
        <v>8764131</v>
      </c>
      <c r="K103" s="11">
        <v>21523596</v>
      </c>
      <c r="L103" s="11">
        <v>33159819</v>
      </c>
      <c r="M103" s="11">
        <v>27504331</v>
      </c>
      <c r="N103" s="11">
        <f>101300092+707323</f>
        <v>102007415</v>
      </c>
      <c r="O103" s="11">
        <v>0</v>
      </c>
      <c r="P103" s="11">
        <f t="shared" si="12"/>
        <v>724342500</v>
      </c>
      <c r="Q103" s="11">
        <v>0</v>
      </c>
      <c r="R103" s="3">
        <f t="shared" si="10"/>
        <v>0</v>
      </c>
      <c r="S103" s="3"/>
      <c r="T103" s="3"/>
      <c r="U103" s="3">
        <f t="shared" si="11"/>
        <v>0</v>
      </c>
    </row>
    <row r="104" spans="1:21" ht="12.75" hidden="1">
      <c r="A104" s="5" t="s">
        <v>32</v>
      </c>
      <c r="B104" s="11">
        <v>15750000</v>
      </c>
      <c r="C104" s="11"/>
      <c r="D104" s="11"/>
      <c r="E104" s="11">
        <v>1633088</v>
      </c>
      <c r="F104" s="11">
        <v>8487628</v>
      </c>
      <c r="G104" s="11">
        <v>506309</v>
      </c>
      <c r="H104" s="11">
        <v>676710</v>
      </c>
      <c r="I104" s="11">
        <v>3378186</v>
      </c>
      <c r="J104" s="11">
        <f>628640+207249.88</f>
        <v>835889.88</v>
      </c>
      <c r="K104" s="11">
        <v>2968850</v>
      </c>
      <c r="L104" s="11">
        <v>585030</v>
      </c>
      <c r="M104" s="11">
        <v>136000</v>
      </c>
      <c r="N104" s="11">
        <f>22300706.88-19207690.88</f>
        <v>3093016</v>
      </c>
      <c r="O104" s="11"/>
      <c r="P104" s="11">
        <f t="shared" si="12"/>
        <v>15750000</v>
      </c>
      <c r="Q104" s="11">
        <v>196000</v>
      </c>
      <c r="R104" s="3">
        <f t="shared" si="10"/>
        <v>196000</v>
      </c>
      <c r="S104" s="3"/>
      <c r="T104" s="3"/>
      <c r="U104" s="3">
        <f t="shared" si="11"/>
        <v>1.2444444444444445</v>
      </c>
    </row>
    <row r="105" spans="1:21" ht="12.75" hidden="1">
      <c r="A105" s="7" t="s">
        <v>33</v>
      </c>
      <c r="B105" s="10">
        <v>65100000</v>
      </c>
      <c r="C105" s="11">
        <v>426256</v>
      </c>
      <c r="D105" s="11">
        <v>177520</v>
      </c>
      <c r="E105" s="11">
        <v>815304</v>
      </c>
      <c r="F105" s="11">
        <v>1044670</v>
      </c>
      <c r="G105" s="11">
        <v>210000</v>
      </c>
      <c r="H105" s="11">
        <v>497000</v>
      </c>
      <c r="I105" s="11">
        <v>1908400</v>
      </c>
      <c r="J105" s="11">
        <v>2080000</v>
      </c>
      <c r="K105" s="11">
        <v>1960300</v>
      </c>
      <c r="L105" s="11">
        <v>1071750</v>
      </c>
      <c r="M105" s="11">
        <v>486631</v>
      </c>
      <c r="N105" s="11">
        <v>3040000</v>
      </c>
      <c r="O105" s="11"/>
      <c r="P105" s="11">
        <f t="shared" si="12"/>
        <v>65100000</v>
      </c>
      <c r="Q105" s="10">
        <v>1153750</v>
      </c>
      <c r="R105" s="3">
        <f t="shared" si="10"/>
        <v>1442610</v>
      </c>
      <c r="S105" s="3"/>
      <c r="T105" s="3"/>
      <c r="U105" s="3">
        <f t="shared" si="11"/>
        <v>2.215990783410138</v>
      </c>
    </row>
    <row r="106" spans="1:21" ht="12.75" hidden="1">
      <c r="A106" s="7" t="s">
        <v>34</v>
      </c>
      <c r="B106" s="10">
        <v>1000000</v>
      </c>
      <c r="C106" s="11">
        <v>7540000</v>
      </c>
      <c r="D106" s="11"/>
      <c r="E106" s="11"/>
      <c r="F106" s="11"/>
      <c r="G106" s="11"/>
      <c r="H106" s="11"/>
      <c r="I106" s="11">
        <v>294000</v>
      </c>
      <c r="J106" s="11"/>
      <c r="K106" s="11"/>
      <c r="L106" s="11">
        <v>29000</v>
      </c>
      <c r="M106" s="11"/>
      <c r="N106" s="11"/>
      <c r="O106" s="11"/>
      <c r="P106" s="11">
        <f t="shared" si="12"/>
        <v>1000000</v>
      </c>
      <c r="Q106" s="10">
        <v>0</v>
      </c>
      <c r="R106" s="3">
        <f t="shared" si="10"/>
        <v>0</v>
      </c>
      <c r="S106" s="3"/>
      <c r="T106" s="3"/>
      <c r="U106" s="3">
        <f t="shared" si="11"/>
        <v>0</v>
      </c>
    </row>
    <row r="107" spans="1:21" ht="12.75" hidden="1">
      <c r="A107" s="7" t="s">
        <v>35</v>
      </c>
      <c r="B107" s="10">
        <f aca="true" t="shared" si="14" ref="B107:O107">SUM(B108:B108)</f>
        <v>121800000</v>
      </c>
      <c r="C107" s="11">
        <f t="shared" si="14"/>
        <v>4768052</v>
      </c>
      <c r="D107" s="11">
        <f t="shared" si="14"/>
        <v>8290086</v>
      </c>
      <c r="E107" s="11">
        <f t="shared" si="14"/>
        <v>10672897</v>
      </c>
      <c r="F107" s="11">
        <f t="shared" si="14"/>
        <v>13361106</v>
      </c>
      <c r="G107" s="11">
        <f t="shared" si="14"/>
        <v>5435392</v>
      </c>
      <c r="H107" s="11">
        <f t="shared" si="14"/>
        <v>6359364</v>
      </c>
      <c r="I107" s="11">
        <f t="shared" si="14"/>
        <v>17667466</v>
      </c>
      <c r="J107" s="11">
        <f t="shared" si="14"/>
        <v>22629676</v>
      </c>
      <c r="K107" s="11">
        <f t="shared" si="14"/>
        <v>24318846</v>
      </c>
      <c r="L107" s="11">
        <f t="shared" si="14"/>
        <v>14234424</v>
      </c>
      <c r="M107" s="11">
        <f t="shared" si="14"/>
        <v>14378768</v>
      </c>
      <c r="N107" s="11">
        <f t="shared" si="14"/>
        <v>23388888</v>
      </c>
      <c r="O107" s="10">
        <f t="shared" si="14"/>
        <v>0</v>
      </c>
      <c r="P107" s="11">
        <f t="shared" si="12"/>
        <v>121800000</v>
      </c>
      <c r="Q107" s="10">
        <f>SUM(Q108:Q108)</f>
        <v>15853801</v>
      </c>
      <c r="R107" s="3">
        <f t="shared" si="10"/>
        <v>15853801</v>
      </c>
      <c r="S107" s="3"/>
      <c r="T107" s="3"/>
      <c r="U107" s="3">
        <f t="shared" si="11"/>
        <v>13.016256978653532</v>
      </c>
    </row>
    <row r="108" spans="1:21" ht="12.75" hidden="1">
      <c r="A108" s="5" t="s">
        <v>36</v>
      </c>
      <c r="B108" s="11">
        <v>121800000</v>
      </c>
      <c r="C108" s="11">
        <v>4768052</v>
      </c>
      <c r="D108" s="11">
        <v>8290086</v>
      </c>
      <c r="E108" s="11">
        <v>10672897</v>
      </c>
      <c r="F108" s="11">
        <v>13361106</v>
      </c>
      <c r="G108" s="11">
        <v>5435392</v>
      </c>
      <c r="H108" s="11">
        <v>6359364</v>
      </c>
      <c r="I108" s="11">
        <v>17667466</v>
      </c>
      <c r="J108" s="11">
        <f>15777671+6852005</f>
        <v>22629676</v>
      </c>
      <c r="K108" s="11">
        <v>24318846</v>
      </c>
      <c r="L108" s="11">
        <v>14234424</v>
      </c>
      <c r="M108" s="11">
        <f>14378768</f>
        <v>14378768</v>
      </c>
      <c r="N108" s="11">
        <f>165504965-142116077</f>
        <v>23388888</v>
      </c>
      <c r="O108" s="11"/>
      <c r="P108" s="11">
        <f t="shared" si="12"/>
        <v>121800000</v>
      </c>
      <c r="Q108" s="11">
        <f>15586201+267600</f>
        <v>15853801</v>
      </c>
      <c r="R108" s="3">
        <f t="shared" si="10"/>
        <v>15853801</v>
      </c>
      <c r="S108" s="3"/>
      <c r="T108" s="3"/>
      <c r="U108" s="3">
        <f t="shared" si="11"/>
        <v>13.016256978653532</v>
      </c>
    </row>
    <row r="109" spans="1:21" ht="12.75" hidden="1">
      <c r="A109" s="7" t="s">
        <v>37</v>
      </c>
      <c r="B109" s="10">
        <v>71925000</v>
      </c>
      <c r="C109" s="11" t="e">
        <f>SUM(#REF!)</f>
        <v>#REF!</v>
      </c>
      <c r="D109" s="11" t="e">
        <f>SUM(#REF!)</f>
        <v>#REF!</v>
      </c>
      <c r="E109" s="11" t="e">
        <f>SUM(#REF!)</f>
        <v>#REF!</v>
      </c>
      <c r="F109" s="11" t="e">
        <f>SUM(#REF!)</f>
        <v>#REF!</v>
      </c>
      <c r="G109" s="11" t="e">
        <f>SUM(#REF!)</f>
        <v>#REF!</v>
      </c>
      <c r="H109" s="11" t="e">
        <f>SUM(#REF!)</f>
        <v>#REF!</v>
      </c>
      <c r="I109" s="11" t="e">
        <f>SUM(#REF!)</f>
        <v>#REF!</v>
      </c>
      <c r="J109" s="11" t="e">
        <f>SUM(#REF!)</f>
        <v>#REF!</v>
      </c>
      <c r="K109" s="11" t="e">
        <f>SUM(#REF!)</f>
        <v>#REF!</v>
      </c>
      <c r="L109" s="11" t="e">
        <f>SUM(#REF!)</f>
        <v>#REF!</v>
      </c>
      <c r="M109" s="11" t="e">
        <f>SUM(#REF!)</f>
        <v>#REF!</v>
      </c>
      <c r="N109" s="11" t="e">
        <f>SUM(#REF!)</f>
        <v>#REF!</v>
      </c>
      <c r="O109" s="10">
        <v>0</v>
      </c>
      <c r="P109" s="11">
        <f t="shared" si="12"/>
        <v>71925000</v>
      </c>
      <c r="Q109" s="11">
        <f>1530000+0+498920</f>
        <v>2028920</v>
      </c>
      <c r="R109" s="3">
        <f t="shared" si="10"/>
        <v>2044305</v>
      </c>
      <c r="S109" s="3"/>
      <c r="T109" s="3"/>
      <c r="U109" s="3">
        <f t="shared" si="11"/>
        <v>2.8422732012513037</v>
      </c>
    </row>
    <row r="110" spans="1:21" ht="12.75" hidden="1">
      <c r="A110" s="7" t="s">
        <v>44</v>
      </c>
      <c r="B110" s="10">
        <f>+B111</f>
        <v>0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0">
        <f>+O111</f>
        <v>1230345600</v>
      </c>
      <c r="P110" s="11">
        <f t="shared" si="12"/>
        <v>1230345600</v>
      </c>
      <c r="Q110" s="10">
        <f>+Q111</f>
        <v>0</v>
      </c>
      <c r="R110" s="3">
        <f t="shared" si="10"/>
        <v>302092115</v>
      </c>
      <c r="S110" s="3"/>
      <c r="T110" s="3"/>
      <c r="U110" s="3">
        <f t="shared" si="11"/>
        <v>24.553435636296015</v>
      </c>
    </row>
    <row r="111" spans="1:21" ht="12.75" hidden="1">
      <c r="A111" s="7" t="s">
        <v>45</v>
      </c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0">
        <v>1230345600</v>
      </c>
      <c r="P111" s="11">
        <f t="shared" si="12"/>
        <v>1230345600</v>
      </c>
      <c r="Q111" s="10">
        <v>0</v>
      </c>
      <c r="R111" s="3">
        <f t="shared" si="10"/>
        <v>0</v>
      </c>
      <c r="S111" s="3"/>
      <c r="T111" s="3"/>
      <c r="U111" s="3">
        <f t="shared" si="11"/>
        <v>0</v>
      </c>
    </row>
    <row r="112" spans="1:21" ht="12.75" hidden="1">
      <c r="A112" s="7" t="s">
        <v>38</v>
      </c>
      <c r="B112" s="10">
        <f>+B113+B114+B115</f>
        <v>1914146055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0">
        <f>+O113+O114+O115</f>
        <v>0</v>
      </c>
      <c r="P112" s="11">
        <f>+B112+O112</f>
        <v>1914146055</v>
      </c>
      <c r="Q112" s="10">
        <f>+Q113+Q114+Q115</f>
        <v>361765702</v>
      </c>
      <c r="R112" s="3">
        <f t="shared" si="10"/>
        <v>662670589</v>
      </c>
      <c r="S112" s="3"/>
      <c r="T112" s="3"/>
      <c r="U112" s="3">
        <f t="shared" si="11"/>
        <v>34.61964604367664</v>
      </c>
    </row>
    <row r="113" spans="1:21" ht="12.75" hidden="1">
      <c r="A113" s="7" t="s">
        <v>6</v>
      </c>
      <c r="B113" s="10">
        <v>70000000</v>
      </c>
      <c r="C113" s="11">
        <v>898886</v>
      </c>
      <c r="D113" s="11">
        <f>4306726+216132</f>
        <v>4522858</v>
      </c>
      <c r="E113" s="11">
        <f>751140+23292827</f>
        <v>24043967</v>
      </c>
      <c r="F113" s="11">
        <v>8452240</v>
      </c>
      <c r="G113" s="11">
        <v>4422172</v>
      </c>
      <c r="H113" s="11">
        <f>7484642+234363</f>
        <v>7719005</v>
      </c>
      <c r="I113" s="11">
        <f>102855+5416914</f>
        <v>5519769</v>
      </c>
      <c r="J113" s="11">
        <f>6098966+444960+3514791+65855</f>
        <v>10124572</v>
      </c>
      <c r="K113" s="11">
        <f>191152+1348022+3219820.01</f>
        <v>4758994.01</v>
      </c>
      <c r="L113" s="11">
        <f>350566+9695840</f>
        <v>10046406</v>
      </c>
      <c r="M113" s="11">
        <f>579536+7833208+436291+345639</f>
        <v>9194674</v>
      </c>
      <c r="N113" s="11">
        <f>112132152.5-89703543.01</f>
        <v>22428609.489999995</v>
      </c>
      <c r="O113" s="11"/>
      <c r="P113" s="11">
        <f>+B113+O113</f>
        <v>70000000</v>
      </c>
      <c r="Q113" s="10">
        <f>8684542+1032979</f>
        <v>9717521</v>
      </c>
      <c r="R113" s="3">
        <f t="shared" si="10"/>
        <v>10904749</v>
      </c>
      <c r="S113" s="3"/>
      <c r="T113" s="3"/>
      <c r="U113" s="3">
        <f t="shared" si="11"/>
        <v>15.578212857142857</v>
      </c>
    </row>
    <row r="114" spans="1:21" ht="12.75" hidden="1">
      <c r="A114" s="7" t="s">
        <v>9</v>
      </c>
      <c r="B114" s="10">
        <v>0</v>
      </c>
      <c r="C114" s="11"/>
      <c r="D114" s="11"/>
      <c r="E114" s="11"/>
      <c r="F114" s="11">
        <f>+B114</f>
        <v>0</v>
      </c>
      <c r="G114" s="11"/>
      <c r="H114" s="11"/>
      <c r="I114" s="11"/>
      <c r="J114" s="11"/>
      <c r="K114" s="11"/>
      <c r="L114" s="11"/>
      <c r="M114" s="11"/>
      <c r="N114" s="11"/>
      <c r="O114" s="11">
        <v>0</v>
      </c>
      <c r="P114" s="11">
        <f>+B114+O114</f>
        <v>0</v>
      </c>
      <c r="Q114" s="11">
        <f>+O114</f>
        <v>0</v>
      </c>
      <c r="R114" s="3">
        <f t="shared" si="10"/>
        <v>0</v>
      </c>
      <c r="S114" s="3"/>
      <c r="T114" s="3"/>
      <c r="U114" s="3" t="e">
        <f t="shared" si="11"/>
        <v>#DIV/0!</v>
      </c>
    </row>
    <row r="115" spans="1:21" ht="12.75" hidden="1">
      <c r="A115" s="7" t="s">
        <v>39</v>
      </c>
      <c r="B115" s="10">
        <v>1844146055</v>
      </c>
      <c r="C115" s="11" t="e">
        <f>+#REF!+#REF!</f>
        <v>#REF!</v>
      </c>
      <c r="D115" s="11" t="e">
        <f>+#REF!+#REF!</f>
        <v>#REF!</v>
      </c>
      <c r="E115" s="11" t="e">
        <f>+#REF!+#REF!</f>
        <v>#REF!</v>
      </c>
      <c r="F115" s="11" t="e">
        <f>+#REF!+#REF!</f>
        <v>#REF!</v>
      </c>
      <c r="G115" s="11" t="e">
        <f>+#REF!+#REF!</f>
        <v>#REF!</v>
      </c>
      <c r="H115" s="11" t="e">
        <f>+#REF!+#REF!</f>
        <v>#REF!</v>
      </c>
      <c r="I115" s="11" t="e">
        <f>+#REF!+#REF!</f>
        <v>#REF!</v>
      </c>
      <c r="J115" s="11" t="e">
        <f>+#REF!+#REF!</f>
        <v>#REF!</v>
      </c>
      <c r="K115" s="11" t="e">
        <f>+#REF!+#REF!</f>
        <v>#REF!</v>
      </c>
      <c r="L115" s="11" t="e">
        <f>+#REF!+#REF!</f>
        <v>#REF!</v>
      </c>
      <c r="M115" s="11" t="e">
        <f>+#REF!+#REF!</f>
        <v>#REF!</v>
      </c>
      <c r="N115" s="11" t="e">
        <f>+#REF!+#REF!</f>
        <v>#REF!</v>
      </c>
      <c r="O115" s="10">
        <v>0</v>
      </c>
      <c r="P115" s="11">
        <f>+B115+O115</f>
        <v>1844146055</v>
      </c>
      <c r="Q115" s="10">
        <f>326502556+25545625</f>
        <v>352048181</v>
      </c>
      <c r="R115" s="3">
        <f t="shared" si="10"/>
        <v>651765840</v>
      </c>
      <c r="S115" s="3"/>
      <c r="T115" s="3"/>
      <c r="U115" s="3">
        <f t="shared" si="11"/>
        <v>35.34241977379607</v>
      </c>
    </row>
    <row r="116" spans="1:21" ht="12.75" hidden="1">
      <c r="A116" s="5"/>
      <c r="B116" s="11"/>
      <c r="C116" s="11"/>
      <c r="D116" s="11"/>
      <c r="E116" s="11" t="s">
        <v>1</v>
      </c>
      <c r="F116" s="11" t="s">
        <v>1</v>
      </c>
      <c r="G116" s="11" t="s">
        <v>1</v>
      </c>
      <c r="H116" s="11" t="s">
        <v>1</v>
      </c>
      <c r="I116" s="11" t="s">
        <v>1</v>
      </c>
      <c r="J116" s="11" t="s">
        <v>1</v>
      </c>
      <c r="K116" s="11" t="s">
        <v>1</v>
      </c>
      <c r="L116" s="11" t="s">
        <v>1</v>
      </c>
      <c r="M116" s="11" t="s">
        <v>1</v>
      </c>
      <c r="N116" s="11" t="s">
        <v>1</v>
      </c>
      <c r="O116" s="11"/>
      <c r="P116" s="11" t="s">
        <v>1</v>
      </c>
      <c r="Q116" s="11" t="s">
        <v>1</v>
      </c>
      <c r="R116" s="3" t="s">
        <v>1</v>
      </c>
      <c r="S116" s="3"/>
      <c r="T116" s="3"/>
      <c r="U116" s="3" t="s">
        <v>1</v>
      </c>
    </row>
    <row r="117" spans="1:21" ht="12.75" hidden="1">
      <c r="A117" s="7" t="s">
        <v>40</v>
      </c>
      <c r="B117" s="10">
        <f>+B91+B112</f>
        <v>10077156120</v>
      </c>
      <c r="C117" s="10" t="e">
        <f>+C94+C99+C101+C105+C106+C107+C109+#REF!+#REF!+C113+C114+C115+#REF!</f>
        <v>#REF!</v>
      </c>
      <c r="D117" s="10" t="e">
        <f>+D94+D99+D101+D105+D106+D107+D109+#REF!+#REF!+D113+D114+D115+#REF!</f>
        <v>#REF!</v>
      </c>
      <c r="E117" s="10" t="e">
        <f>+E94+E99+E101+E105+E106+E107+E109+#REF!+#REF!+E113+E114+E115+#REF!</f>
        <v>#REF!</v>
      </c>
      <c r="F117" s="10" t="e">
        <f>+F94+F99+F101+F105+F106+F107+F109+#REF!+#REF!+F113+F114+F115+#REF!</f>
        <v>#REF!</v>
      </c>
      <c r="G117" s="10" t="e">
        <f>+G94+G99+G101+G105+G106+G107+G109+#REF!+#REF!+G113+G114+G115+#REF!</f>
        <v>#REF!</v>
      </c>
      <c r="H117" s="10" t="e">
        <f>+H94+H99+H101+H105+H106+H107+H109+#REF!+#REF!+H113+H114+H115+#REF!</f>
        <v>#REF!</v>
      </c>
      <c r="I117" s="10" t="e">
        <f>+I94+I99+I101+I105+I106+I107+I109+#REF!+#REF!+I113+I114+I115+#REF!</f>
        <v>#REF!</v>
      </c>
      <c r="J117" s="10" t="e">
        <f>+J94+J99+J101+J105+J106+J107+J109+#REF!+#REF!+J113+J114+J115+#REF!</f>
        <v>#REF!</v>
      </c>
      <c r="K117" s="10" t="e">
        <f>+K94+K99+K101+K105+K106+K107+K109+#REF!+#REF!+K113+K114+K115+#REF!</f>
        <v>#REF!</v>
      </c>
      <c r="L117" s="10" t="e">
        <f>+L94+L99+L101+L105+L106+L107+L109+#REF!+#REF!+L113+L114+L115+#REF!</f>
        <v>#REF!</v>
      </c>
      <c r="M117" s="10" t="e">
        <f>+M94+M99+M101+M105+M106+M107+M109+#REF!+#REF!+M113+M114+M115+#REF!</f>
        <v>#REF!</v>
      </c>
      <c r="N117" s="10" t="e">
        <f>+N94+N99+N101+N105+N106+N107+N109+#REF!+#REF!+N113+N114+N115+#REF!</f>
        <v>#REF!</v>
      </c>
      <c r="O117" s="10">
        <f>+O91+O112</f>
        <v>1230345600</v>
      </c>
      <c r="P117" s="10">
        <f>+P91+P112</f>
        <v>11307501720</v>
      </c>
      <c r="Q117" s="16">
        <f>+Q91+Q112</f>
        <v>380998173</v>
      </c>
      <c r="R117" s="3">
        <f t="shared" si="10"/>
        <v>724858867</v>
      </c>
      <c r="S117" s="3"/>
      <c r="T117" s="3"/>
      <c r="U117" s="3">
        <f>+R117/P117*100</f>
        <v>6.410424556627881</v>
      </c>
    </row>
    <row r="118" spans="1:21" ht="12.75" hidden="1">
      <c r="A118" s="7" t="s">
        <v>41</v>
      </c>
      <c r="B118" s="11">
        <f>+B79</f>
        <v>1334597240</v>
      </c>
      <c r="O118">
        <v>0</v>
      </c>
      <c r="P118" s="1">
        <f>+B118+O118</f>
        <v>1334597240</v>
      </c>
      <c r="Q118" s="1">
        <f>91994880+0</f>
        <v>91994880</v>
      </c>
      <c r="R118" s="3">
        <f t="shared" si="10"/>
        <v>91994880</v>
      </c>
      <c r="S118" s="3"/>
      <c r="T118" s="3"/>
      <c r="U118" s="3">
        <f>+R118/P118*100</f>
        <v>6.893081840930526</v>
      </c>
    </row>
    <row r="119" spans="2:21" ht="12.75" hidden="1">
      <c r="B119" s="1" t="s">
        <v>1</v>
      </c>
      <c r="O119" s="1" t="s">
        <v>1</v>
      </c>
      <c r="Q119" s="1"/>
      <c r="R119" s="3">
        <f t="shared" si="10"/>
        <v>0</v>
      </c>
      <c r="S119" s="3"/>
      <c r="T119" s="3"/>
      <c r="U119" s="3" t="s">
        <v>1</v>
      </c>
    </row>
    <row r="120" spans="1:21" ht="12.75" hidden="1">
      <c r="A120" s="7" t="s">
        <v>42</v>
      </c>
      <c r="B120" s="16">
        <f>+B117+B118</f>
        <v>11411753360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16">
        <f>+O117+O118</f>
        <v>1230345600</v>
      </c>
      <c r="P120" s="16">
        <f>+P117+P118</f>
        <v>12642098960</v>
      </c>
      <c r="Q120" s="16">
        <f>+Q117+Q118</f>
        <v>472993053</v>
      </c>
      <c r="R120" s="3">
        <f t="shared" si="10"/>
        <v>816853747</v>
      </c>
      <c r="S120" s="3"/>
      <c r="T120" s="3"/>
      <c r="U120" s="3">
        <f>+R120/P120*100</f>
        <v>6.461377573332965</v>
      </c>
    </row>
    <row r="121" spans="18:20" ht="12.75" hidden="1">
      <c r="R121" s="1" t="s">
        <v>1</v>
      </c>
      <c r="S121" s="1"/>
      <c r="T121" s="1"/>
    </row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spans="1:21" ht="12.75" hidden="1">
      <c r="A131" s="47" t="s">
        <v>0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</row>
    <row r="132" spans="1:21" ht="12.75" hidden="1">
      <c r="A132" s="47" t="s">
        <v>47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</row>
    <row r="133" ht="12.75" hidden="1">
      <c r="U133" s="18">
        <v>39508</v>
      </c>
    </row>
    <row r="134" spans="1:21" ht="25.5" hidden="1">
      <c r="A134" s="5"/>
      <c r="B134" s="6" t="s">
        <v>10</v>
      </c>
      <c r="C134" s="48" t="s">
        <v>11</v>
      </c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5"/>
      <c r="O134" s="4" t="s">
        <v>2</v>
      </c>
      <c r="P134" s="6" t="s">
        <v>12</v>
      </c>
      <c r="Q134" s="6"/>
      <c r="R134" s="8" t="s">
        <v>43</v>
      </c>
      <c r="S134" s="8"/>
      <c r="T134" s="8"/>
      <c r="U134" s="8" t="s">
        <v>46</v>
      </c>
    </row>
    <row r="135" spans="1:21" ht="12.75" hidden="1">
      <c r="A135" s="4" t="s">
        <v>7</v>
      </c>
      <c r="B135" s="4" t="s">
        <v>1</v>
      </c>
      <c r="C135" s="4" t="s">
        <v>13</v>
      </c>
      <c r="D135" s="4" t="s">
        <v>14</v>
      </c>
      <c r="E135" s="4" t="s">
        <v>15</v>
      </c>
      <c r="F135" s="4" t="s">
        <v>16</v>
      </c>
      <c r="G135" s="4" t="s">
        <v>8</v>
      </c>
      <c r="H135" s="4" t="s">
        <v>17</v>
      </c>
      <c r="I135" s="4" t="s">
        <v>18</v>
      </c>
      <c r="J135" s="4" t="s">
        <v>19</v>
      </c>
      <c r="K135" s="4" t="s">
        <v>20</v>
      </c>
      <c r="L135" s="4" t="s">
        <v>21</v>
      </c>
      <c r="M135" s="4" t="s">
        <v>22</v>
      </c>
      <c r="N135" s="4" t="s">
        <v>23</v>
      </c>
      <c r="O135" s="4"/>
      <c r="P135" s="4"/>
      <c r="Q135" s="4"/>
      <c r="R135" s="4"/>
      <c r="S135" s="4"/>
      <c r="T135" s="4"/>
      <c r="U135" s="4"/>
    </row>
    <row r="136" spans="1:21" ht="12.75" hidden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3"/>
      <c r="S136" s="3"/>
      <c r="T136" s="3"/>
      <c r="U136" s="3"/>
    </row>
    <row r="137" spans="1:21" ht="12.75" hidden="1">
      <c r="A137" s="9" t="s">
        <v>24</v>
      </c>
      <c r="B137" s="3">
        <f>+B139+B144</f>
        <v>8163010065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3">
        <f>+O139+O144</f>
        <v>1230345600</v>
      </c>
      <c r="P137" s="3">
        <f>+P139+P144</f>
        <v>9393355665</v>
      </c>
      <c r="Q137" s="3">
        <f>+Q139+Q144</f>
        <v>17173426</v>
      </c>
      <c r="R137" s="3">
        <f>+R91+Q137</f>
        <v>381453819</v>
      </c>
      <c r="S137" s="3"/>
      <c r="T137" s="3"/>
      <c r="U137" s="3">
        <f>+R137/P137*100</f>
        <v>4.060889767235275</v>
      </c>
    </row>
    <row r="138" spans="1:21" ht="12.75" hidden="1">
      <c r="A138" s="9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3"/>
    </row>
    <row r="139" spans="1:21" ht="12.75" hidden="1">
      <c r="A139" s="7" t="s">
        <v>3</v>
      </c>
      <c r="B139" s="10">
        <f>+B140</f>
        <v>3471300000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0">
        <f>+O140</f>
        <v>0</v>
      </c>
      <c r="P139" s="11">
        <f>+B139+O139</f>
        <v>3471300000</v>
      </c>
      <c r="Q139" s="10">
        <f>+Q140</f>
        <v>0</v>
      </c>
      <c r="R139" s="3">
        <f aca="true" t="shared" si="15" ref="R139:R166">+R93+Q139</f>
        <v>0</v>
      </c>
      <c r="S139" s="3"/>
      <c r="T139" s="3"/>
      <c r="U139" s="3">
        <f>+R139/P139*100</f>
        <v>0</v>
      </c>
    </row>
    <row r="140" spans="1:21" ht="12.75" hidden="1">
      <c r="A140" s="7" t="s">
        <v>25</v>
      </c>
      <c r="B140" s="10">
        <f>+B141+B142</f>
        <v>3471300000</v>
      </c>
      <c r="C140" s="11"/>
      <c r="D140" s="11">
        <v>177520</v>
      </c>
      <c r="E140" s="11"/>
      <c r="F140" s="11">
        <v>165006728</v>
      </c>
      <c r="G140" s="11">
        <v>1414514385</v>
      </c>
      <c r="H140" s="11">
        <v>4948458</v>
      </c>
      <c r="I140" s="11">
        <v>573117327</v>
      </c>
      <c r="J140" s="11">
        <f>139033811-14448995.38</f>
        <v>124584815.62</v>
      </c>
      <c r="K140" s="11">
        <v>93361900</v>
      </c>
      <c r="L140" s="11">
        <v>25720312</v>
      </c>
      <c r="M140" s="11">
        <v>242733948</v>
      </c>
      <c r="N140" s="11">
        <f>65086606+14219504.38-900076.38-6867260+6687809</f>
        <v>78226583</v>
      </c>
      <c r="O140" s="10">
        <f>+O141+O142</f>
        <v>0</v>
      </c>
      <c r="P140" s="11">
        <f>+B140+O140</f>
        <v>3471300000</v>
      </c>
      <c r="Q140" s="10">
        <f>+Q141+Q142</f>
        <v>0</v>
      </c>
      <c r="R140" s="3">
        <f t="shared" si="15"/>
        <v>0</v>
      </c>
      <c r="S140" s="3"/>
      <c r="T140" s="3"/>
      <c r="U140" s="3">
        <f>+R140/P140*100</f>
        <v>0</v>
      </c>
    </row>
    <row r="141" spans="1:21" ht="12.75" hidden="1">
      <c r="A141" s="5" t="s">
        <v>26</v>
      </c>
      <c r="B141" s="11">
        <v>2106300000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>
        <f>+B141+O141</f>
        <v>2106300000</v>
      </c>
      <c r="Q141" s="11">
        <v>0</v>
      </c>
      <c r="R141" s="3">
        <f t="shared" si="15"/>
        <v>0</v>
      </c>
      <c r="S141" s="3"/>
      <c r="T141" s="3"/>
      <c r="U141" s="3">
        <f>+R141/P141*100</f>
        <v>0</v>
      </c>
    </row>
    <row r="142" spans="1:21" ht="12.75" hidden="1">
      <c r="A142" s="5" t="s">
        <v>27</v>
      </c>
      <c r="B142" s="11">
        <v>1365000000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>
        <f>+B142+O142</f>
        <v>1365000000</v>
      </c>
      <c r="Q142" s="11">
        <v>0</v>
      </c>
      <c r="R142" s="3">
        <f t="shared" si="15"/>
        <v>0</v>
      </c>
      <c r="S142" s="3"/>
      <c r="T142" s="3"/>
      <c r="U142" s="3">
        <f>+R142/P142*100</f>
        <v>0</v>
      </c>
    </row>
    <row r="143" spans="1:21" ht="12.75" hidden="1">
      <c r="A143" s="7"/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 t="s">
        <v>1</v>
      </c>
      <c r="Q143" s="10"/>
      <c r="R143" s="3">
        <f t="shared" si="15"/>
        <v>0</v>
      </c>
      <c r="S143" s="3"/>
      <c r="T143" s="3"/>
      <c r="U143" s="3" t="s">
        <v>1</v>
      </c>
    </row>
    <row r="144" spans="1:21" ht="12.75" hidden="1">
      <c r="A144" s="7" t="s">
        <v>4</v>
      </c>
      <c r="B144" s="10">
        <f>+B145+B146+B155+B156</f>
        <v>4691710065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>
        <f>+O145+O146+O155+O156</f>
        <v>1230345600</v>
      </c>
      <c r="P144" s="10">
        <f>+P145+P146+P155+P156</f>
        <v>5922055665</v>
      </c>
      <c r="Q144" s="10">
        <f>+Q145+Q146+Q155+Q156</f>
        <v>17173426</v>
      </c>
      <c r="R144" s="3">
        <f t="shared" si="15"/>
        <v>381453819</v>
      </c>
      <c r="S144" s="3"/>
      <c r="T144" s="3"/>
      <c r="U144" s="3">
        <f aca="true" t="shared" si="16" ref="U144:U161">+R144/P144*100</f>
        <v>6.44124001154589</v>
      </c>
    </row>
    <row r="145" spans="1:21" ht="12.75" hidden="1">
      <c r="A145" s="7" t="s">
        <v>28</v>
      </c>
      <c r="B145" s="10">
        <v>2752759677</v>
      </c>
      <c r="C145" s="11">
        <v>0</v>
      </c>
      <c r="D145" s="11">
        <v>0</v>
      </c>
      <c r="E145" s="11">
        <v>0</v>
      </c>
      <c r="F145" s="11">
        <v>196495882</v>
      </c>
      <c r="G145" s="11">
        <v>164927418</v>
      </c>
      <c r="H145" s="11">
        <v>262941303</v>
      </c>
      <c r="I145" s="11">
        <v>280282246</v>
      </c>
      <c r="J145" s="11">
        <v>246192273</v>
      </c>
      <c r="K145" s="11">
        <v>308626989</v>
      </c>
      <c r="L145" s="11">
        <v>243645342</v>
      </c>
      <c r="M145" s="11">
        <v>247491577</v>
      </c>
      <c r="N145" s="11">
        <v>165492691</v>
      </c>
      <c r="O145" s="11"/>
      <c r="P145" s="11">
        <f aca="true" t="shared" si="17" ref="P145:P157">+B145+O145</f>
        <v>2752759677</v>
      </c>
      <c r="Q145" s="10">
        <v>0</v>
      </c>
      <c r="R145" s="3">
        <f t="shared" si="15"/>
        <v>0</v>
      </c>
      <c r="S145" s="3"/>
      <c r="T145" s="3"/>
      <c r="U145" s="3">
        <f t="shared" si="16"/>
        <v>0</v>
      </c>
    </row>
    <row r="146" spans="1:21" ht="12.75" hidden="1">
      <c r="A146" s="7" t="s">
        <v>5</v>
      </c>
      <c r="B146" s="10">
        <f>+B147+B151+B152+B153</f>
        <v>1867025388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>
        <f>+O147+O151+O152+O153</f>
        <v>0</v>
      </c>
      <c r="P146" s="11">
        <f t="shared" si="17"/>
        <v>1867025388</v>
      </c>
      <c r="Q146" s="10">
        <f>+Q147+Q151+Q152+Q153</f>
        <v>5959701</v>
      </c>
      <c r="R146" s="3">
        <f t="shared" si="15"/>
        <v>66103674</v>
      </c>
      <c r="S146" s="3"/>
      <c r="T146" s="3"/>
      <c r="U146" s="3">
        <f t="shared" si="16"/>
        <v>3.540587847646344</v>
      </c>
    </row>
    <row r="147" spans="1:21" ht="12.75" hidden="1">
      <c r="A147" s="7" t="s">
        <v>29</v>
      </c>
      <c r="B147" s="10">
        <f>SUM(B148:B150)</f>
        <v>1679125388</v>
      </c>
      <c r="C147" s="11">
        <f>SUM(C148:C150)</f>
        <v>0</v>
      </c>
      <c r="D147" s="11">
        <f aca="true" t="shared" si="18" ref="D147:N147">SUM(D148:D150)</f>
        <v>9764370</v>
      </c>
      <c r="E147" s="11">
        <f t="shared" si="18"/>
        <v>1633088</v>
      </c>
      <c r="F147" s="11">
        <f t="shared" si="18"/>
        <v>9527326</v>
      </c>
      <c r="G147" s="11">
        <f t="shared" si="18"/>
        <v>5166613</v>
      </c>
      <c r="H147" s="11">
        <f t="shared" si="18"/>
        <v>8550758</v>
      </c>
      <c r="I147" s="11">
        <f t="shared" si="18"/>
        <v>19667967</v>
      </c>
      <c r="J147" s="11">
        <f t="shared" si="18"/>
        <v>32121947.88</v>
      </c>
      <c r="K147" s="11">
        <f t="shared" si="18"/>
        <v>57803883</v>
      </c>
      <c r="L147" s="11">
        <f t="shared" si="18"/>
        <v>248550137</v>
      </c>
      <c r="M147" s="11">
        <f t="shared" si="18"/>
        <v>56476839</v>
      </c>
      <c r="N147" s="11">
        <f t="shared" si="18"/>
        <v>203635166</v>
      </c>
      <c r="O147" s="10">
        <f>SUM(O148:O150)</f>
        <v>0</v>
      </c>
      <c r="P147" s="11">
        <f t="shared" si="17"/>
        <v>1679125388</v>
      </c>
      <c r="Q147" s="10">
        <f>SUM(Q148:Q150)</f>
        <v>1407355</v>
      </c>
      <c r="R147" s="3">
        <f t="shared" si="15"/>
        <v>44254917</v>
      </c>
      <c r="S147" s="3"/>
      <c r="T147" s="3"/>
      <c r="U147" s="3">
        <f t="shared" si="16"/>
        <v>2.635593346171239</v>
      </c>
    </row>
    <row r="148" spans="1:21" ht="12.75" hidden="1">
      <c r="A148" s="5" t="s">
        <v>30</v>
      </c>
      <c r="B148" s="11">
        <v>939032888</v>
      </c>
      <c r="C148" s="11">
        <v>0</v>
      </c>
      <c r="D148" s="11">
        <v>9764370</v>
      </c>
      <c r="E148" s="11">
        <v>0</v>
      </c>
      <c r="F148" s="11">
        <f>274606+765092</f>
        <v>1039698</v>
      </c>
      <c r="G148" s="11">
        <v>4660304</v>
      </c>
      <c r="H148" s="11">
        <v>7848958</v>
      </c>
      <c r="I148" s="11">
        <v>15343416</v>
      </c>
      <c r="J148" s="11">
        <v>22521927</v>
      </c>
      <c r="K148" s="11">
        <v>33311437</v>
      </c>
      <c r="L148" s="11">
        <f>309295398-94490110</f>
        <v>214805288</v>
      </c>
      <c r="M148" s="11">
        <v>28836508</v>
      </c>
      <c r="N148" s="11">
        <f>98225097-2027734+2337372</f>
        <v>98534735</v>
      </c>
      <c r="O148" s="11"/>
      <c r="P148" s="11">
        <f t="shared" si="17"/>
        <v>939032888</v>
      </c>
      <c r="Q148" s="11">
        <v>0</v>
      </c>
      <c r="R148" s="3">
        <f t="shared" si="15"/>
        <v>42651562</v>
      </c>
      <c r="S148" s="3"/>
      <c r="T148" s="3"/>
      <c r="U148" s="3">
        <f t="shared" si="16"/>
        <v>4.542073291047501</v>
      </c>
    </row>
    <row r="149" spans="1:21" ht="12.75" hidden="1">
      <c r="A149" s="5" t="s">
        <v>31</v>
      </c>
      <c r="B149" s="11">
        <v>724342500</v>
      </c>
      <c r="C149" s="11"/>
      <c r="D149" s="11">
        <v>0</v>
      </c>
      <c r="E149" s="11">
        <v>0</v>
      </c>
      <c r="F149" s="11">
        <v>0</v>
      </c>
      <c r="G149" s="11">
        <v>0</v>
      </c>
      <c r="H149" s="11">
        <v>25090</v>
      </c>
      <c r="I149" s="11">
        <v>946365</v>
      </c>
      <c r="J149" s="11">
        <v>8764131</v>
      </c>
      <c r="K149" s="11">
        <v>21523596</v>
      </c>
      <c r="L149" s="11">
        <v>33159819</v>
      </c>
      <c r="M149" s="11">
        <v>27504331</v>
      </c>
      <c r="N149" s="11">
        <f>101300092+707323</f>
        <v>102007415</v>
      </c>
      <c r="O149" s="11">
        <v>0</v>
      </c>
      <c r="P149" s="11">
        <f t="shared" si="17"/>
        <v>724342500</v>
      </c>
      <c r="Q149" s="11">
        <v>0</v>
      </c>
      <c r="R149" s="3">
        <f t="shared" si="15"/>
        <v>0</v>
      </c>
      <c r="S149" s="3"/>
      <c r="T149" s="3"/>
      <c r="U149" s="3">
        <f t="shared" si="16"/>
        <v>0</v>
      </c>
    </row>
    <row r="150" spans="1:21" ht="12.75" hidden="1">
      <c r="A150" s="5" t="s">
        <v>32</v>
      </c>
      <c r="B150" s="11">
        <v>15750000</v>
      </c>
      <c r="C150" s="11"/>
      <c r="D150" s="11"/>
      <c r="E150" s="11">
        <v>1633088</v>
      </c>
      <c r="F150" s="11">
        <v>8487628</v>
      </c>
      <c r="G150" s="11">
        <v>506309</v>
      </c>
      <c r="H150" s="11">
        <v>676710</v>
      </c>
      <c r="I150" s="11">
        <v>3378186</v>
      </c>
      <c r="J150" s="11">
        <f>628640+207249.88</f>
        <v>835889.88</v>
      </c>
      <c r="K150" s="11">
        <v>2968850</v>
      </c>
      <c r="L150" s="11">
        <v>585030</v>
      </c>
      <c r="M150" s="11">
        <v>136000</v>
      </c>
      <c r="N150" s="11">
        <f>22300706.88-19207690.88</f>
        <v>3093016</v>
      </c>
      <c r="O150" s="11"/>
      <c r="P150" s="11">
        <f t="shared" si="17"/>
        <v>15750000</v>
      </c>
      <c r="Q150" s="11">
        <v>1407355</v>
      </c>
      <c r="R150" s="3">
        <f t="shared" si="15"/>
        <v>1603355</v>
      </c>
      <c r="S150" s="3"/>
      <c r="T150" s="3"/>
      <c r="U150" s="3">
        <f t="shared" si="16"/>
        <v>10.180031746031746</v>
      </c>
    </row>
    <row r="151" spans="1:21" ht="12.75" hidden="1">
      <c r="A151" s="7" t="s">
        <v>33</v>
      </c>
      <c r="B151" s="10">
        <v>65100000</v>
      </c>
      <c r="C151" s="11">
        <v>426256</v>
      </c>
      <c r="D151" s="11">
        <v>177520</v>
      </c>
      <c r="E151" s="11">
        <v>815304</v>
      </c>
      <c r="F151" s="11">
        <v>1044670</v>
      </c>
      <c r="G151" s="11">
        <v>210000</v>
      </c>
      <c r="H151" s="11">
        <v>497000</v>
      </c>
      <c r="I151" s="11">
        <v>1908400</v>
      </c>
      <c r="J151" s="11">
        <v>2080000</v>
      </c>
      <c r="K151" s="11">
        <v>1960300</v>
      </c>
      <c r="L151" s="11">
        <v>1071750</v>
      </c>
      <c r="M151" s="11">
        <v>486631</v>
      </c>
      <c r="N151" s="11">
        <v>3040000</v>
      </c>
      <c r="O151" s="11"/>
      <c r="P151" s="11">
        <f t="shared" si="17"/>
        <v>65100000</v>
      </c>
      <c r="Q151" s="10">
        <v>2626000</v>
      </c>
      <c r="R151" s="3">
        <f t="shared" si="15"/>
        <v>4068610</v>
      </c>
      <c r="S151" s="3"/>
      <c r="T151" s="3"/>
      <c r="U151" s="3">
        <f t="shared" si="16"/>
        <v>6.249784946236559</v>
      </c>
    </row>
    <row r="152" spans="1:21" ht="12.75" hidden="1">
      <c r="A152" s="7" t="s">
        <v>34</v>
      </c>
      <c r="B152" s="10">
        <v>1000000</v>
      </c>
      <c r="C152" s="11">
        <v>7540000</v>
      </c>
      <c r="D152" s="11"/>
      <c r="E152" s="11"/>
      <c r="F152" s="11"/>
      <c r="G152" s="11"/>
      <c r="H152" s="11"/>
      <c r="I152" s="11">
        <v>294000</v>
      </c>
      <c r="J152" s="11"/>
      <c r="K152" s="11"/>
      <c r="L152" s="11">
        <v>29000</v>
      </c>
      <c r="M152" s="11"/>
      <c r="N152" s="11"/>
      <c r="O152" s="11"/>
      <c r="P152" s="11">
        <f t="shared" si="17"/>
        <v>1000000</v>
      </c>
      <c r="Q152" s="10">
        <v>0</v>
      </c>
      <c r="R152" s="3">
        <f t="shared" si="15"/>
        <v>0</v>
      </c>
      <c r="S152" s="3"/>
      <c r="T152" s="3"/>
      <c r="U152" s="3">
        <f t="shared" si="16"/>
        <v>0</v>
      </c>
    </row>
    <row r="153" spans="1:21" ht="12.75" hidden="1">
      <c r="A153" s="7" t="s">
        <v>35</v>
      </c>
      <c r="B153" s="10">
        <f aca="true" t="shared" si="19" ref="B153:O153">SUM(B154:B154)</f>
        <v>121800000</v>
      </c>
      <c r="C153" s="11">
        <f t="shared" si="19"/>
        <v>4768052</v>
      </c>
      <c r="D153" s="11">
        <f t="shared" si="19"/>
        <v>8290086</v>
      </c>
      <c r="E153" s="11">
        <f t="shared" si="19"/>
        <v>10672897</v>
      </c>
      <c r="F153" s="11">
        <f t="shared" si="19"/>
        <v>13361106</v>
      </c>
      <c r="G153" s="11">
        <f t="shared" si="19"/>
        <v>5435392</v>
      </c>
      <c r="H153" s="11">
        <f t="shared" si="19"/>
        <v>6359364</v>
      </c>
      <c r="I153" s="11">
        <f t="shared" si="19"/>
        <v>17667466</v>
      </c>
      <c r="J153" s="11">
        <f t="shared" si="19"/>
        <v>22629676</v>
      </c>
      <c r="K153" s="11">
        <f t="shared" si="19"/>
        <v>24318846</v>
      </c>
      <c r="L153" s="11">
        <f t="shared" si="19"/>
        <v>14234424</v>
      </c>
      <c r="M153" s="11">
        <f t="shared" si="19"/>
        <v>14378768</v>
      </c>
      <c r="N153" s="11">
        <f t="shared" si="19"/>
        <v>23388888</v>
      </c>
      <c r="O153" s="10">
        <f t="shared" si="19"/>
        <v>0</v>
      </c>
      <c r="P153" s="11">
        <f t="shared" si="17"/>
        <v>121800000</v>
      </c>
      <c r="Q153" s="10">
        <f>SUM(Q154:Q154)</f>
        <v>1926346</v>
      </c>
      <c r="R153" s="3">
        <f t="shared" si="15"/>
        <v>17780147</v>
      </c>
      <c r="S153" s="3"/>
      <c r="T153" s="3"/>
      <c r="U153" s="3">
        <f t="shared" si="16"/>
        <v>14.59782183908046</v>
      </c>
    </row>
    <row r="154" spans="1:21" ht="12.75" hidden="1">
      <c r="A154" s="5" t="s">
        <v>36</v>
      </c>
      <c r="B154" s="11">
        <v>121800000</v>
      </c>
      <c r="C154" s="11">
        <v>4768052</v>
      </c>
      <c r="D154" s="11">
        <v>8290086</v>
      </c>
      <c r="E154" s="11">
        <v>10672897</v>
      </c>
      <c r="F154" s="11">
        <v>13361106</v>
      </c>
      <c r="G154" s="11">
        <v>5435392</v>
      </c>
      <c r="H154" s="11">
        <v>6359364</v>
      </c>
      <c r="I154" s="11">
        <v>17667466</v>
      </c>
      <c r="J154" s="11">
        <f>15777671+6852005</f>
        <v>22629676</v>
      </c>
      <c r="K154" s="11">
        <v>24318846</v>
      </c>
      <c r="L154" s="11">
        <v>14234424</v>
      </c>
      <c r="M154" s="11">
        <f>14378768</f>
        <v>14378768</v>
      </c>
      <c r="N154" s="11">
        <f>165504965-142116077</f>
        <v>23388888</v>
      </c>
      <c r="O154" s="11"/>
      <c r="P154" s="11">
        <f t="shared" si="17"/>
        <v>121800000</v>
      </c>
      <c r="Q154" s="11">
        <f>1700050+226296</f>
        <v>1926346</v>
      </c>
      <c r="R154" s="3">
        <f t="shared" si="15"/>
        <v>17780147</v>
      </c>
      <c r="S154" s="3"/>
      <c r="T154" s="3"/>
      <c r="U154" s="3">
        <f t="shared" si="16"/>
        <v>14.59782183908046</v>
      </c>
    </row>
    <row r="155" spans="1:21" ht="12.75" hidden="1">
      <c r="A155" s="7" t="s">
        <v>37</v>
      </c>
      <c r="B155" s="10">
        <v>71925000</v>
      </c>
      <c r="C155" s="11" t="e">
        <f>SUM(#REF!)</f>
        <v>#REF!</v>
      </c>
      <c r="D155" s="11" t="e">
        <f>SUM(#REF!)</f>
        <v>#REF!</v>
      </c>
      <c r="E155" s="11" t="e">
        <f>SUM(#REF!)</f>
        <v>#REF!</v>
      </c>
      <c r="F155" s="11" t="e">
        <f>SUM(#REF!)</f>
        <v>#REF!</v>
      </c>
      <c r="G155" s="11" t="e">
        <f>SUM(#REF!)</f>
        <v>#REF!</v>
      </c>
      <c r="H155" s="11" t="e">
        <f>SUM(#REF!)</f>
        <v>#REF!</v>
      </c>
      <c r="I155" s="11" t="e">
        <f>SUM(#REF!)</f>
        <v>#REF!</v>
      </c>
      <c r="J155" s="11" t="e">
        <f>SUM(#REF!)</f>
        <v>#REF!</v>
      </c>
      <c r="K155" s="11" t="e">
        <f>SUM(#REF!)</f>
        <v>#REF!</v>
      </c>
      <c r="L155" s="11" t="e">
        <f>SUM(#REF!)</f>
        <v>#REF!</v>
      </c>
      <c r="M155" s="11" t="e">
        <f>SUM(#REF!)</f>
        <v>#REF!</v>
      </c>
      <c r="N155" s="11" t="e">
        <f>SUM(#REF!)</f>
        <v>#REF!</v>
      </c>
      <c r="O155" s="10">
        <v>0</v>
      </c>
      <c r="P155" s="11">
        <f t="shared" si="17"/>
        <v>71925000</v>
      </c>
      <c r="Q155" s="11">
        <f>9149042+2626000-561317</f>
        <v>11213725</v>
      </c>
      <c r="R155" s="3">
        <f t="shared" si="15"/>
        <v>13258030</v>
      </c>
      <c r="S155" s="3"/>
      <c r="T155" s="3"/>
      <c r="U155" s="3">
        <f t="shared" si="16"/>
        <v>18.433131734445602</v>
      </c>
    </row>
    <row r="156" spans="1:21" ht="12.75" hidden="1">
      <c r="A156" s="7" t="s">
        <v>44</v>
      </c>
      <c r="B156" s="10">
        <f>+B157</f>
        <v>0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>
        <f>+O157</f>
        <v>1230345600</v>
      </c>
      <c r="P156" s="11">
        <f t="shared" si="17"/>
        <v>1230345600</v>
      </c>
      <c r="Q156" s="10">
        <f>+Q157</f>
        <v>0</v>
      </c>
      <c r="R156" s="3">
        <f t="shared" si="15"/>
        <v>302092115</v>
      </c>
      <c r="S156" s="3"/>
      <c r="T156" s="3"/>
      <c r="U156" s="3">
        <f t="shared" si="16"/>
        <v>24.553435636296015</v>
      </c>
    </row>
    <row r="157" spans="1:21" ht="12.75" hidden="1">
      <c r="A157" s="7" t="s">
        <v>45</v>
      </c>
      <c r="B157" s="1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>
        <v>1230345600</v>
      </c>
      <c r="P157" s="11">
        <f t="shared" si="17"/>
        <v>1230345600</v>
      </c>
      <c r="Q157" s="10">
        <v>0</v>
      </c>
      <c r="R157" s="3">
        <f t="shared" si="15"/>
        <v>0</v>
      </c>
      <c r="S157" s="3"/>
      <c r="T157" s="3"/>
      <c r="U157" s="3">
        <f t="shared" si="16"/>
        <v>0</v>
      </c>
    </row>
    <row r="158" spans="1:21" ht="12.75" hidden="1">
      <c r="A158" s="7" t="s">
        <v>38</v>
      </c>
      <c r="B158" s="10">
        <f>+B159+B160+B161</f>
        <v>1914146055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>
        <f>+O159+O160+O161</f>
        <v>737744285</v>
      </c>
      <c r="P158" s="11">
        <f>+B158+O158</f>
        <v>2651890340</v>
      </c>
      <c r="Q158" s="10">
        <f>+Q159+Q160+Q161</f>
        <v>135231165</v>
      </c>
      <c r="R158" s="3">
        <f t="shared" si="15"/>
        <v>797901754</v>
      </c>
      <c r="S158" s="3"/>
      <c r="T158" s="3"/>
      <c r="U158" s="3">
        <f t="shared" si="16"/>
        <v>30.088037275327157</v>
      </c>
    </row>
    <row r="159" spans="1:21" ht="12.75" hidden="1">
      <c r="A159" s="7" t="s">
        <v>6</v>
      </c>
      <c r="B159" s="10">
        <v>70000000</v>
      </c>
      <c r="C159" s="11">
        <v>898886</v>
      </c>
      <c r="D159" s="11">
        <f>4306726+216132</f>
        <v>4522858</v>
      </c>
      <c r="E159" s="11">
        <f>751140+23292827</f>
        <v>24043967</v>
      </c>
      <c r="F159" s="11">
        <v>8452240</v>
      </c>
      <c r="G159" s="11">
        <v>4422172</v>
      </c>
      <c r="H159" s="11">
        <f>7484642+234363</f>
        <v>7719005</v>
      </c>
      <c r="I159" s="11">
        <f>102855+5416914</f>
        <v>5519769</v>
      </c>
      <c r="J159" s="11">
        <f>6098966+444960+3514791+65855</f>
        <v>10124572</v>
      </c>
      <c r="K159" s="11">
        <f>191152+1348022+3219820.01</f>
        <v>4758994.01</v>
      </c>
      <c r="L159" s="11">
        <f>350566+9695840</f>
        <v>10046406</v>
      </c>
      <c r="M159" s="11">
        <f>579536+7833208+436291+345639</f>
        <v>9194674</v>
      </c>
      <c r="N159" s="11">
        <f>112132152.5-89703543.01</f>
        <v>22428609.489999995</v>
      </c>
      <c r="O159" s="11"/>
      <c r="P159" s="11">
        <f>+B159+O159</f>
        <v>70000000</v>
      </c>
      <c r="Q159" s="10">
        <f>186250+193716+14920066</f>
        <v>15300032</v>
      </c>
      <c r="R159" s="3">
        <f t="shared" si="15"/>
        <v>26204781</v>
      </c>
      <c r="S159" s="3"/>
      <c r="T159" s="3"/>
      <c r="U159" s="3">
        <f t="shared" si="16"/>
        <v>37.43540142857143</v>
      </c>
    </row>
    <row r="160" spans="1:21" ht="12.75" hidden="1">
      <c r="A160" s="7" t="s">
        <v>9</v>
      </c>
      <c r="B160" s="10">
        <v>0</v>
      </c>
      <c r="C160" s="11"/>
      <c r="D160" s="11"/>
      <c r="E160" s="11"/>
      <c r="F160" s="11">
        <f>+B160</f>
        <v>0</v>
      </c>
      <c r="G160" s="11"/>
      <c r="H160" s="11"/>
      <c r="I160" s="11"/>
      <c r="J160" s="11"/>
      <c r="K160" s="11"/>
      <c r="L160" s="11"/>
      <c r="M160" s="11"/>
      <c r="N160" s="11"/>
      <c r="O160" s="11">
        <v>737744285</v>
      </c>
      <c r="P160" s="11">
        <f>+B160+O160</f>
        <v>737744285</v>
      </c>
      <c r="Q160" s="11">
        <v>0</v>
      </c>
      <c r="R160" s="3">
        <f t="shared" si="15"/>
        <v>0</v>
      </c>
      <c r="S160" s="3"/>
      <c r="T160" s="3"/>
      <c r="U160" s="3">
        <f t="shared" si="16"/>
        <v>0</v>
      </c>
    </row>
    <row r="161" spans="1:21" ht="12.75" hidden="1">
      <c r="A161" s="7" t="s">
        <v>39</v>
      </c>
      <c r="B161" s="10">
        <v>1844146055</v>
      </c>
      <c r="C161" s="11" t="e">
        <f>+#REF!+#REF!</f>
        <v>#REF!</v>
      </c>
      <c r="D161" s="11" t="e">
        <f>+#REF!+#REF!</f>
        <v>#REF!</v>
      </c>
      <c r="E161" s="11" t="e">
        <f>+#REF!+#REF!</f>
        <v>#REF!</v>
      </c>
      <c r="F161" s="11" t="e">
        <f>+#REF!+#REF!</f>
        <v>#REF!</v>
      </c>
      <c r="G161" s="11" t="e">
        <f>+#REF!+#REF!</f>
        <v>#REF!</v>
      </c>
      <c r="H161" s="11" t="e">
        <f>+#REF!+#REF!</f>
        <v>#REF!</v>
      </c>
      <c r="I161" s="11" t="e">
        <f>+#REF!+#REF!</f>
        <v>#REF!</v>
      </c>
      <c r="J161" s="11" t="e">
        <f>+#REF!+#REF!</f>
        <v>#REF!</v>
      </c>
      <c r="K161" s="11" t="e">
        <f>+#REF!+#REF!</f>
        <v>#REF!</v>
      </c>
      <c r="L161" s="11" t="e">
        <f>+#REF!+#REF!</f>
        <v>#REF!</v>
      </c>
      <c r="M161" s="11" t="e">
        <f>+#REF!+#REF!</f>
        <v>#REF!</v>
      </c>
      <c r="N161" s="11" t="e">
        <f>+#REF!+#REF!</f>
        <v>#REF!</v>
      </c>
      <c r="O161" s="10">
        <v>0</v>
      </c>
      <c r="P161" s="11">
        <f>+B161+O161</f>
        <v>1844146055</v>
      </c>
      <c r="Q161" s="10">
        <f>103930015+16001118</f>
        <v>119931133</v>
      </c>
      <c r="R161" s="3">
        <f t="shared" si="15"/>
        <v>771696973</v>
      </c>
      <c r="S161" s="3"/>
      <c r="T161" s="3"/>
      <c r="U161" s="3">
        <f t="shared" si="16"/>
        <v>41.84576221106305</v>
      </c>
    </row>
    <row r="162" spans="1:21" ht="12.75" hidden="1">
      <c r="A162" s="5"/>
      <c r="B162" s="11"/>
      <c r="C162" s="11"/>
      <c r="D162" s="11"/>
      <c r="E162" s="11" t="s">
        <v>1</v>
      </c>
      <c r="F162" s="11" t="s">
        <v>1</v>
      </c>
      <c r="G162" s="11" t="s">
        <v>1</v>
      </c>
      <c r="H162" s="11" t="s">
        <v>1</v>
      </c>
      <c r="I162" s="11" t="s">
        <v>1</v>
      </c>
      <c r="J162" s="11" t="s">
        <v>1</v>
      </c>
      <c r="K162" s="11" t="s">
        <v>1</v>
      </c>
      <c r="L162" s="11" t="s">
        <v>1</v>
      </c>
      <c r="M162" s="11" t="s">
        <v>1</v>
      </c>
      <c r="N162" s="11" t="s">
        <v>1</v>
      </c>
      <c r="O162" s="11"/>
      <c r="P162" s="11" t="s">
        <v>1</v>
      </c>
      <c r="Q162" s="11" t="s">
        <v>1</v>
      </c>
      <c r="R162" s="3" t="s">
        <v>1</v>
      </c>
      <c r="S162" s="3"/>
      <c r="T162" s="3"/>
      <c r="U162" s="3" t="s">
        <v>1</v>
      </c>
    </row>
    <row r="163" spans="1:21" ht="12.75" hidden="1">
      <c r="A163" s="7" t="s">
        <v>40</v>
      </c>
      <c r="B163" s="10">
        <f>+B137+B158</f>
        <v>10077156120</v>
      </c>
      <c r="C163" s="10" t="e">
        <f>+C140+C145+C147+C151+C152+C153+C155+#REF!+#REF!+C159+C160+C161+#REF!</f>
        <v>#REF!</v>
      </c>
      <c r="D163" s="10" t="e">
        <f>+D140+D145+D147+D151+D152+D153+D155+#REF!+#REF!+D159+D160+D161+#REF!</f>
        <v>#REF!</v>
      </c>
      <c r="E163" s="10" t="e">
        <f>+E140+E145+E147+E151+E152+E153+E155+#REF!+#REF!+E159+E160+E161+#REF!</f>
        <v>#REF!</v>
      </c>
      <c r="F163" s="10" t="e">
        <f>+F140+F145+F147+F151+F152+F153+F155+#REF!+#REF!+F159+F160+F161+#REF!</f>
        <v>#REF!</v>
      </c>
      <c r="G163" s="10" t="e">
        <f>+G140+G145+G147+G151+G152+G153+G155+#REF!+#REF!+G159+G160+G161+#REF!</f>
        <v>#REF!</v>
      </c>
      <c r="H163" s="10" t="e">
        <f>+H140+H145+H147+H151+H152+H153+H155+#REF!+#REF!+H159+H160+H161+#REF!</f>
        <v>#REF!</v>
      </c>
      <c r="I163" s="10" t="e">
        <f>+I140+I145+I147+I151+I152+I153+I155+#REF!+#REF!+I159+I160+I161+#REF!</f>
        <v>#REF!</v>
      </c>
      <c r="J163" s="10" t="e">
        <f>+J140+J145+J147+J151+J152+J153+J155+#REF!+#REF!+J159+J160+J161+#REF!</f>
        <v>#REF!</v>
      </c>
      <c r="K163" s="10" t="e">
        <f>+K140+K145+K147+K151+K152+K153+K155+#REF!+#REF!+K159+K160+K161+#REF!</f>
        <v>#REF!</v>
      </c>
      <c r="L163" s="10" t="e">
        <f>+L140+L145+L147+L151+L152+L153+L155+#REF!+#REF!+L159+L160+L161+#REF!</f>
        <v>#REF!</v>
      </c>
      <c r="M163" s="10" t="e">
        <f>+M140+M145+M147+M151+M152+M153+M155+#REF!+#REF!+M159+M160+M161+#REF!</f>
        <v>#REF!</v>
      </c>
      <c r="N163" s="10" t="e">
        <f>+N140+N145+N147+N151+N152+N153+N155+#REF!+#REF!+N159+N160+N161+#REF!</f>
        <v>#REF!</v>
      </c>
      <c r="O163" s="10">
        <f>+O137+O158</f>
        <v>1968089885</v>
      </c>
      <c r="P163" s="10">
        <f>+P137+P158</f>
        <v>12045246005</v>
      </c>
      <c r="Q163" s="16">
        <f>+Q137+Q158</f>
        <v>152404591</v>
      </c>
      <c r="R163" s="3">
        <f t="shared" si="15"/>
        <v>877263458</v>
      </c>
      <c r="S163" s="3"/>
      <c r="T163" s="3"/>
      <c r="U163" s="3">
        <f>+R163/P163*100</f>
        <v>7.2830680057165</v>
      </c>
    </row>
    <row r="164" spans="1:21" ht="12.75" hidden="1">
      <c r="A164" s="7" t="s">
        <v>41</v>
      </c>
      <c r="B164" s="11">
        <f>+B118</f>
        <v>1334597240</v>
      </c>
      <c r="O164">
        <v>0</v>
      </c>
      <c r="P164" s="1">
        <f>+B164+O164</f>
        <v>1334597240</v>
      </c>
      <c r="Q164" s="1">
        <v>92515475</v>
      </c>
      <c r="R164" s="3">
        <f t="shared" si="15"/>
        <v>184510355</v>
      </c>
      <c r="S164" s="3"/>
      <c r="T164" s="3"/>
      <c r="U164" s="3">
        <f>+R164/P164*100</f>
        <v>13.82517133034083</v>
      </c>
    </row>
    <row r="165" spans="2:21" ht="12.75" hidden="1">
      <c r="B165" s="1" t="s">
        <v>1</v>
      </c>
      <c r="O165" s="1" t="s">
        <v>1</v>
      </c>
      <c r="Q165" s="1"/>
      <c r="R165" s="3" t="s">
        <v>1</v>
      </c>
      <c r="S165" s="3"/>
      <c r="T165" s="3"/>
      <c r="U165" s="3" t="s">
        <v>1</v>
      </c>
    </row>
    <row r="166" spans="1:21" ht="12.75" hidden="1">
      <c r="A166" s="7" t="s">
        <v>42</v>
      </c>
      <c r="B166" s="16">
        <f>+B163+B164</f>
        <v>11411753360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16">
        <f>+O163+O164</f>
        <v>1968089885</v>
      </c>
      <c r="P166" s="16">
        <f>+P163+P164</f>
        <v>13379843245</v>
      </c>
      <c r="Q166" s="16">
        <f>+Q163+Q164</f>
        <v>244920066</v>
      </c>
      <c r="R166" s="3">
        <f t="shared" si="15"/>
        <v>1061773813</v>
      </c>
      <c r="S166" s="3"/>
      <c r="T166" s="3"/>
      <c r="U166" s="3">
        <f>+R166/P166*100</f>
        <v>7.935622215878957</v>
      </c>
    </row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spans="1:21" ht="12.75" hidden="1">
      <c r="A177" s="47" t="s">
        <v>0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:21" ht="12.75" hidden="1">
      <c r="A178" s="47" t="s">
        <v>47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ht="12.75" hidden="1">
      <c r="U179" s="18">
        <v>39569</v>
      </c>
    </row>
    <row r="180" spans="1:21" ht="25.5" hidden="1">
      <c r="A180" s="5"/>
      <c r="B180" s="6" t="s">
        <v>10</v>
      </c>
      <c r="C180" s="48" t="s">
        <v>11</v>
      </c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5"/>
      <c r="O180" s="4" t="s">
        <v>2</v>
      </c>
      <c r="P180" s="6" t="s">
        <v>12</v>
      </c>
      <c r="Q180" s="6"/>
      <c r="R180" s="8" t="s">
        <v>43</v>
      </c>
      <c r="S180" s="8"/>
      <c r="T180" s="8"/>
      <c r="U180" s="8" t="s">
        <v>46</v>
      </c>
    </row>
    <row r="181" spans="1:21" ht="12.75" hidden="1">
      <c r="A181" s="4" t="s">
        <v>7</v>
      </c>
      <c r="B181" s="4" t="s">
        <v>1</v>
      </c>
      <c r="C181" s="4" t="s">
        <v>13</v>
      </c>
      <c r="D181" s="4" t="s">
        <v>14</v>
      </c>
      <c r="E181" s="4" t="s">
        <v>15</v>
      </c>
      <c r="F181" s="4" t="s">
        <v>16</v>
      </c>
      <c r="G181" s="4" t="s">
        <v>8</v>
      </c>
      <c r="H181" s="4" t="s">
        <v>17</v>
      </c>
      <c r="I181" s="4" t="s">
        <v>18</v>
      </c>
      <c r="J181" s="4" t="s">
        <v>19</v>
      </c>
      <c r="K181" s="4" t="s">
        <v>20</v>
      </c>
      <c r="L181" s="4" t="s">
        <v>21</v>
      </c>
      <c r="M181" s="4" t="s">
        <v>22</v>
      </c>
      <c r="N181" s="4" t="s">
        <v>23</v>
      </c>
      <c r="O181" s="4"/>
      <c r="P181" s="4"/>
      <c r="Q181" s="4"/>
      <c r="R181" s="4"/>
      <c r="S181" s="4"/>
      <c r="T181" s="4"/>
      <c r="U181" s="4"/>
    </row>
    <row r="182" spans="1:21" ht="12.75" hidden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3"/>
      <c r="S182" s="3"/>
      <c r="T182" s="3"/>
      <c r="U182" s="3"/>
    </row>
    <row r="183" spans="1:21" ht="12.75" hidden="1">
      <c r="A183" s="9" t="s">
        <v>24</v>
      </c>
      <c r="B183" s="3">
        <f>+B185+B190</f>
        <v>8163010065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3">
        <f>+O185+O190</f>
        <v>1230345600</v>
      </c>
      <c r="P183" s="3">
        <f>+P185+P190</f>
        <v>9393355665</v>
      </c>
      <c r="Q183" s="3">
        <f>+Q185+Q190</f>
        <v>434201532</v>
      </c>
      <c r="R183" s="3">
        <f>+R7+Q183</f>
        <v>1424204201.6399999</v>
      </c>
      <c r="S183" s="3"/>
      <c r="T183" s="3"/>
      <c r="U183" s="3">
        <f>+R183/P183*100</f>
        <v>15.161825575780535</v>
      </c>
    </row>
    <row r="184" spans="1:21" ht="12.75" hidden="1">
      <c r="A184" s="9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3" t="e">
        <f aca="true" t="shared" si="20" ref="R184:R203">+R8+Q184</f>
        <v>#VALUE!</v>
      </c>
      <c r="S184" s="3"/>
      <c r="T184" s="3"/>
      <c r="U184" s="3"/>
    </row>
    <row r="185" spans="1:21" ht="12.75" hidden="1">
      <c r="A185" s="7" t="s">
        <v>3</v>
      </c>
      <c r="B185" s="10">
        <f>+B186</f>
        <v>3471300000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10">
        <f>+O186</f>
        <v>0</v>
      </c>
      <c r="P185" s="11">
        <f>+B185+O185</f>
        <v>3471300000</v>
      </c>
      <c r="Q185" s="10">
        <f>+Q186</f>
        <v>75059253</v>
      </c>
      <c r="R185" s="3">
        <f t="shared" si="20"/>
        <v>688466006</v>
      </c>
      <c r="S185" s="3"/>
      <c r="T185" s="3"/>
      <c r="U185" s="3">
        <f>+R185/P185*100</f>
        <v>19.83308864114309</v>
      </c>
    </row>
    <row r="186" spans="1:21" ht="12.75" hidden="1">
      <c r="A186" s="7" t="s">
        <v>25</v>
      </c>
      <c r="B186" s="10">
        <f>+B187+B188</f>
        <v>3471300000</v>
      </c>
      <c r="C186" s="11"/>
      <c r="D186" s="11">
        <v>177520</v>
      </c>
      <c r="E186" s="11"/>
      <c r="F186" s="11">
        <v>165006728</v>
      </c>
      <c r="G186" s="11">
        <v>1414514385</v>
      </c>
      <c r="H186" s="11">
        <v>4948458</v>
      </c>
      <c r="I186" s="11">
        <v>573117327</v>
      </c>
      <c r="J186" s="11">
        <f>139033811-14448995.38</f>
        <v>124584815.62</v>
      </c>
      <c r="K186" s="11">
        <v>93361900</v>
      </c>
      <c r="L186" s="11">
        <v>25720312</v>
      </c>
      <c r="M186" s="11">
        <v>242733948</v>
      </c>
      <c r="N186" s="11">
        <f>65086606+14219504.38-900076.38-6867260+6687809</f>
        <v>78226583</v>
      </c>
      <c r="O186" s="10">
        <f>+O187+O188</f>
        <v>0</v>
      </c>
      <c r="P186" s="11">
        <f>+B186+O186</f>
        <v>3471300000</v>
      </c>
      <c r="Q186" s="10">
        <f>+Q187+Q188</f>
        <v>75059253</v>
      </c>
      <c r="R186" s="3">
        <f t="shared" si="20"/>
        <v>688466006</v>
      </c>
      <c r="S186" s="3"/>
      <c r="T186" s="3"/>
      <c r="U186" s="3">
        <f>+R186/P186*100</f>
        <v>19.83308864114309</v>
      </c>
    </row>
    <row r="187" spans="1:21" ht="12.75" hidden="1">
      <c r="A187" s="5" t="s">
        <v>26</v>
      </c>
      <c r="B187" s="11">
        <v>2106300000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>
        <f>+B187+O187</f>
        <v>2106300000</v>
      </c>
      <c r="Q187" s="11">
        <v>0</v>
      </c>
      <c r="R187" s="3">
        <f t="shared" si="20"/>
        <v>0</v>
      </c>
      <c r="S187" s="3"/>
      <c r="T187" s="3"/>
      <c r="U187" s="3">
        <f>+R187/P187*100</f>
        <v>0</v>
      </c>
    </row>
    <row r="188" spans="1:21" ht="12.75" hidden="1">
      <c r="A188" s="5" t="s">
        <v>27</v>
      </c>
      <c r="B188" s="11">
        <v>1365000000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>
        <f>+B188+O188</f>
        <v>1365000000</v>
      </c>
      <c r="Q188" s="11">
        <v>75059253</v>
      </c>
      <c r="R188" s="3">
        <f t="shared" si="20"/>
        <v>688466006</v>
      </c>
      <c r="S188" s="3"/>
      <c r="T188" s="3"/>
      <c r="U188" s="3">
        <f>+R188/P188*100</f>
        <v>50.43707003663004</v>
      </c>
    </row>
    <row r="189" spans="1:21" ht="12.75" hidden="1">
      <c r="A189" s="7"/>
      <c r="B189" s="1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 t="s">
        <v>1</v>
      </c>
      <c r="Q189" s="10"/>
      <c r="R189" s="3" t="e">
        <f t="shared" si="20"/>
        <v>#VALUE!</v>
      </c>
      <c r="S189" s="3"/>
      <c r="T189" s="3"/>
      <c r="U189" s="3" t="s">
        <v>1</v>
      </c>
    </row>
    <row r="190" spans="1:21" ht="12.75" hidden="1">
      <c r="A190" s="7" t="s">
        <v>4</v>
      </c>
      <c r="B190" s="10">
        <f>+B191+B192+B201+B202</f>
        <v>4691710065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>
        <f>+O191+O192+O201+O202</f>
        <v>1230345600</v>
      </c>
      <c r="P190" s="10">
        <f>+P191+P192+P201+P202</f>
        <v>5922055665</v>
      </c>
      <c r="Q190" s="10">
        <f>+Q191+Q192+Q201+Q202</f>
        <v>359142279</v>
      </c>
      <c r="R190" s="3">
        <f t="shared" si="20"/>
        <v>735738195.64</v>
      </c>
      <c r="S190" s="3"/>
      <c r="T190" s="3"/>
      <c r="U190" s="3">
        <f aca="true" t="shared" si="21" ref="U190:U208">+R190/P190*100</f>
        <v>12.423696048456511</v>
      </c>
    </row>
    <row r="191" spans="1:21" ht="12.75" hidden="1">
      <c r="A191" s="7" t="s">
        <v>28</v>
      </c>
      <c r="B191" s="10">
        <v>2752759677</v>
      </c>
      <c r="C191" s="11">
        <v>0</v>
      </c>
      <c r="D191" s="11">
        <v>0</v>
      </c>
      <c r="E191" s="11">
        <v>0</v>
      </c>
      <c r="F191" s="11">
        <v>196495882</v>
      </c>
      <c r="G191" s="11">
        <v>164927418</v>
      </c>
      <c r="H191" s="11">
        <v>262941303</v>
      </c>
      <c r="I191" s="11">
        <v>280282246</v>
      </c>
      <c r="J191" s="11">
        <v>246192273</v>
      </c>
      <c r="K191" s="11">
        <v>308626989</v>
      </c>
      <c r="L191" s="11">
        <v>243645342</v>
      </c>
      <c r="M191" s="11">
        <v>247491577</v>
      </c>
      <c r="N191" s="11">
        <v>165492691</v>
      </c>
      <c r="O191" s="11"/>
      <c r="P191" s="11">
        <f aca="true" t="shared" si="22" ref="P191:P204">+B191+O191</f>
        <v>2752759677</v>
      </c>
      <c r="Q191" s="10">
        <v>129152073</v>
      </c>
      <c r="R191" s="3">
        <f t="shared" si="20"/>
        <v>420222743</v>
      </c>
      <c r="S191" s="3"/>
      <c r="T191" s="3"/>
      <c r="U191" s="3">
        <f t="shared" si="21"/>
        <v>15.265507792455216</v>
      </c>
    </row>
    <row r="192" spans="1:21" ht="12.75" hidden="1">
      <c r="A192" s="7" t="s">
        <v>5</v>
      </c>
      <c r="B192" s="10">
        <f>+B193+B197+B198+B199</f>
        <v>1867025388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>
        <f>+O193+O197+O198+O199</f>
        <v>0</v>
      </c>
      <c r="P192" s="11">
        <f t="shared" si="22"/>
        <v>1867025388</v>
      </c>
      <c r="Q192" s="10">
        <f>+Q193+Q197+Q198+Q199</f>
        <v>229990206</v>
      </c>
      <c r="R192" s="3">
        <f t="shared" si="20"/>
        <v>292777950.64</v>
      </c>
      <c r="S192" s="3"/>
      <c r="T192" s="3"/>
      <c r="U192" s="3">
        <f t="shared" si="21"/>
        <v>15.681519518790818</v>
      </c>
    </row>
    <row r="193" spans="1:21" ht="12.75" hidden="1">
      <c r="A193" s="7" t="s">
        <v>29</v>
      </c>
      <c r="B193" s="10">
        <f>SUM(B194:B196)</f>
        <v>1679125388</v>
      </c>
      <c r="C193" s="11">
        <f>SUM(C194:C196)</f>
        <v>0</v>
      </c>
      <c r="D193" s="11">
        <f aca="true" t="shared" si="23" ref="D193:N193">SUM(D194:D196)</f>
        <v>9764370</v>
      </c>
      <c r="E193" s="11">
        <f t="shared" si="23"/>
        <v>1633088</v>
      </c>
      <c r="F193" s="11">
        <f t="shared" si="23"/>
        <v>9527326</v>
      </c>
      <c r="G193" s="11">
        <f t="shared" si="23"/>
        <v>5166613</v>
      </c>
      <c r="H193" s="11">
        <f t="shared" si="23"/>
        <v>8550758</v>
      </c>
      <c r="I193" s="11">
        <f t="shared" si="23"/>
        <v>19667967</v>
      </c>
      <c r="J193" s="11">
        <f t="shared" si="23"/>
        <v>32121947.88</v>
      </c>
      <c r="K193" s="11">
        <f t="shared" si="23"/>
        <v>57803883</v>
      </c>
      <c r="L193" s="11">
        <f t="shared" si="23"/>
        <v>248550137</v>
      </c>
      <c r="M193" s="11">
        <f t="shared" si="23"/>
        <v>56476839</v>
      </c>
      <c r="N193" s="11">
        <f t="shared" si="23"/>
        <v>203635166</v>
      </c>
      <c r="O193" s="10">
        <f>SUM(O194:O196)</f>
        <v>0</v>
      </c>
      <c r="P193" s="11">
        <f t="shared" si="22"/>
        <v>1679125388</v>
      </c>
      <c r="Q193" s="10">
        <f>SUM(Q194:Q196)</f>
        <v>229811806</v>
      </c>
      <c r="R193" s="3">
        <f t="shared" si="20"/>
        <v>232986982</v>
      </c>
      <c r="S193" s="3"/>
      <c r="T193" s="3"/>
      <c r="U193" s="3">
        <f t="shared" si="21"/>
        <v>13.875496354534306</v>
      </c>
    </row>
    <row r="194" spans="1:21" ht="12.75" hidden="1">
      <c r="A194" s="5" t="s">
        <v>30</v>
      </c>
      <c r="B194" s="11">
        <v>939032888</v>
      </c>
      <c r="C194" s="11">
        <v>0</v>
      </c>
      <c r="D194" s="11">
        <v>9764370</v>
      </c>
      <c r="E194" s="11">
        <v>0</v>
      </c>
      <c r="F194" s="11">
        <f>274606+765092</f>
        <v>1039698</v>
      </c>
      <c r="G194" s="11">
        <v>4660304</v>
      </c>
      <c r="H194" s="11">
        <v>7848958</v>
      </c>
      <c r="I194" s="11">
        <v>15343416</v>
      </c>
      <c r="J194" s="11">
        <v>22521927</v>
      </c>
      <c r="K194" s="11">
        <v>33311437</v>
      </c>
      <c r="L194" s="11">
        <f>309295398-94490110</f>
        <v>214805288</v>
      </c>
      <c r="M194" s="11">
        <v>28836508</v>
      </c>
      <c r="N194" s="11">
        <f>98225097-2027734+2337372</f>
        <v>98534735</v>
      </c>
      <c r="O194" s="11"/>
      <c r="P194" s="11">
        <f t="shared" si="22"/>
        <v>939032888</v>
      </c>
      <c r="Q194" s="11">
        <f>235156271-8242817</f>
        <v>226913454</v>
      </c>
      <c r="R194" s="3">
        <f t="shared" si="20"/>
        <v>226913454</v>
      </c>
      <c r="S194" s="3"/>
      <c r="T194" s="3"/>
      <c r="U194" s="3">
        <f t="shared" si="21"/>
        <v>24.16459070813716</v>
      </c>
    </row>
    <row r="195" spans="1:21" ht="12.75" hidden="1">
      <c r="A195" s="5" t="s">
        <v>31</v>
      </c>
      <c r="B195" s="11">
        <v>724342500</v>
      </c>
      <c r="C195" s="11"/>
      <c r="D195" s="11">
        <v>0</v>
      </c>
      <c r="E195" s="11">
        <v>0</v>
      </c>
      <c r="F195" s="11">
        <v>0</v>
      </c>
      <c r="G195" s="11">
        <v>0</v>
      </c>
      <c r="H195" s="11">
        <v>25090</v>
      </c>
      <c r="I195" s="11">
        <v>946365</v>
      </c>
      <c r="J195" s="11">
        <v>8764131</v>
      </c>
      <c r="K195" s="11">
        <v>21523596</v>
      </c>
      <c r="L195" s="11">
        <v>33159819</v>
      </c>
      <c r="M195" s="11">
        <v>27504331</v>
      </c>
      <c r="N195" s="11">
        <f>101300092+707323</f>
        <v>102007415</v>
      </c>
      <c r="O195" s="11">
        <v>0</v>
      </c>
      <c r="P195" s="11">
        <f t="shared" si="22"/>
        <v>724342500</v>
      </c>
      <c r="Q195" s="11">
        <v>2744732</v>
      </c>
      <c r="R195" s="3">
        <f t="shared" si="20"/>
        <v>2744732</v>
      </c>
      <c r="S195" s="3"/>
      <c r="T195" s="3"/>
      <c r="U195" s="3">
        <f t="shared" si="21"/>
        <v>0.3789273720650107</v>
      </c>
    </row>
    <row r="196" spans="1:21" ht="12.75" hidden="1">
      <c r="A196" s="5" t="s">
        <v>32</v>
      </c>
      <c r="B196" s="11">
        <v>15750000</v>
      </c>
      <c r="C196" s="11"/>
      <c r="D196" s="11"/>
      <c r="E196" s="11">
        <v>1633088</v>
      </c>
      <c r="F196" s="11">
        <v>8487628</v>
      </c>
      <c r="G196" s="11">
        <v>506309</v>
      </c>
      <c r="H196" s="11">
        <v>676710</v>
      </c>
      <c r="I196" s="11">
        <v>3378186</v>
      </c>
      <c r="J196" s="11">
        <f>628640+207249.88</f>
        <v>835889.88</v>
      </c>
      <c r="K196" s="11">
        <v>2968850</v>
      </c>
      <c r="L196" s="11">
        <v>585030</v>
      </c>
      <c r="M196" s="11">
        <v>136000</v>
      </c>
      <c r="N196" s="11">
        <f>22300706.88-19207690.88</f>
        <v>3093016</v>
      </c>
      <c r="O196" s="11"/>
      <c r="P196" s="11">
        <f t="shared" si="22"/>
        <v>15750000</v>
      </c>
      <c r="Q196" s="11">
        <v>153620</v>
      </c>
      <c r="R196" s="3">
        <f t="shared" si="20"/>
        <v>3328796</v>
      </c>
      <c r="S196" s="3"/>
      <c r="T196" s="3"/>
      <c r="U196" s="3">
        <f t="shared" si="21"/>
        <v>21.135212698412698</v>
      </c>
    </row>
    <row r="197" spans="1:21" ht="12.75" hidden="1">
      <c r="A197" s="7" t="s">
        <v>33</v>
      </c>
      <c r="B197" s="10">
        <v>65100000</v>
      </c>
      <c r="C197" s="11">
        <v>426256</v>
      </c>
      <c r="D197" s="11">
        <v>177520</v>
      </c>
      <c r="E197" s="11">
        <v>815304</v>
      </c>
      <c r="F197" s="11">
        <v>1044670</v>
      </c>
      <c r="G197" s="11">
        <v>210000</v>
      </c>
      <c r="H197" s="11">
        <v>497000</v>
      </c>
      <c r="I197" s="11">
        <v>1908400</v>
      </c>
      <c r="J197" s="11">
        <v>2080000</v>
      </c>
      <c r="K197" s="11">
        <v>1960300</v>
      </c>
      <c r="L197" s="11">
        <v>1071750</v>
      </c>
      <c r="M197" s="11">
        <v>486631</v>
      </c>
      <c r="N197" s="11">
        <v>3040000</v>
      </c>
      <c r="O197" s="11"/>
      <c r="P197" s="11">
        <f t="shared" si="22"/>
        <v>65100000</v>
      </c>
      <c r="Q197" s="10">
        <v>0</v>
      </c>
      <c r="R197" s="3">
        <f t="shared" si="20"/>
        <v>10158108</v>
      </c>
      <c r="S197" s="3"/>
      <c r="T197" s="3"/>
      <c r="U197" s="3">
        <f t="shared" si="21"/>
        <v>15.603852534562213</v>
      </c>
    </row>
    <row r="198" spans="1:21" ht="12.75" hidden="1">
      <c r="A198" s="7" t="s">
        <v>34</v>
      </c>
      <c r="B198" s="10">
        <v>1000000</v>
      </c>
      <c r="C198" s="11">
        <v>7540000</v>
      </c>
      <c r="D198" s="11"/>
      <c r="E198" s="11"/>
      <c r="F198" s="11"/>
      <c r="G198" s="11"/>
      <c r="H198" s="11"/>
      <c r="I198" s="11">
        <v>294000</v>
      </c>
      <c r="J198" s="11"/>
      <c r="K198" s="11"/>
      <c r="L198" s="11">
        <v>29000</v>
      </c>
      <c r="M198" s="11"/>
      <c r="N198" s="11"/>
      <c r="O198" s="11"/>
      <c r="P198" s="11">
        <f t="shared" si="22"/>
        <v>1000000</v>
      </c>
      <c r="Q198" s="10">
        <v>0</v>
      </c>
      <c r="R198" s="3">
        <f t="shared" si="20"/>
        <v>0</v>
      </c>
      <c r="S198" s="3"/>
      <c r="T198" s="3"/>
      <c r="U198" s="3">
        <f t="shared" si="21"/>
        <v>0</v>
      </c>
    </row>
    <row r="199" spans="1:21" ht="12.75" hidden="1">
      <c r="A199" s="7" t="s">
        <v>35</v>
      </c>
      <c r="B199" s="10">
        <f aca="true" t="shared" si="24" ref="B199:O199">SUM(B200:B200)</f>
        <v>121800000</v>
      </c>
      <c r="C199" s="11">
        <f t="shared" si="24"/>
        <v>4768052</v>
      </c>
      <c r="D199" s="11">
        <f t="shared" si="24"/>
        <v>8290086</v>
      </c>
      <c r="E199" s="11">
        <f t="shared" si="24"/>
        <v>10672897</v>
      </c>
      <c r="F199" s="11">
        <f t="shared" si="24"/>
        <v>13361106</v>
      </c>
      <c r="G199" s="11">
        <f t="shared" si="24"/>
        <v>5435392</v>
      </c>
      <c r="H199" s="11">
        <f t="shared" si="24"/>
        <v>6359364</v>
      </c>
      <c r="I199" s="11">
        <f t="shared" si="24"/>
        <v>17667466</v>
      </c>
      <c r="J199" s="11">
        <f t="shared" si="24"/>
        <v>22629676</v>
      </c>
      <c r="K199" s="11">
        <f t="shared" si="24"/>
        <v>24318846</v>
      </c>
      <c r="L199" s="11">
        <f t="shared" si="24"/>
        <v>14234424</v>
      </c>
      <c r="M199" s="11">
        <f t="shared" si="24"/>
        <v>14378768</v>
      </c>
      <c r="N199" s="11">
        <f t="shared" si="24"/>
        <v>23388888</v>
      </c>
      <c r="O199" s="10">
        <f t="shared" si="24"/>
        <v>0</v>
      </c>
      <c r="P199" s="11">
        <f t="shared" si="22"/>
        <v>121800000</v>
      </c>
      <c r="Q199" s="10">
        <f>SUM(Q200:Q200)</f>
        <v>178400</v>
      </c>
      <c r="R199" s="3">
        <f t="shared" si="20"/>
        <v>49632860.64</v>
      </c>
      <c r="S199" s="3"/>
      <c r="T199" s="3"/>
      <c r="U199" s="3">
        <f t="shared" si="21"/>
        <v>40.74947507389163</v>
      </c>
    </row>
    <row r="200" spans="1:21" ht="12.75" hidden="1">
      <c r="A200" s="5" t="s">
        <v>36</v>
      </c>
      <c r="B200" s="11">
        <v>121800000</v>
      </c>
      <c r="C200" s="11">
        <v>4768052</v>
      </c>
      <c r="D200" s="11">
        <v>8290086</v>
      </c>
      <c r="E200" s="11">
        <v>10672897</v>
      </c>
      <c r="F200" s="11">
        <v>13361106</v>
      </c>
      <c r="G200" s="11">
        <v>5435392</v>
      </c>
      <c r="H200" s="11">
        <v>6359364</v>
      </c>
      <c r="I200" s="11">
        <v>17667466</v>
      </c>
      <c r="J200" s="11">
        <f>15777671+6852005</f>
        <v>22629676</v>
      </c>
      <c r="K200" s="11">
        <v>24318846</v>
      </c>
      <c r="L200" s="11">
        <v>14234424</v>
      </c>
      <c r="M200" s="11">
        <f>14378768</f>
        <v>14378768</v>
      </c>
      <c r="N200" s="11">
        <f>165504965-142116077</f>
        <v>23388888</v>
      </c>
      <c r="O200" s="11"/>
      <c r="P200" s="11">
        <f t="shared" si="22"/>
        <v>121800000</v>
      </c>
      <c r="Q200" s="11">
        <v>178400</v>
      </c>
      <c r="R200" s="3">
        <f t="shared" si="20"/>
        <v>49632860.64</v>
      </c>
      <c r="S200" s="3"/>
      <c r="T200" s="3"/>
      <c r="U200" s="3">
        <f t="shared" si="21"/>
        <v>40.74947507389163</v>
      </c>
    </row>
    <row r="201" spans="1:21" ht="12.75" hidden="1">
      <c r="A201" s="7" t="s">
        <v>37</v>
      </c>
      <c r="B201" s="10">
        <v>71925000</v>
      </c>
      <c r="C201" s="11" t="e">
        <f>SUM(#REF!)</f>
        <v>#REF!</v>
      </c>
      <c r="D201" s="11" t="e">
        <f>SUM(#REF!)</f>
        <v>#REF!</v>
      </c>
      <c r="E201" s="11" t="e">
        <f>SUM(#REF!)</f>
        <v>#REF!</v>
      </c>
      <c r="F201" s="11" t="e">
        <f>SUM(#REF!)</f>
        <v>#REF!</v>
      </c>
      <c r="G201" s="11" t="e">
        <f>SUM(#REF!)</f>
        <v>#REF!</v>
      </c>
      <c r="H201" s="11" t="e">
        <f>SUM(#REF!)</f>
        <v>#REF!</v>
      </c>
      <c r="I201" s="11" t="e">
        <f>SUM(#REF!)</f>
        <v>#REF!</v>
      </c>
      <c r="J201" s="11" t="e">
        <f>SUM(#REF!)</f>
        <v>#REF!</v>
      </c>
      <c r="K201" s="11" t="e">
        <f>SUM(#REF!)</f>
        <v>#REF!</v>
      </c>
      <c r="L201" s="11" t="e">
        <f>SUM(#REF!)</f>
        <v>#REF!</v>
      </c>
      <c r="M201" s="11" t="e">
        <f>SUM(#REF!)</f>
        <v>#REF!</v>
      </c>
      <c r="N201" s="11" t="e">
        <f>SUM(#REF!)</f>
        <v>#REF!</v>
      </c>
      <c r="O201" s="10">
        <v>0</v>
      </c>
      <c r="P201" s="11">
        <f t="shared" si="22"/>
        <v>71925000</v>
      </c>
      <c r="Q201" s="11">
        <v>0</v>
      </c>
      <c r="R201" s="3">
        <f t="shared" si="20"/>
        <v>22737502</v>
      </c>
      <c r="S201" s="3"/>
      <c r="T201" s="3"/>
      <c r="U201" s="3">
        <f t="shared" si="21"/>
        <v>31.61279388251651</v>
      </c>
    </row>
    <row r="202" spans="1:21" ht="12.75" hidden="1">
      <c r="A202" s="7" t="s">
        <v>44</v>
      </c>
      <c r="B202" s="10">
        <f>+B203</f>
        <v>0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>
        <f>+O203</f>
        <v>1230345600</v>
      </c>
      <c r="P202" s="11">
        <f t="shared" si="22"/>
        <v>1230345600</v>
      </c>
      <c r="Q202" s="10">
        <f>+Q203</f>
        <v>0</v>
      </c>
      <c r="R202" s="3">
        <f t="shared" si="20"/>
        <v>56086490</v>
      </c>
      <c r="S202" s="3"/>
      <c r="T202" s="3"/>
      <c r="U202" s="3">
        <f t="shared" si="21"/>
        <v>4.558596381374469</v>
      </c>
    </row>
    <row r="203" spans="1:21" ht="12.75" hidden="1">
      <c r="A203" s="7" t="s">
        <v>45</v>
      </c>
      <c r="B203" s="1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>
        <f>1230345600</f>
        <v>1230345600</v>
      </c>
      <c r="P203" s="11">
        <f t="shared" si="22"/>
        <v>1230345600</v>
      </c>
      <c r="Q203" s="10">
        <v>0</v>
      </c>
      <c r="R203" s="3">
        <f t="shared" si="20"/>
        <v>56086490</v>
      </c>
      <c r="S203" s="3"/>
      <c r="T203" s="3"/>
      <c r="U203" s="3">
        <f t="shared" si="21"/>
        <v>4.558596381374469</v>
      </c>
    </row>
    <row r="204" spans="1:21" ht="12.75" hidden="1">
      <c r="A204" s="7" t="s">
        <v>48</v>
      </c>
      <c r="B204" s="1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>
        <v>79200000</v>
      </c>
      <c r="P204" s="11">
        <f t="shared" si="22"/>
        <v>79200000</v>
      </c>
      <c r="Q204" s="10">
        <v>0</v>
      </c>
      <c r="R204" s="3">
        <v>0</v>
      </c>
      <c r="S204" s="3"/>
      <c r="T204" s="3"/>
      <c r="U204" s="3">
        <f>+R204/P204*100</f>
        <v>0</v>
      </c>
    </row>
    <row r="205" spans="1:21" ht="12.75" hidden="1">
      <c r="A205" s="7" t="s">
        <v>38</v>
      </c>
      <c r="B205" s="10">
        <f>+B206+B207+B208</f>
        <v>1914146055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>
        <f>+O206+O207+O208</f>
        <v>515409946</v>
      </c>
      <c r="P205" s="11">
        <f>+B205+O205</f>
        <v>2429556001</v>
      </c>
      <c r="Q205" s="10">
        <f>+Q206+Q207+Q208</f>
        <v>124764842</v>
      </c>
      <c r="R205" s="3">
        <f>+R28+Q205</f>
        <v>1302933227.55</v>
      </c>
      <c r="S205" s="3"/>
      <c r="T205" s="3"/>
      <c r="U205" s="3">
        <f t="shared" si="21"/>
        <v>53.6284500959729</v>
      </c>
    </row>
    <row r="206" spans="1:21" ht="12.75" hidden="1">
      <c r="A206" s="7" t="s">
        <v>6</v>
      </c>
      <c r="B206" s="10">
        <v>70000000</v>
      </c>
      <c r="C206" s="11">
        <v>898886</v>
      </c>
      <c r="D206" s="11">
        <f>4306726+216132</f>
        <v>4522858</v>
      </c>
      <c r="E206" s="11">
        <f>751140+23292827</f>
        <v>24043967</v>
      </c>
      <c r="F206" s="11">
        <v>8452240</v>
      </c>
      <c r="G206" s="11">
        <v>4422172</v>
      </c>
      <c r="H206" s="11">
        <f>7484642+234363</f>
        <v>7719005</v>
      </c>
      <c r="I206" s="11">
        <f>102855+5416914</f>
        <v>5519769</v>
      </c>
      <c r="J206" s="11">
        <f>6098966+444960+3514791+65855</f>
        <v>10124572</v>
      </c>
      <c r="K206" s="11">
        <f>191152+1348022+3219820.01</f>
        <v>4758994.01</v>
      </c>
      <c r="L206" s="11">
        <f>350566+9695840</f>
        <v>10046406</v>
      </c>
      <c r="M206" s="11">
        <f>579536+7833208+436291+345639</f>
        <v>9194674</v>
      </c>
      <c r="N206" s="11">
        <f>112132152.5-89703543.01</f>
        <v>22428609.489999995</v>
      </c>
      <c r="O206" s="11"/>
      <c r="P206" s="11">
        <f>+B206+O206</f>
        <v>70000000</v>
      </c>
      <c r="Q206" s="11">
        <f>4036795+51138+4263359</f>
        <v>8351292</v>
      </c>
      <c r="R206" s="3">
        <f aca="true" t="shared" si="25" ref="R206:R213">+R29+Q206</f>
        <v>52073352.55</v>
      </c>
      <c r="S206" s="3"/>
      <c r="T206" s="3"/>
      <c r="U206" s="3">
        <f t="shared" si="21"/>
        <v>74.39050364285714</v>
      </c>
    </row>
    <row r="207" spans="1:21" ht="12.75" hidden="1">
      <c r="A207" s="7" t="s">
        <v>9</v>
      </c>
      <c r="B207" s="10">
        <v>0</v>
      </c>
      <c r="C207" s="11"/>
      <c r="D207" s="11"/>
      <c r="E207" s="11"/>
      <c r="F207" s="11">
        <f>+B207</f>
        <v>0</v>
      </c>
      <c r="G207" s="11"/>
      <c r="H207" s="11"/>
      <c r="I207" s="11"/>
      <c r="J207" s="11"/>
      <c r="K207" s="11"/>
      <c r="L207" s="11"/>
      <c r="M207" s="11"/>
      <c r="N207" s="11"/>
      <c r="O207" s="11">
        <f>+O30</f>
        <v>515409946</v>
      </c>
      <c r="P207" s="11">
        <f>+B207+O207</f>
        <v>515409946</v>
      </c>
      <c r="Q207" s="10">
        <v>0</v>
      </c>
      <c r="R207" s="3">
        <f t="shared" si="25"/>
        <v>515409946</v>
      </c>
      <c r="S207" s="3"/>
      <c r="T207" s="3"/>
      <c r="U207" s="3">
        <f t="shared" si="21"/>
        <v>100</v>
      </c>
    </row>
    <row r="208" spans="1:21" ht="12.75" hidden="1">
      <c r="A208" s="7" t="s">
        <v>39</v>
      </c>
      <c r="B208" s="10">
        <v>1844146055</v>
      </c>
      <c r="C208" s="11" t="e">
        <f>+#REF!+#REF!</f>
        <v>#REF!</v>
      </c>
      <c r="D208" s="11" t="e">
        <f>+#REF!+#REF!</f>
        <v>#REF!</v>
      </c>
      <c r="E208" s="11" t="e">
        <f>+#REF!+#REF!</f>
        <v>#REF!</v>
      </c>
      <c r="F208" s="11" t="e">
        <f>+#REF!+#REF!</f>
        <v>#REF!</v>
      </c>
      <c r="G208" s="11" t="e">
        <f>+#REF!+#REF!</f>
        <v>#REF!</v>
      </c>
      <c r="H208" s="11" t="e">
        <f>+#REF!+#REF!</f>
        <v>#REF!</v>
      </c>
      <c r="I208" s="11" t="e">
        <f>+#REF!+#REF!</f>
        <v>#REF!</v>
      </c>
      <c r="J208" s="11" t="e">
        <f>+#REF!+#REF!</f>
        <v>#REF!</v>
      </c>
      <c r="K208" s="11" t="e">
        <f>+#REF!+#REF!</f>
        <v>#REF!</v>
      </c>
      <c r="L208" s="11" t="e">
        <f>+#REF!+#REF!</f>
        <v>#REF!</v>
      </c>
      <c r="M208" s="11" t="e">
        <f>+#REF!+#REF!</f>
        <v>#REF!</v>
      </c>
      <c r="N208" s="11" t="e">
        <f>+#REF!+#REF!</f>
        <v>#REF!</v>
      </c>
      <c r="O208" s="10">
        <v>0</v>
      </c>
      <c r="P208" s="11">
        <f>+B208+O208</f>
        <v>1844146055</v>
      </c>
      <c r="Q208" s="11">
        <f>44194236+72219314</f>
        <v>116413550</v>
      </c>
      <c r="R208" s="3">
        <f t="shared" si="25"/>
        <v>735449929</v>
      </c>
      <c r="S208" s="3"/>
      <c r="T208" s="3"/>
      <c r="U208" s="3">
        <f t="shared" si="21"/>
        <v>39.88024305374229</v>
      </c>
    </row>
    <row r="209" spans="1:21" ht="12.75" hidden="1">
      <c r="A209" s="5"/>
      <c r="B209" s="11"/>
      <c r="C209" s="11"/>
      <c r="D209" s="11"/>
      <c r="E209" s="11" t="s">
        <v>1</v>
      </c>
      <c r="F209" s="11" t="s">
        <v>1</v>
      </c>
      <c r="G209" s="11" t="s">
        <v>1</v>
      </c>
      <c r="H209" s="11" t="s">
        <v>1</v>
      </c>
      <c r="I209" s="11" t="s">
        <v>1</v>
      </c>
      <c r="J209" s="11" t="s">
        <v>1</v>
      </c>
      <c r="K209" s="11" t="s">
        <v>1</v>
      </c>
      <c r="L209" s="11" t="s">
        <v>1</v>
      </c>
      <c r="M209" s="11" t="s">
        <v>1</v>
      </c>
      <c r="N209" s="11" t="s">
        <v>1</v>
      </c>
      <c r="O209" s="11"/>
      <c r="P209" s="11" t="s">
        <v>1</v>
      </c>
      <c r="Q209" s="16" t="s">
        <v>1</v>
      </c>
      <c r="R209" s="3" t="s">
        <v>1</v>
      </c>
      <c r="S209" s="3"/>
      <c r="T209" s="3"/>
      <c r="U209" s="3" t="s">
        <v>1</v>
      </c>
    </row>
    <row r="210" spans="1:21" ht="12.75" hidden="1">
      <c r="A210" s="7" t="s">
        <v>40</v>
      </c>
      <c r="B210" s="10">
        <f>+B183+B205</f>
        <v>10077156120</v>
      </c>
      <c r="C210" s="10" t="e">
        <f>+C186+C191+C193+C197+C198+C199+C201+#REF!+#REF!+C206+C207+C208+#REF!</f>
        <v>#REF!</v>
      </c>
      <c r="D210" s="10" t="e">
        <f>+D186+D191+D193+D197+D198+D199+D201+#REF!+#REF!+D206+D207+D208+#REF!</f>
        <v>#REF!</v>
      </c>
      <c r="E210" s="10" t="e">
        <f>+E186+E191+E193+E197+E198+E199+E201+#REF!+#REF!+E206+E207+E208+#REF!</f>
        <v>#REF!</v>
      </c>
      <c r="F210" s="10" t="e">
        <f>+F186+F191+F193+F197+F198+F199+F201+#REF!+#REF!+F206+F207+F208+#REF!</f>
        <v>#REF!</v>
      </c>
      <c r="G210" s="10" t="e">
        <f>+G186+G191+G193+G197+G198+G199+G201+#REF!+#REF!+G206+G207+G208+#REF!</f>
        <v>#REF!</v>
      </c>
      <c r="H210" s="10" t="e">
        <f>+H186+H191+H193+H197+H198+H199+H201+#REF!+#REF!+H206+H207+H208+#REF!</f>
        <v>#REF!</v>
      </c>
      <c r="I210" s="10" t="e">
        <f>+I186+I191+I193+I197+I198+I199+I201+#REF!+#REF!+I206+I207+I208+#REF!</f>
        <v>#REF!</v>
      </c>
      <c r="J210" s="10" t="e">
        <f>+J186+J191+J193+J197+J198+J199+J201+#REF!+#REF!+J206+J207+J208+#REF!</f>
        <v>#REF!</v>
      </c>
      <c r="K210" s="10" t="e">
        <f>+K186+K191+K193+K197+K198+K199+K201+#REF!+#REF!+K206+K207+K208+#REF!</f>
        <v>#REF!</v>
      </c>
      <c r="L210" s="10" t="e">
        <f>+L186+L191+L193+L197+L198+L199+L201+#REF!+#REF!+L206+L207+L208+#REF!</f>
        <v>#REF!</v>
      </c>
      <c r="M210" s="10" t="e">
        <f>+M186+M191+M193+M197+M198+M199+M201+#REF!+#REF!+M206+M207+M208+#REF!</f>
        <v>#REF!</v>
      </c>
      <c r="N210" s="10" t="e">
        <f>+N186+N191+N193+N197+N198+N199+N201+#REF!+#REF!+N206+N207+N208+#REF!</f>
        <v>#REF!</v>
      </c>
      <c r="O210" s="10">
        <f>+O183+O205</f>
        <v>1745755546</v>
      </c>
      <c r="P210" s="10">
        <f>+P183+P205</f>
        <v>11822911666</v>
      </c>
      <c r="Q210" s="10">
        <f>+Q183+Q205</f>
        <v>558966374</v>
      </c>
      <c r="R210" s="3">
        <f t="shared" si="25"/>
        <v>2727137429.19</v>
      </c>
      <c r="S210" s="3"/>
      <c r="T210" s="3"/>
      <c r="U210" s="3">
        <f>+R210/P210*100</f>
        <v>23.06654660232831</v>
      </c>
    </row>
    <row r="211" spans="1:21" ht="12.75" hidden="1">
      <c r="A211" s="7" t="s">
        <v>41</v>
      </c>
      <c r="B211" s="11">
        <f>+B34</f>
        <v>1334597240</v>
      </c>
      <c r="O211">
        <v>0</v>
      </c>
      <c r="P211" s="1">
        <f>+B211+O211</f>
        <v>1334597240</v>
      </c>
      <c r="Q211" s="1">
        <v>98681856</v>
      </c>
      <c r="R211" s="3">
        <f t="shared" si="25"/>
        <v>496377046</v>
      </c>
      <c r="S211" s="3"/>
      <c r="T211" s="3"/>
      <c r="U211" s="3">
        <f>+R211/P211*100</f>
        <v>37.19302206859052</v>
      </c>
    </row>
    <row r="212" spans="2:21" ht="12.75" hidden="1">
      <c r="B212" s="1" t="s">
        <v>1</v>
      </c>
      <c r="O212" s="1" t="s">
        <v>1</v>
      </c>
      <c r="Q212" s="16" t="s">
        <v>1</v>
      </c>
      <c r="R212" s="3" t="s">
        <v>1</v>
      </c>
      <c r="S212" s="3"/>
      <c r="T212" s="3"/>
      <c r="U212" s="3" t="s">
        <v>1</v>
      </c>
    </row>
    <row r="213" spans="1:21" ht="12.75" hidden="1">
      <c r="A213" s="7" t="s">
        <v>42</v>
      </c>
      <c r="B213" s="16">
        <f>+B210+B211</f>
        <v>11411753360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16">
        <f>+O210+O211</f>
        <v>1745755546</v>
      </c>
      <c r="P213" s="16">
        <f>+P210+P211</f>
        <v>13157508906</v>
      </c>
      <c r="Q213" s="16">
        <f>+Q210+Q211</f>
        <v>657648230</v>
      </c>
      <c r="R213" s="3">
        <f t="shared" si="25"/>
        <v>3223514475.19</v>
      </c>
      <c r="S213" s="3"/>
      <c r="T213" s="3"/>
      <c r="U213" s="3">
        <f>+R213/P213*100</f>
        <v>24.499428411711236</v>
      </c>
    </row>
    <row r="214" spans="16:20" ht="12.75" hidden="1">
      <c r="P214" s="1" t="s">
        <v>1</v>
      </c>
      <c r="Q214" s="1"/>
      <c r="R214" s="1" t="s">
        <v>1</v>
      </c>
      <c r="S214" s="1"/>
      <c r="T214" s="1"/>
    </row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spans="1:21" ht="12.75" hidden="1">
      <c r="A224" s="47" t="s">
        <v>0</v>
      </c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</row>
    <row r="225" spans="1:21" ht="12.75" hidden="1">
      <c r="A225" s="47" t="s">
        <v>47</v>
      </c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</row>
    <row r="226" ht="12.75" hidden="1">
      <c r="U226" s="18">
        <v>39600</v>
      </c>
    </row>
    <row r="227" spans="1:21" ht="25.5" hidden="1">
      <c r="A227" s="5"/>
      <c r="B227" s="6" t="s">
        <v>10</v>
      </c>
      <c r="C227" s="48" t="s">
        <v>11</v>
      </c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5"/>
      <c r="O227" s="4" t="s">
        <v>2</v>
      </c>
      <c r="P227" s="6" t="s">
        <v>12</v>
      </c>
      <c r="Q227" s="6"/>
      <c r="R227" s="8" t="s">
        <v>43</v>
      </c>
      <c r="S227" s="8"/>
      <c r="T227" s="8"/>
      <c r="U227" s="8" t="s">
        <v>46</v>
      </c>
    </row>
    <row r="228" spans="1:21" ht="12.75" hidden="1">
      <c r="A228" s="4" t="s">
        <v>7</v>
      </c>
      <c r="B228" s="4" t="s">
        <v>1</v>
      </c>
      <c r="C228" s="4" t="s">
        <v>13</v>
      </c>
      <c r="D228" s="4" t="s">
        <v>14</v>
      </c>
      <c r="E228" s="4" t="s">
        <v>15</v>
      </c>
      <c r="F228" s="4" t="s">
        <v>16</v>
      </c>
      <c r="G228" s="4" t="s">
        <v>8</v>
      </c>
      <c r="H228" s="4" t="s">
        <v>17</v>
      </c>
      <c r="I228" s="4" t="s">
        <v>18</v>
      </c>
      <c r="J228" s="4" t="s">
        <v>19</v>
      </c>
      <c r="K228" s="4" t="s">
        <v>20</v>
      </c>
      <c r="L228" s="4" t="s">
        <v>21</v>
      </c>
      <c r="M228" s="4" t="s">
        <v>22</v>
      </c>
      <c r="N228" s="4" t="s">
        <v>23</v>
      </c>
      <c r="O228" s="4"/>
      <c r="P228" s="4"/>
      <c r="Q228" s="4"/>
      <c r="R228" s="4"/>
      <c r="S228" s="4"/>
      <c r="T228" s="4"/>
      <c r="U228" s="4"/>
    </row>
    <row r="229" spans="1:21" ht="12.75" hidden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3"/>
      <c r="S229" s="3"/>
      <c r="T229" s="3"/>
      <c r="U229" s="3"/>
    </row>
    <row r="230" spans="1:21" ht="25.5" hidden="1">
      <c r="A230" s="5"/>
      <c r="B230" s="6" t="s">
        <v>10</v>
      </c>
      <c r="C230" s="48" t="s">
        <v>11</v>
      </c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5"/>
      <c r="O230" s="4" t="s">
        <v>2</v>
      </c>
      <c r="P230" s="6" t="s">
        <v>12</v>
      </c>
      <c r="Q230" s="6"/>
      <c r="R230" s="8" t="s">
        <v>43</v>
      </c>
      <c r="S230" s="8"/>
      <c r="T230" s="8"/>
      <c r="U230" s="8" t="s">
        <v>46</v>
      </c>
    </row>
    <row r="231" spans="1:21" ht="12.75" hidden="1">
      <c r="A231" s="4" t="s">
        <v>7</v>
      </c>
      <c r="B231" s="4" t="s">
        <v>1</v>
      </c>
      <c r="C231" s="4" t="s">
        <v>13</v>
      </c>
      <c r="D231" s="4" t="s">
        <v>14</v>
      </c>
      <c r="E231" s="4" t="s">
        <v>15</v>
      </c>
      <c r="F231" s="4" t="s">
        <v>16</v>
      </c>
      <c r="G231" s="4" t="s">
        <v>8</v>
      </c>
      <c r="H231" s="4" t="s">
        <v>17</v>
      </c>
      <c r="I231" s="4" t="s">
        <v>18</v>
      </c>
      <c r="J231" s="4" t="s">
        <v>19</v>
      </c>
      <c r="K231" s="4" t="s">
        <v>20</v>
      </c>
      <c r="L231" s="4" t="s">
        <v>21</v>
      </c>
      <c r="M231" s="4" t="s">
        <v>22</v>
      </c>
      <c r="N231" s="4" t="s">
        <v>23</v>
      </c>
      <c r="O231" s="4"/>
      <c r="P231" s="4"/>
      <c r="Q231" s="3" t="s">
        <v>1</v>
      </c>
      <c r="R231" s="4"/>
      <c r="S231" s="4"/>
      <c r="T231" s="4"/>
      <c r="U231" s="4"/>
    </row>
    <row r="232" spans="1:21" ht="12.75" hidden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3"/>
      <c r="S232" s="3"/>
      <c r="T232" s="3"/>
      <c r="U232" s="3"/>
    </row>
    <row r="233" spans="1:21" ht="12.75" hidden="1">
      <c r="A233" s="9" t="s">
        <v>24</v>
      </c>
      <c r="B233" s="3">
        <f>+B235+B240</f>
        <v>8163010065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3">
        <f>+O235+O240</f>
        <v>1309545600</v>
      </c>
      <c r="P233" s="3">
        <f>+P235+P240</f>
        <v>9472555665</v>
      </c>
      <c r="Q233" s="3">
        <f>+Q235+Q240</f>
        <v>554474243</v>
      </c>
      <c r="R233" s="3">
        <f>+R183+Q233</f>
        <v>1978678444.6399999</v>
      </c>
      <c r="S233" s="3"/>
      <c r="T233" s="3"/>
      <c r="U233" s="3">
        <f>+R233/P233*100</f>
        <v>20.88853858046977</v>
      </c>
    </row>
    <row r="234" spans="1:21" ht="12.75" hidden="1">
      <c r="A234" s="9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3" t="e">
        <f aca="true" t="shared" si="26" ref="R234:R263">+R184+Q234</f>
        <v>#VALUE!</v>
      </c>
      <c r="S234" s="3"/>
      <c r="T234" s="3"/>
      <c r="U234" s="3"/>
    </row>
    <row r="235" spans="1:21" ht="12.75" hidden="1">
      <c r="A235" s="7" t="s">
        <v>3</v>
      </c>
      <c r="B235" s="10">
        <f>+B236</f>
        <v>3471300000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10">
        <f>+O236</f>
        <v>0</v>
      </c>
      <c r="P235" s="11">
        <f>+B235+O235</f>
        <v>3471300000</v>
      </c>
      <c r="Q235" s="10">
        <f>+Q236</f>
        <v>128693321</v>
      </c>
      <c r="R235" s="3">
        <f t="shared" si="26"/>
        <v>817159327</v>
      </c>
      <c r="S235" s="3"/>
      <c r="T235" s="3"/>
      <c r="U235" s="3">
        <f>+R235/P235*100</f>
        <v>23.540440958718637</v>
      </c>
    </row>
    <row r="236" spans="1:21" ht="12.75" hidden="1">
      <c r="A236" s="7" t="s">
        <v>25</v>
      </c>
      <c r="B236" s="10">
        <f>+B237+B238</f>
        <v>3471300000</v>
      </c>
      <c r="C236" s="11"/>
      <c r="D236" s="11">
        <v>177520</v>
      </c>
      <c r="E236" s="11"/>
      <c r="F236" s="11">
        <v>165006728</v>
      </c>
      <c r="G236" s="11">
        <v>1414514385</v>
      </c>
      <c r="H236" s="11">
        <v>4948458</v>
      </c>
      <c r="I236" s="11">
        <v>573117327</v>
      </c>
      <c r="J236" s="11">
        <f>139033811-14448995.38</f>
        <v>124584815.62</v>
      </c>
      <c r="K236" s="11">
        <v>93361900</v>
      </c>
      <c r="L236" s="11">
        <v>25720312</v>
      </c>
      <c r="M236" s="11">
        <v>242733948</v>
      </c>
      <c r="N236" s="11">
        <f>65086606+14219504.38-900076.38-6867260+6687809</f>
        <v>78226583</v>
      </c>
      <c r="O236" s="10">
        <f>+O237+O238</f>
        <v>0</v>
      </c>
      <c r="P236" s="11">
        <f>+B236+O236</f>
        <v>3471300000</v>
      </c>
      <c r="Q236" s="10">
        <f>+Q237+Q238</f>
        <v>128693321</v>
      </c>
      <c r="R236" s="3">
        <f t="shared" si="26"/>
        <v>817159327</v>
      </c>
      <c r="S236" s="3"/>
      <c r="T236" s="3"/>
      <c r="U236" s="3">
        <f>+R236/P236*100</f>
        <v>23.540440958718637</v>
      </c>
    </row>
    <row r="237" spans="1:21" ht="12.75" hidden="1">
      <c r="A237" s="5" t="s">
        <v>26</v>
      </c>
      <c r="B237" s="11">
        <v>2106300000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>
        <f>+B237+O237</f>
        <v>2106300000</v>
      </c>
      <c r="Q237" s="11">
        <v>0</v>
      </c>
      <c r="R237" s="3">
        <f t="shared" si="26"/>
        <v>0</v>
      </c>
      <c r="S237" s="3"/>
      <c r="T237" s="3"/>
      <c r="U237" s="3">
        <f>+R237/P237*100</f>
        <v>0</v>
      </c>
    </row>
    <row r="238" spans="1:21" ht="12.75" hidden="1">
      <c r="A238" s="5" t="s">
        <v>27</v>
      </c>
      <c r="B238" s="11">
        <v>1365000000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>
        <f>+B238+O238</f>
        <v>1365000000</v>
      </c>
      <c r="Q238" s="11">
        <v>128693321</v>
      </c>
      <c r="R238" s="3">
        <f t="shared" si="26"/>
        <v>817159327</v>
      </c>
      <c r="S238" s="3"/>
      <c r="T238" s="3"/>
      <c r="U238" s="3">
        <f>+R238/P238*100</f>
        <v>59.86515216117216</v>
      </c>
    </row>
    <row r="239" spans="1:21" ht="12.75" hidden="1">
      <c r="A239" s="7"/>
      <c r="B239" s="1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 t="s">
        <v>1</v>
      </c>
      <c r="Q239" s="10"/>
      <c r="R239" s="3" t="e">
        <f t="shared" si="26"/>
        <v>#VALUE!</v>
      </c>
      <c r="S239" s="3"/>
      <c r="T239" s="3"/>
      <c r="U239" s="3" t="s">
        <v>1</v>
      </c>
    </row>
    <row r="240" spans="1:21" ht="12.75" hidden="1">
      <c r="A240" s="7" t="s">
        <v>4</v>
      </c>
      <c r="B240" s="10">
        <f>+B241+B242+B251+B252</f>
        <v>4691710065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0">
        <f>+O241+O242+O251+O252</f>
        <v>1309545600</v>
      </c>
      <c r="P240" s="10">
        <f>+P241+P242+P251+P252</f>
        <v>6001255665</v>
      </c>
      <c r="Q240" s="10">
        <f>+Q241+Q242+Q251+Q252</f>
        <v>425780922</v>
      </c>
      <c r="R240" s="3">
        <f t="shared" si="26"/>
        <v>1161519117.6399999</v>
      </c>
      <c r="S240" s="3"/>
      <c r="T240" s="3"/>
      <c r="U240" s="3">
        <f aca="true" t="shared" si="27" ref="U240:U253">+R240/P240*100</f>
        <v>19.35460147805584</v>
      </c>
    </row>
    <row r="241" spans="1:21" ht="12.75" hidden="1">
      <c r="A241" s="7" t="s">
        <v>28</v>
      </c>
      <c r="B241" s="10">
        <v>2752759677</v>
      </c>
      <c r="C241" s="11">
        <v>0</v>
      </c>
      <c r="D241" s="11">
        <v>0</v>
      </c>
      <c r="E241" s="11">
        <v>0</v>
      </c>
      <c r="F241" s="11">
        <v>196495882</v>
      </c>
      <c r="G241" s="11">
        <v>164927418</v>
      </c>
      <c r="H241" s="11">
        <v>262941303</v>
      </c>
      <c r="I241" s="11">
        <v>280282246</v>
      </c>
      <c r="J241" s="11">
        <v>246192273</v>
      </c>
      <c r="K241" s="11">
        <v>308626989</v>
      </c>
      <c r="L241" s="11">
        <v>243645342</v>
      </c>
      <c r="M241" s="11">
        <v>247491577</v>
      </c>
      <c r="N241" s="11">
        <v>165492691</v>
      </c>
      <c r="O241" s="11"/>
      <c r="P241" s="11">
        <f aca="true" t="shared" si="28" ref="P241:P253">+B241+O241</f>
        <v>2752759677</v>
      </c>
      <c r="Q241" s="10">
        <f>646959890-319164112</f>
        <v>327795778</v>
      </c>
      <c r="R241" s="3">
        <f t="shared" si="26"/>
        <v>748018521</v>
      </c>
      <c r="S241" s="3"/>
      <c r="T241" s="3"/>
      <c r="U241" s="3">
        <f t="shared" si="27"/>
        <v>27.17340446570338</v>
      </c>
    </row>
    <row r="242" spans="1:21" ht="12.75" hidden="1">
      <c r="A242" s="7" t="s">
        <v>5</v>
      </c>
      <c r="B242" s="10">
        <f>+B243+B247+B248+B249</f>
        <v>1867025388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0">
        <f>+O243+O247+O248+O249</f>
        <v>0</v>
      </c>
      <c r="P242" s="11">
        <f t="shared" si="28"/>
        <v>1867025388</v>
      </c>
      <c r="Q242" s="10">
        <f>+Q243+Q247+Q248+Q249</f>
        <v>97985144</v>
      </c>
      <c r="R242" s="3">
        <f t="shared" si="26"/>
        <v>390763094.64</v>
      </c>
      <c r="S242" s="3"/>
      <c r="T242" s="3"/>
      <c r="U242" s="3">
        <f t="shared" si="27"/>
        <v>20.92971510465609</v>
      </c>
    </row>
    <row r="243" spans="1:21" ht="12.75" hidden="1">
      <c r="A243" s="7" t="s">
        <v>29</v>
      </c>
      <c r="B243" s="10">
        <f>SUM(B244:B246)</f>
        <v>1679125388</v>
      </c>
      <c r="C243" s="11">
        <f>SUM(C244:C246)</f>
        <v>0</v>
      </c>
      <c r="D243" s="11">
        <f aca="true" t="shared" si="29" ref="D243:N243">SUM(D244:D246)</f>
        <v>9764370</v>
      </c>
      <c r="E243" s="11">
        <f t="shared" si="29"/>
        <v>1633088</v>
      </c>
      <c r="F243" s="11">
        <f t="shared" si="29"/>
        <v>9527326</v>
      </c>
      <c r="G243" s="11">
        <f t="shared" si="29"/>
        <v>5166613</v>
      </c>
      <c r="H243" s="11">
        <f t="shared" si="29"/>
        <v>8550758</v>
      </c>
      <c r="I243" s="11">
        <f t="shared" si="29"/>
        <v>19667967</v>
      </c>
      <c r="J243" s="11">
        <f t="shared" si="29"/>
        <v>32121947.88</v>
      </c>
      <c r="K243" s="11">
        <f t="shared" si="29"/>
        <v>57803883</v>
      </c>
      <c r="L243" s="11">
        <f t="shared" si="29"/>
        <v>248550137</v>
      </c>
      <c r="M243" s="11">
        <f t="shared" si="29"/>
        <v>56476839</v>
      </c>
      <c r="N243" s="11">
        <f t="shared" si="29"/>
        <v>203635166</v>
      </c>
      <c r="O243" s="10">
        <f>SUM(O244:O246)</f>
        <v>0</v>
      </c>
      <c r="P243" s="11">
        <f t="shared" si="28"/>
        <v>1679125388</v>
      </c>
      <c r="Q243" s="10">
        <f>SUM(Q244:Q246)</f>
        <v>32570562</v>
      </c>
      <c r="R243" s="3">
        <f t="shared" si="26"/>
        <v>265557544</v>
      </c>
      <c r="S243" s="3"/>
      <c r="T243" s="3"/>
      <c r="U243" s="3">
        <f t="shared" si="27"/>
        <v>15.815230113118867</v>
      </c>
    </row>
    <row r="244" spans="1:21" ht="12.75" hidden="1">
      <c r="A244" s="5" t="s">
        <v>30</v>
      </c>
      <c r="B244" s="11">
        <v>939032888</v>
      </c>
      <c r="C244" s="11">
        <v>0</v>
      </c>
      <c r="D244" s="11">
        <v>9764370</v>
      </c>
      <c r="E244" s="11">
        <v>0</v>
      </c>
      <c r="F244" s="11">
        <f>274606+765092</f>
        <v>1039698</v>
      </c>
      <c r="G244" s="11">
        <v>4660304</v>
      </c>
      <c r="H244" s="11">
        <v>7848958</v>
      </c>
      <c r="I244" s="11">
        <v>15343416</v>
      </c>
      <c r="J244" s="11">
        <v>22521927</v>
      </c>
      <c r="K244" s="11">
        <v>33311437</v>
      </c>
      <c r="L244" s="11">
        <f>309295398-94490110</f>
        <v>214805288</v>
      </c>
      <c r="M244" s="11">
        <v>28836508</v>
      </c>
      <c r="N244" s="11">
        <f>98225097-2027734+2337372</f>
        <v>98534735</v>
      </c>
      <c r="O244" s="11"/>
      <c r="P244" s="11">
        <f t="shared" si="28"/>
        <v>939032888</v>
      </c>
      <c r="Q244" s="11">
        <v>0</v>
      </c>
      <c r="R244" s="3">
        <f t="shared" si="26"/>
        <v>226913454</v>
      </c>
      <c r="S244" s="3"/>
      <c r="T244" s="3"/>
      <c r="U244" s="3">
        <f t="shared" si="27"/>
        <v>24.16459070813716</v>
      </c>
    </row>
    <row r="245" spans="1:21" ht="12.75" hidden="1">
      <c r="A245" s="5" t="s">
        <v>31</v>
      </c>
      <c r="B245" s="11">
        <v>724342500</v>
      </c>
      <c r="C245" s="11"/>
      <c r="D245" s="11">
        <v>0</v>
      </c>
      <c r="E245" s="11">
        <v>0</v>
      </c>
      <c r="F245" s="11">
        <v>0</v>
      </c>
      <c r="G245" s="11">
        <v>0</v>
      </c>
      <c r="H245" s="11">
        <v>25090</v>
      </c>
      <c r="I245" s="11">
        <v>946365</v>
      </c>
      <c r="J245" s="11">
        <v>8764131</v>
      </c>
      <c r="K245" s="11">
        <v>21523596</v>
      </c>
      <c r="L245" s="11">
        <v>33159819</v>
      </c>
      <c r="M245" s="11">
        <v>27504331</v>
      </c>
      <c r="N245" s="11">
        <f>101300092+707323</f>
        <v>102007415</v>
      </c>
      <c r="O245" s="11">
        <v>0</v>
      </c>
      <c r="P245" s="11">
        <f t="shared" si="28"/>
        <v>724342500</v>
      </c>
      <c r="Q245" s="11">
        <f>32597431-2744732</f>
        <v>29852699</v>
      </c>
      <c r="R245" s="3">
        <f t="shared" si="26"/>
        <v>32597431</v>
      </c>
      <c r="S245" s="3"/>
      <c r="T245" s="3"/>
      <c r="U245" s="3">
        <f t="shared" si="27"/>
        <v>4.500278666514805</v>
      </c>
    </row>
    <row r="246" spans="1:21" ht="12.75" hidden="1">
      <c r="A246" s="5" t="s">
        <v>32</v>
      </c>
      <c r="B246" s="11">
        <v>15750000</v>
      </c>
      <c r="C246" s="11"/>
      <c r="D246" s="11"/>
      <c r="E246" s="11">
        <v>1633088</v>
      </c>
      <c r="F246" s="11">
        <v>8487628</v>
      </c>
      <c r="G246" s="11">
        <v>506309</v>
      </c>
      <c r="H246" s="11">
        <v>676710</v>
      </c>
      <c r="I246" s="11">
        <v>3378186</v>
      </c>
      <c r="J246" s="11">
        <f>628640+207249.88</f>
        <v>835889.88</v>
      </c>
      <c r="K246" s="11">
        <v>2968850</v>
      </c>
      <c r="L246" s="11">
        <v>585030</v>
      </c>
      <c r="M246" s="11">
        <v>136000</v>
      </c>
      <c r="N246" s="11">
        <f>22300706.88-19207690.88</f>
        <v>3093016</v>
      </c>
      <c r="O246" s="11"/>
      <c r="P246" s="11">
        <f t="shared" si="28"/>
        <v>15750000</v>
      </c>
      <c r="Q246" s="11">
        <f>4474838-1756975</f>
        <v>2717863</v>
      </c>
      <c r="R246" s="3">
        <f t="shared" si="26"/>
        <v>6046659</v>
      </c>
      <c r="S246" s="3"/>
      <c r="T246" s="3"/>
      <c r="U246" s="3">
        <f t="shared" si="27"/>
        <v>38.391485714285714</v>
      </c>
    </row>
    <row r="247" spans="1:21" ht="12.75" hidden="1">
      <c r="A247" s="7" t="s">
        <v>33</v>
      </c>
      <c r="B247" s="10">
        <v>65100000</v>
      </c>
      <c r="C247" s="11">
        <v>426256</v>
      </c>
      <c r="D247" s="11">
        <v>177520</v>
      </c>
      <c r="E247" s="11">
        <v>815304</v>
      </c>
      <c r="F247" s="11">
        <v>1044670</v>
      </c>
      <c r="G247" s="11">
        <v>210000</v>
      </c>
      <c r="H247" s="11">
        <v>497000</v>
      </c>
      <c r="I247" s="11">
        <v>1908400</v>
      </c>
      <c r="J247" s="11">
        <v>2080000</v>
      </c>
      <c r="K247" s="11">
        <v>1960300</v>
      </c>
      <c r="L247" s="11">
        <v>1071750</v>
      </c>
      <c r="M247" s="11">
        <v>486631</v>
      </c>
      <c r="N247" s="11">
        <v>3040000</v>
      </c>
      <c r="O247" s="11"/>
      <c r="P247" s="11">
        <f t="shared" si="28"/>
        <v>65100000</v>
      </c>
      <c r="Q247" s="10">
        <f>19344919-7544443</f>
        <v>11800476</v>
      </c>
      <c r="R247" s="3">
        <f t="shared" si="26"/>
        <v>21958584</v>
      </c>
      <c r="S247" s="3"/>
      <c r="T247" s="3"/>
      <c r="U247" s="3">
        <f t="shared" si="27"/>
        <v>33.73054377880184</v>
      </c>
    </row>
    <row r="248" spans="1:21" ht="12.75" hidden="1">
      <c r="A248" s="7" t="s">
        <v>34</v>
      </c>
      <c r="B248" s="10">
        <v>1000000</v>
      </c>
      <c r="C248" s="11">
        <v>7540000</v>
      </c>
      <c r="D248" s="11"/>
      <c r="E248" s="11"/>
      <c r="F248" s="11"/>
      <c r="G248" s="11"/>
      <c r="H248" s="11"/>
      <c r="I248" s="11">
        <v>294000</v>
      </c>
      <c r="J248" s="11"/>
      <c r="K248" s="11"/>
      <c r="L248" s="11">
        <v>29000</v>
      </c>
      <c r="M248" s="11"/>
      <c r="N248" s="11"/>
      <c r="O248" s="11"/>
      <c r="P248" s="11">
        <f t="shared" si="28"/>
        <v>1000000</v>
      </c>
      <c r="Q248" s="10">
        <v>0</v>
      </c>
      <c r="R248" s="3">
        <f t="shared" si="26"/>
        <v>0</v>
      </c>
      <c r="S248" s="3"/>
      <c r="T248" s="3"/>
      <c r="U248" s="3">
        <f t="shared" si="27"/>
        <v>0</v>
      </c>
    </row>
    <row r="249" spans="1:21" ht="12.75" hidden="1">
      <c r="A249" s="7" t="s">
        <v>35</v>
      </c>
      <c r="B249" s="10">
        <f aca="true" t="shared" si="30" ref="B249:O249">SUM(B250:B250)</f>
        <v>121800000</v>
      </c>
      <c r="C249" s="11">
        <f t="shared" si="30"/>
        <v>4768052</v>
      </c>
      <c r="D249" s="11">
        <f t="shared" si="30"/>
        <v>8290086</v>
      </c>
      <c r="E249" s="11">
        <f t="shared" si="30"/>
        <v>10672897</v>
      </c>
      <c r="F249" s="11">
        <f t="shared" si="30"/>
        <v>13361106</v>
      </c>
      <c r="G249" s="11">
        <f t="shared" si="30"/>
        <v>5435392</v>
      </c>
      <c r="H249" s="11">
        <f t="shared" si="30"/>
        <v>6359364</v>
      </c>
      <c r="I249" s="11">
        <f t="shared" si="30"/>
        <v>17667466</v>
      </c>
      <c r="J249" s="11">
        <f t="shared" si="30"/>
        <v>22629676</v>
      </c>
      <c r="K249" s="11">
        <f t="shared" si="30"/>
        <v>24318846</v>
      </c>
      <c r="L249" s="11">
        <f t="shared" si="30"/>
        <v>14234424</v>
      </c>
      <c r="M249" s="11">
        <f t="shared" si="30"/>
        <v>14378768</v>
      </c>
      <c r="N249" s="11">
        <f t="shared" si="30"/>
        <v>23388888</v>
      </c>
      <c r="O249" s="10">
        <f t="shared" si="30"/>
        <v>0</v>
      </c>
      <c r="P249" s="11">
        <f t="shared" si="28"/>
        <v>121800000</v>
      </c>
      <c r="Q249" s="10">
        <f>SUM(Q250:Q250)</f>
        <v>53614106</v>
      </c>
      <c r="R249" s="3">
        <f t="shared" si="26"/>
        <v>103246966.64</v>
      </c>
      <c r="S249" s="3"/>
      <c r="T249" s="3"/>
      <c r="U249" s="3">
        <f t="shared" si="27"/>
        <v>84.76762449917898</v>
      </c>
    </row>
    <row r="250" spans="1:21" ht="12.75" hidden="1">
      <c r="A250" s="5" t="s">
        <v>36</v>
      </c>
      <c r="B250" s="11">
        <v>121800000</v>
      </c>
      <c r="C250" s="11">
        <v>4768052</v>
      </c>
      <c r="D250" s="11">
        <v>8290086</v>
      </c>
      <c r="E250" s="11">
        <v>10672897</v>
      </c>
      <c r="F250" s="11">
        <v>13361106</v>
      </c>
      <c r="G250" s="11">
        <v>5435392</v>
      </c>
      <c r="H250" s="11">
        <v>6359364</v>
      </c>
      <c r="I250" s="11">
        <v>17667466</v>
      </c>
      <c r="J250" s="11">
        <f>15777671+6852005</f>
        <v>22629676</v>
      </c>
      <c r="K250" s="11">
        <v>24318846</v>
      </c>
      <c r="L250" s="11">
        <v>14234424</v>
      </c>
      <c r="M250" s="11">
        <f>14378768</f>
        <v>14378768</v>
      </c>
      <c r="N250" s="11">
        <f>165504965-142116077</f>
        <v>23388888</v>
      </c>
      <c r="O250" s="11"/>
      <c r="P250" s="11">
        <f t="shared" si="28"/>
        <v>121800000</v>
      </c>
      <c r="Q250" s="11">
        <f>78608817-24994711</f>
        <v>53614106</v>
      </c>
      <c r="R250" s="3">
        <f t="shared" si="26"/>
        <v>103246966.64</v>
      </c>
      <c r="S250" s="3"/>
      <c r="T250" s="3"/>
      <c r="U250" s="3">
        <f t="shared" si="27"/>
        <v>84.76762449917898</v>
      </c>
    </row>
    <row r="251" spans="1:21" ht="12.75" hidden="1">
      <c r="A251" s="7" t="s">
        <v>37</v>
      </c>
      <c r="B251" s="10">
        <v>71925000</v>
      </c>
      <c r="C251" s="11" t="e">
        <f>SUM(#REF!)</f>
        <v>#REF!</v>
      </c>
      <c r="D251" s="11" t="e">
        <f>SUM(#REF!)</f>
        <v>#REF!</v>
      </c>
      <c r="E251" s="11" t="e">
        <f>SUM(#REF!)</f>
        <v>#REF!</v>
      </c>
      <c r="F251" s="11" t="e">
        <f>SUM(#REF!)</f>
        <v>#REF!</v>
      </c>
      <c r="G251" s="11" t="e">
        <f>SUM(#REF!)</f>
        <v>#REF!</v>
      </c>
      <c r="H251" s="11" t="e">
        <f>SUM(#REF!)</f>
        <v>#REF!</v>
      </c>
      <c r="I251" s="11" t="e">
        <f>SUM(#REF!)</f>
        <v>#REF!</v>
      </c>
      <c r="J251" s="11" t="e">
        <f>SUM(#REF!)</f>
        <v>#REF!</v>
      </c>
      <c r="K251" s="11" t="e">
        <f>SUM(#REF!)</f>
        <v>#REF!</v>
      </c>
      <c r="L251" s="11" t="e">
        <f>SUM(#REF!)</f>
        <v>#REF!</v>
      </c>
      <c r="M251" s="11" t="e">
        <f>SUM(#REF!)</f>
        <v>#REF!</v>
      </c>
      <c r="N251" s="11" t="e">
        <f>SUM(#REF!)</f>
        <v>#REF!</v>
      </c>
      <c r="O251" s="10">
        <v>0</v>
      </c>
      <c r="P251" s="11">
        <f t="shared" si="28"/>
        <v>71925000</v>
      </c>
      <c r="Q251" s="11">
        <v>0</v>
      </c>
      <c r="R251" s="3">
        <f t="shared" si="26"/>
        <v>22737502</v>
      </c>
      <c r="S251" s="3"/>
      <c r="T251" s="3"/>
      <c r="U251" s="3">
        <f t="shared" si="27"/>
        <v>31.61279388251651</v>
      </c>
    </row>
    <row r="252" spans="1:21" ht="12.75" hidden="1">
      <c r="A252" s="7" t="s">
        <v>44</v>
      </c>
      <c r="B252" s="10">
        <f>+B253</f>
        <v>0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0">
        <f>+O253</f>
        <v>1309545600</v>
      </c>
      <c r="P252" s="11">
        <f t="shared" si="28"/>
        <v>1309545600</v>
      </c>
      <c r="Q252" s="10">
        <f>+Q253</f>
        <v>0</v>
      </c>
      <c r="R252" s="3">
        <f t="shared" si="26"/>
        <v>56086490</v>
      </c>
      <c r="S252" s="3"/>
      <c r="T252" s="3"/>
      <c r="U252" s="3">
        <f t="shared" si="27"/>
        <v>4.282897059865651</v>
      </c>
    </row>
    <row r="253" spans="1:21" ht="12.75" hidden="1">
      <c r="A253" s="7" t="s">
        <v>45</v>
      </c>
      <c r="B253" s="1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0">
        <f>1230345600+79200000</f>
        <v>1309545600</v>
      </c>
      <c r="P253" s="11">
        <f t="shared" si="28"/>
        <v>1309545600</v>
      </c>
      <c r="Q253" s="10">
        <v>0</v>
      </c>
      <c r="R253" s="3">
        <f t="shared" si="26"/>
        <v>56086490</v>
      </c>
      <c r="S253" s="3"/>
      <c r="T253" s="3"/>
      <c r="U253" s="3">
        <f t="shared" si="27"/>
        <v>4.282897059865651</v>
      </c>
    </row>
    <row r="254" spans="1:21" ht="12.75" hidden="1">
      <c r="A254" s="7"/>
      <c r="B254" s="1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0"/>
      <c r="P254" s="11"/>
      <c r="Q254" s="10">
        <v>0</v>
      </c>
      <c r="R254" s="3">
        <f t="shared" si="26"/>
        <v>0</v>
      </c>
      <c r="S254" s="3"/>
      <c r="T254" s="3"/>
      <c r="U254" s="3"/>
    </row>
    <row r="255" spans="1:21" ht="12.75" hidden="1">
      <c r="A255" s="7" t="s">
        <v>38</v>
      </c>
      <c r="B255" s="10">
        <f>+B256+B257+B258</f>
        <v>1914146055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0">
        <f>+O256+O257+O258</f>
        <v>515409946</v>
      </c>
      <c r="P255" s="11">
        <f>+B255+O255</f>
        <v>2429556001</v>
      </c>
      <c r="Q255" s="10">
        <f>+Q256+Q257+Q258</f>
        <v>915343196</v>
      </c>
      <c r="R255" s="3">
        <f t="shared" si="26"/>
        <v>2218276423.55</v>
      </c>
      <c r="S255" s="3"/>
      <c r="T255" s="3"/>
      <c r="U255" s="3">
        <f>+R255/P255*100</f>
        <v>91.30377824742308</v>
      </c>
    </row>
    <row r="256" spans="1:21" ht="12.75" hidden="1">
      <c r="A256" s="7" t="s">
        <v>6</v>
      </c>
      <c r="B256" s="10">
        <v>70000000</v>
      </c>
      <c r="C256" s="11">
        <v>898886</v>
      </c>
      <c r="D256" s="11">
        <f>4306726+216132</f>
        <v>4522858</v>
      </c>
      <c r="E256" s="11">
        <f>751140+23292827</f>
        <v>24043967</v>
      </c>
      <c r="F256" s="11">
        <v>8452240</v>
      </c>
      <c r="G256" s="11">
        <v>4422172</v>
      </c>
      <c r="H256" s="11">
        <f>7484642+234363</f>
        <v>7719005</v>
      </c>
      <c r="I256" s="11">
        <f>102855+5416914</f>
        <v>5519769</v>
      </c>
      <c r="J256" s="11">
        <f>6098966+444960+3514791+65855</f>
        <v>10124572</v>
      </c>
      <c r="K256" s="11">
        <f>191152+1348022+3219820.01</f>
        <v>4758994.01</v>
      </c>
      <c r="L256" s="11">
        <f>350566+9695840</f>
        <v>10046406</v>
      </c>
      <c r="M256" s="11">
        <f>579536+7833208+436291+345639</f>
        <v>9194674</v>
      </c>
      <c r="N256" s="11">
        <f>112132152.5-89703543.01</f>
        <v>22428609.489999995</v>
      </c>
      <c r="O256" s="11">
        <v>0</v>
      </c>
      <c r="P256" s="11">
        <f>+B256+O256</f>
        <v>70000000</v>
      </c>
      <c r="Q256" s="11">
        <f>91882084-79076395+10</f>
        <v>12805699</v>
      </c>
      <c r="R256" s="3">
        <f t="shared" si="26"/>
        <v>64879051.55</v>
      </c>
      <c r="S256" s="3"/>
      <c r="T256" s="3"/>
      <c r="U256" s="3">
        <f>+R256/P256*100</f>
        <v>92.68435935714285</v>
      </c>
    </row>
    <row r="257" spans="1:21" ht="12.75" hidden="1">
      <c r="A257" s="7" t="s">
        <v>9</v>
      </c>
      <c r="B257" s="10">
        <v>0</v>
      </c>
      <c r="C257" s="11"/>
      <c r="D257" s="11"/>
      <c r="E257" s="11"/>
      <c r="F257" s="11">
        <f>+B257</f>
        <v>0</v>
      </c>
      <c r="G257" s="11"/>
      <c r="H257" s="11"/>
      <c r="I257" s="11"/>
      <c r="J257" s="11"/>
      <c r="K257" s="11"/>
      <c r="L257" s="11"/>
      <c r="M257" s="11"/>
      <c r="N257" s="11"/>
      <c r="O257" s="11">
        <f>+O207</f>
        <v>515409946</v>
      </c>
      <c r="P257" s="11">
        <f>+B257+O257</f>
        <v>515409946</v>
      </c>
      <c r="Q257" s="10">
        <v>888746268</v>
      </c>
      <c r="R257" s="3">
        <f t="shared" si="26"/>
        <v>1404156214</v>
      </c>
      <c r="S257" s="3"/>
      <c r="T257" s="3"/>
      <c r="U257" s="3">
        <f>+R257/P257*100</f>
        <v>272.4348307395682</v>
      </c>
    </row>
    <row r="258" spans="1:21" ht="12.75" hidden="1">
      <c r="A258" s="7" t="s">
        <v>39</v>
      </c>
      <c r="B258" s="10">
        <v>1844146055</v>
      </c>
      <c r="C258" s="11" t="e">
        <f>+#REF!+#REF!</f>
        <v>#REF!</v>
      </c>
      <c r="D258" s="11" t="e">
        <f>+#REF!+#REF!</f>
        <v>#REF!</v>
      </c>
      <c r="E258" s="11" t="e">
        <f>+#REF!+#REF!</f>
        <v>#REF!</v>
      </c>
      <c r="F258" s="11" t="e">
        <f>+#REF!+#REF!</f>
        <v>#REF!</v>
      </c>
      <c r="G258" s="11" t="e">
        <f>+#REF!+#REF!</f>
        <v>#REF!</v>
      </c>
      <c r="H258" s="11" t="e">
        <f>+#REF!+#REF!</f>
        <v>#REF!</v>
      </c>
      <c r="I258" s="11" t="e">
        <f>+#REF!+#REF!</f>
        <v>#REF!</v>
      </c>
      <c r="J258" s="11" t="e">
        <f>+#REF!+#REF!</f>
        <v>#REF!</v>
      </c>
      <c r="K258" s="11" t="e">
        <f>+#REF!+#REF!</f>
        <v>#REF!</v>
      </c>
      <c r="L258" s="11" t="e">
        <f>+#REF!+#REF!</f>
        <v>#REF!</v>
      </c>
      <c r="M258" s="11" t="e">
        <f>+#REF!+#REF!</f>
        <v>#REF!</v>
      </c>
      <c r="N258" s="11" t="e">
        <f>+#REF!+#REF!</f>
        <v>#REF!</v>
      </c>
      <c r="O258" s="10">
        <v>0</v>
      </c>
      <c r="P258" s="11">
        <f>+B258+O258</f>
        <v>1844146055</v>
      </c>
      <c r="Q258" s="11">
        <f>947477930-933686701</f>
        <v>13791229</v>
      </c>
      <c r="R258" s="3">
        <f t="shared" si="26"/>
        <v>749241158</v>
      </c>
      <c r="S258" s="3"/>
      <c r="T258" s="3"/>
      <c r="U258" s="3">
        <f>+R258/P258*100</f>
        <v>40.628081272011826</v>
      </c>
    </row>
    <row r="259" spans="1:21" ht="12.75" hidden="1">
      <c r="A259" s="5"/>
      <c r="B259" s="11"/>
      <c r="C259" s="11"/>
      <c r="D259" s="11"/>
      <c r="E259" s="11" t="s">
        <v>1</v>
      </c>
      <c r="F259" s="11" t="s">
        <v>1</v>
      </c>
      <c r="G259" s="11" t="s">
        <v>1</v>
      </c>
      <c r="H259" s="11" t="s">
        <v>1</v>
      </c>
      <c r="I259" s="11" t="s">
        <v>1</v>
      </c>
      <c r="J259" s="11" t="s">
        <v>1</v>
      </c>
      <c r="K259" s="11" t="s">
        <v>1</v>
      </c>
      <c r="L259" s="11" t="s">
        <v>1</v>
      </c>
      <c r="M259" s="11" t="s">
        <v>1</v>
      </c>
      <c r="N259" s="11" t="s">
        <v>1</v>
      </c>
      <c r="O259" s="11"/>
      <c r="P259" s="11" t="s">
        <v>1</v>
      </c>
      <c r="Q259" s="16" t="s">
        <v>1</v>
      </c>
      <c r="R259" s="3" t="s">
        <v>1</v>
      </c>
      <c r="S259" s="3"/>
      <c r="T259" s="3"/>
      <c r="U259" s="3" t="s">
        <v>1</v>
      </c>
    </row>
    <row r="260" spans="1:21" ht="12.75" hidden="1">
      <c r="A260" s="7" t="s">
        <v>40</v>
      </c>
      <c r="B260" s="10">
        <f>+B233+B255</f>
        <v>10077156120</v>
      </c>
      <c r="C260" s="10" t="e">
        <f>+C236+C241+C243+C247+C248+C249+C251+#REF!+#REF!+C256+C257+C258+#REF!</f>
        <v>#REF!</v>
      </c>
      <c r="D260" s="10" t="e">
        <f>+D236+D241+D243+D247+D248+D249+D251+#REF!+#REF!+D256+D257+D258+#REF!</f>
        <v>#REF!</v>
      </c>
      <c r="E260" s="10" t="e">
        <f>+E236+E241+E243+E247+E248+E249+E251+#REF!+#REF!+E256+E257+E258+#REF!</f>
        <v>#REF!</v>
      </c>
      <c r="F260" s="10" t="e">
        <f>+F236+F241+F243+F247+F248+F249+F251+#REF!+#REF!+F256+F257+F258+#REF!</f>
        <v>#REF!</v>
      </c>
      <c r="G260" s="10" t="e">
        <f>+G236+G241+G243+G247+G248+G249+G251+#REF!+#REF!+G256+G257+G258+#REF!</f>
        <v>#REF!</v>
      </c>
      <c r="H260" s="10" t="e">
        <f>+H236+H241+H243+H247+H248+H249+H251+#REF!+#REF!+H256+H257+H258+#REF!</f>
        <v>#REF!</v>
      </c>
      <c r="I260" s="10" t="e">
        <f>+I236+I241+I243+I247+I248+I249+I251+#REF!+#REF!+I256+I257+I258+#REF!</f>
        <v>#REF!</v>
      </c>
      <c r="J260" s="10" t="e">
        <f>+J236+J241+J243+J247+J248+J249+J251+#REF!+#REF!+J256+J257+J258+#REF!</f>
        <v>#REF!</v>
      </c>
      <c r="K260" s="10" t="e">
        <f>+K236+K241+K243+K247+K248+K249+K251+#REF!+#REF!+K256+K257+K258+#REF!</f>
        <v>#REF!</v>
      </c>
      <c r="L260" s="10" t="e">
        <f>+L236+L241+L243+L247+L248+L249+L251+#REF!+#REF!+L256+L257+L258+#REF!</f>
        <v>#REF!</v>
      </c>
      <c r="M260" s="10" t="e">
        <f>+M236+M241+M243+M247+M248+M249+M251+#REF!+#REF!+M256+M257+M258+#REF!</f>
        <v>#REF!</v>
      </c>
      <c r="N260" s="10" t="e">
        <f>+N236+N241+N243+N247+N248+N249+N251+#REF!+#REF!+N256+N257+N258+#REF!</f>
        <v>#REF!</v>
      </c>
      <c r="O260" s="10">
        <f>+O233+O255</f>
        <v>1824955546</v>
      </c>
      <c r="P260" s="10">
        <f>+P233+P255</f>
        <v>11902111666</v>
      </c>
      <c r="Q260" s="10">
        <f>+Q233+Q255</f>
        <v>1469817439</v>
      </c>
      <c r="R260" s="3">
        <f t="shared" si="26"/>
        <v>4196954868.19</v>
      </c>
      <c r="S260" s="3"/>
      <c r="T260" s="3"/>
      <c r="U260" s="3">
        <f>+R260/P260*100</f>
        <v>35.262270981536595</v>
      </c>
    </row>
    <row r="261" spans="1:21" ht="12.75" hidden="1">
      <c r="A261" s="7" t="s">
        <v>41</v>
      </c>
      <c r="B261" s="11">
        <f>+B211</f>
        <v>1334597240</v>
      </c>
      <c r="O261" s="1">
        <f>150200000+1005600000</f>
        <v>1155800000</v>
      </c>
      <c r="P261" s="1">
        <f>+B261+O261</f>
        <v>2490397240</v>
      </c>
      <c r="Q261" s="1">
        <f>564791544+1155800000-390707686</f>
        <v>1329883858</v>
      </c>
      <c r="R261" s="3">
        <f t="shared" si="26"/>
        <v>1826260904</v>
      </c>
      <c r="S261" s="3"/>
      <c r="T261" s="3"/>
      <c r="U261" s="3">
        <f>+R261/P261*100</f>
        <v>73.3321124303848</v>
      </c>
    </row>
    <row r="262" spans="2:21" ht="12.75" hidden="1">
      <c r="B262" s="1" t="s">
        <v>1</v>
      </c>
      <c r="O262" s="1" t="s">
        <v>1</v>
      </c>
      <c r="Q262" s="16" t="s">
        <v>1</v>
      </c>
      <c r="R262" s="3" t="s">
        <v>1</v>
      </c>
      <c r="S262" s="3"/>
      <c r="T262" s="3"/>
      <c r="U262" s="3" t="s">
        <v>1</v>
      </c>
    </row>
    <row r="263" spans="1:21" ht="12.75" hidden="1">
      <c r="A263" s="7" t="s">
        <v>42</v>
      </c>
      <c r="B263" s="16">
        <f>+B260+B261</f>
        <v>11411753360</v>
      </c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16">
        <f>+O260+O261</f>
        <v>2980755546</v>
      </c>
      <c r="P263" s="16">
        <f>+P260+P261</f>
        <v>14392508906</v>
      </c>
      <c r="Q263" s="16">
        <f>+Q260+Q261</f>
        <v>2799701297</v>
      </c>
      <c r="R263" s="3">
        <f t="shared" si="26"/>
        <v>6023215772.190001</v>
      </c>
      <c r="S263" s="3"/>
      <c r="T263" s="3"/>
      <c r="U263" s="3">
        <f>+R263/P263*100</f>
        <v>41.84965812096195</v>
      </c>
    </row>
    <row r="264" spans="15:17" ht="12.75" hidden="1">
      <c r="O264" t="s">
        <v>1</v>
      </c>
      <c r="P264" s="1" t="s">
        <v>1</v>
      </c>
      <c r="Q264" s="1"/>
    </row>
    <row r="265" ht="12.75" hidden="1">
      <c r="O265" t="s">
        <v>1</v>
      </c>
    </row>
    <row r="266" ht="12.75" hidden="1">
      <c r="O266" t="s">
        <v>1</v>
      </c>
    </row>
    <row r="267" ht="12.75" hidden="1"/>
    <row r="268" ht="12.75" hidden="1">
      <c r="O268" t="s">
        <v>1</v>
      </c>
    </row>
    <row r="269" ht="12.75" hidden="1"/>
    <row r="270" spans="1:21" ht="12.75" hidden="1">
      <c r="A270" s="47" t="s">
        <v>1</v>
      </c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</row>
    <row r="271" spans="1:21" ht="12.75" hidden="1">
      <c r="A271" s="47" t="s">
        <v>1</v>
      </c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</row>
    <row r="272" ht="12.75" hidden="1">
      <c r="U272" s="18" t="s">
        <v>1</v>
      </c>
    </row>
    <row r="273" spans="1:21" ht="12.75" hidden="1">
      <c r="A273" s="47" t="s">
        <v>0</v>
      </c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</row>
    <row r="274" spans="1:21" ht="12.75" hidden="1">
      <c r="A274" s="47" t="s">
        <v>89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</row>
    <row r="275" ht="12.75" hidden="1">
      <c r="U275" s="18" t="s">
        <v>1</v>
      </c>
    </row>
    <row r="276" spans="1:21" ht="38.25" hidden="1">
      <c r="A276" s="5"/>
      <c r="B276" s="6" t="s">
        <v>10</v>
      </c>
      <c r="C276" s="48" t="s">
        <v>11</v>
      </c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5"/>
      <c r="O276" s="4" t="s">
        <v>2</v>
      </c>
      <c r="P276" s="6" t="s">
        <v>12</v>
      </c>
      <c r="Q276" s="6" t="s">
        <v>85</v>
      </c>
      <c r="R276" s="8" t="s">
        <v>86</v>
      </c>
      <c r="S276" s="8" t="s">
        <v>51</v>
      </c>
      <c r="T276" s="8" t="s">
        <v>87</v>
      </c>
      <c r="U276" s="8" t="s">
        <v>46</v>
      </c>
    </row>
    <row r="277" spans="1:21" ht="12.75" hidden="1">
      <c r="A277" s="4" t="s">
        <v>7</v>
      </c>
      <c r="B277" s="4" t="s">
        <v>1</v>
      </c>
      <c r="C277" s="4" t="s">
        <v>13</v>
      </c>
      <c r="D277" s="4" t="s">
        <v>14</v>
      </c>
      <c r="E277" s="4" t="s">
        <v>15</v>
      </c>
      <c r="F277" s="4" t="s">
        <v>16</v>
      </c>
      <c r="G277" s="4" t="s">
        <v>8</v>
      </c>
      <c r="H277" s="4" t="s">
        <v>17</v>
      </c>
      <c r="I277" s="4" t="s">
        <v>18</v>
      </c>
      <c r="J277" s="4" t="s">
        <v>19</v>
      </c>
      <c r="K277" s="4" t="s">
        <v>20</v>
      </c>
      <c r="L277" s="4" t="s">
        <v>21</v>
      </c>
      <c r="M277" s="4" t="s">
        <v>22</v>
      </c>
      <c r="N277" s="4" t="s">
        <v>23</v>
      </c>
      <c r="O277" s="4"/>
      <c r="P277" s="4"/>
      <c r="Q277" s="4"/>
      <c r="R277" s="4"/>
      <c r="S277" s="4"/>
      <c r="T277" s="4"/>
      <c r="U277" s="4"/>
    </row>
    <row r="278" spans="1:21" ht="12.75" hidden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3" t="s">
        <v>1</v>
      </c>
      <c r="S278" s="3"/>
      <c r="T278" s="3" t="s">
        <v>1</v>
      </c>
      <c r="U278" s="3"/>
    </row>
    <row r="279" spans="1:22" ht="12.75" hidden="1">
      <c r="A279" s="9" t="s">
        <v>24</v>
      </c>
      <c r="B279" s="3">
        <f>+B281+B286</f>
        <v>8163010065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3">
        <f>+O281+O286</f>
        <v>1455685988</v>
      </c>
      <c r="P279" s="3">
        <f>+P281+P286</f>
        <v>9618696053</v>
      </c>
      <c r="Q279" s="3">
        <f>+Q281+Q286</f>
        <v>703197339.05</v>
      </c>
      <c r="R279" s="3">
        <f>+R233+Q279</f>
        <v>2681875783.6899996</v>
      </c>
      <c r="S279" s="3">
        <f>+S281+S286</f>
        <v>2691375928</v>
      </c>
      <c r="T279" s="3">
        <f>+T281+T286</f>
        <v>5373251711.69</v>
      </c>
      <c r="U279" s="3">
        <f>+T279/P279*100</f>
        <v>55.86257931514659</v>
      </c>
      <c r="V279" s="1"/>
    </row>
    <row r="280" spans="1:22" ht="12.75" hidden="1">
      <c r="A280" s="9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3" t="e">
        <f aca="true" t="shared" si="31" ref="R280:R299">+R234+Q280</f>
        <v>#VALUE!</v>
      </c>
      <c r="S280" s="4"/>
      <c r="T280" s="3" t="e">
        <f aca="true" t="shared" si="32" ref="T280:T313">+R280+S280</f>
        <v>#VALUE!</v>
      </c>
      <c r="U280" s="3"/>
      <c r="V280" s="1"/>
    </row>
    <row r="281" spans="1:22" ht="12.75" hidden="1">
      <c r="A281" s="7" t="s">
        <v>3</v>
      </c>
      <c r="B281" s="10">
        <f>+B282</f>
        <v>3471300000</v>
      </c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10">
        <f>+O282</f>
        <v>0</v>
      </c>
      <c r="P281" s="11">
        <f>+B281+O281</f>
        <v>3471300000</v>
      </c>
      <c r="Q281" s="10">
        <f>+Q282</f>
        <v>344600974.05</v>
      </c>
      <c r="R281" s="3">
        <f t="shared" si="31"/>
        <v>1161760301.05</v>
      </c>
      <c r="S281" s="10">
        <f>+S282</f>
        <v>0</v>
      </c>
      <c r="T281" s="10">
        <f>+T282</f>
        <v>1161760301.05</v>
      </c>
      <c r="U281" s="3">
        <f aca="true" t="shared" si="33" ref="U281:U313">+T281/P281*100</f>
        <v>33.46758566099155</v>
      </c>
      <c r="V281" s="1"/>
    </row>
    <row r="282" spans="1:22" ht="12.75" hidden="1">
      <c r="A282" s="7" t="s">
        <v>25</v>
      </c>
      <c r="B282" s="10">
        <f>+B283+B284</f>
        <v>3471300000</v>
      </c>
      <c r="C282" s="11"/>
      <c r="D282" s="11">
        <v>177520</v>
      </c>
      <c r="E282" s="11"/>
      <c r="F282" s="11">
        <v>165006728</v>
      </c>
      <c r="G282" s="11">
        <v>1414514385</v>
      </c>
      <c r="H282" s="11">
        <v>4948458</v>
      </c>
      <c r="I282" s="11">
        <v>573117327</v>
      </c>
      <c r="J282" s="11">
        <f>139033811-14448995.38</f>
        <v>124584815.62</v>
      </c>
      <c r="K282" s="11">
        <v>93361900</v>
      </c>
      <c r="L282" s="11">
        <v>25720312</v>
      </c>
      <c r="M282" s="11">
        <v>242733948</v>
      </c>
      <c r="N282" s="11">
        <f>65086606+14219504.38-900076.38-6867260+6687809</f>
        <v>78226583</v>
      </c>
      <c r="O282" s="10">
        <f>+O283+O284</f>
        <v>0</v>
      </c>
      <c r="P282" s="11">
        <f>+B282+O282</f>
        <v>3471300000</v>
      </c>
      <c r="Q282" s="10">
        <f>+Q283+Q284</f>
        <v>344600974.05</v>
      </c>
      <c r="R282" s="3">
        <f t="shared" si="31"/>
        <v>1161760301.05</v>
      </c>
      <c r="S282" s="10">
        <f>+S283+S284</f>
        <v>0</v>
      </c>
      <c r="T282" s="10">
        <f>+T283+T284</f>
        <v>1161760301.05</v>
      </c>
      <c r="U282" s="3">
        <f t="shared" si="33"/>
        <v>33.46758566099155</v>
      </c>
      <c r="V282" s="1"/>
    </row>
    <row r="283" spans="1:22" ht="12.75" hidden="1">
      <c r="A283" s="5" t="s">
        <v>26</v>
      </c>
      <c r="B283" s="11">
        <v>2106300000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>
        <f>+B283+O283</f>
        <v>2106300000</v>
      </c>
      <c r="Q283" s="11">
        <v>0</v>
      </c>
      <c r="R283" s="3">
        <f t="shared" si="31"/>
        <v>0</v>
      </c>
      <c r="S283" s="11">
        <v>0</v>
      </c>
      <c r="T283" s="3">
        <f t="shared" si="32"/>
        <v>0</v>
      </c>
      <c r="U283" s="3">
        <f t="shared" si="33"/>
        <v>0</v>
      </c>
      <c r="V283" s="1"/>
    </row>
    <row r="284" spans="1:22" ht="12.75" hidden="1">
      <c r="A284" s="5" t="s">
        <v>27</v>
      </c>
      <c r="B284" s="11">
        <v>1365000000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>
        <f>+B284+O284</f>
        <v>1365000000</v>
      </c>
      <c r="Q284" s="11">
        <f>+'[1]JULIO08'!$B$108+4788352</f>
        <v>344600974.05</v>
      </c>
      <c r="R284" s="3">
        <f t="shared" si="31"/>
        <v>1161760301.05</v>
      </c>
      <c r="S284" s="11">
        <v>0</v>
      </c>
      <c r="T284" s="3">
        <f t="shared" si="32"/>
        <v>1161760301.05</v>
      </c>
      <c r="U284" s="3">
        <f t="shared" si="33"/>
        <v>85.11064476556777</v>
      </c>
      <c r="V284" s="1"/>
    </row>
    <row r="285" spans="1:22" ht="12.75" hidden="1">
      <c r="A285" s="7"/>
      <c r="B285" s="1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 t="s">
        <v>1</v>
      </c>
      <c r="Q285" s="10"/>
      <c r="R285" s="3" t="s">
        <v>1</v>
      </c>
      <c r="S285" s="10"/>
      <c r="T285" s="3" t="s">
        <v>1</v>
      </c>
      <c r="U285" s="3" t="s">
        <v>1</v>
      </c>
      <c r="V285" s="1"/>
    </row>
    <row r="286" spans="1:23" ht="12.75" hidden="1">
      <c r="A286" s="7" t="s">
        <v>4</v>
      </c>
      <c r="B286" s="10">
        <f>+B287+B288+B297+B298</f>
        <v>4691710065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0">
        <f>+O287+O288+O297+O298</f>
        <v>1455685988</v>
      </c>
      <c r="P286" s="10">
        <f>+P287+P288+P297+P298</f>
        <v>6147396053</v>
      </c>
      <c r="Q286" s="10">
        <f>+Q287+Q288+Q297+Q298</f>
        <v>358596365</v>
      </c>
      <c r="R286" s="3">
        <f>+R240+Q286</f>
        <v>1520115482.6399999</v>
      </c>
      <c r="S286" s="10">
        <f>+S287+S288+S297+S298</f>
        <v>2691375928</v>
      </c>
      <c r="T286" s="3">
        <f>+R286+S286</f>
        <v>4211491410.64</v>
      </c>
      <c r="U286" s="3">
        <f t="shared" si="33"/>
        <v>68.50854206123167</v>
      </c>
      <c r="V286" s="1"/>
      <c r="W286" t="s">
        <v>1</v>
      </c>
    </row>
    <row r="287" spans="1:23" ht="12.75" hidden="1">
      <c r="A287" s="7" t="s">
        <v>28</v>
      </c>
      <c r="B287" s="10">
        <v>2752759677</v>
      </c>
      <c r="C287" s="11">
        <v>0</v>
      </c>
      <c r="D287" s="11">
        <v>0</v>
      </c>
      <c r="E287" s="11">
        <v>0</v>
      </c>
      <c r="F287" s="11">
        <v>196495882</v>
      </c>
      <c r="G287" s="11">
        <v>164927418</v>
      </c>
      <c r="H287" s="11">
        <v>262941303</v>
      </c>
      <c r="I287" s="11">
        <v>280282246</v>
      </c>
      <c r="J287" s="11">
        <v>246192273</v>
      </c>
      <c r="K287" s="11">
        <v>308626989</v>
      </c>
      <c r="L287" s="11">
        <v>243645342</v>
      </c>
      <c r="M287" s="11">
        <v>247491577</v>
      </c>
      <c r="N287" s="11">
        <v>165492691</v>
      </c>
      <c r="O287" s="11"/>
      <c r="P287" s="11">
        <f>+B287+O287</f>
        <v>2752759677</v>
      </c>
      <c r="Q287" s="10">
        <v>258425895</v>
      </c>
      <c r="R287" s="3">
        <v>905385785</v>
      </c>
      <c r="S287" s="10">
        <f>1841075725-R287+300000000</f>
        <v>1235689940</v>
      </c>
      <c r="T287" s="3">
        <f>+R287+S287</f>
        <v>2141075725</v>
      </c>
      <c r="U287" s="3">
        <f t="shared" si="33"/>
        <v>77.77924614666607</v>
      </c>
      <c r="V287" s="1" t="s">
        <v>1</v>
      </c>
      <c r="W287" s="1" t="s">
        <v>1</v>
      </c>
    </row>
    <row r="288" spans="1:23" ht="12.75" hidden="1">
      <c r="A288" s="7" t="s">
        <v>5</v>
      </c>
      <c r="B288" s="10">
        <f>+B289+B293+B294+B295</f>
        <v>1867025388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0">
        <f>+O289+O293+O294+O295</f>
        <v>0</v>
      </c>
      <c r="P288" s="11">
        <f aca="true" t="shared" si="34" ref="P288:P299">+B288+O288</f>
        <v>1867025388</v>
      </c>
      <c r="Q288" s="10">
        <f>+Q289+Q293+Q294+Q295</f>
        <v>96833274</v>
      </c>
      <c r="R288" s="3">
        <f>+R242+Q288</f>
        <v>487596368.64</v>
      </c>
      <c r="S288" s="10">
        <f>+S289+S293+S294+S295</f>
        <v>0</v>
      </c>
      <c r="T288" s="3">
        <f>+R288+S288</f>
        <v>487596368.64</v>
      </c>
      <c r="U288" s="3">
        <f t="shared" si="33"/>
        <v>26.116215225242563</v>
      </c>
      <c r="V288" s="1" t="s">
        <v>1</v>
      </c>
      <c r="W288" s="1" t="s">
        <v>52</v>
      </c>
    </row>
    <row r="289" spans="1:23" ht="12.75" hidden="1">
      <c r="A289" s="7" t="s">
        <v>29</v>
      </c>
      <c r="B289" s="10">
        <f>SUM(B290:B292)</f>
        <v>1679125388</v>
      </c>
      <c r="C289" s="11">
        <f>SUM(C290:C292)</f>
        <v>0</v>
      </c>
      <c r="D289" s="11">
        <f aca="true" t="shared" si="35" ref="D289:N289">SUM(D290:D292)</f>
        <v>9764370</v>
      </c>
      <c r="E289" s="11">
        <f t="shared" si="35"/>
        <v>1633088</v>
      </c>
      <c r="F289" s="11">
        <f t="shared" si="35"/>
        <v>9527326</v>
      </c>
      <c r="G289" s="11">
        <f t="shared" si="35"/>
        <v>5166613</v>
      </c>
      <c r="H289" s="11">
        <f t="shared" si="35"/>
        <v>8550758</v>
      </c>
      <c r="I289" s="11">
        <f t="shared" si="35"/>
        <v>19667967</v>
      </c>
      <c r="J289" s="11">
        <f t="shared" si="35"/>
        <v>32121947.88</v>
      </c>
      <c r="K289" s="11">
        <f t="shared" si="35"/>
        <v>57803883</v>
      </c>
      <c r="L289" s="11">
        <f t="shared" si="35"/>
        <v>248550137</v>
      </c>
      <c r="M289" s="11">
        <f t="shared" si="35"/>
        <v>56476839</v>
      </c>
      <c r="N289" s="11">
        <f t="shared" si="35"/>
        <v>203635166</v>
      </c>
      <c r="O289" s="10">
        <f>SUM(O290:O292)</f>
        <v>0</v>
      </c>
      <c r="P289" s="11">
        <f t="shared" si="34"/>
        <v>1679125388</v>
      </c>
      <c r="Q289" s="10">
        <f>SUM(Q290:Q292)</f>
        <v>91241645</v>
      </c>
      <c r="R289" s="3">
        <f>+R243+Q289</f>
        <v>356799189</v>
      </c>
      <c r="S289" s="10">
        <f>SUM(S290:S292)</f>
        <v>0</v>
      </c>
      <c r="T289" s="3">
        <f t="shared" si="32"/>
        <v>356799189</v>
      </c>
      <c r="U289" s="3">
        <f t="shared" si="33"/>
        <v>21.249109301181026</v>
      </c>
      <c r="V289" s="1"/>
      <c r="W289" s="1" t="s">
        <v>1</v>
      </c>
    </row>
    <row r="290" spans="1:22" ht="12.75" hidden="1">
      <c r="A290" s="5" t="s">
        <v>30</v>
      </c>
      <c r="B290" s="11">
        <v>939032888</v>
      </c>
      <c r="C290" s="11">
        <v>0</v>
      </c>
      <c r="D290" s="11">
        <v>9764370</v>
      </c>
      <c r="E290" s="11">
        <v>0</v>
      </c>
      <c r="F290" s="11">
        <f>274606+765092</f>
        <v>1039698</v>
      </c>
      <c r="G290" s="11">
        <v>4660304</v>
      </c>
      <c r="H290" s="11">
        <v>7848958</v>
      </c>
      <c r="I290" s="11">
        <v>15343416</v>
      </c>
      <c r="J290" s="11">
        <v>22521927</v>
      </c>
      <c r="K290" s="11">
        <v>33311437</v>
      </c>
      <c r="L290" s="11">
        <f>309295398-94490110</f>
        <v>214805288</v>
      </c>
      <c r="M290" s="11">
        <v>28836508</v>
      </c>
      <c r="N290" s="11">
        <f>98225097-2027734+2337372</f>
        <v>98534735</v>
      </c>
      <c r="O290" s="11"/>
      <c r="P290" s="11">
        <f t="shared" si="34"/>
        <v>939032888</v>
      </c>
      <c r="Q290" s="11">
        <f>+'[1]JULIO08'!$B$64+21845564</f>
        <v>29345714</v>
      </c>
      <c r="R290" s="3">
        <f t="shared" si="31"/>
        <v>256259168</v>
      </c>
      <c r="S290" s="11">
        <v>0</v>
      </c>
      <c r="T290" s="3">
        <f t="shared" si="32"/>
        <v>256259168</v>
      </c>
      <c r="U290" s="3">
        <f t="shared" si="33"/>
        <v>27.289690411780338</v>
      </c>
      <c r="V290" s="1"/>
    </row>
    <row r="291" spans="1:22" ht="12.75" hidden="1">
      <c r="A291" s="5" t="s">
        <v>31</v>
      </c>
      <c r="B291" s="11">
        <v>724342500</v>
      </c>
      <c r="C291" s="11"/>
      <c r="D291" s="11">
        <v>0</v>
      </c>
      <c r="E291" s="11">
        <v>0</v>
      </c>
      <c r="F291" s="11">
        <v>0</v>
      </c>
      <c r="G291" s="11">
        <v>0</v>
      </c>
      <c r="H291" s="11">
        <v>25090</v>
      </c>
      <c r="I291" s="11">
        <v>946365</v>
      </c>
      <c r="J291" s="11">
        <v>8764131</v>
      </c>
      <c r="K291" s="11">
        <v>21523596</v>
      </c>
      <c r="L291" s="11">
        <v>33159819</v>
      </c>
      <c r="M291" s="11">
        <v>27504331</v>
      </c>
      <c r="N291" s="11">
        <f>101300092+707323</f>
        <v>102007415</v>
      </c>
      <c r="O291" s="11">
        <v>0</v>
      </c>
      <c r="P291" s="11">
        <f t="shared" si="34"/>
        <v>724342500</v>
      </c>
      <c r="Q291" s="11">
        <f>2133120+61013895-32597431+20419315+108270+102303+93834+33876+16938+109617+0+337802+15206+17670+22616+21547+56300+289894+14436+14436+14436+14436+776418+343645+1212550+1704541+59014+476140-435832+925964-844160+1762350-1603715+63300+15398+350120+606312+453960+64+83+311817+70881+1517107+101533+85144-70612+16842+33876+33876+28872+103073+23080+85862+33684+86616+33876+33876+28872+103939+139725+19649+25407+253323-230657+26838-8622+38496+15790-7706+33498-16348+6872+13762+6496+5774-134280</f>
        <v>60968899</v>
      </c>
      <c r="R291" s="3">
        <f t="shared" si="31"/>
        <v>93566330</v>
      </c>
      <c r="S291" s="11">
        <v>0</v>
      </c>
      <c r="T291" s="3">
        <f t="shared" si="32"/>
        <v>93566330</v>
      </c>
      <c r="U291" s="3">
        <f t="shared" si="33"/>
        <v>12.917415449183226</v>
      </c>
      <c r="V291" s="1" t="s">
        <v>1</v>
      </c>
    </row>
    <row r="292" spans="1:22" ht="12.75" hidden="1">
      <c r="A292" s="5" t="s">
        <v>32</v>
      </c>
      <c r="B292" s="11">
        <v>15750000</v>
      </c>
      <c r="C292" s="11"/>
      <c r="D292" s="11"/>
      <c r="E292" s="11">
        <v>1633088</v>
      </c>
      <c r="F292" s="11">
        <v>8487628</v>
      </c>
      <c r="G292" s="11">
        <v>506309</v>
      </c>
      <c r="H292" s="11">
        <v>676710</v>
      </c>
      <c r="I292" s="11">
        <v>3378186</v>
      </c>
      <c r="J292" s="11">
        <f>628640+207249.88</f>
        <v>835889.88</v>
      </c>
      <c r="K292" s="11">
        <v>2968850</v>
      </c>
      <c r="L292" s="11">
        <v>585030</v>
      </c>
      <c r="M292" s="11">
        <v>136000</v>
      </c>
      <c r="N292" s="11">
        <f>22300706.88-19207690.88</f>
        <v>3093016</v>
      </c>
      <c r="O292" s="11"/>
      <c r="P292" s="11">
        <f t="shared" si="34"/>
        <v>15750000</v>
      </c>
      <c r="Q292" s="11">
        <f>+'[1]JULIO08'!$B$77+153820+156511+35716+80375+153820</f>
        <v>927032</v>
      </c>
      <c r="R292" s="3">
        <f t="shared" si="31"/>
        <v>6973691</v>
      </c>
      <c r="S292" s="11">
        <v>0</v>
      </c>
      <c r="T292" s="3">
        <f t="shared" si="32"/>
        <v>6973691</v>
      </c>
      <c r="U292" s="3">
        <f t="shared" si="33"/>
        <v>44.27740317460317</v>
      </c>
      <c r="V292" s="1"/>
    </row>
    <row r="293" spans="1:22" ht="12.75" hidden="1">
      <c r="A293" s="7" t="s">
        <v>33</v>
      </c>
      <c r="B293" s="10">
        <v>65100000</v>
      </c>
      <c r="C293" s="11">
        <v>426256</v>
      </c>
      <c r="D293" s="11">
        <v>177520</v>
      </c>
      <c r="E293" s="11">
        <v>815304</v>
      </c>
      <c r="F293" s="11">
        <v>1044670</v>
      </c>
      <c r="G293" s="11">
        <v>210000</v>
      </c>
      <c r="H293" s="11">
        <v>497000</v>
      </c>
      <c r="I293" s="11">
        <v>1908400</v>
      </c>
      <c r="J293" s="11">
        <v>2080000</v>
      </c>
      <c r="K293" s="11">
        <v>1960300</v>
      </c>
      <c r="L293" s="11">
        <v>1071750</v>
      </c>
      <c r="M293" s="11">
        <v>486631</v>
      </c>
      <c r="N293" s="11">
        <v>3040000</v>
      </c>
      <c r="O293" s="11"/>
      <c r="P293" s="11">
        <f t="shared" si="34"/>
        <v>65100000</v>
      </c>
      <c r="Q293" s="10">
        <f>+'[1]JULIO08'!$B$12+1846000+332262+140735</f>
        <v>3703497</v>
      </c>
      <c r="R293" s="3">
        <f t="shared" si="31"/>
        <v>25662081</v>
      </c>
      <c r="S293" s="10">
        <v>0</v>
      </c>
      <c r="T293" s="3">
        <f t="shared" si="32"/>
        <v>25662081</v>
      </c>
      <c r="U293" s="3">
        <f t="shared" si="33"/>
        <v>39.419479262672816</v>
      </c>
      <c r="V293" s="1"/>
    </row>
    <row r="294" spans="1:22" ht="12.75" hidden="1">
      <c r="A294" s="7" t="s">
        <v>34</v>
      </c>
      <c r="B294" s="10">
        <v>1000000</v>
      </c>
      <c r="C294" s="11">
        <v>7540000</v>
      </c>
      <c r="D294" s="11"/>
      <c r="E294" s="11"/>
      <c r="F294" s="11"/>
      <c r="G294" s="11"/>
      <c r="H294" s="11"/>
      <c r="I294" s="11">
        <v>294000</v>
      </c>
      <c r="J294" s="11"/>
      <c r="K294" s="11"/>
      <c r="L294" s="11">
        <v>29000</v>
      </c>
      <c r="M294" s="11"/>
      <c r="N294" s="11"/>
      <c r="O294" s="11"/>
      <c r="P294" s="11">
        <f t="shared" si="34"/>
        <v>1000000</v>
      </c>
      <c r="Q294" s="10">
        <v>0</v>
      </c>
      <c r="R294" s="3">
        <f t="shared" si="31"/>
        <v>0</v>
      </c>
      <c r="S294" s="10">
        <v>0</v>
      </c>
      <c r="T294" s="3">
        <f t="shared" si="32"/>
        <v>0</v>
      </c>
      <c r="U294" s="3">
        <f t="shared" si="33"/>
        <v>0</v>
      </c>
      <c r="V294" s="1"/>
    </row>
    <row r="295" spans="1:22" ht="12.75" hidden="1">
      <c r="A295" s="7" t="s">
        <v>35</v>
      </c>
      <c r="B295" s="10">
        <f aca="true" t="shared" si="36" ref="B295:O295">SUM(B296:B296)</f>
        <v>121800000</v>
      </c>
      <c r="C295" s="11">
        <f t="shared" si="36"/>
        <v>4768052</v>
      </c>
      <c r="D295" s="11">
        <f t="shared" si="36"/>
        <v>8290086</v>
      </c>
      <c r="E295" s="11">
        <f t="shared" si="36"/>
        <v>10672897</v>
      </c>
      <c r="F295" s="11">
        <f t="shared" si="36"/>
        <v>13361106</v>
      </c>
      <c r="G295" s="11">
        <f t="shared" si="36"/>
        <v>5435392</v>
      </c>
      <c r="H295" s="11">
        <f t="shared" si="36"/>
        <v>6359364</v>
      </c>
      <c r="I295" s="11">
        <f t="shared" si="36"/>
        <v>17667466</v>
      </c>
      <c r="J295" s="11">
        <f t="shared" si="36"/>
        <v>22629676</v>
      </c>
      <c r="K295" s="11">
        <f t="shared" si="36"/>
        <v>24318846</v>
      </c>
      <c r="L295" s="11">
        <f t="shared" si="36"/>
        <v>14234424</v>
      </c>
      <c r="M295" s="11">
        <f t="shared" si="36"/>
        <v>14378768</v>
      </c>
      <c r="N295" s="11">
        <f t="shared" si="36"/>
        <v>23388888</v>
      </c>
      <c r="O295" s="10">
        <f t="shared" si="36"/>
        <v>0</v>
      </c>
      <c r="P295" s="11">
        <f t="shared" si="34"/>
        <v>121800000</v>
      </c>
      <c r="Q295" s="10">
        <f>SUM(Q296:Q296)</f>
        <v>1888132</v>
      </c>
      <c r="R295" s="3">
        <f t="shared" si="31"/>
        <v>105135098.64</v>
      </c>
      <c r="S295" s="10">
        <f>SUM(S296:S296)</f>
        <v>0</v>
      </c>
      <c r="T295" s="3">
        <f t="shared" si="32"/>
        <v>105135098.64</v>
      </c>
      <c r="U295" s="3">
        <f t="shared" si="33"/>
        <v>86.31781497536946</v>
      </c>
      <c r="V295" s="1"/>
    </row>
    <row r="296" spans="1:22" ht="12.75" hidden="1">
      <c r="A296" s="5" t="s">
        <v>36</v>
      </c>
      <c r="B296" s="11">
        <v>121800000</v>
      </c>
      <c r="C296" s="11">
        <v>4768052</v>
      </c>
      <c r="D296" s="11">
        <v>8290086</v>
      </c>
      <c r="E296" s="11">
        <v>10672897</v>
      </c>
      <c r="F296" s="11">
        <v>13361106</v>
      </c>
      <c r="G296" s="11">
        <v>5435392</v>
      </c>
      <c r="H296" s="11">
        <v>6359364</v>
      </c>
      <c r="I296" s="11">
        <v>17667466</v>
      </c>
      <c r="J296" s="11">
        <f>15777671+6852005</f>
        <v>22629676</v>
      </c>
      <c r="K296" s="11">
        <v>24318846</v>
      </c>
      <c r="L296" s="11">
        <v>14234424</v>
      </c>
      <c r="M296" s="11">
        <f>14378768</f>
        <v>14378768</v>
      </c>
      <c r="N296" s="11">
        <f>165504965-142116077</f>
        <v>23388888</v>
      </c>
      <c r="O296" s="11"/>
      <c r="P296" s="11">
        <f t="shared" si="34"/>
        <v>121800000</v>
      </c>
      <c r="Q296" s="11">
        <f>+'[1]JULIO08'!$B$90+255724+22300+22300+22300+22300+22300+22300+255724+22300+255724+304030+22300-22300+22300+304030</f>
        <v>1888132</v>
      </c>
      <c r="R296" s="3">
        <f t="shared" si="31"/>
        <v>105135098.64</v>
      </c>
      <c r="S296" s="11">
        <v>0</v>
      </c>
      <c r="T296" s="3">
        <f t="shared" si="32"/>
        <v>105135098.64</v>
      </c>
      <c r="U296" s="3">
        <f t="shared" si="33"/>
        <v>86.31781497536946</v>
      </c>
      <c r="V296" s="1"/>
    </row>
    <row r="297" spans="1:22" ht="12.75" hidden="1">
      <c r="A297" s="7" t="s">
        <v>37</v>
      </c>
      <c r="B297" s="10">
        <v>71925000</v>
      </c>
      <c r="C297" s="11" t="e">
        <f>SUM(#REF!)</f>
        <v>#REF!</v>
      </c>
      <c r="D297" s="11" t="e">
        <f>SUM(#REF!)</f>
        <v>#REF!</v>
      </c>
      <c r="E297" s="11" t="e">
        <f>SUM(#REF!)</f>
        <v>#REF!</v>
      </c>
      <c r="F297" s="11" t="e">
        <f>SUM(#REF!)</f>
        <v>#REF!</v>
      </c>
      <c r="G297" s="11" t="e">
        <f>SUM(#REF!)</f>
        <v>#REF!</v>
      </c>
      <c r="H297" s="11" t="e">
        <f>SUM(#REF!)</f>
        <v>#REF!</v>
      </c>
      <c r="I297" s="11" t="e">
        <f>SUM(#REF!)</f>
        <v>#REF!</v>
      </c>
      <c r="J297" s="11" t="e">
        <f>SUM(#REF!)</f>
        <v>#REF!</v>
      </c>
      <c r="K297" s="11" t="e">
        <f>SUM(#REF!)</f>
        <v>#REF!</v>
      </c>
      <c r="L297" s="11" t="e">
        <f>SUM(#REF!)</f>
        <v>#REF!</v>
      </c>
      <c r="M297" s="11" t="e">
        <f>SUM(#REF!)</f>
        <v>#REF!</v>
      </c>
      <c r="N297" s="11" t="e">
        <f>SUM(#REF!)</f>
        <v>#REF!</v>
      </c>
      <c r="O297" s="10">
        <v>0</v>
      </c>
      <c r="P297" s="11">
        <f t="shared" si="34"/>
        <v>71925000</v>
      </c>
      <c r="Q297" s="11">
        <f>+'[1]JULIO08'!$B$20+'[1]JULIO08'!$B$35+'[1]JULIO08'!$C$130+54000+72000+54000+72000+40262+72000+36539+607+43575+7262+224893-147517+72000+0+108000+54000+72000+13000</f>
        <v>3337196</v>
      </c>
      <c r="R297" s="3">
        <f t="shared" si="31"/>
        <v>26074698</v>
      </c>
      <c r="S297" s="11">
        <v>0</v>
      </c>
      <c r="T297" s="3">
        <f t="shared" si="32"/>
        <v>26074698</v>
      </c>
      <c r="U297" s="3">
        <f t="shared" si="33"/>
        <v>36.252621480709074</v>
      </c>
      <c r="V297" s="1"/>
    </row>
    <row r="298" spans="1:22" ht="12.75" hidden="1">
      <c r="A298" s="7" t="s">
        <v>44</v>
      </c>
      <c r="B298" s="10">
        <f>+B299</f>
        <v>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0">
        <f>+O299+O300+O301</f>
        <v>1455685988</v>
      </c>
      <c r="P298" s="11">
        <f t="shared" si="34"/>
        <v>1455685988</v>
      </c>
      <c r="Q298" s="10">
        <f>+Q299</f>
        <v>0</v>
      </c>
      <c r="R298" s="3">
        <f t="shared" si="31"/>
        <v>56086490</v>
      </c>
      <c r="S298" s="10">
        <f>+S299+S300+S301</f>
        <v>1455685988</v>
      </c>
      <c r="T298" s="3">
        <f t="shared" si="32"/>
        <v>1511772478</v>
      </c>
      <c r="U298" s="3">
        <f t="shared" si="33"/>
        <v>103.85292504443618</v>
      </c>
      <c r="V298" s="1"/>
    </row>
    <row r="299" spans="1:22" ht="12.75" hidden="1">
      <c r="A299" s="7" t="s">
        <v>45</v>
      </c>
      <c r="B299" s="10">
        <v>0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0">
        <f>1230345600</f>
        <v>1230345600</v>
      </c>
      <c r="P299" s="11">
        <f t="shared" si="34"/>
        <v>1230345600</v>
      </c>
      <c r="Q299" s="10">
        <v>0</v>
      </c>
      <c r="R299" s="3">
        <f t="shared" si="31"/>
        <v>56086490</v>
      </c>
      <c r="S299" s="10">
        <f>+O299</f>
        <v>1230345600</v>
      </c>
      <c r="T299" s="3">
        <f t="shared" si="32"/>
        <v>1286432090</v>
      </c>
      <c r="U299" s="3">
        <f t="shared" si="33"/>
        <v>104.55859638137449</v>
      </c>
      <c r="V299" s="1"/>
    </row>
    <row r="300" spans="1:22" ht="12.75" hidden="1">
      <c r="A300" s="7" t="s">
        <v>48</v>
      </c>
      <c r="B300" s="10">
        <v>0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0">
        <v>79200000</v>
      </c>
      <c r="P300" s="11">
        <f>+B300+O300</f>
        <v>79200000</v>
      </c>
      <c r="Q300" s="10">
        <v>0</v>
      </c>
      <c r="R300" s="3">
        <f>+Q300</f>
        <v>0</v>
      </c>
      <c r="S300" s="10">
        <f>+O300</f>
        <v>79200000</v>
      </c>
      <c r="T300" s="3">
        <f t="shared" si="32"/>
        <v>79200000</v>
      </c>
      <c r="U300" s="3">
        <f t="shared" si="33"/>
        <v>100</v>
      </c>
      <c r="V300" s="1"/>
    </row>
    <row r="301" spans="1:22" ht="12.75" hidden="1">
      <c r="A301" s="7" t="s">
        <v>88</v>
      </c>
      <c r="B301" s="10">
        <v>0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0">
        <f>+'[2]analisis'!$B$16</f>
        <v>146140388</v>
      </c>
      <c r="P301" s="11">
        <f>+B301+O301</f>
        <v>146140388</v>
      </c>
      <c r="Q301" s="10">
        <v>0</v>
      </c>
      <c r="R301" s="3">
        <v>0</v>
      </c>
      <c r="S301" s="10">
        <f>+O301</f>
        <v>146140388</v>
      </c>
      <c r="T301" s="3">
        <f t="shared" si="32"/>
        <v>146140388</v>
      </c>
      <c r="U301" s="3">
        <f t="shared" si="33"/>
        <v>100</v>
      </c>
      <c r="V301" s="1"/>
    </row>
    <row r="302" spans="1:22" ht="12.75" hidden="1">
      <c r="A302" s="7" t="s">
        <v>38</v>
      </c>
      <c r="B302" s="10">
        <f>+B303+B304+B305</f>
        <v>1914146055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0">
        <f>+O303+O304+O305</f>
        <v>515409946</v>
      </c>
      <c r="P302" s="11">
        <f>+B302+O302</f>
        <v>2429556001</v>
      </c>
      <c r="Q302" s="10">
        <f>+Q303+Q304+Q305</f>
        <v>855254341</v>
      </c>
      <c r="R302" s="3">
        <f>+R255+Q302</f>
        <v>3073530764.55</v>
      </c>
      <c r="S302" s="10">
        <f>+S303+S304+S305</f>
        <v>0</v>
      </c>
      <c r="T302" s="3">
        <f>+R302+S302</f>
        <v>3073530764.55</v>
      </c>
      <c r="U302" s="3">
        <f t="shared" si="33"/>
        <v>126.50586211163446</v>
      </c>
      <c r="V302" s="1"/>
    </row>
    <row r="303" spans="1:22" ht="12.75" hidden="1">
      <c r="A303" s="7" t="s">
        <v>6</v>
      </c>
      <c r="B303" s="10">
        <v>70000000</v>
      </c>
      <c r="C303" s="11">
        <v>898886</v>
      </c>
      <c r="D303" s="11">
        <f>4306726+216132</f>
        <v>4522858</v>
      </c>
      <c r="E303" s="11">
        <f>751140+23292827</f>
        <v>24043967</v>
      </c>
      <c r="F303" s="11">
        <v>8452240</v>
      </c>
      <c r="G303" s="11">
        <v>4422172</v>
      </c>
      <c r="H303" s="11">
        <f>7484642+234363</f>
        <v>7719005</v>
      </c>
      <c r="I303" s="11">
        <f>102855+5416914</f>
        <v>5519769</v>
      </c>
      <c r="J303" s="11">
        <f>6098966+444960+3514791+65855</f>
        <v>10124572</v>
      </c>
      <c r="K303" s="11">
        <f>191152+1348022+3219820.01</f>
        <v>4758994.01</v>
      </c>
      <c r="L303" s="11">
        <f>350566+9695840</f>
        <v>10046406</v>
      </c>
      <c r="M303" s="11">
        <f>579536+7833208+436291+345639</f>
        <v>9194674</v>
      </c>
      <c r="N303" s="11">
        <f>112132152.5-89703543.01</f>
        <v>22428609.489999995</v>
      </c>
      <c r="O303" s="11">
        <v>0</v>
      </c>
      <c r="P303" s="11">
        <f>+B303+O303</f>
        <v>70000000</v>
      </c>
      <c r="Q303" s="11">
        <f>+'[1]JULIO08'!$B$73+917652+162538+93125+21664+33211</f>
        <v>4453600</v>
      </c>
      <c r="R303" s="3">
        <f>+R256+Q303</f>
        <v>69332651.55</v>
      </c>
      <c r="S303" s="11">
        <v>0</v>
      </c>
      <c r="T303" s="3">
        <f t="shared" si="32"/>
        <v>69332651.55</v>
      </c>
      <c r="U303" s="3">
        <f t="shared" si="33"/>
        <v>99.04664507142856</v>
      </c>
      <c r="V303" s="1"/>
    </row>
    <row r="304" spans="1:22" ht="12.75" hidden="1">
      <c r="A304" s="7" t="s">
        <v>9</v>
      </c>
      <c r="B304" s="10">
        <v>0</v>
      </c>
      <c r="C304" s="11"/>
      <c r="D304" s="11"/>
      <c r="E304" s="11"/>
      <c r="F304" s="11">
        <f>+B304</f>
        <v>0</v>
      </c>
      <c r="G304" s="11"/>
      <c r="H304" s="11"/>
      <c r="I304" s="11"/>
      <c r="J304" s="11"/>
      <c r="K304" s="11"/>
      <c r="L304" s="11"/>
      <c r="M304" s="11"/>
      <c r="N304" s="11"/>
      <c r="O304" s="11">
        <f>+O257</f>
        <v>515409946</v>
      </c>
      <c r="P304" s="11">
        <f>+B304+O304</f>
        <v>515409946</v>
      </c>
      <c r="Q304" s="10">
        <f>1580402339-888746268</f>
        <v>691656071</v>
      </c>
      <c r="R304" s="3">
        <f>+R257+Q304</f>
        <v>2095812285</v>
      </c>
      <c r="S304" s="10">
        <v>0</v>
      </c>
      <c r="T304" s="3">
        <f t="shared" si="32"/>
        <v>2095812285</v>
      </c>
      <c r="U304" s="3">
        <f t="shared" si="33"/>
        <v>406.6301594032491</v>
      </c>
      <c r="V304" s="1"/>
    </row>
    <row r="305" spans="1:22" ht="12.75" hidden="1">
      <c r="A305" s="7" t="s">
        <v>39</v>
      </c>
      <c r="B305" s="10">
        <f>+B306+B307</f>
        <v>1844146055</v>
      </c>
      <c r="C305" s="11" t="e">
        <f>+#REF!+#REF!</f>
        <v>#REF!</v>
      </c>
      <c r="D305" s="11" t="e">
        <f>+#REF!+#REF!</f>
        <v>#REF!</v>
      </c>
      <c r="E305" s="11" t="e">
        <f>+#REF!+#REF!</f>
        <v>#REF!</v>
      </c>
      <c r="F305" s="11" t="e">
        <f>+#REF!+#REF!</f>
        <v>#REF!</v>
      </c>
      <c r="G305" s="11" t="e">
        <f>+#REF!+#REF!</f>
        <v>#REF!</v>
      </c>
      <c r="H305" s="11" t="e">
        <f>+#REF!+#REF!</f>
        <v>#REF!</v>
      </c>
      <c r="I305" s="11" t="e">
        <f>+#REF!+#REF!</f>
        <v>#REF!</v>
      </c>
      <c r="J305" s="11" t="e">
        <f>+#REF!+#REF!</f>
        <v>#REF!</v>
      </c>
      <c r="K305" s="11" t="e">
        <f>+#REF!+#REF!</f>
        <v>#REF!</v>
      </c>
      <c r="L305" s="11" t="e">
        <f>+#REF!+#REF!</f>
        <v>#REF!</v>
      </c>
      <c r="M305" s="11" t="e">
        <f>+#REF!+#REF!</f>
        <v>#REF!</v>
      </c>
      <c r="N305" s="11" t="e">
        <f>+#REF!+#REF!</f>
        <v>#REF!</v>
      </c>
      <c r="O305" s="10">
        <f>+O306+O307</f>
        <v>0</v>
      </c>
      <c r="P305" s="10">
        <f>+P306+P307</f>
        <v>1844146055</v>
      </c>
      <c r="Q305" s="11">
        <f>+Q306+Q307</f>
        <v>159144670</v>
      </c>
      <c r="R305" s="3">
        <f>+R306+R307</f>
        <v>1106622600</v>
      </c>
      <c r="S305" s="11">
        <v>0</v>
      </c>
      <c r="T305" s="3">
        <f t="shared" si="32"/>
        <v>1106622600</v>
      </c>
      <c r="U305" s="3">
        <f t="shared" si="33"/>
        <v>60.007318671947594</v>
      </c>
      <c r="V305" s="1"/>
    </row>
    <row r="306" spans="1:22" ht="12.75" hidden="1">
      <c r="A306" s="7" t="s">
        <v>31</v>
      </c>
      <c r="B306" s="10">
        <v>614433831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0">
        <v>0</v>
      </c>
      <c r="P306" s="10">
        <v>614433831</v>
      </c>
      <c r="Q306" s="11">
        <f>123376633+230657+8622+7706+58780+90324+53658+16348+6550+5466+36530+391522+25697300</f>
        <v>149980096</v>
      </c>
      <c r="R306" s="3">
        <f>75743956+Q306</f>
        <v>225724052</v>
      </c>
      <c r="S306" s="11">
        <v>0</v>
      </c>
      <c r="T306" s="3">
        <f t="shared" si="32"/>
        <v>225724052</v>
      </c>
      <c r="U306" s="3">
        <f t="shared" si="33"/>
        <v>36.73691789279096</v>
      </c>
      <c r="V306" s="1" t="s">
        <v>1</v>
      </c>
    </row>
    <row r="307" spans="1:22" ht="12.75" hidden="1">
      <c r="A307" s="7" t="s">
        <v>30</v>
      </c>
      <c r="B307" s="10">
        <v>1229712224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0">
        <v>0</v>
      </c>
      <c r="P307" s="10">
        <v>1229712224</v>
      </c>
      <c r="Q307" s="11">
        <f>+'[1]JULIO08'!$C$64+7500100</f>
        <v>9164574</v>
      </c>
      <c r="R307" s="3">
        <f>871733974+Q307</f>
        <v>880898548</v>
      </c>
      <c r="S307" s="11">
        <v>0</v>
      </c>
      <c r="T307" s="3">
        <f t="shared" si="32"/>
        <v>880898548</v>
      </c>
      <c r="U307" s="3">
        <f t="shared" si="33"/>
        <v>71.63452804710836</v>
      </c>
      <c r="V307" s="1"/>
    </row>
    <row r="308" spans="1:22" ht="12.75" hidden="1">
      <c r="A308" s="7"/>
      <c r="B308" s="1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0"/>
      <c r="P308" s="11" t="s">
        <v>1</v>
      </c>
      <c r="Q308" s="11"/>
      <c r="R308" s="3"/>
      <c r="S308" s="11"/>
      <c r="T308" s="3" t="s">
        <v>1</v>
      </c>
      <c r="U308" s="3" t="s">
        <v>1</v>
      </c>
      <c r="V308" s="1"/>
    </row>
    <row r="309" spans="1:22" ht="12.75" hidden="1">
      <c r="A309" s="5"/>
      <c r="B309" s="11"/>
      <c r="C309" s="11"/>
      <c r="D309" s="11"/>
      <c r="E309" s="11" t="s">
        <v>1</v>
      </c>
      <c r="F309" s="11" t="s">
        <v>1</v>
      </c>
      <c r="G309" s="11" t="s">
        <v>1</v>
      </c>
      <c r="H309" s="11" t="s">
        <v>1</v>
      </c>
      <c r="I309" s="11" t="s">
        <v>1</v>
      </c>
      <c r="J309" s="11" t="s">
        <v>1</v>
      </c>
      <c r="K309" s="11" t="s">
        <v>1</v>
      </c>
      <c r="L309" s="11" t="s">
        <v>1</v>
      </c>
      <c r="M309" s="11" t="s">
        <v>1</v>
      </c>
      <c r="N309" s="11" t="s">
        <v>1</v>
      </c>
      <c r="O309" s="11"/>
      <c r="P309" s="11" t="s">
        <v>1</v>
      </c>
      <c r="Q309" s="16" t="s">
        <v>1</v>
      </c>
      <c r="R309" s="3" t="s">
        <v>1</v>
      </c>
      <c r="S309" s="16" t="s">
        <v>1</v>
      </c>
      <c r="T309" s="3" t="s">
        <v>1</v>
      </c>
      <c r="U309" s="3" t="s">
        <v>1</v>
      </c>
      <c r="V309" s="1"/>
    </row>
    <row r="310" spans="1:22" ht="12.75" hidden="1">
      <c r="A310" s="7" t="s">
        <v>40</v>
      </c>
      <c r="B310" s="10">
        <f>+B279+B302</f>
        <v>10077156120</v>
      </c>
      <c r="C310" s="10" t="e">
        <f>+C282+C287+C289+C293+C294+C295+C297+#REF!+#REF!+C303+C304+C305+#REF!</f>
        <v>#REF!</v>
      </c>
      <c r="D310" s="10" t="e">
        <f>+D282+D287+D289+D293+D294+D295+D297+#REF!+#REF!+D303+D304+D305+#REF!</f>
        <v>#REF!</v>
      </c>
      <c r="E310" s="10" t="e">
        <f>+E282+E287+E289+E293+E294+E295+E297+#REF!+#REF!+E303+E304+E305+#REF!</f>
        <v>#REF!</v>
      </c>
      <c r="F310" s="10" t="e">
        <f>+F282+F287+F289+F293+F294+F295+F297+#REF!+#REF!+F303+F304+F305+#REF!</f>
        <v>#REF!</v>
      </c>
      <c r="G310" s="10" t="e">
        <f>+G282+G287+G289+G293+G294+G295+G297+#REF!+#REF!+G303+G304+G305+#REF!</f>
        <v>#REF!</v>
      </c>
      <c r="H310" s="10" t="e">
        <f>+H282+H287+H289+H293+H294+H295+H297+#REF!+#REF!+H303+H304+H305+#REF!</f>
        <v>#REF!</v>
      </c>
      <c r="I310" s="10" t="e">
        <f>+I282+I287+I289+I293+I294+I295+I297+#REF!+#REF!+I303+I304+I305+#REF!</f>
        <v>#REF!</v>
      </c>
      <c r="J310" s="10" t="e">
        <f>+J282+J287+J289+J293+J294+J295+J297+#REF!+#REF!+J303+J304+J305+#REF!</f>
        <v>#REF!</v>
      </c>
      <c r="K310" s="10" t="e">
        <f>+K282+K287+K289+K293+K294+K295+K297+#REF!+#REF!+K303+K304+K305+#REF!</f>
        <v>#REF!</v>
      </c>
      <c r="L310" s="10" t="e">
        <f>+L282+L287+L289+L293+L294+L295+L297+#REF!+#REF!+L303+L304+L305+#REF!</f>
        <v>#REF!</v>
      </c>
      <c r="M310" s="10" t="e">
        <f>+M282+M287+M289+M293+M294+M295+M297+#REF!+#REF!+M303+M304+M305+#REF!</f>
        <v>#REF!</v>
      </c>
      <c r="N310" s="10" t="e">
        <f>+N282+N287+N289+N293+N294+N295+N297+#REF!+#REF!+N303+N304+N305+#REF!</f>
        <v>#REF!</v>
      </c>
      <c r="O310" s="10">
        <f>+O279+O302</f>
        <v>1971095934</v>
      </c>
      <c r="P310" s="10">
        <f>+P279+P302</f>
        <v>12048252054</v>
      </c>
      <c r="Q310" s="10">
        <f>+Q279+Q302</f>
        <v>1558451680.05</v>
      </c>
      <c r="R310" s="3">
        <f>+R260+Q310</f>
        <v>5755406548.24</v>
      </c>
      <c r="S310" s="10">
        <f>+S279+S302</f>
        <v>2691375928</v>
      </c>
      <c r="T310" s="3">
        <f t="shared" si="32"/>
        <v>8446782476.24</v>
      </c>
      <c r="U310" s="3">
        <f t="shared" si="33"/>
        <v>70.107949587888</v>
      </c>
      <c r="V310" s="1"/>
    </row>
    <row r="311" spans="1:22" ht="12.75" hidden="1">
      <c r="A311" s="7" t="s">
        <v>41</v>
      </c>
      <c r="B311" s="11">
        <v>1291923756</v>
      </c>
      <c r="O311" s="1">
        <f>150200000+1005600000+150549000</f>
        <v>1306349000</v>
      </c>
      <c r="P311" s="1">
        <f>+B311+O311</f>
        <v>2598272756</v>
      </c>
      <c r="Q311" s="1">
        <f>60267767+1681399+30000000</f>
        <v>91949166</v>
      </c>
      <c r="R311" s="3">
        <f>+R261+Q311</f>
        <v>1918210070</v>
      </c>
      <c r="S311" s="1">
        <v>0</v>
      </c>
      <c r="T311" s="3">
        <f t="shared" si="32"/>
        <v>1918210070</v>
      </c>
      <c r="U311" s="3">
        <f t="shared" si="33"/>
        <v>73.82635504953892</v>
      </c>
      <c r="V311" s="1"/>
    </row>
    <row r="312" spans="2:22" ht="12.75" hidden="1">
      <c r="B312" s="1" t="s">
        <v>1</v>
      </c>
      <c r="O312" s="1" t="s">
        <v>1</v>
      </c>
      <c r="Q312" s="16" t="s">
        <v>1</v>
      </c>
      <c r="R312" s="3" t="s">
        <v>1</v>
      </c>
      <c r="S312" s="16" t="s">
        <v>1</v>
      </c>
      <c r="T312" s="3" t="s">
        <v>1</v>
      </c>
      <c r="U312" s="3" t="s">
        <v>1</v>
      </c>
      <c r="V312" s="1"/>
    </row>
    <row r="313" spans="1:22" ht="12.75" hidden="1">
      <c r="A313" s="7" t="s">
        <v>42</v>
      </c>
      <c r="B313" s="16">
        <f>+B310+B311</f>
        <v>11369079876</v>
      </c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16">
        <f>+O310+O311</f>
        <v>3277444934</v>
      </c>
      <c r="P313" s="16">
        <f>+P310+P311</f>
        <v>14646524810</v>
      </c>
      <c r="Q313" s="16">
        <f>+Q310+Q311</f>
        <v>1650400846.05</v>
      </c>
      <c r="R313" s="3">
        <f>+R263+Q313</f>
        <v>7673616618.240001</v>
      </c>
      <c r="S313" s="16">
        <f>+S310+S311</f>
        <v>2691375928</v>
      </c>
      <c r="T313" s="3">
        <f t="shared" si="32"/>
        <v>10364992546.240002</v>
      </c>
      <c r="U313" s="3">
        <f t="shared" si="33"/>
        <v>70.76758945004649</v>
      </c>
      <c r="V313" s="1"/>
    </row>
    <row r="314" spans="16:20" ht="12.75" hidden="1">
      <c r="P314" s="1" t="s">
        <v>1</v>
      </c>
      <c r="Q314" s="1"/>
      <c r="R314" s="1" t="s">
        <v>1</v>
      </c>
      <c r="T314" s="1" t="s">
        <v>1</v>
      </c>
    </row>
    <row r="315" spans="17:20" ht="12.75" hidden="1">
      <c r="Q315" t="s">
        <v>1</v>
      </c>
      <c r="T315" t="s">
        <v>1</v>
      </c>
    </row>
    <row r="316" spans="17:20" ht="12.75" hidden="1">
      <c r="Q316" t="s">
        <v>1</v>
      </c>
      <c r="R316" s="1" t="s">
        <v>1</v>
      </c>
      <c r="S316" s="1"/>
      <c r="T316" s="1"/>
    </row>
    <row r="317" spans="2:17" ht="12.75" hidden="1">
      <c r="B317" t="s">
        <v>1</v>
      </c>
      <c r="Q317" t="s">
        <v>1</v>
      </c>
    </row>
    <row r="318" spans="2:17" ht="12.75" hidden="1">
      <c r="B318" t="s">
        <v>1</v>
      </c>
      <c r="Q318" t="s">
        <v>1</v>
      </c>
    </row>
    <row r="319" spans="2:17" ht="12.75" hidden="1">
      <c r="B319" t="s">
        <v>1</v>
      </c>
      <c r="Q319" t="s">
        <v>1</v>
      </c>
    </row>
    <row r="320" ht="12.75" hidden="1">
      <c r="Q320" s="1" t="s">
        <v>52</v>
      </c>
    </row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spans="1:21" ht="12.75" hidden="1">
      <c r="A507" s="47" t="s">
        <v>0</v>
      </c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</row>
    <row r="508" spans="1:21" ht="12.75" hidden="1">
      <c r="A508" s="47" t="s">
        <v>47</v>
      </c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</row>
    <row r="509" ht="12.75" hidden="1">
      <c r="U509" s="18">
        <v>39600</v>
      </c>
    </row>
    <row r="510" spans="1:21" ht="25.5" hidden="1">
      <c r="A510" s="5"/>
      <c r="B510" s="6" t="s">
        <v>10</v>
      </c>
      <c r="C510" s="48" t="s">
        <v>11</v>
      </c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5"/>
      <c r="O510" s="4" t="s">
        <v>2</v>
      </c>
      <c r="P510" s="6" t="s">
        <v>12</v>
      </c>
      <c r="Q510" s="6"/>
      <c r="R510" s="8" t="s">
        <v>43</v>
      </c>
      <c r="S510" s="8"/>
      <c r="T510" s="8"/>
      <c r="U510" s="8" t="s">
        <v>46</v>
      </c>
    </row>
    <row r="511" spans="1:21" ht="12.75" hidden="1">
      <c r="A511" s="4" t="s">
        <v>7</v>
      </c>
      <c r="B511" s="4" t="s">
        <v>1</v>
      </c>
      <c r="C511" s="4" t="s">
        <v>13</v>
      </c>
      <c r="D511" s="4" t="s">
        <v>14</v>
      </c>
      <c r="E511" s="4" t="s">
        <v>15</v>
      </c>
      <c r="F511" s="4" t="s">
        <v>16</v>
      </c>
      <c r="G511" s="4" t="s">
        <v>8</v>
      </c>
      <c r="H511" s="4" t="s">
        <v>17</v>
      </c>
      <c r="I511" s="4" t="s">
        <v>18</v>
      </c>
      <c r="J511" s="4" t="s">
        <v>19</v>
      </c>
      <c r="K511" s="4" t="s">
        <v>20</v>
      </c>
      <c r="L511" s="4" t="s">
        <v>21</v>
      </c>
      <c r="M511" s="4" t="s">
        <v>22</v>
      </c>
      <c r="N511" s="4" t="s">
        <v>23</v>
      </c>
      <c r="O511" s="4"/>
      <c r="P511" s="4"/>
      <c r="Q511" s="4"/>
      <c r="R511" s="4"/>
      <c r="S511" s="4"/>
      <c r="T511" s="4"/>
      <c r="U511" s="4"/>
    </row>
    <row r="512" spans="1:21" ht="12.75" hidden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3"/>
      <c r="S512" s="3"/>
      <c r="T512" s="3"/>
      <c r="U512" s="3"/>
    </row>
    <row r="513" spans="1:21" ht="25.5" hidden="1">
      <c r="A513" s="5"/>
      <c r="B513" s="6" t="s">
        <v>10</v>
      </c>
      <c r="C513" s="48" t="s">
        <v>11</v>
      </c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5"/>
      <c r="O513" s="4" t="s">
        <v>2</v>
      </c>
      <c r="P513" s="6" t="s">
        <v>12</v>
      </c>
      <c r="Q513" s="6"/>
      <c r="R513" s="8" t="s">
        <v>43</v>
      </c>
      <c r="S513" s="8"/>
      <c r="T513" s="8"/>
      <c r="U513" s="8" t="s">
        <v>46</v>
      </c>
    </row>
    <row r="514" spans="1:21" ht="12.75" hidden="1">
      <c r="A514" s="4" t="s">
        <v>7</v>
      </c>
      <c r="B514" s="4" t="s">
        <v>1</v>
      </c>
      <c r="C514" s="4" t="s">
        <v>13</v>
      </c>
      <c r="D514" s="4" t="s">
        <v>14</v>
      </c>
      <c r="E514" s="4" t="s">
        <v>15</v>
      </c>
      <c r="F514" s="4" t="s">
        <v>16</v>
      </c>
      <c r="G514" s="4" t="s">
        <v>8</v>
      </c>
      <c r="H514" s="4" t="s">
        <v>17</v>
      </c>
      <c r="I514" s="4" t="s">
        <v>18</v>
      </c>
      <c r="J514" s="4" t="s">
        <v>19</v>
      </c>
      <c r="K514" s="4" t="s">
        <v>20</v>
      </c>
      <c r="L514" s="4" t="s">
        <v>21</v>
      </c>
      <c r="M514" s="4" t="s">
        <v>22</v>
      </c>
      <c r="N514" s="4" t="s">
        <v>23</v>
      </c>
      <c r="O514" s="4"/>
      <c r="P514" s="4"/>
      <c r="Q514" s="3" t="s">
        <v>1</v>
      </c>
      <c r="R514" s="4"/>
      <c r="S514" s="4"/>
      <c r="T514" s="4"/>
      <c r="U514" s="4"/>
    </row>
    <row r="515" spans="1:21" ht="12.75" hidden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3"/>
      <c r="S515" s="3"/>
      <c r="T515" s="3"/>
      <c r="U515" s="3"/>
    </row>
    <row r="516" spans="1:21" ht="12.75" hidden="1">
      <c r="A516" s="9" t="s">
        <v>24</v>
      </c>
      <c r="B516" s="3">
        <f>+B518+B523</f>
        <v>8163010065</v>
      </c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>
        <f>+O518+O523</f>
        <v>1309545600</v>
      </c>
      <c r="P516" s="3">
        <f>+P518+P523</f>
        <v>9472555665</v>
      </c>
      <c r="Q516" s="3">
        <f>+Q518+Q523</f>
        <v>554474243</v>
      </c>
      <c r="R516" s="3">
        <f>+R466+Q516</f>
        <v>554474243</v>
      </c>
      <c r="S516" s="3"/>
      <c r="T516" s="3"/>
      <c r="U516" s="3">
        <f>+R516/P516*100</f>
        <v>5.8534809676412705</v>
      </c>
    </row>
    <row r="517" spans="1:21" ht="12.75" hidden="1">
      <c r="A517" s="9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3">
        <f aca="true" t="shared" si="37" ref="R517:R546">+R467+Q517</f>
        <v>0</v>
      </c>
      <c r="S517" s="3"/>
      <c r="T517" s="3"/>
      <c r="U517" s="3"/>
    </row>
    <row r="518" spans="1:21" ht="12.75" hidden="1">
      <c r="A518" s="7" t="s">
        <v>3</v>
      </c>
      <c r="B518" s="10">
        <f>+B519</f>
        <v>3471300000</v>
      </c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10">
        <f>+O519</f>
        <v>0</v>
      </c>
      <c r="P518" s="11">
        <f>+B518+O518</f>
        <v>3471300000</v>
      </c>
      <c r="Q518" s="10">
        <f>+Q519</f>
        <v>128693321</v>
      </c>
      <c r="R518" s="3">
        <f t="shared" si="37"/>
        <v>128693321</v>
      </c>
      <c r="S518" s="3"/>
      <c r="T518" s="3"/>
      <c r="U518" s="3">
        <f>+R518/P518*100</f>
        <v>3.7073523175755483</v>
      </c>
    </row>
    <row r="519" spans="1:21" ht="12.75" hidden="1">
      <c r="A519" s="7" t="s">
        <v>25</v>
      </c>
      <c r="B519" s="10">
        <f>+B520+B521</f>
        <v>3471300000</v>
      </c>
      <c r="C519" s="11"/>
      <c r="D519" s="11">
        <v>177520</v>
      </c>
      <c r="E519" s="11"/>
      <c r="F519" s="11">
        <v>165006728</v>
      </c>
      <c r="G519" s="11">
        <v>1414514385</v>
      </c>
      <c r="H519" s="11">
        <v>4948458</v>
      </c>
      <c r="I519" s="11">
        <v>573117327</v>
      </c>
      <c r="J519" s="11">
        <f>139033811-14448995.38</f>
        <v>124584815.62</v>
      </c>
      <c r="K519" s="11">
        <v>93361900</v>
      </c>
      <c r="L519" s="11">
        <v>25720312</v>
      </c>
      <c r="M519" s="11">
        <v>242733948</v>
      </c>
      <c r="N519" s="11">
        <f>65086606+14219504.38-900076.38-6867260+6687809</f>
        <v>78226583</v>
      </c>
      <c r="O519" s="10">
        <f>+O520+O521</f>
        <v>0</v>
      </c>
      <c r="P519" s="11">
        <f>+B519+O519</f>
        <v>3471300000</v>
      </c>
      <c r="Q519" s="10">
        <f>+Q520+Q521</f>
        <v>128693321</v>
      </c>
      <c r="R519" s="3">
        <f t="shared" si="37"/>
        <v>128693321</v>
      </c>
      <c r="S519" s="3"/>
      <c r="T519" s="3"/>
      <c r="U519" s="3">
        <f>+R519/P519*100</f>
        <v>3.7073523175755483</v>
      </c>
    </row>
    <row r="520" spans="1:21" ht="12.75" hidden="1">
      <c r="A520" s="5" t="s">
        <v>26</v>
      </c>
      <c r="B520" s="11">
        <v>2106300000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>
        <f>+B520+O520</f>
        <v>2106300000</v>
      </c>
      <c r="Q520" s="11">
        <v>0</v>
      </c>
      <c r="R520" s="3">
        <f t="shared" si="37"/>
        <v>0</v>
      </c>
      <c r="S520" s="3"/>
      <c r="T520" s="3"/>
      <c r="U520" s="3">
        <f>+R520/P520*100</f>
        <v>0</v>
      </c>
    </row>
    <row r="521" spans="1:21" ht="12.75" hidden="1">
      <c r="A521" s="5" t="s">
        <v>27</v>
      </c>
      <c r="B521" s="11">
        <v>1365000000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>
        <f>+B521+O521</f>
        <v>1365000000</v>
      </c>
      <c r="Q521" s="11">
        <v>128693321</v>
      </c>
      <c r="R521" s="3">
        <f t="shared" si="37"/>
        <v>128693321</v>
      </c>
      <c r="S521" s="3"/>
      <c r="T521" s="3"/>
      <c r="U521" s="3">
        <f>+R521/P521*100</f>
        <v>9.428082124542124</v>
      </c>
    </row>
    <row r="522" spans="1:21" ht="12.75" hidden="1">
      <c r="A522" s="7"/>
      <c r="B522" s="10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 t="s">
        <v>1</v>
      </c>
      <c r="Q522" s="10"/>
      <c r="R522" s="3">
        <f t="shared" si="37"/>
        <v>0</v>
      </c>
      <c r="S522" s="3"/>
      <c r="T522" s="3"/>
      <c r="U522" s="3" t="s">
        <v>1</v>
      </c>
    </row>
    <row r="523" spans="1:21" ht="12.75" hidden="1">
      <c r="A523" s="7" t="s">
        <v>4</v>
      </c>
      <c r="B523" s="10">
        <f>+B524+B525+B534+B535</f>
        <v>4691710065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0">
        <f>+O524+O525+O534+O535</f>
        <v>1309545600</v>
      </c>
      <c r="P523" s="10">
        <f>+P524+P525+P534+P535</f>
        <v>6001255665</v>
      </c>
      <c r="Q523" s="10">
        <f>+Q524+Q525+Q534+Q535</f>
        <v>425780922</v>
      </c>
      <c r="R523" s="3">
        <f t="shared" si="37"/>
        <v>425780922</v>
      </c>
      <c r="S523" s="3"/>
      <c r="T523" s="3"/>
      <c r="U523" s="3">
        <f aca="true" t="shared" si="38" ref="U523:U536">+R523/P523*100</f>
        <v>7.094863904619202</v>
      </c>
    </row>
    <row r="524" spans="1:21" ht="12.75" hidden="1">
      <c r="A524" s="7" t="s">
        <v>28</v>
      </c>
      <c r="B524" s="10">
        <v>2752759677</v>
      </c>
      <c r="C524" s="11">
        <v>0</v>
      </c>
      <c r="D524" s="11">
        <v>0</v>
      </c>
      <c r="E524" s="11">
        <v>0</v>
      </c>
      <c r="F524" s="11">
        <v>196495882</v>
      </c>
      <c r="G524" s="11">
        <v>164927418</v>
      </c>
      <c r="H524" s="11">
        <v>262941303</v>
      </c>
      <c r="I524" s="11">
        <v>280282246</v>
      </c>
      <c r="J524" s="11">
        <v>246192273</v>
      </c>
      <c r="K524" s="11">
        <v>308626989</v>
      </c>
      <c r="L524" s="11">
        <v>243645342</v>
      </c>
      <c r="M524" s="11">
        <v>247491577</v>
      </c>
      <c r="N524" s="11">
        <v>165492691</v>
      </c>
      <c r="O524" s="11"/>
      <c r="P524" s="11">
        <f aca="true" t="shared" si="39" ref="P524:P536">+B524+O524</f>
        <v>2752759677</v>
      </c>
      <c r="Q524" s="10">
        <f>646959890-319164112</f>
        <v>327795778</v>
      </c>
      <c r="R524" s="3">
        <f t="shared" si="37"/>
        <v>327795778</v>
      </c>
      <c r="S524" s="3"/>
      <c r="T524" s="3"/>
      <c r="U524" s="3">
        <f t="shared" si="38"/>
        <v>11.907896673248167</v>
      </c>
    </row>
    <row r="525" spans="1:21" ht="12.75" hidden="1">
      <c r="A525" s="7" t="s">
        <v>5</v>
      </c>
      <c r="B525" s="10">
        <f>+B526+B530+B531+B532</f>
        <v>1867025388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0">
        <f>+O526+O530+O531+O532</f>
        <v>0</v>
      </c>
      <c r="P525" s="11">
        <f t="shared" si="39"/>
        <v>1867025388</v>
      </c>
      <c r="Q525" s="10">
        <f>+Q526+Q530+Q531+Q532</f>
        <v>97985144</v>
      </c>
      <c r="R525" s="3">
        <f t="shared" si="37"/>
        <v>97985144</v>
      </c>
      <c r="S525" s="3"/>
      <c r="T525" s="3"/>
      <c r="U525" s="3">
        <f t="shared" si="38"/>
        <v>5.248195585865274</v>
      </c>
    </row>
    <row r="526" spans="1:21" ht="12.75" hidden="1">
      <c r="A526" s="7" t="s">
        <v>29</v>
      </c>
      <c r="B526" s="10">
        <f>SUM(B527:B529)</f>
        <v>1679125388</v>
      </c>
      <c r="C526" s="11">
        <f>SUM(C527:C529)</f>
        <v>0</v>
      </c>
      <c r="D526" s="11">
        <f aca="true" t="shared" si="40" ref="D526:N526">SUM(D527:D529)</f>
        <v>9764370</v>
      </c>
      <c r="E526" s="11">
        <f t="shared" si="40"/>
        <v>1633088</v>
      </c>
      <c r="F526" s="11">
        <f t="shared" si="40"/>
        <v>9527326</v>
      </c>
      <c r="G526" s="11">
        <f t="shared" si="40"/>
        <v>5166613</v>
      </c>
      <c r="H526" s="11">
        <f t="shared" si="40"/>
        <v>8550758</v>
      </c>
      <c r="I526" s="11">
        <f t="shared" si="40"/>
        <v>19667967</v>
      </c>
      <c r="J526" s="11">
        <f t="shared" si="40"/>
        <v>32121947.88</v>
      </c>
      <c r="K526" s="11">
        <f t="shared" si="40"/>
        <v>57803883</v>
      </c>
      <c r="L526" s="11">
        <f t="shared" si="40"/>
        <v>248550137</v>
      </c>
      <c r="M526" s="11">
        <f t="shared" si="40"/>
        <v>56476839</v>
      </c>
      <c r="N526" s="11">
        <f t="shared" si="40"/>
        <v>203635166</v>
      </c>
      <c r="O526" s="10">
        <f>SUM(O527:O529)</f>
        <v>0</v>
      </c>
      <c r="P526" s="11">
        <f t="shared" si="39"/>
        <v>1679125388</v>
      </c>
      <c r="Q526" s="10">
        <f>SUM(Q527:Q529)</f>
        <v>32570562</v>
      </c>
      <c r="R526" s="3">
        <f t="shared" si="37"/>
        <v>32570562</v>
      </c>
      <c r="S526" s="3"/>
      <c r="T526" s="3"/>
      <c r="U526" s="3">
        <f t="shared" si="38"/>
        <v>1.9397337585845615</v>
      </c>
    </row>
    <row r="527" spans="1:21" ht="12.75" hidden="1">
      <c r="A527" s="5" t="s">
        <v>30</v>
      </c>
      <c r="B527" s="11">
        <v>939032888</v>
      </c>
      <c r="C527" s="11">
        <v>0</v>
      </c>
      <c r="D527" s="11">
        <v>9764370</v>
      </c>
      <c r="E527" s="11">
        <v>0</v>
      </c>
      <c r="F527" s="11">
        <f>274606+765092</f>
        <v>1039698</v>
      </c>
      <c r="G527" s="11">
        <v>4660304</v>
      </c>
      <c r="H527" s="11">
        <v>7848958</v>
      </c>
      <c r="I527" s="11">
        <v>15343416</v>
      </c>
      <c r="J527" s="11">
        <v>22521927</v>
      </c>
      <c r="K527" s="11">
        <v>33311437</v>
      </c>
      <c r="L527" s="11">
        <f>309295398-94490110</f>
        <v>214805288</v>
      </c>
      <c r="M527" s="11">
        <v>28836508</v>
      </c>
      <c r="N527" s="11">
        <f>98225097-2027734+2337372</f>
        <v>98534735</v>
      </c>
      <c r="O527" s="11"/>
      <c r="P527" s="11">
        <f t="shared" si="39"/>
        <v>939032888</v>
      </c>
      <c r="Q527" s="11">
        <v>0</v>
      </c>
      <c r="R527" s="3">
        <f t="shared" si="37"/>
        <v>0</v>
      </c>
      <c r="S527" s="3"/>
      <c r="T527" s="3"/>
      <c r="U527" s="3">
        <f t="shared" si="38"/>
        <v>0</v>
      </c>
    </row>
    <row r="528" spans="1:21" ht="12.75" hidden="1">
      <c r="A528" s="5" t="s">
        <v>31</v>
      </c>
      <c r="B528" s="11">
        <v>724342500</v>
      </c>
      <c r="C528" s="11"/>
      <c r="D528" s="11">
        <v>0</v>
      </c>
      <c r="E528" s="11">
        <v>0</v>
      </c>
      <c r="F528" s="11">
        <v>0</v>
      </c>
      <c r="G528" s="11">
        <v>0</v>
      </c>
      <c r="H528" s="11">
        <v>25090</v>
      </c>
      <c r="I528" s="11">
        <v>946365</v>
      </c>
      <c r="J528" s="11">
        <v>8764131</v>
      </c>
      <c r="K528" s="11">
        <v>21523596</v>
      </c>
      <c r="L528" s="11">
        <v>33159819</v>
      </c>
      <c r="M528" s="11">
        <v>27504331</v>
      </c>
      <c r="N528" s="11">
        <f>101300092+707323</f>
        <v>102007415</v>
      </c>
      <c r="O528" s="11">
        <v>0</v>
      </c>
      <c r="P528" s="11">
        <f t="shared" si="39"/>
        <v>724342500</v>
      </c>
      <c r="Q528" s="11">
        <f>32597431-2744732</f>
        <v>29852699</v>
      </c>
      <c r="R528" s="3">
        <f t="shared" si="37"/>
        <v>29852699</v>
      </c>
      <c r="S528" s="3"/>
      <c r="T528" s="3"/>
      <c r="U528" s="3">
        <f t="shared" si="38"/>
        <v>4.121351294449794</v>
      </c>
    </row>
    <row r="529" spans="1:21" ht="12.75" hidden="1">
      <c r="A529" s="5" t="s">
        <v>32</v>
      </c>
      <c r="B529" s="11">
        <v>15750000</v>
      </c>
      <c r="C529" s="11"/>
      <c r="D529" s="11"/>
      <c r="E529" s="11">
        <v>1633088</v>
      </c>
      <c r="F529" s="11">
        <v>8487628</v>
      </c>
      <c r="G529" s="11">
        <v>506309</v>
      </c>
      <c r="H529" s="11">
        <v>676710</v>
      </c>
      <c r="I529" s="11">
        <v>3378186</v>
      </c>
      <c r="J529" s="11">
        <f>628640+207249.88</f>
        <v>835889.88</v>
      </c>
      <c r="K529" s="11">
        <v>2968850</v>
      </c>
      <c r="L529" s="11">
        <v>585030</v>
      </c>
      <c r="M529" s="11">
        <v>136000</v>
      </c>
      <c r="N529" s="11">
        <f>22300706.88-19207690.88</f>
        <v>3093016</v>
      </c>
      <c r="O529" s="11"/>
      <c r="P529" s="11">
        <f t="shared" si="39"/>
        <v>15750000</v>
      </c>
      <c r="Q529" s="11">
        <f>4474838-1756975</f>
        <v>2717863</v>
      </c>
      <c r="R529" s="3">
        <f t="shared" si="37"/>
        <v>2717863</v>
      </c>
      <c r="S529" s="3"/>
      <c r="T529" s="3"/>
      <c r="U529" s="3">
        <f t="shared" si="38"/>
        <v>17.256273015873017</v>
      </c>
    </row>
    <row r="530" spans="1:21" ht="12.75" hidden="1">
      <c r="A530" s="7" t="s">
        <v>33</v>
      </c>
      <c r="B530" s="10">
        <v>65100000</v>
      </c>
      <c r="C530" s="11">
        <v>426256</v>
      </c>
      <c r="D530" s="11">
        <v>177520</v>
      </c>
      <c r="E530" s="11">
        <v>815304</v>
      </c>
      <c r="F530" s="11">
        <v>1044670</v>
      </c>
      <c r="G530" s="11">
        <v>210000</v>
      </c>
      <c r="H530" s="11">
        <v>497000</v>
      </c>
      <c r="I530" s="11">
        <v>1908400</v>
      </c>
      <c r="J530" s="11">
        <v>2080000</v>
      </c>
      <c r="K530" s="11">
        <v>1960300</v>
      </c>
      <c r="L530" s="11">
        <v>1071750</v>
      </c>
      <c r="M530" s="11">
        <v>486631</v>
      </c>
      <c r="N530" s="11">
        <v>3040000</v>
      </c>
      <c r="O530" s="11"/>
      <c r="P530" s="11">
        <f t="shared" si="39"/>
        <v>65100000</v>
      </c>
      <c r="Q530" s="10">
        <f>19344919-7544443</f>
        <v>11800476</v>
      </c>
      <c r="R530" s="3">
        <f t="shared" si="37"/>
        <v>11800476</v>
      </c>
      <c r="S530" s="3"/>
      <c r="T530" s="3"/>
      <c r="U530" s="3">
        <f t="shared" si="38"/>
        <v>18.12669124423963</v>
      </c>
    </row>
    <row r="531" spans="1:21" ht="12.75" hidden="1">
      <c r="A531" s="7" t="s">
        <v>34</v>
      </c>
      <c r="B531" s="10">
        <v>1000000</v>
      </c>
      <c r="C531" s="11">
        <v>7540000</v>
      </c>
      <c r="D531" s="11"/>
      <c r="E531" s="11"/>
      <c r="F531" s="11"/>
      <c r="G531" s="11"/>
      <c r="H531" s="11"/>
      <c r="I531" s="11">
        <v>294000</v>
      </c>
      <c r="J531" s="11"/>
      <c r="K531" s="11"/>
      <c r="L531" s="11">
        <v>29000</v>
      </c>
      <c r="M531" s="11"/>
      <c r="N531" s="11"/>
      <c r="O531" s="11"/>
      <c r="P531" s="11">
        <f t="shared" si="39"/>
        <v>1000000</v>
      </c>
      <c r="Q531" s="10">
        <v>0</v>
      </c>
      <c r="R531" s="3">
        <f t="shared" si="37"/>
        <v>0</v>
      </c>
      <c r="S531" s="3"/>
      <c r="T531" s="3"/>
      <c r="U531" s="3">
        <f t="shared" si="38"/>
        <v>0</v>
      </c>
    </row>
    <row r="532" spans="1:21" ht="12.75" hidden="1">
      <c r="A532" s="7" t="s">
        <v>35</v>
      </c>
      <c r="B532" s="10">
        <f aca="true" t="shared" si="41" ref="B532:O532">SUM(B533:B533)</f>
        <v>121800000</v>
      </c>
      <c r="C532" s="11">
        <f t="shared" si="41"/>
        <v>4768052</v>
      </c>
      <c r="D532" s="11">
        <f t="shared" si="41"/>
        <v>8290086</v>
      </c>
      <c r="E532" s="11">
        <f t="shared" si="41"/>
        <v>10672897</v>
      </c>
      <c r="F532" s="11">
        <f t="shared" si="41"/>
        <v>13361106</v>
      </c>
      <c r="G532" s="11">
        <f t="shared" si="41"/>
        <v>5435392</v>
      </c>
      <c r="H532" s="11">
        <f t="shared" si="41"/>
        <v>6359364</v>
      </c>
      <c r="I532" s="11">
        <f t="shared" si="41"/>
        <v>17667466</v>
      </c>
      <c r="J532" s="11">
        <f t="shared" si="41"/>
        <v>22629676</v>
      </c>
      <c r="K532" s="11">
        <f t="shared" si="41"/>
        <v>24318846</v>
      </c>
      <c r="L532" s="11">
        <f t="shared" si="41"/>
        <v>14234424</v>
      </c>
      <c r="M532" s="11">
        <f t="shared" si="41"/>
        <v>14378768</v>
      </c>
      <c r="N532" s="11">
        <f t="shared" si="41"/>
        <v>23388888</v>
      </c>
      <c r="O532" s="10">
        <f t="shared" si="41"/>
        <v>0</v>
      </c>
      <c r="P532" s="11">
        <f t="shared" si="39"/>
        <v>121800000</v>
      </c>
      <c r="Q532" s="10">
        <f>SUM(Q533:Q533)</f>
        <v>53614106</v>
      </c>
      <c r="R532" s="3">
        <f t="shared" si="37"/>
        <v>53614106</v>
      </c>
      <c r="S532" s="3"/>
      <c r="T532" s="3"/>
      <c r="U532" s="3">
        <f t="shared" si="38"/>
        <v>44.018149425287355</v>
      </c>
    </row>
    <row r="533" spans="1:21" ht="12.75" hidden="1">
      <c r="A533" s="5" t="s">
        <v>36</v>
      </c>
      <c r="B533" s="11">
        <v>121800000</v>
      </c>
      <c r="C533" s="11">
        <v>4768052</v>
      </c>
      <c r="D533" s="11">
        <v>8290086</v>
      </c>
      <c r="E533" s="11">
        <v>10672897</v>
      </c>
      <c r="F533" s="11">
        <v>13361106</v>
      </c>
      <c r="G533" s="11">
        <v>5435392</v>
      </c>
      <c r="H533" s="11">
        <v>6359364</v>
      </c>
      <c r="I533" s="11">
        <v>17667466</v>
      </c>
      <c r="J533" s="11">
        <f>15777671+6852005</f>
        <v>22629676</v>
      </c>
      <c r="K533" s="11">
        <v>24318846</v>
      </c>
      <c r="L533" s="11">
        <v>14234424</v>
      </c>
      <c r="M533" s="11">
        <f>14378768</f>
        <v>14378768</v>
      </c>
      <c r="N533" s="11">
        <f>165504965-142116077</f>
        <v>23388888</v>
      </c>
      <c r="O533" s="11"/>
      <c r="P533" s="11">
        <f t="shared" si="39"/>
        <v>121800000</v>
      </c>
      <c r="Q533" s="11">
        <f>78608817-24994711</f>
        <v>53614106</v>
      </c>
      <c r="R533" s="3">
        <f t="shared" si="37"/>
        <v>53614106</v>
      </c>
      <c r="S533" s="3"/>
      <c r="T533" s="3"/>
      <c r="U533" s="3">
        <f t="shared" si="38"/>
        <v>44.018149425287355</v>
      </c>
    </row>
    <row r="534" spans="1:21" ht="12.75" hidden="1">
      <c r="A534" s="7" t="s">
        <v>37</v>
      </c>
      <c r="B534" s="10">
        <v>71925000</v>
      </c>
      <c r="C534" s="11" t="e">
        <f>SUM(#REF!)</f>
        <v>#REF!</v>
      </c>
      <c r="D534" s="11" t="e">
        <f>SUM(#REF!)</f>
        <v>#REF!</v>
      </c>
      <c r="E534" s="11" t="e">
        <f>SUM(#REF!)</f>
        <v>#REF!</v>
      </c>
      <c r="F534" s="11" t="e">
        <f>SUM(#REF!)</f>
        <v>#REF!</v>
      </c>
      <c r="G534" s="11" t="e">
        <f>SUM(#REF!)</f>
        <v>#REF!</v>
      </c>
      <c r="H534" s="11" t="e">
        <f>SUM(#REF!)</f>
        <v>#REF!</v>
      </c>
      <c r="I534" s="11" t="e">
        <f>SUM(#REF!)</f>
        <v>#REF!</v>
      </c>
      <c r="J534" s="11" t="e">
        <f>SUM(#REF!)</f>
        <v>#REF!</v>
      </c>
      <c r="K534" s="11" t="e">
        <f>SUM(#REF!)</f>
        <v>#REF!</v>
      </c>
      <c r="L534" s="11" t="e">
        <f>SUM(#REF!)</f>
        <v>#REF!</v>
      </c>
      <c r="M534" s="11" t="e">
        <f>SUM(#REF!)</f>
        <v>#REF!</v>
      </c>
      <c r="N534" s="11" t="e">
        <f>SUM(#REF!)</f>
        <v>#REF!</v>
      </c>
      <c r="O534" s="10">
        <v>0</v>
      </c>
      <c r="P534" s="11">
        <f t="shared" si="39"/>
        <v>71925000</v>
      </c>
      <c r="Q534" s="11">
        <v>0</v>
      </c>
      <c r="R534" s="3">
        <f t="shared" si="37"/>
        <v>0</v>
      </c>
      <c r="S534" s="3"/>
      <c r="T534" s="3"/>
      <c r="U534" s="3">
        <f t="shared" si="38"/>
        <v>0</v>
      </c>
    </row>
    <row r="535" spans="1:21" ht="12.75" hidden="1">
      <c r="A535" s="7" t="s">
        <v>44</v>
      </c>
      <c r="B535" s="10">
        <f>+B536</f>
        <v>0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0">
        <f>+O536</f>
        <v>1309545600</v>
      </c>
      <c r="P535" s="11">
        <f t="shared" si="39"/>
        <v>1309545600</v>
      </c>
      <c r="Q535" s="10">
        <f>+Q536</f>
        <v>0</v>
      </c>
      <c r="R535" s="3">
        <f t="shared" si="37"/>
        <v>0</v>
      </c>
      <c r="S535" s="3"/>
      <c r="T535" s="3"/>
      <c r="U535" s="3">
        <f t="shared" si="38"/>
        <v>0</v>
      </c>
    </row>
    <row r="536" spans="1:21" ht="12.75" hidden="1">
      <c r="A536" s="7" t="s">
        <v>45</v>
      </c>
      <c r="B536" s="10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0">
        <f>1230345600+79200000</f>
        <v>1309545600</v>
      </c>
      <c r="P536" s="11">
        <f t="shared" si="39"/>
        <v>1309545600</v>
      </c>
      <c r="Q536" s="10">
        <v>0</v>
      </c>
      <c r="R536" s="3">
        <f t="shared" si="37"/>
        <v>0</v>
      </c>
      <c r="S536" s="3"/>
      <c r="T536" s="3"/>
      <c r="U536" s="3">
        <f t="shared" si="38"/>
        <v>0</v>
      </c>
    </row>
    <row r="537" spans="1:21" ht="12.75" hidden="1">
      <c r="A537" s="7"/>
      <c r="B537" s="10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0"/>
      <c r="P537" s="11"/>
      <c r="Q537" s="10">
        <v>0</v>
      </c>
      <c r="R537" s="3">
        <f t="shared" si="37"/>
        <v>0</v>
      </c>
      <c r="S537" s="3"/>
      <c r="T537" s="3"/>
      <c r="U537" s="3"/>
    </row>
    <row r="538" spans="1:21" ht="12.75" hidden="1">
      <c r="A538" s="7" t="s">
        <v>38</v>
      </c>
      <c r="B538" s="10">
        <f>+B539+B540+B541</f>
        <v>1914146055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0">
        <f>+O539+O540+O541</f>
        <v>0</v>
      </c>
      <c r="P538" s="11">
        <f>+B538+O538</f>
        <v>1914146055</v>
      </c>
      <c r="Q538" s="10">
        <f>+Q539+Q540+Q541</f>
        <v>915343196</v>
      </c>
      <c r="R538" s="3">
        <f t="shared" si="37"/>
        <v>915343196</v>
      </c>
      <c r="S538" s="3"/>
      <c r="T538" s="3"/>
      <c r="U538" s="3">
        <f>+R538/P538*100</f>
        <v>47.81992437875907</v>
      </c>
    </row>
    <row r="539" spans="1:21" ht="12.75" hidden="1">
      <c r="A539" s="7" t="s">
        <v>6</v>
      </c>
      <c r="B539" s="10">
        <v>70000000</v>
      </c>
      <c r="C539" s="11">
        <v>898886</v>
      </c>
      <c r="D539" s="11">
        <f>4306726+216132</f>
        <v>4522858</v>
      </c>
      <c r="E539" s="11">
        <f>751140+23292827</f>
        <v>24043967</v>
      </c>
      <c r="F539" s="11">
        <v>8452240</v>
      </c>
      <c r="G539" s="11">
        <v>4422172</v>
      </c>
      <c r="H539" s="11">
        <f>7484642+234363</f>
        <v>7719005</v>
      </c>
      <c r="I539" s="11">
        <f>102855+5416914</f>
        <v>5519769</v>
      </c>
      <c r="J539" s="11">
        <f>6098966+444960+3514791+65855</f>
        <v>10124572</v>
      </c>
      <c r="K539" s="11">
        <f>191152+1348022+3219820.01</f>
        <v>4758994.01</v>
      </c>
      <c r="L539" s="11">
        <f>350566+9695840</f>
        <v>10046406</v>
      </c>
      <c r="M539" s="11">
        <f>579536+7833208+436291+345639</f>
        <v>9194674</v>
      </c>
      <c r="N539" s="11">
        <f>112132152.5-89703543.01</f>
        <v>22428609.489999995</v>
      </c>
      <c r="O539" s="11">
        <v>0</v>
      </c>
      <c r="P539" s="11">
        <f>+B539+O539</f>
        <v>70000000</v>
      </c>
      <c r="Q539" s="11">
        <f>91882084-79076395+10</f>
        <v>12805699</v>
      </c>
      <c r="R539" s="3">
        <f t="shared" si="37"/>
        <v>12805699</v>
      </c>
      <c r="S539" s="3"/>
      <c r="T539" s="3"/>
      <c r="U539" s="3">
        <f>+R539/P539*100</f>
        <v>18.293855714285716</v>
      </c>
    </row>
    <row r="540" spans="1:21" ht="12.75" hidden="1">
      <c r="A540" s="7" t="s">
        <v>9</v>
      </c>
      <c r="B540" s="10">
        <v>0</v>
      </c>
      <c r="C540" s="11"/>
      <c r="D540" s="11"/>
      <c r="E540" s="11"/>
      <c r="F540" s="11">
        <f>+B540</f>
        <v>0</v>
      </c>
      <c r="G540" s="11"/>
      <c r="H540" s="11"/>
      <c r="I540" s="11"/>
      <c r="J540" s="11"/>
      <c r="K540" s="11"/>
      <c r="L540" s="11"/>
      <c r="M540" s="11"/>
      <c r="N540" s="11"/>
      <c r="O540" s="11">
        <f>+O490</f>
        <v>0</v>
      </c>
      <c r="P540" s="11">
        <f>+B540+O540</f>
        <v>0</v>
      </c>
      <c r="Q540" s="10">
        <v>888746268</v>
      </c>
      <c r="R540" s="3">
        <f t="shared" si="37"/>
        <v>888746268</v>
      </c>
      <c r="S540" s="3"/>
      <c r="T540" s="3"/>
      <c r="U540" s="3" t="e">
        <f>+R540/P540*100</f>
        <v>#DIV/0!</v>
      </c>
    </row>
    <row r="541" spans="1:21" ht="12.75" hidden="1">
      <c r="A541" s="7" t="s">
        <v>39</v>
      </c>
      <c r="B541" s="10">
        <v>1844146055</v>
      </c>
      <c r="C541" s="11" t="e">
        <f>+#REF!+#REF!</f>
        <v>#REF!</v>
      </c>
      <c r="D541" s="11" t="e">
        <f>+#REF!+#REF!</f>
        <v>#REF!</v>
      </c>
      <c r="E541" s="11" t="e">
        <f>+#REF!+#REF!</f>
        <v>#REF!</v>
      </c>
      <c r="F541" s="11" t="e">
        <f>+#REF!+#REF!</f>
        <v>#REF!</v>
      </c>
      <c r="G541" s="11" t="e">
        <f>+#REF!+#REF!</f>
        <v>#REF!</v>
      </c>
      <c r="H541" s="11" t="e">
        <f>+#REF!+#REF!</f>
        <v>#REF!</v>
      </c>
      <c r="I541" s="11" t="e">
        <f>+#REF!+#REF!</f>
        <v>#REF!</v>
      </c>
      <c r="J541" s="11" t="e">
        <f>+#REF!+#REF!</f>
        <v>#REF!</v>
      </c>
      <c r="K541" s="11" t="e">
        <f>+#REF!+#REF!</f>
        <v>#REF!</v>
      </c>
      <c r="L541" s="11" t="e">
        <f>+#REF!+#REF!</f>
        <v>#REF!</v>
      </c>
      <c r="M541" s="11" t="e">
        <f>+#REF!+#REF!</f>
        <v>#REF!</v>
      </c>
      <c r="N541" s="11" t="e">
        <f>+#REF!+#REF!</f>
        <v>#REF!</v>
      </c>
      <c r="O541" s="10">
        <v>0</v>
      </c>
      <c r="P541" s="11">
        <f>+B541+O541</f>
        <v>1844146055</v>
      </c>
      <c r="Q541" s="11">
        <f>947477930-933686701</f>
        <v>13791229</v>
      </c>
      <c r="R541" s="3">
        <f t="shared" si="37"/>
        <v>13791229</v>
      </c>
      <c r="S541" s="3"/>
      <c r="T541" s="3"/>
      <c r="U541" s="3">
        <f>+R541/P541*100</f>
        <v>0.7478382182695394</v>
      </c>
    </row>
    <row r="542" spans="1:21" ht="12.75" hidden="1">
      <c r="A542" s="5"/>
      <c r="B542" s="11"/>
      <c r="C542" s="11"/>
      <c r="D542" s="11"/>
      <c r="E542" s="11" t="s">
        <v>1</v>
      </c>
      <c r="F542" s="11" t="s">
        <v>1</v>
      </c>
      <c r="G542" s="11" t="s">
        <v>1</v>
      </c>
      <c r="H542" s="11" t="s">
        <v>1</v>
      </c>
      <c r="I542" s="11" t="s">
        <v>1</v>
      </c>
      <c r="J542" s="11" t="s">
        <v>1</v>
      </c>
      <c r="K542" s="11" t="s">
        <v>1</v>
      </c>
      <c r="L542" s="11" t="s">
        <v>1</v>
      </c>
      <c r="M542" s="11" t="s">
        <v>1</v>
      </c>
      <c r="N542" s="11" t="s">
        <v>1</v>
      </c>
      <c r="O542" s="11"/>
      <c r="P542" s="11" t="s">
        <v>1</v>
      </c>
      <c r="Q542" s="16" t="s">
        <v>1</v>
      </c>
      <c r="R542" s="3" t="s">
        <v>1</v>
      </c>
      <c r="S542" s="3"/>
      <c r="T542" s="3"/>
      <c r="U542" s="3" t="s">
        <v>1</v>
      </c>
    </row>
    <row r="543" spans="1:21" ht="12.75" hidden="1">
      <c r="A543" s="7" t="s">
        <v>40</v>
      </c>
      <c r="B543" s="10">
        <f>+B516+B538</f>
        <v>10077156120</v>
      </c>
      <c r="C543" s="10" t="e">
        <f>+C519+C524+C526+C530+C531+C532+C534+#REF!+#REF!+C539+C540+C541+#REF!</f>
        <v>#REF!</v>
      </c>
      <c r="D543" s="10" t="e">
        <f>+D519+D524+D526+D530+D531+D532+D534+#REF!+#REF!+D539+D540+D541+#REF!</f>
        <v>#REF!</v>
      </c>
      <c r="E543" s="10" t="e">
        <f>+E519+E524+E526+E530+E531+E532+E534+#REF!+#REF!+E539+E540+E541+#REF!</f>
        <v>#REF!</v>
      </c>
      <c r="F543" s="10" t="e">
        <f>+F519+F524+F526+F530+F531+F532+F534+#REF!+#REF!+F539+F540+F541+#REF!</f>
        <v>#REF!</v>
      </c>
      <c r="G543" s="10" t="e">
        <f>+G519+G524+G526+G530+G531+G532+G534+#REF!+#REF!+G539+G540+G541+#REF!</f>
        <v>#REF!</v>
      </c>
      <c r="H543" s="10" t="e">
        <f>+H519+H524+H526+H530+H531+H532+H534+#REF!+#REF!+H539+H540+H541+#REF!</f>
        <v>#REF!</v>
      </c>
      <c r="I543" s="10" t="e">
        <f>+I519+I524+I526+I530+I531+I532+I534+#REF!+#REF!+I539+I540+I541+#REF!</f>
        <v>#REF!</v>
      </c>
      <c r="J543" s="10" t="e">
        <f>+J519+J524+J526+J530+J531+J532+J534+#REF!+#REF!+J539+J540+J541+#REF!</f>
        <v>#REF!</v>
      </c>
      <c r="K543" s="10" t="e">
        <f>+K519+K524+K526+K530+K531+K532+K534+#REF!+#REF!+K539+K540+K541+#REF!</f>
        <v>#REF!</v>
      </c>
      <c r="L543" s="10" t="e">
        <f>+L519+L524+L526+L530+L531+L532+L534+#REF!+#REF!+L539+L540+L541+#REF!</f>
        <v>#REF!</v>
      </c>
      <c r="M543" s="10" t="e">
        <f>+M519+M524+M526+M530+M531+M532+M534+#REF!+#REF!+M539+M540+M541+#REF!</f>
        <v>#REF!</v>
      </c>
      <c r="N543" s="10" t="e">
        <f>+N519+N524+N526+N530+N531+N532+N534+#REF!+#REF!+N539+N540+N541+#REF!</f>
        <v>#REF!</v>
      </c>
      <c r="O543" s="10">
        <f>+O516+O538</f>
        <v>1309545600</v>
      </c>
      <c r="P543" s="10">
        <f>+P516+P538</f>
        <v>11386701720</v>
      </c>
      <c r="Q543" s="10">
        <f>+Q516+Q538</f>
        <v>1469817439</v>
      </c>
      <c r="R543" s="3">
        <f t="shared" si="37"/>
        <v>1469817439</v>
      </c>
      <c r="S543" s="3"/>
      <c r="T543" s="3"/>
      <c r="U543" s="3">
        <f>+R543/P543*100</f>
        <v>12.908193040820255</v>
      </c>
    </row>
    <row r="544" spans="1:21" ht="12.75" hidden="1">
      <c r="A544" s="7" t="s">
        <v>41</v>
      </c>
      <c r="B544" s="11">
        <f>+B494</f>
        <v>0</v>
      </c>
      <c r="O544" s="1">
        <f>150200000+1005600000</f>
        <v>1155800000</v>
      </c>
      <c r="P544" s="1">
        <f>+B544+O544</f>
        <v>1155800000</v>
      </c>
      <c r="Q544" s="1">
        <f>564791544+1155800000-390707686</f>
        <v>1329883858</v>
      </c>
      <c r="R544" s="3">
        <f t="shared" si="37"/>
        <v>1329883858</v>
      </c>
      <c r="S544" s="3"/>
      <c r="T544" s="3"/>
      <c r="U544" s="3">
        <f>+R544/P544*100</f>
        <v>115.06176310780411</v>
      </c>
    </row>
    <row r="545" spans="2:21" ht="12.75" hidden="1">
      <c r="B545" s="1" t="s">
        <v>1</v>
      </c>
      <c r="O545" s="1" t="s">
        <v>1</v>
      </c>
      <c r="Q545" s="16" t="s">
        <v>1</v>
      </c>
      <c r="R545" s="3" t="s">
        <v>1</v>
      </c>
      <c r="S545" s="3"/>
      <c r="T545" s="3"/>
      <c r="U545" s="3" t="s">
        <v>1</v>
      </c>
    </row>
    <row r="546" spans="1:21" ht="12.75" hidden="1">
      <c r="A546" s="7" t="s">
        <v>42</v>
      </c>
      <c r="B546" s="16">
        <f>+B543+B544</f>
        <v>10077156120</v>
      </c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16">
        <f>+O543+O544</f>
        <v>2465345600</v>
      </c>
      <c r="P546" s="16">
        <f>+P543+P544</f>
        <v>12542501720</v>
      </c>
      <c r="Q546" s="16">
        <f>+Q543+Q544</f>
        <v>2799701297</v>
      </c>
      <c r="R546" s="3">
        <f t="shared" si="37"/>
        <v>2799701297</v>
      </c>
      <c r="S546" s="3"/>
      <c r="T546" s="3"/>
      <c r="U546" s="3">
        <f>+R546/P546*100</f>
        <v>22.32171347870463</v>
      </c>
    </row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</sheetData>
  <mergeCells count="30">
    <mergeCell ref="A507:U507"/>
    <mergeCell ref="A508:U508"/>
    <mergeCell ref="C510:M510"/>
    <mergeCell ref="C513:M513"/>
    <mergeCell ref="C276:M276"/>
    <mergeCell ref="C227:M227"/>
    <mergeCell ref="A225:U225"/>
    <mergeCell ref="V49:AD49"/>
    <mergeCell ref="C49:M49"/>
    <mergeCell ref="A224:U224"/>
    <mergeCell ref="C88:M88"/>
    <mergeCell ref="C134:M134"/>
    <mergeCell ref="C180:M180"/>
    <mergeCell ref="A131:U131"/>
    <mergeCell ref="A1:X1"/>
    <mergeCell ref="A2:X2"/>
    <mergeCell ref="C4:M4"/>
    <mergeCell ref="V48:AD48"/>
    <mergeCell ref="A132:U132"/>
    <mergeCell ref="A177:U177"/>
    <mergeCell ref="A178:U178"/>
    <mergeCell ref="A46:U46"/>
    <mergeCell ref="A47:U47"/>
    <mergeCell ref="A85:U85"/>
    <mergeCell ref="A86:U86"/>
    <mergeCell ref="A274:U274"/>
    <mergeCell ref="A270:U270"/>
    <mergeCell ref="A271:U271"/>
    <mergeCell ref="C230:M230"/>
    <mergeCell ref="A273:U273"/>
  </mergeCells>
  <printOptions/>
  <pageMargins left="0.1968503937007874" right="0.75" top="0.5905511811023623" bottom="0.984251968503937" header="0" footer="0"/>
  <pageSetup horizontalDpi="120" verticalDpi="12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2009-05-26T15:42:29Z</cp:lastPrinted>
  <dcterms:created xsi:type="dcterms:W3CDTF">2007-01-13T18:42:48Z</dcterms:created>
  <dcterms:modified xsi:type="dcterms:W3CDTF">2009-06-01T13:35:29Z</dcterms:modified>
  <cp:category/>
  <cp:version/>
  <cp:contentType/>
  <cp:contentStatus/>
</cp:coreProperties>
</file>