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'GASTOS'!#REF!</definedName>
  </definedNames>
  <calcPr fullCalcOnLoad="1"/>
</workbook>
</file>

<file path=xl/sharedStrings.xml><?xml version="1.0" encoding="utf-8"?>
<sst xmlns="http://schemas.openxmlformats.org/spreadsheetml/2006/main" count="1471" uniqueCount="76">
  <si>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</si>
  <si>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</si>
  <si>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</si>
  <si>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</si>
  <si>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</si>
  <si>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</si>
  <si>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</si>
  <si>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</si>
  <si>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</si>
  <si>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</si>
  <si>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</si>
  <si>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</si>
  <si>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</si>
  <si>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</si>
  <si>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</si>
  <si>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</si>
  <si>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</si>
  <si>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</si>
  <si>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</si>
  <si>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</si>
  <si>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</si>
  <si>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</si>
  <si>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</si>
  <si>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</si>
  <si>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</si>
  <si>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</si>
  <si>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</si>
  <si>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</si>
  <si>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</si>
  <si>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</si>
  <si>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</si>
  <si>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</si>
  <si>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</si>
  <si>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</si>
  <si>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</si>
  <si>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</si>
  <si>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</si>
  <si>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</si>
  <si>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</si>
  <si>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</si>
  <si>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</si>
  <si>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</si>
  <si>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</si>
  <si>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</si>
  <si>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</si>
  <si>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</si>
  <si>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</si>
  <si>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</si>
  <si>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</si>
  <si>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</si>
  <si>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</si>
  <si>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</si>
  <si>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</si>
  <si>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</si>
  <si>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</si>
  <si>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</si>
  <si>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</si>
  <si>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</si>
  <si>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</si>
  <si>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</si>
  <si>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>%</t>
  </si>
  <si>
    <t>EJECUCION</t>
  </si>
  <si>
    <t>VIGENCIA   ABRIL 2008</t>
  </si>
  <si>
    <t>VIGENCIA   ENERO 2008</t>
  </si>
  <si>
    <t>VIGENCIA   FEBRERO 2008</t>
  </si>
  <si>
    <t>VIGENCIA   MARZO 2008</t>
  </si>
  <si>
    <t>VIGENCIA   MAYO 2008</t>
  </si>
  <si>
    <t>VIGENCIA   JUNIO 2008</t>
  </si>
  <si>
    <t>Adecuacion organización Archivo  y Centro de Documentacion de CAM</t>
  </si>
  <si>
    <t>Implementacion de los PMPNR declarados en jurisdiccion de la CAM</t>
  </si>
  <si>
    <t xml:space="preserve">COMPROMISOS </t>
  </si>
  <si>
    <t>MENSUALES</t>
  </si>
  <si>
    <t>MES</t>
  </si>
  <si>
    <t>CDPS</t>
  </si>
  <si>
    <t xml:space="preserve">   </t>
  </si>
  <si>
    <t>VIGENCIA   OCTUBRE 2008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</si>
</sst>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jecucion%20haciend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9">
          <cell r="D9">
            <v>432528274</v>
          </cell>
        </row>
        <row r="10">
          <cell r="D10">
            <v>44987540</v>
          </cell>
        </row>
        <row r="11">
          <cell r="F11">
            <v>3366381</v>
          </cell>
        </row>
        <row r="12">
          <cell r="F12">
            <v>19334772</v>
          </cell>
        </row>
        <row r="13">
          <cell r="F13">
            <v>916111</v>
          </cell>
        </row>
        <row r="14">
          <cell r="F14">
            <v>10000000</v>
          </cell>
        </row>
        <row r="16">
          <cell r="E16">
            <v>51628971</v>
          </cell>
        </row>
        <row r="17">
          <cell r="D17">
            <v>39434783</v>
          </cell>
        </row>
        <row r="18">
          <cell r="D18">
            <v>10283631</v>
          </cell>
        </row>
        <row r="19">
          <cell r="D19">
            <v>6855755</v>
          </cell>
        </row>
        <row r="21">
          <cell r="D21">
            <v>23511091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8"/>
  <sheetViews>
    <sheetView tabSelected="1" workbookViewId="0" topLeftCell="D619">
      <selection activeCell="I657" sqref="I657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5.421875" style="0" bestFit="1" customWidth="1"/>
    <col min="15" max="15" width="15.28125" style="0" bestFit="1" customWidth="1"/>
  </cols>
  <sheetData>
    <row r="1" spans="3:7" ht="12.75" hidden="1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 hidden="1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 hidden="1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10" t="s">
        <v>62</v>
      </c>
    </row>
    <row r="4" spans="6:9" ht="12.75" hidden="1">
      <c r="F4" s="1"/>
      <c r="I4" t="s">
        <v>1</v>
      </c>
    </row>
    <row r="5" spans="1:12" ht="12.75" hidden="1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 hidden="1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58</v>
      </c>
      <c r="L6" s="32" t="s">
        <v>60</v>
      </c>
    </row>
    <row r="7" spans="1:12" ht="12.75" hidden="1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71</v>
      </c>
      <c r="K7" s="11" t="s">
        <v>59</v>
      </c>
      <c r="L7" s="33" t="s">
        <v>61</v>
      </c>
    </row>
    <row r="8" spans="1:12" ht="12.75" hidden="1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 hidden="1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 hidden="1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1291922856</v>
      </c>
      <c r="H10" s="16">
        <f>SUM(H11+H19+H21+H22)</f>
        <v>0</v>
      </c>
      <c r="I10" s="16">
        <f>+G10+H10</f>
        <v>1291922856</v>
      </c>
      <c r="J10" s="16">
        <f>SUM(J11+J19+J22)</f>
        <v>166420155</v>
      </c>
      <c r="K10" s="16">
        <f>+K276+J10</f>
        <v>643437319</v>
      </c>
      <c r="L10" s="14">
        <f>+K10/I10*100</f>
        <v>49.80462386060612</v>
      </c>
    </row>
    <row r="11" spans="1:12" ht="12.75" hidden="1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1259060399</v>
      </c>
      <c r="H11" s="16">
        <f>+H12+H17+H18</f>
        <v>0</v>
      </c>
      <c r="I11" s="16">
        <f>+I12+I17+I18</f>
        <v>1259060399</v>
      </c>
      <c r="J11" s="16">
        <f>+J12+J17+J18</f>
        <v>166420155</v>
      </c>
      <c r="K11" s="16">
        <f>+K12+K17+K18</f>
        <v>619336218</v>
      </c>
      <c r="L11" s="14">
        <f aca="true" t="shared" si="0" ref="L11:L22">+K11/I11*100</f>
        <v>49.190350081052785</v>
      </c>
    </row>
    <row r="12" spans="1:12" ht="12.75" hidden="1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998428465</v>
      </c>
      <c r="H12" s="14">
        <f>SUM(H13:H16)</f>
        <v>0</v>
      </c>
      <c r="I12" s="14">
        <f aca="true" t="shared" si="1" ref="I12:I22">+G12+H12</f>
        <v>998428465</v>
      </c>
      <c r="J12" s="14">
        <f>SUM(J13:J16)</f>
        <v>140890230</v>
      </c>
      <c r="K12" s="14">
        <f>SUM(K13:K16)</f>
        <v>511133078</v>
      </c>
      <c r="L12" s="14">
        <f t="shared" si="0"/>
        <v>51.19376058654337</v>
      </c>
    </row>
    <row r="13" spans="1:12" ht="12.75" hidden="1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726033173</v>
      </c>
      <c r="H13" s="14">
        <v>0</v>
      </c>
      <c r="I13" s="14">
        <f>+G13+H13</f>
        <v>726033173</v>
      </c>
      <c r="J13" s="14">
        <v>119571155</v>
      </c>
      <c r="K13" s="14">
        <f>+'[1]Hoja1'!$D$9</f>
        <v>432528274</v>
      </c>
      <c r="L13" s="14">
        <f t="shared" si="0"/>
        <v>59.57417513207761</v>
      </c>
    </row>
    <row r="14" spans="1:12" ht="12.75" hidden="1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1109073</v>
      </c>
      <c r="H14" s="14">
        <v>0</v>
      </c>
      <c r="I14" s="14">
        <f t="shared" si="1"/>
        <v>1109073</v>
      </c>
      <c r="J14" s="14"/>
      <c r="K14" s="14"/>
      <c r="L14" s="14">
        <f t="shared" si="0"/>
        <v>0</v>
      </c>
    </row>
    <row r="15" spans="1:12" ht="12.75" hidden="1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96499234</v>
      </c>
      <c r="H15" s="14">
        <f>0</f>
        <v>0</v>
      </c>
      <c r="I15" s="14">
        <f t="shared" si="1"/>
        <v>96499234</v>
      </c>
      <c r="J15" s="14">
        <v>12621562</v>
      </c>
      <c r="K15" s="14">
        <f>+'[1]Hoja1'!$D$10</f>
        <v>44987540</v>
      </c>
      <c r="L15" s="14">
        <f t="shared" si="0"/>
        <v>46.619582493266215</v>
      </c>
    </row>
    <row r="16" spans="1:12" ht="12.75" hidden="1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174786985</v>
      </c>
      <c r="H16" s="14">
        <f>0</f>
        <v>0</v>
      </c>
      <c r="I16" s="14">
        <f t="shared" si="1"/>
        <v>174786985</v>
      </c>
      <c r="J16" s="14">
        <f>5409637+3287876</f>
        <v>8697513</v>
      </c>
      <c r="K16" s="14">
        <f>+'[1]Hoja1'!$F$11+'[1]Hoja1'!$F$12+'[1]Hoja1'!$F$13+'[1]Hoja1'!$F$14</f>
        <v>33617264</v>
      </c>
      <c r="L16" s="14">
        <f t="shared" si="0"/>
        <v>19.233276436457782</v>
      </c>
    </row>
    <row r="17" spans="1:12" ht="12.75" hidden="1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56827811</v>
      </c>
      <c r="H17" s="14">
        <v>0</v>
      </c>
      <c r="I17" s="14">
        <f t="shared" si="1"/>
        <v>56827811</v>
      </c>
      <c r="J17" s="14">
        <v>10797303</v>
      </c>
      <c r="K17" s="14">
        <f>+'[1]Hoja1'!$E$16</f>
        <v>51628971</v>
      </c>
      <c r="L17" s="14">
        <f t="shared" si="0"/>
        <v>90.85159201363572</v>
      </c>
    </row>
    <row r="18" spans="1:12" ht="12.75" hidden="1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f>163804123+40000000</f>
        <v>203804123</v>
      </c>
      <c r="H18" s="14">
        <f>0</f>
        <v>0</v>
      </c>
      <c r="I18" s="14">
        <f t="shared" si="1"/>
        <v>203804123</v>
      </c>
      <c r="J18" s="14">
        <f>8234072+3899130+2599420</f>
        <v>14732622</v>
      </c>
      <c r="K18" s="14">
        <f>+'[1]Hoja1'!$D$17+'[1]Hoja1'!$D$18+'[1]Hoja1'!$D$19</f>
        <v>56574169</v>
      </c>
      <c r="L18" s="14">
        <f t="shared" si="0"/>
        <v>27.759089545013765</v>
      </c>
    </row>
    <row r="19" spans="1:12" ht="12.75" hidden="1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24698480</v>
      </c>
      <c r="H19" s="16">
        <f>SUM(H20:H21)</f>
        <v>0</v>
      </c>
      <c r="I19" s="16">
        <f t="shared" si="1"/>
        <v>24698480</v>
      </c>
      <c r="J19" s="16">
        <f>SUM(J20:J21)</f>
        <v>0</v>
      </c>
      <c r="K19" s="16">
        <f>SUM(K20:K21)</f>
        <v>23511091</v>
      </c>
      <c r="L19" s="14">
        <f t="shared" si="0"/>
        <v>95.19246123648095</v>
      </c>
    </row>
    <row r="20" spans="1:12" ht="12.75" hidden="1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23511091</v>
      </c>
      <c r="H20" s="14">
        <v>0</v>
      </c>
      <c r="I20" s="14">
        <f>+G20+H20</f>
        <v>23511091</v>
      </c>
      <c r="J20" s="16">
        <v>0</v>
      </c>
      <c r="K20" s="16">
        <f>+'[1]Hoja1'!$D$21</f>
        <v>23511091</v>
      </c>
      <c r="L20" s="14">
        <f t="shared" si="0"/>
        <v>100</v>
      </c>
    </row>
    <row r="21" spans="1:12" ht="12.75" hidden="1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1187389</v>
      </c>
      <c r="H21" s="14">
        <v>0</v>
      </c>
      <c r="I21" s="14">
        <f t="shared" si="1"/>
        <v>1187389</v>
      </c>
      <c r="J21" s="14">
        <v>0</v>
      </c>
      <c r="K21" s="14"/>
      <c r="L21" s="14">
        <f t="shared" si="0"/>
        <v>0</v>
      </c>
    </row>
    <row r="22" spans="1:12" ht="12.75" hidden="1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8163977</v>
      </c>
      <c r="H22" s="14">
        <v>0</v>
      </c>
      <c r="I22" s="14">
        <f t="shared" si="1"/>
        <v>8163977</v>
      </c>
      <c r="J22" s="14">
        <v>0</v>
      </c>
      <c r="K22" s="14"/>
      <c r="L22" s="14">
        <f t="shared" si="0"/>
        <v>0</v>
      </c>
    </row>
    <row r="23" spans="1:12" ht="12.75" hidden="1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4"/>
      <c r="L23" s="14" t="s">
        <v>1</v>
      </c>
    </row>
    <row r="24" spans="1:12" ht="12.75" hidden="1">
      <c r="A24" s="13" t="s">
        <v>33</v>
      </c>
      <c r="B24" s="13"/>
      <c r="C24" s="13"/>
      <c r="D24" s="13"/>
      <c r="E24" s="13"/>
      <c r="F24" s="15" t="s">
        <v>34</v>
      </c>
      <c r="G24" s="16">
        <f>+G26</f>
        <v>0</v>
      </c>
      <c r="H24" s="16">
        <f>+H26</f>
        <v>0</v>
      </c>
      <c r="I24" s="16">
        <f>+G24+H24</f>
        <v>0</v>
      </c>
      <c r="J24" s="16">
        <f>+J26</f>
        <v>0</v>
      </c>
      <c r="K24" s="16">
        <f>+K26</f>
        <v>0</v>
      </c>
      <c r="L24" s="14">
        <v>0</v>
      </c>
    </row>
    <row r="25" spans="1:12" ht="12.75" hidden="1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 t="s">
        <v>1</v>
      </c>
    </row>
    <row r="26" spans="1:12" ht="12.75" hidden="1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>
        <v>0</v>
      </c>
      <c r="H26" s="14">
        <v>0</v>
      </c>
      <c r="I26" s="14">
        <f>+G26+H26</f>
        <v>0</v>
      </c>
      <c r="J26" s="14">
        <v>0</v>
      </c>
      <c r="K26" s="14">
        <v>0</v>
      </c>
      <c r="L26" s="14">
        <v>0</v>
      </c>
    </row>
    <row r="27" spans="1:12" ht="12.75" hidden="1">
      <c r="A27" s="13"/>
      <c r="B27" s="13"/>
      <c r="C27" s="13"/>
      <c r="D27" s="13"/>
      <c r="E27" s="13"/>
      <c r="F27" s="15" t="s">
        <v>35</v>
      </c>
      <c r="G27" s="16">
        <f>+G10+G24</f>
        <v>1291922856</v>
      </c>
      <c r="H27" s="16">
        <f>+H10+H24</f>
        <v>0</v>
      </c>
      <c r="I27" s="16">
        <f>+I10+I24</f>
        <v>1291922856</v>
      </c>
      <c r="J27" s="16">
        <f>+J10+J24</f>
        <v>166420155</v>
      </c>
      <c r="K27" s="16">
        <f>+K10+K24</f>
        <v>643437319</v>
      </c>
      <c r="L27" s="14">
        <f>+K27/I27*100</f>
        <v>49.80462386060612</v>
      </c>
    </row>
    <row r="28" spans="2:11" ht="12.75" hidden="1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/>
    </row>
    <row r="29" spans="7:10" ht="12.75" hidden="1">
      <c r="G29" s="3" t="s">
        <v>1</v>
      </c>
      <c r="I29" s="3" t="s">
        <v>1</v>
      </c>
      <c r="J29" s="3"/>
    </row>
    <row r="30" ht="12.75" hidden="1"/>
    <row r="31" ht="12.75" hidden="1"/>
    <row r="32" spans="6:11" ht="12.75" hidden="1">
      <c r="F32" s="4" t="s">
        <v>6</v>
      </c>
      <c r="G32" s="4"/>
      <c r="H32" s="4" t="s">
        <v>46</v>
      </c>
      <c r="I32" s="4"/>
      <c r="J32" s="4"/>
      <c r="K32" s="4"/>
    </row>
    <row r="33" spans="6:11" ht="12.75" hidden="1">
      <c r="F33" s="4" t="s">
        <v>36</v>
      </c>
      <c r="G33" s="4"/>
      <c r="H33" s="4" t="s">
        <v>47</v>
      </c>
      <c r="I33" s="4"/>
      <c r="J33" s="4"/>
      <c r="K33" s="4"/>
    </row>
    <row r="34" ht="12.75" hidden="1"/>
    <row r="35" ht="12.75" hidden="1"/>
    <row r="36" ht="12.75" hidden="1"/>
    <row r="37" ht="12.75" hidden="1"/>
    <row r="38" ht="12.75" hidden="1">
      <c r="H38" t="s">
        <v>1</v>
      </c>
    </row>
    <row r="39" ht="12.75" hidden="1">
      <c r="H39" t="s">
        <v>1</v>
      </c>
    </row>
    <row r="40" ht="12.75" hidden="1">
      <c r="H40" t="s">
        <v>1</v>
      </c>
    </row>
    <row r="41" ht="12.75" hidden="1"/>
    <row r="42" ht="12.75" hidden="1"/>
    <row r="43" ht="12.75" hidden="1"/>
    <row r="44" ht="12.75" hidden="1"/>
    <row r="45" ht="12.75" hidden="1">
      <c r="I45" t="s">
        <v>1</v>
      </c>
    </row>
    <row r="46" spans="1:10" ht="12.75" hidden="1">
      <c r="A46" t="s">
        <v>1</v>
      </c>
      <c r="F46" s="1" t="s">
        <v>1</v>
      </c>
      <c r="G46" s="1"/>
      <c r="I46" s="3" t="s">
        <v>1</v>
      </c>
      <c r="J46" s="3"/>
    </row>
    <row r="47" spans="1:9" ht="12.75" hidden="1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 hidden="1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 hidden="1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 hidden="1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>
        <v>39539</v>
      </c>
    </row>
    <row r="51" spans="6:11" ht="12.75" hidden="1">
      <c r="F51" s="1"/>
      <c r="I51" s="3" t="s">
        <v>37</v>
      </c>
      <c r="J51" s="3"/>
      <c r="K51" s="10"/>
    </row>
    <row r="52" spans="1:12" ht="12.75" hidden="1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/>
      <c r="K52" s="22" t="s">
        <v>58</v>
      </c>
      <c r="L52" s="32" t="s">
        <v>60</v>
      </c>
    </row>
    <row r="53" spans="1:12" ht="12.75" hidden="1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/>
      <c r="K53" s="11" t="s">
        <v>59</v>
      </c>
      <c r="L53" s="33" t="s">
        <v>61</v>
      </c>
    </row>
    <row r="54" spans="1:12" ht="12.75" hidden="1">
      <c r="A54" s="12"/>
      <c r="B54" s="12"/>
      <c r="C54" s="12"/>
      <c r="D54" s="12" t="s">
        <v>17</v>
      </c>
      <c r="E54" s="12"/>
      <c r="F54" s="21"/>
      <c r="G54" s="11">
        <v>1</v>
      </c>
      <c r="H54" s="11" t="s">
        <v>1</v>
      </c>
      <c r="I54" s="11" t="s">
        <v>18</v>
      </c>
      <c r="J54" s="11"/>
      <c r="K54" s="11"/>
      <c r="L54" s="13"/>
    </row>
    <row r="55" spans="1:14" ht="12.75" hidden="1">
      <c r="A55" s="21" t="s">
        <v>19</v>
      </c>
      <c r="B55" s="21"/>
      <c r="C55" s="21"/>
      <c r="D55" s="21"/>
      <c r="E55" s="21"/>
      <c r="F55" s="21" t="s">
        <v>38</v>
      </c>
      <c r="G55" s="23">
        <f>SUM(G56+G65+G69)</f>
        <v>2990108195</v>
      </c>
      <c r="H55" s="23">
        <f>SUM(H56+H65+H69)</f>
        <v>151001983</v>
      </c>
      <c r="I55" s="23">
        <f>SUM(I56+I65+I69)</f>
        <v>3141110178</v>
      </c>
      <c r="J55" s="23">
        <f>SUM(J56+J65+J69)</f>
        <v>253455135</v>
      </c>
      <c r="K55" s="23">
        <f>SUM(K56+K65+K69)</f>
        <v>890258005</v>
      </c>
      <c r="L55" s="14">
        <f>+K55/I55*100</f>
        <v>28.34214511911336</v>
      </c>
      <c r="M55" s="3"/>
      <c r="N55" s="3"/>
    </row>
    <row r="56" spans="1:14" ht="12.75" hidden="1">
      <c r="A56" s="21" t="s">
        <v>19</v>
      </c>
      <c r="B56" s="21">
        <v>1</v>
      </c>
      <c r="C56" s="21">
        <v>1</v>
      </c>
      <c r="D56" s="21">
        <v>0</v>
      </c>
      <c r="E56" s="21">
        <v>0</v>
      </c>
      <c r="F56" s="21" t="s">
        <v>21</v>
      </c>
      <c r="G56" s="23">
        <f>SUM(G57+G62+G63+G64)</f>
        <v>1315851325</v>
      </c>
      <c r="H56" s="23">
        <f>SUM(H57+H62+H63+H64)</f>
        <v>14500000</v>
      </c>
      <c r="I56" s="23">
        <f>+I57+I62+I63+I64</f>
        <v>1330351325</v>
      </c>
      <c r="J56" s="23">
        <f>SUM(J57+J62+J63+J64)</f>
        <v>60135272</v>
      </c>
      <c r="K56" s="23">
        <f>SUM(K57+K62+K63+K64)</f>
        <v>195975468</v>
      </c>
      <c r="L56" s="14">
        <f aca="true" t="shared" si="2" ref="L56:L83">+K56/I56*100</f>
        <v>14.731106311334715</v>
      </c>
      <c r="M56" s="3"/>
      <c r="N56" s="3"/>
    </row>
    <row r="57" spans="1:14" ht="12.75" hidden="1">
      <c r="A57" s="21" t="s">
        <v>19</v>
      </c>
      <c r="B57" s="21">
        <v>1</v>
      </c>
      <c r="C57" s="21">
        <v>1</v>
      </c>
      <c r="D57" s="21">
        <v>1</v>
      </c>
      <c r="E57" s="21">
        <v>0</v>
      </c>
      <c r="F57" s="21" t="s">
        <v>22</v>
      </c>
      <c r="G57" s="23">
        <f>SUM(G58:G61)</f>
        <v>839112619</v>
      </c>
      <c r="H57" s="23">
        <f>SUM(H58:H61)</f>
        <v>-17500000</v>
      </c>
      <c r="I57" s="23">
        <f>SUM(I58:I61)</f>
        <v>821612619</v>
      </c>
      <c r="J57" s="23">
        <f>SUM(J58:J61)</f>
        <v>13250743</v>
      </c>
      <c r="K57" s="23">
        <f>SUM(K58:K61)</f>
        <v>28225681</v>
      </c>
      <c r="L57" s="14">
        <f t="shared" si="2"/>
        <v>3.435400132285456</v>
      </c>
      <c r="M57" s="3"/>
      <c r="N57" s="3"/>
    </row>
    <row r="58" spans="1:14" ht="12.75" hidden="1">
      <c r="A58" s="21" t="s">
        <v>19</v>
      </c>
      <c r="B58" s="21">
        <v>1</v>
      </c>
      <c r="C58" s="21">
        <v>1</v>
      </c>
      <c r="D58" s="21">
        <v>1</v>
      </c>
      <c r="E58" s="21">
        <v>1</v>
      </c>
      <c r="F58" s="21" t="s">
        <v>23</v>
      </c>
      <c r="G58" s="23">
        <v>646562329</v>
      </c>
      <c r="H58" s="23">
        <f>-17500000-10000000</f>
        <v>-27500000</v>
      </c>
      <c r="I58" s="23">
        <f>SUM(G58+H58)</f>
        <v>619062329</v>
      </c>
      <c r="J58" s="23">
        <v>0</v>
      </c>
      <c r="K58" s="23">
        <f aca="true" t="shared" si="3" ref="K58:K73">+K325+J58</f>
        <v>0</v>
      </c>
      <c r="L58" s="14">
        <f t="shared" si="2"/>
        <v>0</v>
      </c>
      <c r="M58" s="3"/>
      <c r="N58" s="3"/>
    </row>
    <row r="59" spans="1:14" ht="12.75" hidden="1">
      <c r="A59" s="21" t="s">
        <v>19</v>
      </c>
      <c r="B59" s="21">
        <v>1</v>
      </c>
      <c r="C59" s="21">
        <v>1</v>
      </c>
      <c r="D59" s="21">
        <v>9</v>
      </c>
      <c r="E59" s="21">
        <v>3</v>
      </c>
      <c r="F59" s="21" t="s">
        <v>39</v>
      </c>
      <c r="G59" s="23">
        <v>10000000</v>
      </c>
      <c r="H59" s="23">
        <v>10000000</v>
      </c>
      <c r="I59" s="23">
        <f>SUM(G59+H59)</f>
        <v>20000000</v>
      </c>
      <c r="J59" s="23">
        <f>13156489-7204227</f>
        <v>5952262</v>
      </c>
      <c r="K59" s="23">
        <f t="shared" si="3"/>
        <v>13156489</v>
      </c>
      <c r="L59" s="14">
        <f t="shared" si="2"/>
        <v>65.782445</v>
      </c>
      <c r="M59" s="3"/>
      <c r="N59" s="3"/>
    </row>
    <row r="60" spans="1:14" ht="12.75" hidden="1">
      <c r="A60" s="21" t="s">
        <v>19</v>
      </c>
      <c r="B60" s="21">
        <v>1</v>
      </c>
      <c r="C60" s="21">
        <v>1</v>
      </c>
      <c r="D60" s="21">
        <v>4</v>
      </c>
      <c r="E60" s="21">
        <v>2</v>
      </c>
      <c r="F60" s="21" t="s">
        <v>25</v>
      </c>
      <c r="G60" s="23">
        <v>51756389</v>
      </c>
      <c r="H60" s="23">
        <v>0</v>
      </c>
      <c r="I60" s="23">
        <f>SUM(G60+H60)</f>
        <v>51756389</v>
      </c>
      <c r="J60" s="23">
        <v>0</v>
      </c>
      <c r="K60" s="23">
        <f t="shared" si="3"/>
        <v>0</v>
      </c>
      <c r="L60" s="14">
        <f t="shared" si="2"/>
        <v>0</v>
      </c>
      <c r="M60" s="3"/>
      <c r="N60" s="3"/>
    </row>
    <row r="61" spans="1:14" ht="12.75" hidden="1">
      <c r="A61" s="21" t="s">
        <v>19</v>
      </c>
      <c r="B61" s="21">
        <v>1</v>
      </c>
      <c r="C61" s="21">
        <v>1</v>
      </c>
      <c r="D61" s="21">
        <v>5</v>
      </c>
      <c r="E61" s="21">
        <v>0</v>
      </c>
      <c r="F61" s="21" t="s">
        <v>26</v>
      </c>
      <c r="G61" s="23">
        <v>130793901</v>
      </c>
      <c r="H61" s="23">
        <v>0</v>
      </c>
      <c r="I61" s="23">
        <f>SUM(G61+H61)</f>
        <v>130793901</v>
      </c>
      <c r="J61" s="23">
        <f>15069192-7770711</f>
        <v>7298481</v>
      </c>
      <c r="K61" s="23">
        <f t="shared" si="3"/>
        <v>15069192</v>
      </c>
      <c r="L61" s="14">
        <f t="shared" si="2"/>
        <v>11.521326212297927</v>
      </c>
      <c r="M61" s="3"/>
      <c r="N61" s="3"/>
    </row>
    <row r="62" spans="1:14" ht="12.75" hidden="1">
      <c r="A62" s="21" t="s">
        <v>19</v>
      </c>
      <c r="B62" s="21">
        <v>1</v>
      </c>
      <c r="C62" s="21">
        <v>0</v>
      </c>
      <c r="D62" s="21">
        <v>2</v>
      </c>
      <c r="E62" s="21">
        <v>0</v>
      </c>
      <c r="F62" s="21" t="s">
        <v>40</v>
      </c>
      <c r="G62" s="23">
        <v>140863035</v>
      </c>
      <c r="H62" s="24">
        <v>32000000</v>
      </c>
      <c r="I62" s="23">
        <f>SUM(G62+H62)</f>
        <v>172863035</v>
      </c>
      <c r="J62" s="23">
        <f>141791368-120865258</f>
        <v>20926110</v>
      </c>
      <c r="K62" s="23">
        <f t="shared" si="3"/>
        <v>141791368</v>
      </c>
      <c r="L62" s="14">
        <f t="shared" si="2"/>
        <v>82.02526815521895</v>
      </c>
      <c r="M62" s="3"/>
      <c r="N62" s="3"/>
    </row>
    <row r="63" spans="1:14" ht="12.75" hidden="1">
      <c r="A63" s="21" t="s">
        <v>19</v>
      </c>
      <c r="B63" s="21">
        <v>1</v>
      </c>
      <c r="C63" s="21">
        <v>5</v>
      </c>
      <c r="D63" s="21">
        <v>0</v>
      </c>
      <c r="E63" s="21">
        <v>1</v>
      </c>
      <c r="F63" s="21" t="s">
        <v>27</v>
      </c>
      <c r="G63" s="23">
        <v>228481415</v>
      </c>
      <c r="H63" s="24">
        <v>0</v>
      </c>
      <c r="I63" s="23">
        <f>+G63+H63</f>
        <v>228481415</v>
      </c>
      <c r="J63" s="23">
        <v>25958419</v>
      </c>
      <c r="K63" s="23">
        <f t="shared" si="3"/>
        <v>25958419</v>
      </c>
      <c r="L63" s="14">
        <f t="shared" si="2"/>
        <v>11.361282492057395</v>
      </c>
      <c r="M63" s="3"/>
      <c r="N63" s="3"/>
    </row>
    <row r="64" spans="1:14" ht="12.75" hidden="1">
      <c r="A64" s="21" t="s">
        <v>19</v>
      </c>
      <c r="B64" s="21">
        <v>1</v>
      </c>
      <c r="C64" s="21">
        <v>5</v>
      </c>
      <c r="D64" s="21">
        <v>0</v>
      </c>
      <c r="E64" s="21">
        <v>2</v>
      </c>
      <c r="F64" s="21" t="s">
        <v>28</v>
      </c>
      <c r="G64" s="23">
        <v>107394256</v>
      </c>
      <c r="H64" s="24">
        <v>0</v>
      </c>
      <c r="I64" s="23">
        <f>+G64+H64</f>
        <v>107394256</v>
      </c>
      <c r="J64" s="23">
        <v>0</v>
      </c>
      <c r="K64" s="23">
        <f t="shared" si="3"/>
        <v>0</v>
      </c>
      <c r="L64" s="14">
        <f t="shared" si="2"/>
        <v>0</v>
      </c>
      <c r="M64" s="3"/>
      <c r="N64" s="3"/>
    </row>
    <row r="65" spans="1:14" ht="12.75" hidden="1">
      <c r="A65" s="21" t="s">
        <v>19</v>
      </c>
      <c r="B65" s="21">
        <v>2</v>
      </c>
      <c r="C65" s="21">
        <v>0</v>
      </c>
      <c r="D65" s="21">
        <v>0</v>
      </c>
      <c r="E65" s="21">
        <v>0</v>
      </c>
      <c r="F65" s="21" t="s">
        <v>29</v>
      </c>
      <c r="G65" s="23">
        <f>SUM(G66:G68)</f>
        <v>696598707</v>
      </c>
      <c r="H65" s="23">
        <f>SUM(H66:H68)</f>
        <v>34000000</v>
      </c>
      <c r="I65" s="23">
        <f>+I66+I67+I68</f>
        <v>730598707</v>
      </c>
      <c r="J65" s="23">
        <f>SUM(J66:J68)</f>
        <v>41280514</v>
      </c>
      <c r="K65" s="23">
        <f t="shared" si="3"/>
        <v>368268180</v>
      </c>
      <c r="L65" s="14">
        <f t="shared" si="2"/>
        <v>50.40635529074377</v>
      </c>
      <c r="M65" s="3"/>
      <c r="N65" s="3"/>
    </row>
    <row r="66" spans="1:14" ht="12.75" hidden="1">
      <c r="A66" s="21" t="s">
        <v>19</v>
      </c>
      <c r="B66" s="21">
        <v>2</v>
      </c>
      <c r="C66" s="21">
        <v>4</v>
      </c>
      <c r="D66" s="21">
        <v>0</v>
      </c>
      <c r="E66" s="21">
        <v>0</v>
      </c>
      <c r="F66" s="21" t="s">
        <v>41</v>
      </c>
      <c r="G66" s="23">
        <v>124289000</v>
      </c>
      <c r="H66" s="24">
        <v>17000000</v>
      </c>
      <c r="I66" s="23">
        <f>+G66+H66</f>
        <v>141289000</v>
      </c>
      <c r="J66" s="23">
        <f>36565836-22178047</f>
        <v>14387789</v>
      </c>
      <c r="K66" s="23">
        <f t="shared" si="3"/>
        <v>36565836</v>
      </c>
      <c r="L66" s="14">
        <f t="shared" si="2"/>
        <v>25.880171846357463</v>
      </c>
      <c r="M66" s="3"/>
      <c r="N66" s="3"/>
    </row>
    <row r="67" spans="1:14" ht="12.75" hidden="1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30</v>
      </c>
      <c r="G67" s="23">
        <v>551497096</v>
      </c>
      <c r="H67" s="24">
        <f>+H66</f>
        <v>17000000</v>
      </c>
      <c r="I67" s="23">
        <f>+G67+H67</f>
        <v>568497096</v>
      </c>
      <c r="J67" s="23">
        <f>327233630-304809619</f>
        <v>22424011</v>
      </c>
      <c r="K67" s="23">
        <f t="shared" si="3"/>
        <v>327233630</v>
      </c>
      <c r="L67" s="14">
        <f t="shared" si="2"/>
        <v>57.56117881734967</v>
      </c>
      <c r="M67" s="3"/>
      <c r="N67" s="3"/>
    </row>
    <row r="68" spans="1:14" ht="12.75" hidden="1">
      <c r="A68" s="21" t="s">
        <v>19</v>
      </c>
      <c r="B68" s="21">
        <v>2</v>
      </c>
      <c r="C68" s="21">
        <v>0</v>
      </c>
      <c r="D68" s="21">
        <v>3</v>
      </c>
      <c r="E68" s="21">
        <v>0</v>
      </c>
      <c r="F68" s="21" t="s">
        <v>31</v>
      </c>
      <c r="G68" s="23">
        <v>20812611</v>
      </c>
      <c r="H68" s="23">
        <v>0</v>
      </c>
      <c r="I68" s="23">
        <f>+G68+H68</f>
        <v>20812611</v>
      </c>
      <c r="J68" s="23">
        <v>4468714</v>
      </c>
      <c r="K68" s="23">
        <f t="shared" si="3"/>
        <v>4468714</v>
      </c>
      <c r="L68" s="14">
        <f t="shared" si="2"/>
        <v>21.471183985517243</v>
      </c>
      <c r="M68" s="3"/>
      <c r="N68" s="3"/>
    </row>
    <row r="69" spans="1:14" ht="12.75" hidden="1">
      <c r="A69" s="21" t="s">
        <v>19</v>
      </c>
      <c r="B69" s="21">
        <v>3</v>
      </c>
      <c r="C69" s="21">
        <v>0</v>
      </c>
      <c r="D69" s="21">
        <v>0</v>
      </c>
      <c r="E69" s="21">
        <v>0</v>
      </c>
      <c r="F69" s="21" t="s">
        <v>32</v>
      </c>
      <c r="G69" s="23">
        <f>SUM(G70:G73)</f>
        <v>977658163</v>
      </c>
      <c r="H69" s="23">
        <f>SUM(H70:H73)</f>
        <v>102501983</v>
      </c>
      <c r="I69" s="23">
        <f>SUM(I70:I73)</f>
        <v>1080160146</v>
      </c>
      <c r="J69" s="23">
        <f>SUM(J70:J73)</f>
        <v>152039349</v>
      </c>
      <c r="K69" s="23">
        <f t="shared" si="3"/>
        <v>326014357</v>
      </c>
      <c r="L69" s="14">
        <f t="shared" si="2"/>
        <v>30.18203904368084</v>
      </c>
      <c r="M69" s="3"/>
      <c r="N69" s="3"/>
    </row>
    <row r="70" spans="1:14" ht="12.75" hidden="1">
      <c r="A70" s="21" t="s">
        <v>19</v>
      </c>
      <c r="B70" s="21">
        <v>3</v>
      </c>
      <c r="C70" s="21">
        <v>2</v>
      </c>
      <c r="D70" s="21">
        <v>1</v>
      </c>
      <c r="E70" s="21">
        <v>1</v>
      </c>
      <c r="F70" s="21" t="s">
        <v>42</v>
      </c>
      <c r="G70" s="23">
        <v>18796584</v>
      </c>
      <c r="H70" s="23">
        <v>0</v>
      </c>
      <c r="I70" s="23">
        <f>+G70+H70</f>
        <v>18796584</v>
      </c>
      <c r="J70" s="23">
        <v>0</v>
      </c>
      <c r="K70" s="23">
        <f t="shared" si="3"/>
        <v>0</v>
      </c>
      <c r="L70" s="14">
        <f t="shared" si="2"/>
        <v>0</v>
      </c>
      <c r="M70" s="3"/>
      <c r="N70" s="3"/>
    </row>
    <row r="71" spans="1:14" ht="12.75" hidden="1">
      <c r="A71" s="21" t="s">
        <v>19</v>
      </c>
      <c r="B71" s="21">
        <v>3</v>
      </c>
      <c r="C71" s="21">
        <v>2</v>
      </c>
      <c r="D71" s="21">
        <v>1</v>
      </c>
      <c r="E71" s="21">
        <v>2</v>
      </c>
      <c r="F71" s="21" t="s">
        <v>43</v>
      </c>
      <c r="G71" s="23">
        <v>935861579</v>
      </c>
      <c r="H71" s="23">
        <v>85001983</v>
      </c>
      <c r="I71" s="23">
        <f>+G71+H71</f>
        <v>1020863562</v>
      </c>
      <c r="J71" s="23">
        <f>291715543-173975008</f>
        <v>117740535</v>
      </c>
      <c r="K71" s="23">
        <f t="shared" si="3"/>
        <v>291715543</v>
      </c>
      <c r="L71" s="14">
        <f t="shared" si="2"/>
        <v>28.57537029027587</v>
      </c>
      <c r="M71" s="3"/>
      <c r="N71" s="3"/>
    </row>
    <row r="72" spans="1:14" ht="12.75" hidden="1">
      <c r="A72" s="21" t="s">
        <v>19</v>
      </c>
      <c r="B72" s="21">
        <v>3</v>
      </c>
      <c r="C72" s="21">
        <v>2</v>
      </c>
      <c r="D72" s="21">
        <v>1</v>
      </c>
      <c r="E72" s="21">
        <v>3</v>
      </c>
      <c r="F72" s="21" t="s">
        <v>44</v>
      </c>
      <c r="G72" s="23">
        <v>18000000</v>
      </c>
      <c r="H72" s="23">
        <v>0</v>
      </c>
      <c r="I72" s="23">
        <f>+G72+H72</f>
        <v>18000000</v>
      </c>
      <c r="J72" s="23">
        <v>16819460</v>
      </c>
      <c r="K72" s="23">
        <f t="shared" si="3"/>
        <v>16819460</v>
      </c>
      <c r="L72" s="14">
        <f t="shared" si="2"/>
        <v>93.44144444444444</v>
      </c>
      <c r="M72" s="3"/>
      <c r="N72" s="3"/>
    </row>
    <row r="73" spans="1:14" ht="12.75" hidden="1">
      <c r="A73" s="21" t="s">
        <v>19</v>
      </c>
      <c r="B73" s="21">
        <v>3</v>
      </c>
      <c r="C73" s="21">
        <v>6</v>
      </c>
      <c r="D73" s="21">
        <v>1</v>
      </c>
      <c r="E73" s="21">
        <v>1</v>
      </c>
      <c r="F73" s="21" t="s">
        <v>45</v>
      </c>
      <c r="G73" s="23">
        <v>5000000</v>
      </c>
      <c r="H73" s="23">
        <v>17500000</v>
      </c>
      <c r="I73" s="23">
        <f>+G73+H73</f>
        <v>22500000</v>
      </c>
      <c r="J73" s="23">
        <v>17479354</v>
      </c>
      <c r="K73" s="23">
        <f t="shared" si="3"/>
        <v>17479354</v>
      </c>
      <c r="L73" s="14">
        <f t="shared" si="2"/>
        <v>77.68601777777778</v>
      </c>
      <c r="M73" s="3"/>
      <c r="N73" s="3"/>
    </row>
    <row r="74" spans="1:14" ht="12.75" hidden="1">
      <c r="A74" s="21"/>
      <c r="B74" s="21"/>
      <c r="C74" s="21"/>
      <c r="D74" s="21"/>
      <c r="E74" s="21"/>
      <c r="F74" s="21" t="s">
        <v>1</v>
      </c>
      <c r="G74" s="23" t="s">
        <v>1</v>
      </c>
      <c r="H74" s="23" t="s">
        <v>1</v>
      </c>
      <c r="I74" s="23" t="s">
        <v>1</v>
      </c>
      <c r="J74" s="23"/>
      <c r="K74" s="23" t="s">
        <v>1</v>
      </c>
      <c r="L74" s="14" t="s">
        <v>1</v>
      </c>
      <c r="M74" s="3"/>
      <c r="N74" s="3"/>
    </row>
    <row r="75" spans="1:14" ht="12.75" customHeight="1" hidden="1">
      <c r="A75" s="21" t="s">
        <v>33</v>
      </c>
      <c r="B75" s="21"/>
      <c r="C75" s="21"/>
      <c r="D75" s="21" t="s">
        <v>1</v>
      </c>
      <c r="E75" s="21"/>
      <c r="F75" s="21" t="s">
        <v>34</v>
      </c>
      <c r="G75" s="25">
        <f>SUM(G76:G82)</f>
        <v>7087047925</v>
      </c>
      <c r="H75" s="25">
        <f>SUM(H76:H82)</f>
        <v>2659745956</v>
      </c>
      <c r="I75" s="25">
        <f>SUM(G75+H75)</f>
        <v>9746793881</v>
      </c>
      <c r="J75" s="25">
        <f>SUM(J76:J82)</f>
        <v>155471918</v>
      </c>
      <c r="K75" s="23">
        <f>+K342+J75</f>
        <v>641467126</v>
      </c>
      <c r="L75" s="14">
        <f t="shared" si="2"/>
        <v>6.58131416167987</v>
      </c>
      <c r="M75" s="3"/>
      <c r="N75" s="3"/>
    </row>
    <row r="76" spans="1:14" ht="48.75" customHeight="1" hidden="1">
      <c r="A76" s="26" t="s">
        <v>33</v>
      </c>
      <c r="B76" s="26">
        <v>113</v>
      </c>
      <c r="C76" s="26">
        <v>900</v>
      </c>
      <c r="D76" s="26">
        <v>1</v>
      </c>
      <c r="E76" s="26"/>
      <c r="F76" s="29" t="s">
        <v>51</v>
      </c>
      <c r="G76" s="25">
        <v>900000000</v>
      </c>
      <c r="H76" s="25">
        <f>1230345600+57000000</f>
        <v>1287345600</v>
      </c>
      <c r="I76" s="25">
        <f aca="true" t="shared" si="4" ref="I76:I82">SUM(G76+H76)</f>
        <v>2187345600</v>
      </c>
      <c r="J76" s="25">
        <v>148267912</v>
      </c>
      <c r="K76" s="23">
        <f aca="true" t="shared" si="5" ref="K76:K82">+K344+J76</f>
        <v>207446055</v>
      </c>
      <c r="L76" s="14">
        <f t="shared" si="2"/>
        <v>9.483917630574702</v>
      </c>
      <c r="M76" s="3"/>
      <c r="N76" s="3"/>
    </row>
    <row r="77" spans="1:14" ht="38.25" customHeight="1" hidden="1">
      <c r="A77" s="26" t="s">
        <v>33</v>
      </c>
      <c r="B77" s="26">
        <v>113</v>
      </c>
      <c r="C77" s="26">
        <v>900</v>
      </c>
      <c r="D77" s="26">
        <v>2</v>
      </c>
      <c r="E77" s="26"/>
      <c r="F77" s="29" t="s">
        <v>52</v>
      </c>
      <c r="G77" s="25">
        <v>4759999979</v>
      </c>
      <c r="H77" s="31">
        <f>737744285+8562633</f>
        <v>746306918</v>
      </c>
      <c r="I77" s="25">
        <f t="shared" si="4"/>
        <v>5506306897</v>
      </c>
      <c r="J77" s="25">
        <v>12309</v>
      </c>
      <c r="K77" s="23">
        <f t="shared" si="5"/>
        <v>117772121</v>
      </c>
      <c r="L77" s="14">
        <f t="shared" si="2"/>
        <v>2.1388586434251557</v>
      </c>
      <c r="M77" s="3"/>
      <c r="N77" s="3"/>
    </row>
    <row r="78" spans="1:14" ht="38.25" customHeight="1" hidden="1">
      <c r="A78" s="26" t="s">
        <v>33</v>
      </c>
      <c r="B78" s="26">
        <v>113</v>
      </c>
      <c r="C78" s="26">
        <v>900</v>
      </c>
      <c r="D78" s="26">
        <v>3</v>
      </c>
      <c r="E78" s="26"/>
      <c r="F78" s="29" t="s">
        <v>53</v>
      </c>
      <c r="G78" s="25">
        <v>314978597</v>
      </c>
      <c r="H78" s="31">
        <v>78792000</v>
      </c>
      <c r="I78" s="25">
        <f t="shared" si="4"/>
        <v>393770597</v>
      </c>
      <c r="J78" s="25">
        <v>629070</v>
      </c>
      <c r="K78" s="23">
        <f t="shared" si="5"/>
        <v>22869425</v>
      </c>
      <c r="L78" s="14">
        <f t="shared" si="2"/>
        <v>5.807804131195708</v>
      </c>
      <c r="M78" s="3"/>
      <c r="N78" s="3"/>
    </row>
    <row r="79" spans="1:14" ht="38.25" customHeight="1" hidden="1">
      <c r="A79" s="26" t="s">
        <v>33</v>
      </c>
      <c r="B79" s="26">
        <v>310</v>
      </c>
      <c r="C79" s="26">
        <v>900</v>
      </c>
      <c r="D79" s="26">
        <v>4</v>
      </c>
      <c r="E79" s="26"/>
      <c r="F79" s="28" t="s">
        <v>54</v>
      </c>
      <c r="G79" s="25">
        <v>100000000</v>
      </c>
      <c r="H79" s="25">
        <v>260000000</v>
      </c>
      <c r="I79" s="25">
        <f t="shared" si="4"/>
        <v>360000000</v>
      </c>
      <c r="J79" s="25">
        <v>178379</v>
      </c>
      <c r="K79" s="23">
        <f t="shared" si="5"/>
        <v>3602014</v>
      </c>
      <c r="L79" s="14">
        <f t="shared" si="2"/>
        <v>1.0005594444444443</v>
      </c>
      <c r="M79" s="3"/>
      <c r="N79" s="3"/>
    </row>
    <row r="80" spans="1:14" ht="38.25" customHeight="1" hidden="1">
      <c r="A80" s="26" t="s">
        <v>33</v>
      </c>
      <c r="B80" s="26">
        <v>310</v>
      </c>
      <c r="C80" s="26">
        <v>900</v>
      </c>
      <c r="D80" s="26">
        <v>5</v>
      </c>
      <c r="E80" s="26"/>
      <c r="F80" s="28" t="s">
        <v>55</v>
      </c>
      <c r="G80" s="25">
        <v>712069349</v>
      </c>
      <c r="H80" s="31">
        <v>0</v>
      </c>
      <c r="I80" s="25">
        <f t="shared" si="4"/>
        <v>712069349</v>
      </c>
      <c r="J80" s="25">
        <v>397805</v>
      </c>
      <c r="K80" s="23">
        <f t="shared" si="5"/>
        <v>226633486</v>
      </c>
      <c r="L80" s="14">
        <f t="shared" si="2"/>
        <v>31.82744578435716</v>
      </c>
      <c r="M80" s="3"/>
      <c r="N80" s="3"/>
    </row>
    <row r="81" spans="1:14" ht="38.25" customHeight="1" hidden="1">
      <c r="A81" s="26" t="s">
        <v>33</v>
      </c>
      <c r="B81" s="26">
        <v>310</v>
      </c>
      <c r="C81" s="26">
        <v>900</v>
      </c>
      <c r="D81" s="26">
        <v>6</v>
      </c>
      <c r="E81" s="26"/>
      <c r="F81" s="28" t="s">
        <v>56</v>
      </c>
      <c r="G81" s="25">
        <v>100000000</v>
      </c>
      <c r="H81" s="25">
        <v>60040000</v>
      </c>
      <c r="I81" s="25">
        <f t="shared" si="4"/>
        <v>160040000</v>
      </c>
      <c r="J81" s="25">
        <v>878944</v>
      </c>
      <c r="K81" s="23">
        <f t="shared" si="5"/>
        <v>18240672</v>
      </c>
      <c r="L81" s="14">
        <f t="shared" si="2"/>
        <v>11.397570607348163</v>
      </c>
      <c r="M81" s="3"/>
      <c r="N81" s="3"/>
    </row>
    <row r="82" spans="1:14" ht="38.25" customHeight="1" hidden="1">
      <c r="A82" s="26" t="s">
        <v>33</v>
      </c>
      <c r="B82" s="26">
        <v>520</v>
      </c>
      <c r="C82" s="26">
        <v>900</v>
      </c>
      <c r="D82" s="26">
        <v>7</v>
      </c>
      <c r="E82" s="26"/>
      <c r="F82" s="30" t="s">
        <v>57</v>
      </c>
      <c r="G82" s="25">
        <v>200000000</v>
      </c>
      <c r="H82" s="25">
        <v>227261438</v>
      </c>
      <c r="I82" s="25">
        <f t="shared" si="4"/>
        <v>427261438</v>
      </c>
      <c r="J82" s="25">
        <v>5107499</v>
      </c>
      <c r="K82" s="23">
        <f t="shared" si="5"/>
        <v>44903353</v>
      </c>
      <c r="L82" s="14">
        <f t="shared" si="2"/>
        <v>10.509573063787704</v>
      </c>
      <c r="M82" s="3"/>
      <c r="N82" s="3"/>
    </row>
    <row r="83" spans="1:14" ht="12.75" customHeight="1" hidden="1">
      <c r="A83" s="13" t="s">
        <v>33</v>
      </c>
      <c r="B83" s="13"/>
      <c r="C83" s="13"/>
      <c r="D83" s="13"/>
      <c r="E83" s="13"/>
      <c r="F83" s="27" t="s">
        <v>35</v>
      </c>
      <c r="G83" s="16">
        <f>+G75+G55</f>
        <v>10077156120</v>
      </c>
      <c r="H83" s="16">
        <f>+H75+H55</f>
        <v>2810747939</v>
      </c>
      <c r="I83" s="16">
        <f>+I75+I55</f>
        <v>12887904059</v>
      </c>
      <c r="J83" s="16">
        <f>+J75+J55</f>
        <v>408927053</v>
      </c>
      <c r="K83" s="16">
        <f>+K75+K55</f>
        <v>1531725131</v>
      </c>
      <c r="L83" s="14">
        <f t="shared" si="2"/>
        <v>11.884982414424101</v>
      </c>
      <c r="M83" s="3"/>
      <c r="N83" s="3"/>
    </row>
    <row r="84" spans="9:12" ht="12.75" hidden="1">
      <c r="I84" s="3" t="s">
        <v>1</v>
      </c>
      <c r="J84" s="3"/>
      <c r="K84" s="3">
        <f>+K351+J83</f>
        <v>1531725131</v>
      </c>
      <c r="L84" s="3"/>
    </row>
    <row r="85" spans="11:12" ht="12.75" hidden="1">
      <c r="K85" s="3">
        <f>+K84-K83</f>
        <v>0</v>
      </c>
      <c r="L85" s="3"/>
    </row>
    <row r="86" spans="3:7" ht="12.75" hidden="1">
      <c r="C86" s="2" t="s">
        <v>1</v>
      </c>
      <c r="D86" s="1" t="s">
        <v>1</v>
      </c>
      <c r="E86" s="1" t="s">
        <v>1</v>
      </c>
      <c r="F86" s="1" t="s">
        <v>0</v>
      </c>
      <c r="G86" s="1"/>
    </row>
    <row r="87" spans="1:11" ht="12.75" hidden="1">
      <c r="A87" s="5"/>
      <c r="B87" s="5"/>
      <c r="C87" s="6" t="s">
        <v>1</v>
      </c>
      <c r="D87" s="7" t="s">
        <v>1</v>
      </c>
      <c r="E87" s="7" t="s">
        <v>1</v>
      </c>
      <c r="F87" s="7" t="s">
        <v>48</v>
      </c>
      <c r="G87" s="7"/>
      <c r="H87" s="7"/>
      <c r="I87" s="5"/>
      <c r="J87" s="5"/>
      <c r="K87" s="5"/>
    </row>
    <row r="88" spans="1:11" ht="12.75" hidden="1">
      <c r="A88" s="8"/>
      <c r="B88" s="8"/>
      <c r="C88" s="8"/>
      <c r="D88" s="8"/>
      <c r="E88" s="8"/>
      <c r="F88" s="9" t="s">
        <v>49</v>
      </c>
      <c r="G88" s="9"/>
      <c r="H88" s="9"/>
      <c r="I88" s="8"/>
      <c r="J88" s="18"/>
      <c r="K88" s="10" t="s">
        <v>63</v>
      </c>
    </row>
    <row r="89" spans="6:9" ht="12.75" hidden="1">
      <c r="F89" s="1"/>
      <c r="I89" t="s">
        <v>1</v>
      </c>
    </row>
    <row r="90" spans="1:12" ht="12.75" hidden="1">
      <c r="A90" s="11" t="s">
        <v>7</v>
      </c>
      <c r="B90" s="11" t="s">
        <v>8</v>
      </c>
      <c r="C90" s="12" t="s">
        <v>9</v>
      </c>
      <c r="D90" s="12" t="s">
        <v>10</v>
      </c>
      <c r="E90" s="12" t="s">
        <v>11</v>
      </c>
      <c r="F90" s="13"/>
      <c r="G90" s="13"/>
      <c r="H90" s="12" t="s">
        <v>1</v>
      </c>
      <c r="I90" s="13"/>
      <c r="J90" s="13"/>
      <c r="K90" s="11" t="s">
        <v>1</v>
      </c>
      <c r="L90" s="13"/>
    </row>
    <row r="91" spans="1:12" ht="12.75" hidden="1">
      <c r="A91" s="12"/>
      <c r="B91" s="11" t="s">
        <v>12</v>
      </c>
      <c r="C91" s="12"/>
      <c r="D91" s="12" t="s">
        <v>13</v>
      </c>
      <c r="E91" s="12"/>
      <c r="F91" s="13"/>
      <c r="G91" s="11" t="s">
        <v>3</v>
      </c>
      <c r="H91" s="11" t="s">
        <v>2</v>
      </c>
      <c r="I91" s="11" t="s">
        <v>3</v>
      </c>
      <c r="J91" s="11"/>
      <c r="K91" s="11" t="s">
        <v>58</v>
      </c>
      <c r="L91" s="32" t="s">
        <v>60</v>
      </c>
    </row>
    <row r="92" spans="1:12" ht="12.75" hidden="1">
      <c r="A92" s="12"/>
      <c r="B92" s="12"/>
      <c r="C92" s="12"/>
      <c r="D92" s="12" t="s">
        <v>14</v>
      </c>
      <c r="E92" s="12"/>
      <c r="F92" s="11" t="s">
        <v>15</v>
      </c>
      <c r="G92" s="11" t="s">
        <v>4</v>
      </c>
      <c r="H92" s="11" t="s">
        <v>16</v>
      </c>
      <c r="I92" s="11" t="s">
        <v>5</v>
      </c>
      <c r="J92" s="11"/>
      <c r="K92" s="11" t="s">
        <v>59</v>
      </c>
      <c r="L92" s="33" t="s">
        <v>61</v>
      </c>
    </row>
    <row r="93" spans="1:12" ht="12.75" hidden="1">
      <c r="A93" s="12"/>
      <c r="B93" s="12"/>
      <c r="C93" s="12"/>
      <c r="D93" s="12" t="s">
        <v>17</v>
      </c>
      <c r="E93" s="12"/>
      <c r="F93" s="13"/>
      <c r="G93" s="11">
        <v>1</v>
      </c>
      <c r="H93" s="11">
        <v>2</v>
      </c>
      <c r="I93" s="11" t="s">
        <v>18</v>
      </c>
      <c r="J93" s="11"/>
      <c r="K93" s="11"/>
      <c r="L93" s="13"/>
    </row>
    <row r="94" spans="1:12" ht="12.75" hidden="1">
      <c r="A94" s="13"/>
      <c r="B94" s="13"/>
      <c r="C94" s="13"/>
      <c r="D94" s="13"/>
      <c r="E94" s="13"/>
      <c r="F94" s="13"/>
      <c r="G94" s="14" t="s">
        <v>1</v>
      </c>
      <c r="H94" s="14"/>
      <c r="I94" s="14" t="s">
        <v>1</v>
      </c>
      <c r="J94" s="14"/>
      <c r="K94" s="14"/>
      <c r="L94" s="13"/>
    </row>
    <row r="95" spans="1:12" ht="12.75" hidden="1">
      <c r="A95" s="13" t="s">
        <v>19</v>
      </c>
      <c r="B95" s="13"/>
      <c r="C95" s="13"/>
      <c r="D95" s="13"/>
      <c r="E95" s="13"/>
      <c r="F95" s="15" t="s">
        <v>20</v>
      </c>
      <c r="G95" s="16">
        <f>SUM(G96+G104+G107)</f>
        <v>1291922856</v>
      </c>
      <c r="H95" s="16">
        <f>SUM(H96+H104+H106+H107)</f>
        <v>0</v>
      </c>
      <c r="I95" s="16">
        <f>+G95+H95</f>
        <v>1291922856</v>
      </c>
      <c r="J95" s="16">
        <f>SUM(J96+J104+J107)</f>
        <v>149399653</v>
      </c>
      <c r="K95" s="16">
        <f>+J95</f>
        <v>149399653</v>
      </c>
      <c r="L95" s="14">
        <f>+K95/I95*100</f>
        <v>11.564131117129179</v>
      </c>
    </row>
    <row r="96" spans="1:12" ht="12.75" hidden="1">
      <c r="A96" s="13" t="s">
        <v>19</v>
      </c>
      <c r="B96" s="13">
        <v>1</v>
      </c>
      <c r="C96" s="13">
        <v>1</v>
      </c>
      <c r="D96" s="13">
        <v>0</v>
      </c>
      <c r="E96" s="13">
        <v>0</v>
      </c>
      <c r="F96" s="15" t="s">
        <v>21</v>
      </c>
      <c r="G96" s="16">
        <f>+G97+G102+G103</f>
        <v>1259060399</v>
      </c>
      <c r="H96" s="16">
        <f>+H97+H102+H103</f>
        <v>0</v>
      </c>
      <c r="I96" s="16">
        <f>+I97+I102+I103</f>
        <v>1259060399</v>
      </c>
      <c r="J96" s="16">
        <f>+J97+J102+J103</f>
        <v>125888562</v>
      </c>
      <c r="K96" s="16">
        <f aca="true" t="shared" si="6" ref="K96:K112">+J96</f>
        <v>125888562</v>
      </c>
      <c r="L96" s="14">
        <f aca="true" t="shared" si="7" ref="L96:L107">+K96/I96*100</f>
        <v>9.998611829899989</v>
      </c>
    </row>
    <row r="97" spans="1:12" ht="12.75" hidden="1">
      <c r="A97" s="13" t="s">
        <v>19</v>
      </c>
      <c r="B97" s="13">
        <v>1</v>
      </c>
      <c r="C97" s="13">
        <v>1</v>
      </c>
      <c r="D97" s="13">
        <v>1</v>
      </c>
      <c r="E97" s="13">
        <v>0</v>
      </c>
      <c r="F97" s="13" t="s">
        <v>22</v>
      </c>
      <c r="G97" s="14">
        <f>SUM(G98:G101)</f>
        <v>998428465</v>
      </c>
      <c r="H97" s="14">
        <f>SUM(H98:H101)</f>
        <v>0</v>
      </c>
      <c r="I97" s="14">
        <f>+G97+H97</f>
        <v>998428465</v>
      </c>
      <c r="J97" s="14">
        <f>SUM(J98:J101)</f>
        <v>125888562</v>
      </c>
      <c r="K97" s="16">
        <f t="shared" si="6"/>
        <v>125888562</v>
      </c>
      <c r="L97" s="14">
        <f t="shared" si="7"/>
        <v>12.608671168044072</v>
      </c>
    </row>
    <row r="98" spans="1:12" ht="12.75" hidden="1">
      <c r="A98" s="13" t="s">
        <v>19</v>
      </c>
      <c r="B98" s="13">
        <v>1</v>
      </c>
      <c r="C98" s="13">
        <v>1</v>
      </c>
      <c r="D98" s="13">
        <v>1</v>
      </c>
      <c r="E98" s="13">
        <v>1</v>
      </c>
      <c r="F98" s="13" t="s">
        <v>23</v>
      </c>
      <c r="G98" s="14">
        <v>726033173</v>
      </c>
      <c r="H98" s="14">
        <v>0</v>
      </c>
      <c r="I98" s="14">
        <f>+G98+H98</f>
        <v>726033173</v>
      </c>
      <c r="J98" s="14">
        <v>102720834</v>
      </c>
      <c r="K98" s="16">
        <f t="shared" si="6"/>
        <v>102720834</v>
      </c>
      <c r="L98" s="14">
        <f t="shared" si="7"/>
        <v>14.148228733895607</v>
      </c>
    </row>
    <row r="99" spans="1:12" ht="12.75" hidden="1">
      <c r="A99" s="13" t="s">
        <v>19</v>
      </c>
      <c r="B99" s="13">
        <v>1</v>
      </c>
      <c r="C99" s="13">
        <v>1</v>
      </c>
      <c r="D99" s="13">
        <v>9</v>
      </c>
      <c r="E99" s="13">
        <v>1</v>
      </c>
      <c r="F99" s="13" t="s">
        <v>24</v>
      </c>
      <c r="G99" s="14">
        <v>1109073</v>
      </c>
      <c r="H99" s="14">
        <v>0</v>
      </c>
      <c r="I99" s="14">
        <f aca="true" t="shared" si="8" ref="I99:I104">+G99+H99</f>
        <v>1109073</v>
      </c>
      <c r="J99" s="14"/>
      <c r="K99" s="16">
        <f t="shared" si="6"/>
        <v>0</v>
      </c>
      <c r="L99" s="14">
        <f t="shared" si="7"/>
        <v>0</v>
      </c>
    </row>
    <row r="100" spans="1:12" ht="12.75" hidden="1">
      <c r="A100" s="13" t="s">
        <v>19</v>
      </c>
      <c r="B100" s="13">
        <v>1</v>
      </c>
      <c r="C100" s="13">
        <v>1</v>
      </c>
      <c r="D100" s="13">
        <v>4</v>
      </c>
      <c r="E100" s="13">
        <v>2</v>
      </c>
      <c r="F100" s="13" t="s">
        <v>25</v>
      </c>
      <c r="G100" s="14">
        <v>96499234</v>
      </c>
      <c r="H100" s="14">
        <f>0</f>
        <v>0</v>
      </c>
      <c r="I100" s="14">
        <f t="shared" si="8"/>
        <v>96499234</v>
      </c>
      <c r="J100" s="14">
        <v>11798520</v>
      </c>
      <c r="K100" s="16">
        <f t="shared" si="6"/>
        <v>11798520</v>
      </c>
      <c r="L100" s="14">
        <f t="shared" si="7"/>
        <v>12.226542647996563</v>
      </c>
    </row>
    <row r="101" spans="1:12" ht="12.75" hidden="1">
      <c r="A101" s="13" t="s">
        <v>19</v>
      </c>
      <c r="B101" s="13">
        <v>1</v>
      </c>
      <c r="C101" s="13">
        <v>1</v>
      </c>
      <c r="D101" s="13">
        <v>5</v>
      </c>
      <c r="E101" s="13">
        <v>0</v>
      </c>
      <c r="F101" s="13" t="s">
        <v>26</v>
      </c>
      <c r="G101" s="14">
        <v>174786985</v>
      </c>
      <c r="H101" s="14">
        <f>0</f>
        <v>0</v>
      </c>
      <c r="I101" s="14">
        <f t="shared" si="8"/>
        <v>174786985</v>
      </c>
      <c r="J101" s="14">
        <f>1414533+8707652+291507+955516</f>
        <v>11369208</v>
      </c>
      <c r="K101" s="16">
        <f t="shared" si="6"/>
        <v>11369208</v>
      </c>
      <c r="L101" s="14">
        <f t="shared" si="7"/>
        <v>6.504607880272093</v>
      </c>
    </row>
    <row r="102" spans="1:12" ht="12.75" hidden="1">
      <c r="A102" s="13" t="s">
        <v>19</v>
      </c>
      <c r="B102" s="13">
        <v>1</v>
      </c>
      <c r="C102" s="13">
        <v>5</v>
      </c>
      <c r="D102" s="13">
        <v>0</v>
      </c>
      <c r="E102" s="13">
        <v>1</v>
      </c>
      <c r="F102" s="13" t="s">
        <v>27</v>
      </c>
      <c r="G102" s="14">
        <v>56827811</v>
      </c>
      <c r="H102" s="14">
        <v>0</v>
      </c>
      <c r="I102" s="14">
        <f t="shared" si="8"/>
        <v>56827811</v>
      </c>
      <c r="J102" s="14">
        <v>0</v>
      </c>
      <c r="K102" s="16">
        <f t="shared" si="6"/>
        <v>0</v>
      </c>
      <c r="L102" s="14">
        <f t="shared" si="7"/>
        <v>0</v>
      </c>
    </row>
    <row r="103" spans="1:12" ht="12.75" hidden="1">
      <c r="A103" s="13" t="s">
        <v>19</v>
      </c>
      <c r="B103" s="13">
        <v>1</v>
      </c>
      <c r="C103" s="13">
        <v>5</v>
      </c>
      <c r="D103" s="13">
        <v>0</v>
      </c>
      <c r="E103" s="13">
        <v>2</v>
      </c>
      <c r="F103" s="13" t="s">
        <v>28</v>
      </c>
      <c r="G103" s="14">
        <f>163804123+40000000</f>
        <v>203804123</v>
      </c>
      <c r="H103" s="14">
        <f>0</f>
        <v>0</v>
      </c>
      <c r="I103" s="14">
        <f t="shared" si="8"/>
        <v>203804123</v>
      </c>
      <c r="J103" s="14">
        <v>0</v>
      </c>
      <c r="K103" s="16">
        <f t="shared" si="6"/>
        <v>0</v>
      </c>
      <c r="L103" s="14">
        <f t="shared" si="7"/>
        <v>0</v>
      </c>
    </row>
    <row r="104" spans="1:12" ht="12.75" hidden="1">
      <c r="A104" s="13" t="s">
        <v>19</v>
      </c>
      <c r="B104" s="13">
        <v>2</v>
      </c>
      <c r="C104" s="13">
        <v>0</v>
      </c>
      <c r="D104" s="13">
        <v>0</v>
      </c>
      <c r="E104" s="13">
        <v>0</v>
      </c>
      <c r="F104" s="15" t="s">
        <v>29</v>
      </c>
      <c r="G104" s="16">
        <f>SUM(G105:G106)</f>
        <v>24698480</v>
      </c>
      <c r="H104" s="16">
        <f>SUM(H105:H106)</f>
        <v>0</v>
      </c>
      <c r="I104" s="16">
        <f t="shared" si="8"/>
        <v>24698480</v>
      </c>
      <c r="J104" s="16">
        <f>SUM(J105:J106)</f>
        <v>23511091</v>
      </c>
      <c r="K104" s="16">
        <f t="shared" si="6"/>
        <v>23511091</v>
      </c>
      <c r="L104" s="14">
        <f t="shared" si="7"/>
        <v>95.19246123648095</v>
      </c>
    </row>
    <row r="105" spans="1:12" ht="12.75" hidden="1">
      <c r="A105" s="13" t="s">
        <v>19</v>
      </c>
      <c r="B105" s="13">
        <v>2</v>
      </c>
      <c r="C105" s="13">
        <v>0</v>
      </c>
      <c r="D105" s="13">
        <v>4</v>
      </c>
      <c r="E105" s="13">
        <v>0</v>
      </c>
      <c r="F105" s="13" t="s">
        <v>30</v>
      </c>
      <c r="G105" s="14">
        <v>23511091</v>
      </c>
      <c r="H105" s="14">
        <v>0</v>
      </c>
      <c r="I105" s="14">
        <f>+G105+H105</f>
        <v>23511091</v>
      </c>
      <c r="J105" s="16">
        <f>+'[1]Hoja1'!$D$21</f>
        <v>23511091</v>
      </c>
      <c r="K105" s="16">
        <f t="shared" si="6"/>
        <v>23511091</v>
      </c>
      <c r="L105" s="14">
        <f t="shared" si="7"/>
        <v>100</v>
      </c>
    </row>
    <row r="106" spans="1:12" ht="12.75" hidden="1">
      <c r="A106" s="13" t="s">
        <v>19</v>
      </c>
      <c r="B106" s="13">
        <v>2</v>
      </c>
      <c r="C106" s="13">
        <v>0</v>
      </c>
      <c r="D106" s="13">
        <v>3</v>
      </c>
      <c r="E106" s="13">
        <v>50</v>
      </c>
      <c r="F106" s="13" t="s">
        <v>31</v>
      </c>
      <c r="G106" s="14">
        <v>1187389</v>
      </c>
      <c r="H106" s="14">
        <v>0</v>
      </c>
      <c r="I106" s="14">
        <f>+G106+H106</f>
        <v>1187389</v>
      </c>
      <c r="J106" s="14">
        <v>0</v>
      </c>
      <c r="K106" s="16">
        <f t="shared" si="6"/>
        <v>0</v>
      </c>
      <c r="L106" s="14">
        <f t="shared" si="7"/>
        <v>0</v>
      </c>
    </row>
    <row r="107" spans="1:12" ht="12.75" hidden="1">
      <c r="A107" s="13" t="s">
        <v>19</v>
      </c>
      <c r="B107" s="13">
        <v>3</v>
      </c>
      <c r="C107" s="13">
        <v>2</v>
      </c>
      <c r="D107" s="13">
        <v>1</v>
      </c>
      <c r="E107" s="13">
        <v>1</v>
      </c>
      <c r="F107" s="13" t="s">
        <v>32</v>
      </c>
      <c r="G107" s="14">
        <v>8163977</v>
      </c>
      <c r="H107" s="14">
        <v>0</v>
      </c>
      <c r="I107" s="14">
        <f>+G107+H107</f>
        <v>8163977</v>
      </c>
      <c r="J107" s="14">
        <v>0</v>
      </c>
      <c r="K107" s="16">
        <f t="shared" si="6"/>
        <v>0</v>
      </c>
      <c r="L107" s="14">
        <f t="shared" si="7"/>
        <v>0</v>
      </c>
    </row>
    <row r="108" spans="1:12" ht="12.75" hidden="1">
      <c r="A108" s="13"/>
      <c r="B108" s="13"/>
      <c r="C108" s="13"/>
      <c r="D108" s="13"/>
      <c r="E108" s="13"/>
      <c r="F108" s="13"/>
      <c r="G108" s="14"/>
      <c r="H108" s="14"/>
      <c r="I108" s="14"/>
      <c r="J108" s="14"/>
      <c r="K108" s="16">
        <f t="shared" si="6"/>
        <v>0</v>
      </c>
      <c r="L108" s="14" t="s">
        <v>1</v>
      </c>
    </row>
    <row r="109" spans="1:12" ht="12.75" hidden="1">
      <c r="A109" s="13" t="s">
        <v>33</v>
      </c>
      <c r="B109" s="13"/>
      <c r="C109" s="13"/>
      <c r="D109" s="13"/>
      <c r="E109" s="13"/>
      <c r="F109" s="15" t="s">
        <v>34</v>
      </c>
      <c r="G109" s="16">
        <f>+G111</f>
        <v>0</v>
      </c>
      <c r="H109" s="16">
        <f>+H111</f>
        <v>0</v>
      </c>
      <c r="I109" s="16">
        <f>+G109+H109</f>
        <v>0</v>
      </c>
      <c r="J109" s="16">
        <f>+J111</f>
        <v>0</v>
      </c>
      <c r="K109" s="16">
        <f t="shared" si="6"/>
        <v>0</v>
      </c>
      <c r="L109" s="14">
        <v>0</v>
      </c>
    </row>
    <row r="110" spans="1:12" ht="12.75" hidden="1">
      <c r="A110" s="13"/>
      <c r="B110" s="13"/>
      <c r="C110" s="13"/>
      <c r="D110" s="13"/>
      <c r="E110" s="13"/>
      <c r="F110" s="13"/>
      <c r="G110" s="14"/>
      <c r="H110" s="14"/>
      <c r="I110" s="14"/>
      <c r="J110" s="14"/>
      <c r="K110" s="16">
        <f t="shared" si="6"/>
        <v>0</v>
      </c>
      <c r="L110" s="14" t="s">
        <v>1</v>
      </c>
    </row>
    <row r="111" spans="1:12" ht="12.75" hidden="1">
      <c r="A111" s="13" t="s">
        <v>1</v>
      </c>
      <c r="B111" s="13" t="s">
        <v>1</v>
      </c>
      <c r="C111" s="13" t="s">
        <v>1</v>
      </c>
      <c r="D111" s="13" t="s">
        <v>1</v>
      </c>
      <c r="E111" s="13" t="s">
        <v>1</v>
      </c>
      <c r="F111" s="17" t="s">
        <v>1</v>
      </c>
      <c r="G111" s="14">
        <v>0</v>
      </c>
      <c r="H111" s="14">
        <v>0</v>
      </c>
      <c r="I111" s="14">
        <f>+G111+H111</f>
        <v>0</v>
      </c>
      <c r="J111" s="14">
        <v>0</v>
      </c>
      <c r="K111" s="16">
        <f t="shared" si="6"/>
        <v>0</v>
      </c>
      <c r="L111" s="14">
        <v>0</v>
      </c>
    </row>
    <row r="112" spans="1:12" ht="12.75" hidden="1">
      <c r="A112" s="13"/>
      <c r="B112" s="13"/>
      <c r="C112" s="13"/>
      <c r="D112" s="13"/>
      <c r="E112" s="13"/>
      <c r="F112" s="15" t="s">
        <v>35</v>
      </c>
      <c r="G112" s="16">
        <f>+G95+G109</f>
        <v>1291922856</v>
      </c>
      <c r="H112" s="16">
        <f>+H95+H109</f>
        <v>0</v>
      </c>
      <c r="I112" s="16">
        <f>+I95+I109</f>
        <v>1291922856</v>
      </c>
      <c r="J112" s="16">
        <f>+J95+J109</f>
        <v>149399653</v>
      </c>
      <c r="K112" s="16">
        <f t="shared" si="6"/>
        <v>149399653</v>
      </c>
      <c r="L112" s="14">
        <f>+K112/I112*100</f>
        <v>11.564131117129179</v>
      </c>
    </row>
    <row r="113" spans="2:11" ht="12.75" hidden="1">
      <c r="B113" s="18"/>
      <c r="C113" s="18"/>
      <c r="D113" s="18"/>
      <c r="E113" s="18"/>
      <c r="F113" s="18"/>
      <c r="G113" s="19" t="s">
        <v>1</v>
      </c>
      <c r="H113" s="18"/>
      <c r="I113" s="19" t="s">
        <v>1</v>
      </c>
      <c r="J113" s="19"/>
      <c r="K113" s="19"/>
    </row>
    <row r="114" spans="7:10" ht="12.75" hidden="1">
      <c r="G114" s="3" t="s">
        <v>1</v>
      </c>
      <c r="I114" s="3" t="s">
        <v>1</v>
      </c>
      <c r="J114" s="3"/>
    </row>
    <row r="115" ht="12.75" hidden="1"/>
    <row r="116" ht="12.75" hidden="1"/>
    <row r="117" spans="6:11" ht="12.75" hidden="1">
      <c r="F117" s="4" t="s">
        <v>6</v>
      </c>
      <c r="G117" s="4"/>
      <c r="H117" s="4" t="s">
        <v>46</v>
      </c>
      <c r="I117" s="4"/>
      <c r="J117" s="4"/>
      <c r="K117" s="4"/>
    </row>
    <row r="118" spans="6:11" ht="12.75" hidden="1">
      <c r="F118" s="4" t="s">
        <v>36</v>
      </c>
      <c r="G118" s="4"/>
      <c r="H118" s="4" t="s">
        <v>47</v>
      </c>
      <c r="I118" s="4"/>
      <c r="J118" s="4"/>
      <c r="K118" s="4"/>
    </row>
    <row r="119" ht="12.75" hidden="1"/>
    <row r="120" ht="12.75" hidden="1"/>
    <row r="121" ht="12.75" hidden="1"/>
    <row r="122" ht="12.75" hidden="1"/>
    <row r="123" ht="12.75" hidden="1">
      <c r="H123" t="s">
        <v>1</v>
      </c>
    </row>
    <row r="124" ht="12.75" hidden="1">
      <c r="H124" t="s">
        <v>1</v>
      </c>
    </row>
    <row r="125" ht="12.75" hidden="1">
      <c r="H125" t="s">
        <v>1</v>
      </c>
    </row>
    <row r="126" ht="12.75" hidden="1"/>
    <row r="127" ht="12.75" hidden="1"/>
    <row r="128" ht="12.75" hidden="1"/>
    <row r="129" ht="12.75" hidden="1"/>
    <row r="130" ht="12.75" hidden="1">
      <c r="I130" t="s">
        <v>1</v>
      </c>
    </row>
    <row r="131" spans="1:10" ht="12.75" hidden="1">
      <c r="A131" t="s">
        <v>1</v>
      </c>
      <c r="F131" s="1" t="s">
        <v>1</v>
      </c>
      <c r="G131" s="1"/>
      <c r="I131" s="3" t="s">
        <v>1</v>
      </c>
      <c r="J131" s="3"/>
    </row>
    <row r="132" spans="1:9" ht="12.75" hidden="1">
      <c r="A132" t="s">
        <v>1</v>
      </c>
      <c r="E132" s="1" t="s">
        <v>1</v>
      </c>
      <c r="F132" s="1" t="s">
        <v>1</v>
      </c>
      <c r="G132" s="1"/>
      <c r="I132" t="s">
        <v>1</v>
      </c>
    </row>
    <row r="133" spans="3:7" ht="12.75" hidden="1">
      <c r="C133" s="2" t="s">
        <v>1</v>
      </c>
      <c r="D133" s="1" t="s">
        <v>1</v>
      </c>
      <c r="E133" s="1" t="s">
        <v>1</v>
      </c>
      <c r="F133" s="1" t="s">
        <v>0</v>
      </c>
      <c r="G133" s="1"/>
    </row>
    <row r="134" spans="1:11" ht="12.75" hidden="1">
      <c r="A134" s="5"/>
      <c r="B134" s="5"/>
      <c r="C134" s="6" t="s">
        <v>1</v>
      </c>
      <c r="D134" s="7" t="s">
        <v>1</v>
      </c>
      <c r="E134" s="7" t="s">
        <v>1</v>
      </c>
      <c r="F134" s="7" t="s">
        <v>48</v>
      </c>
      <c r="G134" s="7"/>
      <c r="H134" s="7"/>
      <c r="I134" s="5"/>
      <c r="J134" s="5"/>
      <c r="K134" s="5"/>
    </row>
    <row r="135" spans="1:11" ht="12.75" hidden="1">
      <c r="A135" s="8"/>
      <c r="B135" s="8"/>
      <c r="C135" s="8"/>
      <c r="D135" s="8"/>
      <c r="E135" s="8"/>
      <c r="F135" s="9" t="s">
        <v>50</v>
      </c>
      <c r="G135" s="9"/>
      <c r="H135" s="9" t="s">
        <v>1</v>
      </c>
      <c r="I135" s="20" t="s">
        <v>1</v>
      </c>
      <c r="J135" s="20"/>
      <c r="K135" s="34">
        <v>39448</v>
      </c>
    </row>
    <row r="136" spans="6:11" ht="12.75" hidden="1">
      <c r="F136" s="1"/>
      <c r="I136" s="3" t="s">
        <v>37</v>
      </c>
      <c r="J136" s="3"/>
      <c r="K136" s="10"/>
    </row>
    <row r="137" spans="1:12" ht="12.75" hidden="1">
      <c r="A137" s="12"/>
      <c r="B137" s="11" t="s">
        <v>12</v>
      </c>
      <c r="C137" s="12"/>
      <c r="D137" s="12" t="s">
        <v>13</v>
      </c>
      <c r="E137" s="12"/>
      <c r="F137" s="21"/>
      <c r="G137" s="11" t="s">
        <v>3</v>
      </c>
      <c r="H137" s="11" t="s">
        <v>2</v>
      </c>
      <c r="I137" s="11" t="s">
        <v>3</v>
      </c>
      <c r="J137" s="11" t="s">
        <v>70</v>
      </c>
      <c r="K137" s="22" t="s">
        <v>58</v>
      </c>
      <c r="L137" s="32" t="s">
        <v>60</v>
      </c>
    </row>
    <row r="138" spans="1:12" ht="12.75" hidden="1">
      <c r="A138" s="12"/>
      <c r="B138" s="12"/>
      <c r="C138" s="12"/>
      <c r="D138" s="12" t="s">
        <v>14</v>
      </c>
      <c r="E138" s="12"/>
      <c r="F138" s="11" t="s">
        <v>15</v>
      </c>
      <c r="G138" s="11" t="s">
        <v>4</v>
      </c>
      <c r="H138" s="11" t="s">
        <v>16</v>
      </c>
      <c r="I138" s="11" t="s">
        <v>5</v>
      </c>
      <c r="J138" s="11" t="s">
        <v>71</v>
      </c>
      <c r="K138" s="11" t="s">
        <v>59</v>
      </c>
      <c r="L138" s="33" t="s">
        <v>61</v>
      </c>
    </row>
    <row r="139" spans="1:12" ht="12.75" hidden="1">
      <c r="A139" s="12"/>
      <c r="B139" s="12"/>
      <c r="C139" s="12"/>
      <c r="D139" s="12" t="s">
        <v>17</v>
      </c>
      <c r="E139" s="12"/>
      <c r="F139" s="21"/>
      <c r="G139" s="11">
        <v>1</v>
      </c>
      <c r="H139" s="11">
        <v>2</v>
      </c>
      <c r="I139" s="11" t="s">
        <v>18</v>
      </c>
      <c r="J139" s="11"/>
      <c r="K139" s="11"/>
      <c r="L139" s="13"/>
    </row>
    <row r="140" spans="1:12" ht="12.75" hidden="1">
      <c r="A140" s="21"/>
      <c r="B140" s="21"/>
      <c r="C140" s="21"/>
      <c r="D140" s="21"/>
      <c r="E140" s="21"/>
      <c r="F140" s="21"/>
      <c r="G140" s="23" t="s">
        <v>1</v>
      </c>
      <c r="H140" s="23" t="s">
        <v>1</v>
      </c>
      <c r="I140" s="23" t="s">
        <v>1</v>
      </c>
      <c r="J140" s="23"/>
      <c r="K140" s="23"/>
      <c r="L140" s="13"/>
    </row>
    <row r="141" spans="1:12" ht="12.75" hidden="1">
      <c r="A141" s="21" t="s">
        <v>19</v>
      </c>
      <c r="B141" s="21"/>
      <c r="C141" s="21"/>
      <c r="D141" s="21"/>
      <c r="E141" s="21"/>
      <c r="F141" s="21" t="s">
        <v>38</v>
      </c>
      <c r="G141" s="23">
        <f>SUM(G142+G151+G155)</f>
        <v>2990108195</v>
      </c>
      <c r="H141" s="23">
        <f>SUM(H142+H151+H155)</f>
        <v>0</v>
      </c>
      <c r="I141" s="23">
        <f>SUM(I142+I151+I155)</f>
        <v>2990108195</v>
      </c>
      <c r="J141" s="23">
        <f>SUM(J142+J151+J155)</f>
        <v>170578177</v>
      </c>
      <c r="K141" s="23">
        <f>SUM(K142+K151+K155)</f>
        <v>170578177</v>
      </c>
      <c r="L141" s="14">
        <f>+K141/I141*100</f>
        <v>5.704749322624428</v>
      </c>
    </row>
    <row r="142" spans="1:12" ht="12.75" hidden="1">
      <c r="A142" s="21" t="s">
        <v>19</v>
      </c>
      <c r="B142" s="21">
        <v>1</v>
      </c>
      <c r="C142" s="21">
        <v>1</v>
      </c>
      <c r="D142" s="21">
        <v>0</v>
      </c>
      <c r="E142" s="21">
        <v>0</v>
      </c>
      <c r="F142" s="21" t="s">
        <v>21</v>
      </c>
      <c r="G142" s="23">
        <f>SUM(G143+G148+G149+G150)</f>
        <v>1315851325</v>
      </c>
      <c r="H142" s="23">
        <f>SUM(H143+H148+H149+H150)</f>
        <v>0</v>
      </c>
      <c r="I142" s="23">
        <f>+I143+I148+I149+I150</f>
        <v>1315851325</v>
      </c>
      <c r="J142" s="23">
        <f>SUM(J143+J148+J149+J150)</f>
        <v>129019668</v>
      </c>
      <c r="K142" s="23">
        <f>SUM(K143+K148+K149+K150)</f>
        <v>129019668</v>
      </c>
      <c r="L142" s="14">
        <f aca="true" t="shared" si="9" ref="L142:L159">+K142/I142*100</f>
        <v>9.805033862773213</v>
      </c>
    </row>
    <row r="143" spans="1:12" ht="12.75" hidden="1">
      <c r="A143" s="21" t="s">
        <v>19</v>
      </c>
      <c r="B143" s="21">
        <v>1</v>
      </c>
      <c r="C143" s="21">
        <v>1</v>
      </c>
      <c r="D143" s="21">
        <v>1</v>
      </c>
      <c r="E143" s="21">
        <v>0</v>
      </c>
      <c r="F143" s="21" t="s">
        <v>22</v>
      </c>
      <c r="G143" s="23">
        <f>SUM(G144:G147)</f>
        <v>839112619</v>
      </c>
      <c r="H143" s="23">
        <f>SUM(H144:H147)</f>
        <v>0</v>
      </c>
      <c r="I143" s="23">
        <f>SUM(I144:I147)</f>
        <v>839112619</v>
      </c>
      <c r="J143" s="23">
        <f>SUM(J144:J147)</f>
        <v>8154410</v>
      </c>
      <c r="K143" s="23">
        <f>SUM(K144:K147)</f>
        <v>8154410</v>
      </c>
      <c r="L143" s="14">
        <f t="shared" si="9"/>
        <v>0.9717896996612799</v>
      </c>
    </row>
    <row r="144" spans="1:12" ht="12.75" hidden="1">
      <c r="A144" s="21" t="s">
        <v>19</v>
      </c>
      <c r="B144" s="21">
        <v>1</v>
      </c>
      <c r="C144" s="21">
        <v>1</v>
      </c>
      <c r="D144" s="21">
        <v>1</v>
      </c>
      <c r="E144" s="21">
        <v>1</v>
      </c>
      <c r="F144" s="21" t="s">
        <v>23</v>
      </c>
      <c r="G144" s="23">
        <v>646562329</v>
      </c>
      <c r="H144" s="23">
        <v>0</v>
      </c>
      <c r="I144" s="23">
        <f>SUM(G144+H144)</f>
        <v>646562329</v>
      </c>
      <c r="J144" s="23">
        <v>0</v>
      </c>
      <c r="K144" s="23">
        <v>0</v>
      </c>
      <c r="L144" s="14">
        <f t="shared" si="9"/>
        <v>0</v>
      </c>
    </row>
    <row r="145" spans="1:12" ht="12.75" hidden="1">
      <c r="A145" s="21" t="s">
        <v>19</v>
      </c>
      <c r="B145" s="21">
        <v>1</v>
      </c>
      <c r="C145" s="21">
        <v>1</v>
      </c>
      <c r="D145" s="21">
        <v>9</v>
      </c>
      <c r="E145" s="21">
        <v>3</v>
      </c>
      <c r="F145" s="21" t="s">
        <v>39</v>
      </c>
      <c r="G145" s="23">
        <v>10000000</v>
      </c>
      <c r="H145" s="23">
        <v>0</v>
      </c>
      <c r="I145" s="23">
        <f>SUM(G145+H145)</f>
        <v>10000000</v>
      </c>
      <c r="J145" s="23">
        <f>+K145</f>
        <v>6561348</v>
      </c>
      <c r="K145" s="23">
        <v>6561348</v>
      </c>
      <c r="L145" s="14">
        <f t="shared" si="9"/>
        <v>65.61348</v>
      </c>
    </row>
    <row r="146" spans="1:12" ht="12.75" hidden="1">
      <c r="A146" s="21" t="s">
        <v>19</v>
      </c>
      <c r="B146" s="21">
        <v>1</v>
      </c>
      <c r="C146" s="21">
        <v>1</v>
      </c>
      <c r="D146" s="21">
        <v>4</v>
      </c>
      <c r="E146" s="21">
        <v>2</v>
      </c>
      <c r="F146" s="21" t="s">
        <v>25</v>
      </c>
      <c r="G146" s="23">
        <v>51756389</v>
      </c>
      <c r="H146" s="23">
        <v>0</v>
      </c>
      <c r="I146" s="23">
        <f>SUM(G146+H146)</f>
        <v>51756389</v>
      </c>
      <c r="J146" s="23">
        <v>0</v>
      </c>
      <c r="K146" s="23">
        <v>0</v>
      </c>
      <c r="L146" s="14">
        <f t="shared" si="9"/>
        <v>0</v>
      </c>
    </row>
    <row r="147" spans="1:12" ht="12.75" hidden="1">
      <c r="A147" s="21" t="s">
        <v>19</v>
      </c>
      <c r="B147" s="21">
        <v>1</v>
      </c>
      <c r="C147" s="21">
        <v>1</v>
      </c>
      <c r="D147" s="21">
        <v>5</v>
      </c>
      <c r="E147" s="21">
        <v>0</v>
      </c>
      <c r="F147" s="21" t="s">
        <v>26</v>
      </c>
      <c r="G147" s="23">
        <v>130793901</v>
      </c>
      <c r="H147" s="23">
        <v>0</v>
      </c>
      <c r="I147" s="23">
        <f>SUM(G147+H147)</f>
        <v>130793901</v>
      </c>
      <c r="J147" s="23">
        <v>1593062</v>
      </c>
      <c r="K147" s="23">
        <v>1593062</v>
      </c>
      <c r="L147" s="14">
        <f t="shared" si="9"/>
        <v>1.2179941020338556</v>
      </c>
    </row>
    <row r="148" spans="1:12" ht="12.75" hidden="1">
      <c r="A148" s="21" t="s">
        <v>19</v>
      </c>
      <c r="B148" s="21">
        <v>1</v>
      </c>
      <c r="C148" s="21">
        <v>0</v>
      </c>
      <c r="D148" s="21">
        <v>2</v>
      </c>
      <c r="E148" s="21">
        <v>0</v>
      </c>
      <c r="F148" s="21" t="s">
        <v>40</v>
      </c>
      <c r="G148" s="23">
        <v>140863035</v>
      </c>
      <c r="H148" s="24">
        <v>0</v>
      </c>
      <c r="I148" s="23">
        <f>SUM(G148+H148)</f>
        <v>140863035</v>
      </c>
      <c r="J148" s="23">
        <v>120865258</v>
      </c>
      <c r="K148" s="23">
        <f>+J148</f>
        <v>120865258</v>
      </c>
      <c r="L148" s="14">
        <f t="shared" si="9"/>
        <v>85.8033890864271</v>
      </c>
    </row>
    <row r="149" spans="1:12" ht="12.75" hidden="1">
      <c r="A149" s="21" t="s">
        <v>19</v>
      </c>
      <c r="B149" s="21">
        <v>1</v>
      </c>
      <c r="C149" s="21">
        <v>5</v>
      </c>
      <c r="D149" s="21">
        <v>0</v>
      </c>
      <c r="E149" s="21">
        <v>1</v>
      </c>
      <c r="F149" s="21" t="s">
        <v>27</v>
      </c>
      <c r="G149" s="23">
        <v>228481415</v>
      </c>
      <c r="H149" s="24">
        <v>0</v>
      </c>
      <c r="I149" s="23">
        <f>+G149+H149</f>
        <v>228481415</v>
      </c>
      <c r="J149" s="23">
        <v>0</v>
      </c>
      <c r="K149" s="23">
        <v>0</v>
      </c>
      <c r="L149" s="14">
        <f t="shared" si="9"/>
        <v>0</v>
      </c>
    </row>
    <row r="150" spans="1:12" ht="12.75" hidden="1">
      <c r="A150" s="21" t="s">
        <v>19</v>
      </c>
      <c r="B150" s="21">
        <v>1</v>
      </c>
      <c r="C150" s="21">
        <v>5</v>
      </c>
      <c r="D150" s="21">
        <v>0</v>
      </c>
      <c r="E150" s="21">
        <v>2</v>
      </c>
      <c r="F150" s="21" t="s">
        <v>28</v>
      </c>
      <c r="G150" s="23">
        <v>107394256</v>
      </c>
      <c r="H150" s="24">
        <v>0</v>
      </c>
      <c r="I150" s="23">
        <f>+G150+H150</f>
        <v>107394256</v>
      </c>
      <c r="J150" s="23">
        <v>0</v>
      </c>
      <c r="K150" s="23">
        <v>0</v>
      </c>
      <c r="L150" s="14">
        <f t="shared" si="9"/>
        <v>0</v>
      </c>
    </row>
    <row r="151" spans="1:12" ht="12.75" hidden="1">
      <c r="A151" s="21" t="s">
        <v>19</v>
      </c>
      <c r="B151" s="21">
        <v>2</v>
      </c>
      <c r="C151" s="21">
        <v>0</v>
      </c>
      <c r="D151" s="21">
        <v>0</v>
      </c>
      <c r="E151" s="21">
        <v>0</v>
      </c>
      <c r="F151" s="21" t="s">
        <v>29</v>
      </c>
      <c r="G151" s="23">
        <f>SUM(G152:G154)</f>
        <v>696598707</v>
      </c>
      <c r="H151" s="23">
        <v>0</v>
      </c>
      <c r="I151" s="23">
        <f>+I152+I153+I154</f>
        <v>696598707</v>
      </c>
      <c r="J151" s="23">
        <f>SUM(J152:J154)</f>
        <v>41558509</v>
      </c>
      <c r="K151" s="23">
        <f>SUM(K152:K154)</f>
        <v>41558509</v>
      </c>
      <c r="L151" s="14">
        <f t="shared" si="9"/>
        <v>5.965918193988264</v>
      </c>
    </row>
    <row r="152" spans="1:12" ht="12.75" hidden="1">
      <c r="A152" s="21" t="s">
        <v>19</v>
      </c>
      <c r="B152" s="21">
        <v>2</v>
      </c>
      <c r="C152" s="21">
        <v>4</v>
      </c>
      <c r="D152" s="21">
        <v>0</v>
      </c>
      <c r="E152" s="21">
        <v>0</v>
      </c>
      <c r="F152" s="21" t="s">
        <v>41</v>
      </c>
      <c r="G152" s="23">
        <v>124289000</v>
      </c>
      <c r="H152" s="24">
        <v>0</v>
      </c>
      <c r="I152" s="23">
        <f>+G152+H152</f>
        <v>124289000</v>
      </c>
      <c r="J152" s="23">
        <v>11588458</v>
      </c>
      <c r="K152" s="23">
        <v>11588458</v>
      </c>
      <c r="L152" s="14">
        <f t="shared" si="9"/>
        <v>9.323800175397661</v>
      </c>
    </row>
    <row r="153" spans="1:12" ht="12.75" hidden="1">
      <c r="A153" s="21" t="s">
        <v>19</v>
      </c>
      <c r="B153" s="21">
        <v>2</v>
      </c>
      <c r="C153" s="21">
        <v>4</v>
      </c>
      <c r="D153" s="21">
        <v>0</v>
      </c>
      <c r="E153" s="21">
        <v>0</v>
      </c>
      <c r="F153" s="21" t="s">
        <v>30</v>
      </c>
      <c r="G153" s="23">
        <v>551497096</v>
      </c>
      <c r="H153" s="24">
        <v>0</v>
      </c>
      <c r="I153" s="23">
        <f>+G153+H153</f>
        <v>551497096</v>
      </c>
      <c r="J153" s="23">
        <v>29970051</v>
      </c>
      <c r="K153" s="23">
        <v>29970051</v>
      </c>
      <c r="L153" s="14">
        <f t="shared" si="9"/>
        <v>5.434308034869508</v>
      </c>
    </row>
    <row r="154" spans="1:12" ht="12.75" hidden="1">
      <c r="A154" s="21" t="s">
        <v>19</v>
      </c>
      <c r="B154" s="21">
        <v>2</v>
      </c>
      <c r="C154" s="21">
        <v>0</v>
      </c>
      <c r="D154" s="21">
        <v>3</v>
      </c>
      <c r="E154" s="21">
        <v>0</v>
      </c>
      <c r="F154" s="21" t="s">
        <v>31</v>
      </c>
      <c r="G154" s="23">
        <v>20812611</v>
      </c>
      <c r="H154" s="23">
        <v>0</v>
      </c>
      <c r="I154" s="23">
        <f>+G154+H154</f>
        <v>20812611</v>
      </c>
      <c r="J154" s="23">
        <v>0</v>
      </c>
      <c r="K154" s="23">
        <v>0</v>
      </c>
      <c r="L154" s="14">
        <f t="shared" si="9"/>
        <v>0</v>
      </c>
    </row>
    <row r="155" spans="1:12" ht="12.75" hidden="1">
      <c r="A155" s="21" t="s">
        <v>19</v>
      </c>
      <c r="B155" s="21">
        <v>3</v>
      </c>
      <c r="C155" s="21">
        <v>0</v>
      </c>
      <c r="D155" s="21">
        <v>0</v>
      </c>
      <c r="E155" s="21">
        <v>0</v>
      </c>
      <c r="F155" s="21" t="s">
        <v>32</v>
      </c>
      <c r="G155" s="23">
        <f>SUM(G156:G159)</f>
        <v>977658163</v>
      </c>
      <c r="H155" s="23">
        <v>0</v>
      </c>
      <c r="I155" s="23">
        <f>SUM(I156:I159)</f>
        <v>977658163</v>
      </c>
      <c r="J155" s="23">
        <f>SUM(J156:J159)</f>
        <v>0</v>
      </c>
      <c r="K155" s="23">
        <f>SUM(K156:K159)</f>
        <v>0</v>
      </c>
      <c r="L155" s="14">
        <f t="shared" si="9"/>
        <v>0</v>
      </c>
    </row>
    <row r="156" spans="1:12" ht="12.75" hidden="1">
      <c r="A156" s="21" t="s">
        <v>19</v>
      </c>
      <c r="B156" s="21">
        <v>3</v>
      </c>
      <c r="C156" s="21">
        <v>2</v>
      </c>
      <c r="D156" s="21">
        <v>1</v>
      </c>
      <c r="E156" s="21">
        <v>1</v>
      </c>
      <c r="F156" s="21" t="s">
        <v>42</v>
      </c>
      <c r="G156" s="23">
        <v>18796584</v>
      </c>
      <c r="H156" s="23">
        <v>0</v>
      </c>
      <c r="I156" s="23">
        <f>+G156+H156</f>
        <v>18796584</v>
      </c>
      <c r="J156" s="23">
        <v>0</v>
      </c>
      <c r="K156" s="23">
        <v>0</v>
      </c>
      <c r="L156" s="14">
        <f t="shared" si="9"/>
        <v>0</v>
      </c>
    </row>
    <row r="157" spans="1:12" ht="12.75" hidden="1">
      <c r="A157" s="21" t="s">
        <v>19</v>
      </c>
      <c r="B157" s="21">
        <v>3</v>
      </c>
      <c r="C157" s="21">
        <v>2</v>
      </c>
      <c r="D157" s="21">
        <v>1</v>
      </c>
      <c r="E157" s="21">
        <v>2</v>
      </c>
      <c r="F157" s="21" t="s">
        <v>43</v>
      </c>
      <c r="G157" s="23">
        <v>935861579</v>
      </c>
      <c r="H157" s="23">
        <v>0</v>
      </c>
      <c r="I157" s="23">
        <f>+G157+H157</f>
        <v>935861579</v>
      </c>
      <c r="J157" s="23">
        <v>0</v>
      </c>
      <c r="K157" s="23">
        <v>0</v>
      </c>
      <c r="L157" s="14">
        <f t="shared" si="9"/>
        <v>0</v>
      </c>
    </row>
    <row r="158" spans="1:12" ht="12.75" hidden="1">
      <c r="A158" s="21" t="s">
        <v>19</v>
      </c>
      <c r="B158" s="21">
        <v>3</v>
      </c>
      <c r="C158" s="21">
        <v>2</v>
      </c>
      <c r="D158" s="21">
        <v>1</v>
      </c>
      <c r="E158" s="21">
        <v>3</v>
      </c>
      <c r="F158" s="21" t="s">
        <v>44</v>
      </c>
      <c r="G158" s="23">
        <v>18000000</v>
      </c>
      <c r="H158" s="23">
        <v>0</v>
      </c>
      <c r="I158" s="23">
        <f>+G158+H158</f>
        <v>18000000</v>
      </c>
      <c r="J158" s="23">
        <v>0</v>
      </c>
      <c r="K158" s="23">
        <v>0</v>
      </c>
      <c r="L158" s="14">
        <f t="shared" si="9"/>
        <v>0</v>
      </c>
    </row>
    <row r="159" spans="1:12" ht="12.75" hidden="1">
      <c r="A159" s="21" t="s">
        <v>19</v>
      </c>
      <c r="B159" s="21">
        <v>3</v>
      </c>
      <c r="C159" s="21">
        <v>6</v>
      </c>
      <c r="D159" s="21">
        <v>1</v>
      </c>
      <c r="E159" s="21">
        <v>1</v>
      </c>
      <c r="F159" s="21" t="s">
        <v>45</v>
      </c>
      <c r="G159" s="23">
        <v>5000000</v>
      </c>
      <c r="H159" s="23">
        <v>0</v>
      </c>
      <c r="I159" s="23">
        <f>+G159+H159</f>
        <v>5000000</v>
      </c>
      <c r="J159" s="23">
        <v>0</v>
      </c>
      <c r="K159" s="23">
        <v>0</v>
      </c>
      <c r="L159" s="14">
        <f t="shared" si="9"/>
        <v>0</v>
      </c>
    </row>
    <row r="160" spans="1:12" ht="12.75" hidden="1">
      <c r="A160" s="21"/>
      <c r="B160" s="21"/>
      <c r="C160" s="21"/>
      <c r="D160" s="21"/>
      <c r="E160" s="21"/>
      <c r="F160" s="21" t="s">
        <v>1</v>
      </c>
      <c r="G160" s="23" t="s">
        <v>1</v>
      </c>
      <c r="H160" s="23" t="s">
        <v>1</v>
      </c>
      <c r="I160" s="23" t="s">
        <v>1</v>
      </c>
      <c r="J160" s="23"/>
      <c r="K160" s="23" t="s">
        <v>1</v>
      </c>
      <c r="L160" s="14" t="s">
        <v>1</v>
      </c>
    </row>
    <row r="161" spans="1:12" ht="12.75" hidden="1">
      <c r="A161" s="21" t="s">
        <v>33</v>
      </c>
      <c r="B161" s="21"/>
      <c r="C161" s="21"/>
      <c r="D161" s="21" t="s">
        <v>1</v>
      </c>
      <c r="E161" s="21"/>
      <c r="F161" s="21" t="s">
        <v>34</v>
      </c>
      <c r="G161" s="25">
        <f>SUM(G163:G169)</f>
        <v>7087047925</v>
      </c>
      <c r="H161" s="25">
        <f>SUM(H163:H169)</f>
        <v>1230345600</v>
      </c>
      <c r="I161" s="25">
        <f>SUM(G161+H161)</f>
        <v>8317393525</v>
      </c>
      <c r="J161" s="25">
        <f>SUM(J163:J169)</f>
        <v>31262805</v>
      </c>
      <c r="K161" s="25">
        <f>SUM(K163:K169)</f>
        <v>31262805</v>
      </c>
      <c r="L161" s="14">
        <f>+K161/I161*100</f>
        <v>0.3758726205034287</v>
      </c>
    </row>
    <row r="162" spans="1:12" ht="12.75" hidden="1">
      <c r="A162" s="21"/>
      <c r="B162" s="21"/>
      <c r="C162" s="21"/>
      <c r="D162" s="21"/>
      <c r="E162" s="21"/>
      <c r="F162" s="21"/>
      <c r="G162" s="23"/>
      <c r="H162" s="23" t="s">
        <v>1</v>
      </c>
      <c r="I162" s="23" t="s">
        <v>1</v>
      </c>
      <c r="J162" s="23"/>
      <c r="K162" s="23"/>
      <c r="L162" s="14" t="s">
        <v>1</v>
      </c>
    </row>
    <row r="163" spans="1:12" ht="33.75" hidden="1">
      <c r="A163" s="26" t="s">
        <v>33</v>
      </c>
      <c r="B163" s="26">
        <v>113</v>
      </c>
      <c r="C163" s="26">
        <v>900</v>
      </c>
      <c r="D163" s="26">
        <v>1</v>
      </c>
      <c r="E163" s="26"/>
      <c r="F163" s="29" t="s">
        <v>51</v>
      </c>
      <c r="G163" s="25">
        <v>900000000</v>
      </c>
      <c r="H163" s="31">
        <v>1230345600</v>
      </c>
      <c r="I163" s="25">
        <f aca="true" t="shared" si="10" ref="I163:I169">SUM(G163+H163)</f>
        <v>2130345600</v>
      </c>
      <c r="J163" s="25">
        <v>1913904</v>
      </c>
      <c r="K163" s="25">
        <f>+J163</f>
        <v>1913904</v>
      </c>
      <c r="L163" s="14">
        <f aca="true" t="shared" si="11" ref="L163:L170">+K163/I163*100</f>
        <v>0.08984007101946276</v>
      </c>
    </row>
    <row r="164" spans="1:12" ht="12.75" hidden="1">
      <c r="A164" s="26" t="s">
        <v>33</v>
      </c>
      <c r="B164" s="26">
        <v>113</v>
      </c>
      <c r="C164" s="26">
        <v>900</v>
      </c>
      <c r="D164" s="26">
        <v>2</v>
      </c>
      <c r="E164" s="26"/>
      <c r="F164" s="29" t="s">
        <v>52</v>
      </c>
      <c r="G164" s="25">
        <v>4759999979</v>
      </c>
      <c r="H164" s="31">
        <v>0</v>
      </c>
      <c r="I164" s="25">
        <f t="shared" si="10"/>
        <v>4759999979</v>
      </c>
      <c r="J164" s="25">
        <v>9279770</v>
      </c>
      <c r="K164" s="25">
        <f>+J164</f>
        <v>9279770</v>
      </c>
      <c r="L164" s="14">
        <f t="shared" si="11"/>
        <v>0.19495315212059164</v>
      </c>
    </row>
    <row r="165" spans="1:12" ht="33.75" hidden="1">
      <c r="A165" s="26" t="s">
        <v>33</v>
      </c>
      <c r="B165" s="26">
        <v>113</v>
      </c>
      <c r="C165" s="26">
        <v>900</v>
      </c>
      <c r="D165" s="26">
        <v>3</v>
      </c>
      <c r="E165" s="26"/>
      <c r="F165" s="29" t="s">
        <v>53</v>
      </c>
      <c r="G165" s="25">
        <v>314978597</v>
      </c>
      <c r="H165" s="31">
        <v>0</v>
      </c>
      <c r="I165" s="25">
        <f t="shared" si="10"/>
        <v>314978597</v>
      </c>
      <c r="J165" s="25">
        <v>570769</v>
      </c>
      <c r="K165" s="25">
        <f>+J165</f>
        <v>570769</v>
      </c>
      <c r="L165" s="14">
        <f t="shared" si="11"/>
        <v>0.18120882035676855</v>
      </c>
    </row>
    <row r="166" spans="1:12" ht="12.75" hidden="1">
      <c r="A166" s="26" t="s">
        <v>33</v>
      </c>
      <c r="B166" s="26">
        <v>310</v>
      </c>
      <c r="C166" s="26">
        <v>900</v>
      </c>
      <c r="D166" s="26">
        <v>4</v>
      </c>
      <c r="E166" s="26"/>
      <c r="F166" s="28" t="s">
        <v>54</v>
      </c>
      <c r="G166" s="25">
        <v>100000000</v>
      </c>
      <c r="H166" s="25">
        <v>0</v>
      </c>
      <c r="I166" s="25">
        <f t="shared" si="10"/>
        <v>100000000</v>
      </c>
      <c r="J166" s="25">
        <v>951912</v>
      </c>
      <c r="K166" s="25">
        <f>+J166</f>
        <v>951912</v>
      </c>
      <c r="L166" s="14">
        <f t="shared" si="11"/>
        <v>0.9519120000000001</v>
      </c>
    </row>
    <row r="167" spans="1:12" ht="12.75" hidden="1">
      <c r="A167" s="26" t="s">
        <v>33</v>
      </c>
      <c r="B167" s="26">
        <v>310</v>
      </c>
      <c r="C167" s="26">
        <v>900</v>
      </c>
      <c r="D167" s="26">
        <v>5</v>
      </c>
      <c r="E167" s="26"/>
      <c r="F167" s="28" t="s">
        <v>55</v>
      </c>
      <c r="G167" s="25">
        <v>712069349</v>
      </c>
      <c r="H167" s="31">
        <v>0</v>
      </c>
      <c r="I167" s="25">
        <f t="shared" si="10"/>
        <v>712069349</v>
      </c>
      <c r="J167" s="25">
        <v>0</v>
      </c>
      <c r="K167" s="25">
        <v>0</v>
      </c>
      <c r="L167" s="14">
        <f t="shared" si="11"/>
        <v>0</v>
      </c>
    </row>
    <row r="168" spans="1:12" ht="22.5" hidden="1">
      <c r="A168" s="26" t="s">
        <v>33</v>
      </c>
      <c r="B168" s="26">
        <v>310</v>
      </c>
      <c r="C168" s="26">
        <v>900</v>
      </c>
      <c r="D168" s="26">
        <v>6</v>
      </c>
      <c r="E168" s="26"/>
      <c r="F168" s="28" t="s">
        <v>56</v>
      </c>
      <c r="G168" s="25">
        <v>100000000</v>
      </c>
      <c r="H168" s="25">
        <v>0</v>
      </c>
      <c r="I168" s="25">
        <f t="shared" si="10"/>
        <v>100000000</v>
      </c>
      <c r="J168" s="25">
        <v>0</v>
      </c>
      <c r="K168" s="25">
        <v>0</v>
      </c>
      <c r="L168" s="14">
        <f t="shared" si="11"/>
        <v>0</v>
      </c>
    </row>
    <row r="169" spans="1:12" ht="22.5" hidden="1">
      <c r="A169" s="26" t="s">
        <v>33</v>
      </c>
      <c r="B169" s="26">
        <v>520</v>
      </c>
      <c r="C169" s="26">
        <v>900</v>
      </c>
      <c r="D169" s="26">
        <v>7</v>
      </c>
      <c r="E169" s="26"/>
      <c r="F169" s="30" t="s">
        <v>57</v>
      </c>
      <c r="G169" s="25">
        <v>200000000</v>
      </c>
      <c r="H169" s="25">
        <v>0</v>
      </c>
      <c r="I169" s="25">
        <f t="shared" si="10"/>
        <v>200000000</v>
      </c>
      <c r="J169" s="25">
        <v>18546450</v>
      </c>
      <c r="K169" s="25">
        <f>+J169</f>
        <v>18546450</v>
      </c>
      <c r="L169" s="14">
        <f t="shared" si="11"/>
        <v>9.273225</v>
      </c>
    </row>
    <row r="170" spans="1:12" ht="12.75" hidden="1">
      <c r="A170" s="13" t="s">
        <v>33</v>
      </c>
      <c r="B170" s="13"/>
      <c r="C170" s="13"/>
      <c r="D170" s="13"/>
      <c r="E170" s="13"/>
      <c r="F170" s="27" t="s">
        <v>35</v>
      </c>
      <c r="G170" s="16">
        <f>+G161+G141</f>
        <v>10077156120</v>
      </c>
      <c r="H170" s="16">
        <f>+H161+H141</f>
        <v>1230345600</v>
      </c>
      <c r="I170" s="16">
        <f>+I161+I141</f>
        <v>11307501720</v>
      </c>
      <c r="J170" s="16">
        <f>+J161+J141</f>
        <v>201840982</v>
      </c>
      <c r="K170" s="16">
        <f>+K161+K141</f>
        <v>201840982</v>
      </c>
      <c r="L170" s="14">
        <f t="shared" si="11"/>
        <v>1.7850183621285356</v>
      </c>
    </row>
    <row r="171" ht="12.75" hidden="1">
      <c r="L171" s="3"/>
    </row>
    <row r="172" ht="12.75" hidden="1">
      <c r="L172" s="3"/>
    </row>
    <row r="173" ht="12.75" hidden="1"/>
    <row r="174" ht="12.75" hidden="1"/>
    <row r="175" ht="12.75" hidden="1"/>
    <row r="176" ht="12.75" hidden="1"/>
    <row r="177" spans="3:7" ht="12.75" hidden="1">
      <c r="C177" s="2" t="s">
        <v>1</v>
      </c>
      <c r="D177" s="1" t="s">
        <v>1</v>
      </c>
      <c r="E177" s="1" t="s">
        <v>1</v>
      </c>
      <c r="F177" s="1" t="s">
        <v>0</v>
      </c>
      <c r="G177" s="1"/>
    </row>
    <row r="178" spans="1:11" ht="12.75" hidden="1">
      <c r="A178" s="5"/>
      <c r="B178" s="5"/>
      <c r="C178" s="6" t="s">
        <v>1</v>
      </c>
      <c r="D178" s="7" t="s">
        <v>1</v>
      </c>
      <c r="E178" s="7" t="s">
        <v>1</v>
      </c>
      <c r="F178" s="7" t="s">
        <v>48</v>
      </c>
      <c r="G178" s="7"/>
      <c r="H178" s="7"/>
      <c r="I178" s="5"/>
      <c r="J178" s="5"/>
      <c r="K178" s="5"/>
    </row>
    <row r="179" spans="1:11" ht="12.75" hidden="1">
      <c r="A179" s="8"/>
      <c r="B179" s="8"/>
      <c r="C179" s="8"/>
      <c r="D179" s="8"/>
      <c r="E179" s="8"/>
      <c r="F179" s="9" t="s">
        <v>49</v>
      </c>
      <c r="G179" s="9"/>
      <c r="H179" s="9"/>
      <c r="I179" s="8"/>
      <c r="J179" s="18"/>
      <c r="K179" s="10" t="s">
        <v>64</v>
      </c>
    </row>
    <row r="180" spans="6:9" ht="12.75" hidden="1">
      <c r="F180" s="1"/>
      <c r="I180" t="s">
        <v>1</v>
      </c>
    </row>
    <row r="181" spans="1:12" ht="12.75" hidden="1">
      <c r="A181" s="11" t="s">
        <v>7</v>
      </c>
      <c r="B181" s="11" t="s">
        <v>8</v>
      </c>
      <c r="C181" s="12" t="s">
        <v>9</v>
      </c>
      <c r="D181" s="12" t="s">
        <v>10</v>
      </c>
      <c r="E181" s="12" t="s">
        <v>11</v>
      </c>
      <c r="F181" s="13"/>
      <c r="G181" s="13"/>
      <c r="H181" s="12" t="s">
        <v>1</v>
      </c>
      <c r="I181" s="13"/>
      <c r="J181" s="13"/>
      <c r="K181" s="11" t="s">
        <v>1</v>
      </c>
      <c r="L181" s="13"/>
    </row>
    <row r="182" spans="1:12" ht="12.75" hidden="1">
      <c r="A182" s="12"/>
      <c r="B182" s="11" t="s">
        <v>12</v>
      </c>
      <c r="C182" s="12"/>
      <c r="D182" s="12" t="s">
        <v>13</v>
      </c>
      <c r="E182" s="12"/>
      <c r="F182" s="13"/>
      <c r="G182" s="11" t="s">
        <v>3</v>
      </c>
      <c r="H182" s="11" t="s">
        <v>2</v>
      </c>
      <c r="I182" s="11" t="s">
        <v>3</v>
      </c>
      <c r="J182" s="11"/>
      <c r="K182" s="11" t="s">
        <v>58</v>
      </c>
      <c r="L182" s="32" t="s">
        <v>60</v>
      </c>
    </row>
    <row r="183" spans="1:12" ht="12.75" hidden="1">
      <c r="A183" s="12"/>
      <c r="B183" s="12"/>
      <c r="C183" s="12"/>
      <c r="D183" s="12" t="s">
        <v>14</v>
      </c>
      <c r="E183" s="12"/>
      <c r="F183" s="11" t="s">
        <v>15</v>
      </c>
      <c r="G183" s="11" t="s">
        <v>4</v>
      </c>
      <c r="H183" s="11" t="s">
        <v>16</v>
      </c>
      <c r="I183" s="11" t="s">
        <v>5</v>
      </c>
      <c r="J183" s="11"/>
      <c r="K183" s="11" t="s">
        <v>59</v>
      </c>
      <c r="L183" s="33" t="s">
        <v>61</v>
      </c>
    </row>
    <row r="184" spans="1:12" ht="12.75" hidden="1">
      <c r="A184" s="12"/>
      <c r="B184" s="12"/>
      <c r="C184" s="12"/>
      <c r="D184" s="12" t="s">
        <v>17</v>
      </c>
      <c r="E184" s="12"/>
      <c r="F184" s="13"/>
      <c r="G184" s="11">
        <v>1</v>
      </c>
      <c r="H184" s="11">
        <v>2</v>
      </c>
      <c r="I184" s="11" t="s">
        <v>18</v>
      </c>
      <c r="J184" s="11"/>
      <c r="K184" s="11"/>
      <c r="L184" s="13"/>
    </row>
    <row r="185" spans="1:12" ht="12.75" hidden="1">
      <c r="A185" s="13"/>
      <c r="B185" s="13"/>
      <c r="C185" s="13"/>
      <c r="D185" s="13"/>
      <c r="E185" s="13"/>
      <c r="F185" s="13"/>
      <c r="G185" s="14" t="s">
        <v>1</v>
      </c>
      <c r="H185" s="14"/>
      <c r="I185" s="14" t="s">
        <v>1</v>
      </c>
      <c r="J185" s="14"/>
      <c r="K185" s="14"/>
      <c r="L185" s="13"/>
    </row>
    <row r="186" spans="1:12" ht="12.75" hidden="1">
      <c r="A186" s="13" t="s">
        <v>19</v>
      </c>
      <c r="B186" s="13"/>
      <c r="C186" s="13"/>
      <c r="D186" s="13"/>
      <c r="E186" s="13"/>
      <c r="F186" s="15" t="s">
        <v>20</v>
      </c>
      <c r="G186" s="16">
        <f>SUM(G187+G195+G198)</f>
        <v>1291922856</v>
      </c>
      <c r="H186" s="16">
        <f>SUM(H187+H195+H197+H198)</f>
        <v>0</v>
      </c>
      <c r="I186" s="16">
        <f>+G186+H186</f>
        <v>1291922856</v>
      </c>
      <c r="J186" s="16">
        <f>SUM(J187+J195+J198)</f>
        <v>156997905</v>
      </c>
      <c r="K186" s="16">
        <f>+K95+J186</f>
        <v>306397558</v>
      </c>
      <c r="L186" s="14">
        <f>+K186/I186*100</f>
        <v>23.71639735120531</v>
      </c>
    </row>
    <row r="187" spans="1:12" ht="12.75" hidden="1">
      <c r="A187" s="13" t="s">
        <v>19</v>
      </c>
      <c r="B187" s="13">
        <v>1</v>
      </c>
      <c r="C187" s="13">
        <v>1</v>
      </c>
      <c r="D187" s="13">
        <v>0</v>
      </c>
      <c r="E187" s="13">
        <v>0</v>
      </c>
      <c r="F187" s="15" t="s">
        <v>21</v>
      </c>
      <c r="G187" s="16">
        <f>+G188+G193+G194</f>
        <v>1259060399</v>
      </c>
      <c r="H187" s="16">
        <f>+H188+H193+H194</f>
        <v>0</v>
      </c>
      <c r="I187" s="16">
        <f>+I188+I193+I194</f>
        <v>1259060399</v>
      </c>
      <c r="J187" s="16">
        <f>+J188+J193+J194</f>
        <v>156997905</v>
      </c>
      <c r="K187" s="16">
        <f aca="true" t="shared" si="12" ref="K187:K203">+K96+J187</f>
        <v>282886467</v>
      </c>
      <c r="L187" s="14">
        <f aca="true" t="shared" si="13" ref="L187:L198">+K187/I187*100</f>
        <v>22.468061677158666</v>
      </c>
    </row>
    <row r="188" spans="1:12" ht="12.75" hidden="1">
      <c r="A188" s="13" t="s">
        <v>19</v>
      </c>
      <c r="B188" s="13">
        <v>1</v>
      </c>
      <c r="C188" s="13">
        <v>1</v>
      </c>
      <c r="D188" s="13">
        <v>1</v>
      </c>
      <c r="E188" s="13">
        <v>0</v>
      </c>
      <c r="F188" s="13" t="s">
        <v>22</v>
      </c>
      <c r="G188" s="14">
        <f>SUM(G189:G192)</f>
        <v>998428465</v>
      </c>
      <c r="H188" s="14">
        <f>SUM(H189:H192)</f>
        <v>0</v>
      </c>
      <c r="I188" s="14">
        <f>+G188+H188</f>
        <v>998428465</v>
      </c>
      <c r="J188" s="14">
        <f>SUM(J189:J192)</f>
        <v>114423185</v>
      </c>
      <c r="K188" s="16">
        <f t="shared" si="12"/>
        <v>240311747</v>
      </c>
      <c r="L188" s="14">
        <f t="shared" si="13"/>
        <v>24.06899997587709</v>
      </c>
    </row>
    <row r="189" spans="1:12" ht="12.75" hidden="1">
      <c r="A189" s="13" t="s">
        <v>19</v>
      </c>
      <c r="B189" s="13">
        <v>1</v>
      </c>
      <c r="C189" s="13">
        <v>1</v>
      </c>
      <c r="D189" s="13">
        <v>1</v>
      </c>
      <c r="E189" s="13">
        <v>1</v>
      </c>
      <c r="F189" s="13" t="s">
        <v>23</v>
      </c>
      <c r="G189" s="14">
        <v>726033173</v>
      </c>
      <c r="H189" s="14">
        <v>0</v>
      </c>
      <c r="I189" s="14">
        <f>+G189+H189</f>
        <v>726033173</v>
      </c>
      <c r="J189" s="14">
        <v>99712665</v>
      </c>
      <c r="K189" s="16">
        <f t="shared" si="12"/>
        <v>202433499</v>
      </c>
      <c r="L189" s="14">
        <f t="shared" si="13"/>
        <v>27.882128052570405</v>
      </c>
    </row>
    <row r="190" spans="1:12" ht="12.75" hidden="1">
      <c r="A190" s="13" t="s">
        <v>19</v>
      </c>
      <c r="B190" s="13">
        <v>1</v>
      </c>
      <c r="C190" s="13">
        <v>1</v>
      </c>
      <c r="D190" s="13">
        <v>9</v>
      </c>
      <c r="E190" s="13">
        <v>1</v>
      </c>
      <c r="F190" s="13" t="s">
        <v>24</v>
      </c>
      <c r="G190" s="14">
        <v>1109073</v>
      </c>
      <c r="H190" s="14">
        <v>0</v>
      </c>
      <c r="I190" s="14">
        <f aca="true" t="shared" si="14" ref="I190:I195">+G190+H190</f>
        <v>1109073</v>
      </c>
      <c r="J190" s="14"/>
      <c r="K190" s="16">
        <f t="shared" si="12"/>
        <v>0</v>
      </c>
      <c r="L190" s="14">
        <f t="shared" si="13"/>
        <v>0</v>
      </c>
    </row>
    <row r="191" spans="1:12" ht="12.75" hidden="1">
      <c r="A191" s="13" t="s">
        <v>19</v>
      </c>
      <c r="B191" s="13">
        <v>1</v>
      </c>
      <c r="C191" s="13">
        <v>1</v>
      </c>
      <c r="D191" s="13">
        <v>4</v>
      </c>
      <c r="E191" s="13">
        <v>2</v>
      </c>
      <c r="F191" s="13" t="s">
        <v>25</v>
      </c>
      <c r="G191" s="14">
        <v>96499234</v>
      </c>
      <c r="H191" s="14">
        <f>0</f>
        <v>0</v>
      </c>
      <c r="I191" s="14">
        <f t="shared" si="14"/>
        <v>96499234</v>
      </c>
      <c r="J191" s="14">
        <v>10290948</v>
      </c>
      <c r="K191" s="16">
        <f t="shared" si="12"/>
        <v>22089468</v>
      </c>
      <c r="L191" s="14">
        <f t="shared" si="13"/>
        <v>22.890822117821163</v>
      </c>
    </row>
    <row r="192" spans="1:12" ht="12.75" hidden="1">
      <c r="A192" s="13" t="s">
        <v>19</v>
      </c>
      <c r="B192" s="13">
        <v>1</v>
      </c>
      <c r="C192" s="13">
        <v>1</v>
      </c>
      <c r="D192" s="13">
        <v>5</v>
      </c>
      <c r="E192" s="13">
        <v>0</v>
      </c>
      <c r="F192" s="13" t="s">
        <v>26</v>
      </c>
      <c r="G192" s="14">
        <v>174786985</v>
      </c>
      <c r="H192" s="14">
        <f>0</f>
        <v>0</v>
      </c>
      <c r="I192" s="14">
        <f t="shared" si="14"/>
        <v>174786985</v>
      </c>
      <c r="J192" s="14">
        <f>853167+1174998+624604+1766803</f>
        <v>4419572</v>
      </c>
      <c r="K192" s="16">
        <f t="shared" si="12"/>
        <v>15788780</v>
      </c>
      <c r="L192" s="14">
        <f t="shared" si="13"/>
        <v>9.033155414861124</v>
      </c>
    </row>
    <row r="193" spans="1:12" ht="12.75" hidden="1">
      <c r="A193" s="13" t="s">
        <v>19</v>
      </c>
      <c r="B193" s="13">
        <v>1</v>
      </c>
      <c r="C193" s="13">
        <v>5</v>
      </c>
      <c r="D193" s="13">
        <v>0</v>
      </c>
      <c r="E193" s="13">
        <v>1</v>
      </c>
      <c r="F193" s="13" t="s">
        <v>27</v>
      </c>
      <c r="G193" s="14">
        <v>56827811</v>
      </c>
      <c r="H193" s="14">
        <v>0</v>
      </c>
      <c r="I193" s="14">
        <f t="shared" si="14"/>
        <v>56827811</v>
      </c>
      <c r="J193" s="14">
        <v>21493185</v>
      </c>
      <c r="K193" s="16">
        <f t="shared" si="12"/>
        <v>21493185</v>
      </c>
      <c r="L193" s="14">
        <f t="shared" si="13"/>
        <v>37.821595837995595</v>
      </c>
    </row>
    <row r="194" spans="1:12" ht="12.75" hidden="1">
      <c r="A194" s="13" t="s">
        <v>19</v>
      </c>
      <c r="B194" s="13">
        <v>1</v>
      </c>
      <c r="C194" s="13">
        <v>5</v>
      </c>
      <c r="D194" s="13">
        <v>0</v>
      </c>
      <c r="E194" s="13">
        <v>2</v>
      </c>
      <c r="F194" s="13" t="s">
        <v>28</v>
      </c>
      <c r="G194" s="14">
        <f>163804123+40000000</f>
        <v>203804123</v>
      </c>
      <c r="H194" s="14">
        <f>0</f>
        <v>0</v>
      </c>
      <c r="I194" s="14">
        <f t="shared" si="14"/>
        <v>203804123</v>
      </c>
      <c r="J194" s="14">
        <f>15653135+3257040+2171360</f>
        <v>21081535</v>
      </c>
      <c r="K194" s="16">
        <f t="shared" si="12"/>
        <v>21081535</v>
      </c>
      <c r="L194" s="14">
        <f t="shared" si="13"/>
        <v>10.344017917635552</v>
      </c>
    </row>
    <row r="195" spans="1:12" ht="12.75" hidden="1">
      <c r="A195" s="13" t="s">
        <v>19</v>
      </c>
      <c r="B195" s="13">
        <v>2</v>
      </c>
      <c r="C195" s="13">
        <v>0</v>
      </c>
      <c r="D195" s="13">
        <v>0</v>
      </c>
      <c r="E195" s="13">
        <v>0</v>
      </c>
      <c r="F195" s="15" t="s">
        <v>29</v>
      </c>
      <c r="G195" s="16">
        <f>SUM(G196:G197)</f>
        <v>24698480</v>
      </c>
      <c r="H195" s="16">
        <f>SUM(H196:H197)</f>
        <v>0</v>
      </c>
      <c r="I195" s="16">
        <f t="shared" si="14"/>
        <v>24698480</v>
      </c>
      <c r="J195" s="16">
        <f>SUM(J196:J197)</f>
        <v>0</v>
      </c>
      <c r="K195" s="16">
        <f t="shared" si="12"/>
        <v>23511091</v>
      </c>
      <c r="L195" s="14">
        <f t="shared" si="13"/>
        <v>95.19246123648095</v>
      </c>
    </row>
    <row r="196" spans="1:12" ht="12.75" hidden="1">
      <c r="A196" s="13" t="s">
        <v>19</v>
      </c>
      <c r="B196" s="13">
        <v>2</v>
      </c>
      <c r="C196" s="13">
        <v>0</v>
      </c>
      <c r="D196" s="13">
        <v>4</v>
      </c>
      <c r="E196" s="13">
        <v>0</v>
      </c>
      <c r="F196" s="13" t="s">
        <v>30</v>
      </c>
      <c r="G196" s="14">
        <v>23511091</v>
      </c>
      <c r="H196" s="14">
        <v>0</v>
      </c>
      <c r="I196" s="14">
        <f>+G196+H196</f>
        <v>23511091</v>
      </c>
      <c r="J196" s="16">
        <v>0</v>
      </c>
      <c r="K196" s="16">
        <f t="shared" si="12"/>
        <v>23511091</v>
      </c>
      <c r="L196" s="14">
        <f t="shared" si="13"/>
        <v>100</v>
      </c>
    </row>
    <row r="197" spans="1:12" ht="12.75" hidden="1">
      <c r="A197" s="13" t="s">
        <v>19</v>
      </c>
      <c r="B197" s="13">
        <v>2</v>
      </c>
      <c r="C197" s="13">
        <v>0</v>
      </c>
      <c r="D197" s="13">
        <v>3</v>
      </c>
      <c r="E197" s="13">
        <v>50</v>
      </c>
      <c r="F197" s="13" t="s">
        <v>31</v>
      </c>
      <c r="G197" s="14">
        <v>1187389</v>
      </c>
      <c r="H197" s="14">
        <v>0</v>
      </c>
      <c r="I197" s="14">
        <f>+G197+H197</f>
        <v>1187389</v>
      </c>
      <c r="J197" s="14">
        <v>0</v>
      </c>
      <c r="K197" s="16">
        <f t="shared" si="12"/>
        <v>0</v>
      </c>
      <c r="L197" s="14">
        <f t="shared" si="13"/>
        <v>0</v>
      </c>
    </row>
    <row r="198" spans="1:12" ht="12.75" hidden="1">
      <c r="A198" s="13" t="s">
        <v>19</v>
      </c>
      <c r="B198" s="13">
        <v>3</v>
      </c>
      <c r="C198" s="13">
        <v>2</v>
      </c>
      <c r="D198" s="13">
        <v>1</v>
      </c>
      <c r="E198" s="13">
        <v>1</v>
      </c>
      <c r="F198" s="13" t="s">
        <v>32</v>
      </c>
      <c r="G198" s="14">
        <v>8163977</v>
      </c>
      <c r="H198" s="14">
        <v>0</v>
      </c>
      <c r="I198" s="14">
        <f>+G198+H198</f>
        <v>8163977</v>
      </c>
      <c r="J198" s="14">
        <v>0</v>
      </c>
      <c r="K198" s="16">
        <f t="shared" si="12"/>
        <v>0</v>
      </c>
      <c r="L198" s="14">
        <f t="shared" si="13"/>
        <v>0</v>
      </c>
    </row>
    <row r="199" spans="1:12" ht="12.75" hidden="1">
      <c r="A199" s="13"/>
      <c r="B199" s="13"/>
      <c r="C199" s="13"/>
      <c r="D199" s="13"/>
      <c r="E199" s="13"/>
      <c r="F199" s="13"/>
      <c r="G199" s="14"/>
      <c r="H199" s="14"/>
      <c r="I199" s="14"/>
      <c r="J199" s="14"/>
      <c r="K199" s="16">
        <f t="shared" si="12"/>
        <v>0</v>
      </c>
      <c r="L199" s="14" t="s">
        <v>1</v>
      </c>
    </row>
    <row r="200" spans="1:12" ht="12.75" hidden="1">
      <c r="A200" s="13" t="s">
        <v>33</v>
      </c>
      <c r="B200" s="13"/>
      <c r="C200" s="13"/>
      <c r="D200" s="13"/>
      <c r="E200" s="13"/>
      <c r="F200" s="15" t="s">
        <v>34</v>
      </c>
      <c r="G200" s="16">
        <f>+G202</f>
        <v>0</v>
      </c>
      <c r="H200" s="16">
        <f>+H202</f>
        <v>0</v>
      </c>
      <c r="I200" s="16">
        <f>+G200+H200</f>
        <v>0</v>
      </c>
      <c r="J200" s="16">
        <f>+J202</f>
        <v>0</v>
      </c>
      <c r="K200" s="16">
        <f t="shared" si="12"/>
        <v>0</v>
      </c>
      <c r="L200" s="14">
        <v>0</v>
      </c>
    </row>
    <row r="201" spans="1:12" ht="12.75" hidden="1">
      <c r="A201" s="13"/>
      <c r="B201" s="13"/>
      <c r="C201" s="13"/>
      <c r="D201" s="13"/>
      <c r="E201" s="13"/>
      <c r="F201" s="13"/>
      <c r="G201" s="14"/>
      <c r="H201" s="14"/>
      <c r="I201" s="14"/>
      <c r="J201" s="14"/>
      <c r="K201" s="16">
        <f t="shared" si="12"/>
        <v>0</v>
      </c>
      <c r="L201" s="14" t="s">
        <v>1</v>
      </c>
    </row>
    <row r="202" spans="1:12" ht="12.75" hidden="1">
      <c r="A202" s="13" t="s">
        <v>1</v>
      </c>
      <c r="B202" s="13" t="s">
        <v>1</v>
      </c>
      <c r="C202" s="13" t="s">
        <v>1</v>
      </c>
      <c r="D202" s="13" t="s">
        <v>1</v>
      </c>
      <c r="E202" s="13" t="s">
        <v>1</v>
      </c>
      <c r="F202" s="17" t="s">
        <v>1</v>
      </c>
      <c r="G202" s="14">
        <v>0</v>
      </c>
      <c r="H202" s="14">
        <v>0</v>
      </c>
      <c r="I202" s="14">
        <f>+G202+H202</f>
        <v>0</v>
      </c>
      <c r="J202" s="14">
        <v>0</v>
      </c>
      <c r="K202" s="16">
        <f t="shared" si="12"/>
        <v>0</v>
      </c>
      <c r="L202" s="14">
        <v>0</v>
      </c>
    </row>
    <row r="203" spans="1:12" ht="12.75" hidden="1">
      <c r="A203" s="13"/>
      <c r="B203" s="13"/>
      <c r="C203" s="13"/>
      <c r="D203" s="13"/>
      <c r="E203" s="13"/>
      <c r="F203" s="15" t="s">
        <v>35</v>
      </c>
      <c r="G203" s="16">
        <f>+G186+G200</f>
        <v>1291922856</v>
      </c>
      <c r="H203" s="16">
        <f>+H186+H200</f>
        <v>0</v>
      </c>
      <c r="I203" s="16">
        <f>+I186+I200</f>
        <v>1291922856</v>
      </c>
      <c r="J203" s="16">
        <f>+J186+J200</f>
        <v>156997905</v>
      </c>
      <c r="K203" s="16">
        <f t="shared" si="12"/>
        <v>306397558</v>
      </c>
      <c r="L203" s="14">
        <f>+K203/I203*100</f>
        <v>23.71639735120531</v>
      </c>
    </row>
    <row r="204" spans="2:11" ht="12.75" hidden="1">
      <c r="B204" s="18"/>
      <c r="C204" s="18"/>
      <c r="D204" s="18"/>
      <c r="E204" s="18"/>
      <c r="F204" s="18"/>
      <c r="G204" s="19" t="s">
        <v>1</v>
      </c>
      <c r="H204" s="18"/>
      <c r="I204" s="19" t="s">
        <v>1</v>
      </c>
      <c r="J204" s="19"/>
      <c r="K204" s="19" t="s">
        <v>1</v>
      </c>
    </row>
    <row r="205" spans="7:10" ht="12.75" hidden="1">
      <c r="G205" s="3" t="s">
        <v>1</v>
      </c>
      <c r="I205" s="3" t="s">
        <v>1</v>
      </c>
      <c r="J205" s="3"/>
    </row>
    <row r="206" ht="12.75" hidden="1"/>
    <row r="207" ht="12.75" hidden="1"/>
    <row r="208" spans="6:11" ht="12.75" hidden="1">
      <c r="F208" s="4" t="s">
        <v>6</v>
      </c>
      <c r="G208" s="4"/>
      <c r="H208" s="4" t="s">
        <v>46</v>
      </c>
      <c r="I208" s="4"/>
      <c r="J208" s="4"/>
      <c r="K208" s="4"/>
    </row>
    <row r="209" spans="6:11" ht="12.75" hidden="1">
      <c r="F209" s="4" t="s">
        <v>36</v>
      </c>
      <c r="G209" s="4"/>
      <c r="H209" s="4" t="s">
        <v>47</v>
      </c>
      <c r="I209" s="4"/>
      <c r="J209" s="4"/>
      <c r="K209" s="4"/>
    </row>
    <row r="210" ht="12.75" hidden="1"/>
    <row r="211" ht="12.75" hidden="1"/>
    <row r="212" ht="12.75" hidden="1"/>
    <row r="213" ht="12.75" hidden="1"/>
    <row r="214" ht="12.75" hidden="1">
      <c r="H214" t="s">
        <v>1</v>
      </c>
    </row>
    <row r="215" ht="12.75" hidden="1">
      <c r="H215" t="s">
        <v>1</v>
      </c>
    </row>
    <row r="216" ht="12.75" hidden="1">
      <c r="H216" t="s">
        <v>1</v>
      </c>
    </row>
    <row r="217" ht="12.75" hidden="1"/>
    <row r="218" ht="12.75" hidden="1"/>
    <row r="219" ht="12.75" hidden="1"/>
    <row r="220" ht="12.75" hidden="1"/>
    <row r="221" ht="12.75" hidden="1">
      <c r="I221" t="s">
        <v>1</v>
      </c>
    </row>
    <row r="222" spans="1:10" ht="12.75" hidden="1">
      <c r="A222" t="s">
        <v>1</v>
      </c>
      <c r="F222" s="1" t="s">
        <v>1</v>
      </c>
      <c r="G222" s="1"/>
      <c r="I222" s="3" t="s">
        <v>1</v>
      </c>
      <c r="J222" s="3"/>
    </row>
    <row r="223" spans="1:9" ht="12.75" hidden="1">
      <c r="A223" t="s">
        <v>1</v>
      </c>
      <c r="E223" s="1" t="s">
        <v>1</v>
      </c>
      <c r="F223" s="1" t="s">
        <v>1</v>
      </c>
      <c r="G223" s="1"/>
      <c r="I223" t="s">
        <v>1</v>
      </c>
    </row>
    <row r="224" spans="3:7" ht="12.75" hidden="1">
      <c r="C224" s="2" t="s">
        <v>1</v>
      </c>
      <c r="D224" s="1" t="s">
        <v>1</v>
      </c>
      <c r="E224" s="1" t="s">
        <v>1</v>
      </c>
      <c r="F224" s="1" t="s">
        <v>0</v>
      </c>
      <c r="G224" s="1"/>
    </row>
    <row r="225" spans="1:11" ht="12.75" hidden="1">
      <c r="A225" s="5"/>
      <c r="B225" s="5"/>
      <c r="C225" s="6" t="s">
        <v>1</v>
      </c>
      <c r="D225" s="7" t="s">
        <v>1</v>
      </c>
      <c r="E225" s="7" t="s">
        <v>1</v>
      </c>
      <c r="F225" s="7" t="s">
        <v>48</v>
      </c>
      <c r="G225" s="7"/>
      <c r="H225" s="7"/>
      <c r="I225" s="5"/>
      <c r="J225" s="5"/>
      <c r="K225" s="5"/>
    </row>
    <row r="226" spans="1:11" ht="12.75" hidden="1">
      <c r="A226" s="8"/>
      <c r="B226" s="8"/>
      <c r="C226" s="8"/>
      <c r="D226" s="8"/>
      <c r="E226" s="8"/>
      <c r="F226" s="9" t="s">
        <v>50</v>
      </c>
      <c r="G226" s="9"/>
      <c r="H226" s="9" t="s">
        <v>1</v>
      </c>
      <c r="I226" s="20" t="s">
        <v>1</v>
      </c>
      <c r="J226" s="20"/>
      <c r="K226" s="34">
        <v>39479</v>
      </c>
    </row>
    <row r="227" spans="6:11" ht="12.75" hidden="1">
      <c r="F227" s="1"/>
      <c r="I227" s="3" t="s">
        <v>37</v>
      </c>
      <c r="J227" s="3"/>
      <c r="K227" s="10"/>
    </row>
    <row r="228" spans="1:12" ht="12.75" hidden="1">
      <c r="A228" s="12"/>
      <c r="B228" s="11" t="s">
        <v>12</v>
      </c>
      <c r="C228" s="12"/>
      <c r="D228" s="12" t="s">
        <v>13</v>
      </c>
      <c r="E228" s="12"/>
      <c r="F228" s="21"/>
      <c r="G228" s="11" t="s">
        <v>3</v>
      </c>
      <c r="H228" s="11" t="s">
        <v>2</v>
      </c>
      <c r="I228" s="11" t="s">
        <v>3</v>
      </c>
      <c r="J228" s="11"/>
      <c r="K228" s="22" t="s">
        <v>58</v>
      </c>
      <c r="L228" s="32" t="s">
        <v>60</v>
      </c>
    </row>
    <row r="229" spans="1:12" ht="12.75" hidden="1">
      <c r="A229" s="12"/>
      <c r="B229" s="12"/>
      <c r="C229" s="12"/>
      <c r="D229" s="12" t="s">
        <v>14</v>
      </c>
      <c r="E229" s="12"/>
      <c r="F229" s="11" t="s">
        <v>15</v>
      </c>
      <c r="G229" s="11" t="s">
        <v>4</v>
      </c>
      <c r="H229" s="11" t="s">
        <v>16</v>
      </c>
      <c r="I229" s="11" t="s">
        <v>5</v>
      </c>
      <c r="J229" s="11"/>
      <c r="K229" s="11" t="s">
        <v>59</v>
      </c>
      <c r="L229" s="33" t="s">
        <v>61</v>
      </c>
    </row>
    <row r="230" spans="1:12" ht="12.75" hidden="1">
      <c r="A230" s="12"/>
      <c r="B230" s="12"/>
      <c r="C230" s="12"/>
      <c r="D230" s="12" t="s">
        <v>17</v>
      </c>
      <c r="E230" s="12"/>
      <c r="F230" s="21"/>
      <c r="G230" s="11">
        <v>1</v>
      </c>
      <c r="H230" s="11">
        <v>2</v>
      </c>
      <c r="I230" s="11" t="s">
        <v>18</v>
      </c>
      <c r="J230" s="11"/>
      <c r="K230" s="11"/>
      <c r="L230" s="13"/>
    </row>
    <row r="231" spans="1:12" ht="12.75" hidden="1">
      <c r="A231" s="21"/>
      <c r="B231" s="21"/>
      <c r="C231" s="21"/>
      <c r="D231" s="21"/>
      <c r="E231" s="21"/>
      <c r="F231" s="21"/>
      <c r="G231" s="23" t="s">
        <v>1</v>
      </c>
      <c r="H231" s="23" t="s">
        <v>1</v>
      </c>
      <c r="I231" s="23" t="s">
        <v>1</v>
      </c>
      <c r="J231" s="23"/>
      <c r="K231" s="23"/>
      <c r="L231" s="13"/>
    </row>
    <row r="232" spans="1:13" ht="12.75" hidden="1">
      <c r="A232" s="21" t="s">
        <v>19</v>
      </c>
      <c r="B232" s="21"/>
      <c r="C232" s="21"/>
      <c r="D232" s="21"/>
      <c r="E232" s="21"/>
      <c r="F232" s="21" t="s">
        <v>38</v>
      </c>
      <c r="G232" s="23">
        <f>SUM(G233+G242+G246)</f>
        <v>2990108195</v>
      </c>
      <c r="H232" s="23">
        <f>SUM(H233+H242+H246)</f>
        <v>0</v>
      </c>
      <c r="I232" s="23">
        <f>SUM(I233+I242+I246)</f>
        <v>2990108195</v>
      </c>
      <c r="J232" s="23">
        <f>SUM(J233+J242+J246)</f>
        <v>186261263</v>
      </c>
      <c r="K232" s="23">
        <f>+K141+J232</f>
        <v>356839440</v>
      </c>
      <c r="L232" s="14">
        <f>+K232/I232*100</f>
        <v>11.933997592351336</v>
      </c>
      <c r="M232" s="3"/>
    </row>
    <row r="233" spans="1:13" ht="12.75" hidden="1">
      <c r="A233" s="21" t="s">
        <v>19</v>
      </c>
      <c r="B233" s="21">
        <v>1</v>
      </c>
      <c r="C233" s="21">
        <v>1</v>
      </c>
      <c r="D233" s="21">
        <v>0</v>
      </c>
      <c r="E233" s="21">
        <v>0</v>
      </c>
      <c r="F233" s="21" t="s">
        <v>21</v>
      </c>
      <c r="G233" s="23">
        <f>SUM(G234+G239+G240+G241)</f>
        <v>1315851325</v>
      </c>
      <c r="H233" s="23">
        <f>SUM(H234+H239+H240+H241)</f>
        <v>0</v>
      </c>
      <c r="I233" s="23">
        <f>+I234+I239+I240+I241</f>
        <v>1315851325</v>
      </c>
      <c r="J233" s="23">
        <f>SUM(J234+J239+J240+J241)</f>
        <v>1330739</v>
      </c>
      <c r="K233" s="23">
        <f>+K142+J233</f>
        <v>130350407</v>
      </c>
      <c r="L233" s="14">
        <f aca="true" t="shared" si="15" ref="L233:L250">+K233/I233*100</f>
        <v>9.906165272889018</v>
      </c>
      <c r="M233" s="3"/>
    </row>
    <row r="234" spans="1:13" ht="12.75" hidden="1">
      <c r="A234" s="21" t="s">
        <v>19</v>
      </c>
      <c r="B234" s="21">
        <v>1</v>
      </c>
      <c r="C234" s="21">
        <v>1</v>
      </c>
      <c r="D234" s="21">
        <v>1</v>
      </c>
      <c r="E234" s="21">
        <v>0</v>
      </c>
      <c r="F234" s="21" t="s">
        <v>22</v>
      </c>
      <c r="G234" s="23">
        <f>SUM(G235:G238)</f>
        <v>839112619</v>
      </c>
      <c r="H234" s="23">
        <f>SUM(H235:H238)</f>
        <v>0</v>
      </c>
      <c r="I234" s="23">
        <f>SUM(I235:I238)</f>
        <v>839112619</v>
      </c>
      <c r="J234" s="23">
        <f>SUM(J235:J238)</f>
        <v>1330739</v>
      </c>
      <c r="K234" s="23">
        <f>+K143+J234</f>
        <v>9485149</v>
      </c>
      <c r="L234" s="14">
        <f t="shared" si="15"/>
        <v>1.130378543383579</v>
      </c>
      <c r="M234" s="3"/>
    </row>
    <row r="235" spans="1:13" ht="12.75" hidden="1">
      <c r="A235" s="21" t="s">
        <v>19</v>
      </c>
      <c r="B235" s="21">
        <v>1</v>
      </c>
      <c r="C235" s="21">
        <v>1</v>
      </c>
      <c r="D235" s="21">
        <v>1</v>
      </c>
      <c r="E235" s="21">
        <v>1</v>
      </c>
      <c r="F235" s="21" t="s">
        <v>23</v>
      </c>
      <c r="G235" s="23">
        <v>646562329</v>
      </c>
      <c r="H235" s="23">
        <v>0</v>
      </c>
      <c r="I235" s="23">
        <f>SUM(G235+H235)</f>
        <v>646562329</v>
      </c>
      <c r="J235" s="23">
        <v>0</v>
      </c>
      <c r="K235" s="23">
        <f aca="true" t="shared" si="16" ref="K235:K261">+K144+J235</f>
        <v>0</v>
      </c>
      <c r="L235" s="14">
        <f t="shared" si="15"/>
        <v>0</v>
      </c>
      <c r="M235" s="3"/>
    </row>
    <row r="236" spans="1:13" ht="12.75" hidden="1">
      <c r="A236" s="21" t="s">
        <v>19</v>
      </c>
      <c r="B236" s="21">
        <v>1</v>
      </c>
      <c r="C236" s="21">
        <v>1</v>
      </c>
      <c r="D236" s="21">
        <v>9</v>
      </c>
      <c r="E236" s="21">
        <v>3</v>
      </c>
      <c r="F236" s="21" t="s">
        <v>39</v>
      </c>
      <c r="G236" s="23">
        <v>10000000</v>
      </c>
      <c r="H236" s="23">
        <v>0</v>
      </c>
      <c r="I236" s="23">
        <f>SUM(G236+H236)</f>
        <v>10000000</v>
      </c>
      <c r="J236" s="23">
        <v>642879</v>
      </c>
      <c r="K236" s="23">
        <f t="shared" si="16"/>
        <v>7204227</v>
      </c>
      <c r="L236" s="14">
        <f t="shared" si="15"/>
        <v>72.04227</v>
      </c>
      <c r="M236" s="3"/>
    </row>
    <row r="237" spans="1:13" ht="12.75" hidden="1">
      <c r="A237" s="21" t="s">
        <v>19</v>
      </c>
      <c r="B237" s="21">
        <v>1</v>
      </c>
      <c r="C237" s="21">
        <v>1</v>
      </c>
      <c r="D237" s="21">
        <v>4</v>
      </c>
      <c r="E237" s="21">
        <v>2</v>
      </c>
      <c r="F237" s="21" t="s">
        <v>25</v>
      </c>
      <c r="G237" s="23">
        <v>51756389</v>
      </c>
      <c r="H237" s="23">
        <v>0</v>
      </c>
      <c r="I237" s="23">
        <f>SUM(G237+H237)</f>
        <v>51756389</v>
      </c>
      <c r="J237" s="23">
        <v>0</v>
      </c>
      <c r="K237" s="23">
        <f t="shared" si="16"/>
        <v>0</v>
      </c>
      <c r="L237" s="14">
        <f t="shared" si="15"/>
        <v>0</v>
      </c>
      <c r="M237" s="3"/>
    </row>
    <row r="238" spans="1:13" ht="12.75" hidden="1">
      <c r="A238" s="21" t="s">
        <v>19</v>
      </c>
      <c r="B238" s="21">
        <v>1</v>
      </c>
      <c r="C238" s="21">
        <v>1</v>
      </c>
      <c r="D238" s="21">
        <v>5</v>
      </c>
      <c r="E238" s="21">
        <v>0</v>
      </c>
      <c r="F238" s="21" t="s">
        <v>26</v>
      </c>
      <c r="G238" s="23">
        <v>130793901</v>
      </c>
      <c r="H238" s="23">
        <v>0</v>
      </c>
      <c r="I238" s="23">
        <f>SUM(G238+H238)</f>
        <v>130793901</v>
      </c>
      <c r="J238" s="23">
        <v>687860</v>
      </c>
      <c r="K238" s="23">
        <f t="shared" si="16"/>
        <v>2280922</v>
      </c>
      <c r="L238" s="14">
        <f t="shared" si="15"/>
        <v>1.7439054746138356</v>
      </c>
      <c r="M238" s="3"/>
    </row>
    <row r="239" spans="1:13" ht="12.75" hidden="1">
      <c r="A239" s="21" t="s">
        <v>19</v>
      </c>
      <c r="B239" s="21">
        <v>1</v>
      </c>
      <c r="C239" s="21">
        <v>0</v>
      </c>
      <c r="D239" s="21">
        <v>2</v>
      </c>
      <c r="E239" s="21">
        <v>0</v>
      </c>
      <c r="F239" s="21" t="s">
        <v>40</v>
      </c>
      <c r="G239" s="23">
        <v>140863035</v>
      </c>
      <c r="H239" s="24">
        <v>0</v>
      </c>
      <c r="I239" s="23">
        <f>SUM(G239+H239)</f>
        <v>140863035</v>
      </c>
      <c r="J239" s="23">
        <v>0</v>
      </c>
      <c r="K239" s="23">
        <f t="shared" si="16"/>
        <v>120865258</v>
      </c>
      <c r="L239" s="14">
        <f t="shared" si="15"/>
        <v>85.8033890864271</v>
      </c>
      <c r="M239" s="3"/>
    </row>
    <row r="240" spans="1:13" ht="12.75" hidden="1">
      <c r="A240" s="21" t="s">
        <v>19</v>
      </c>
      <c r="B240" s="21">
        <v>1</v>
      </c>
      <c r="C240" s="21">
        <v>5</v>
      </c>
      <c r="D240" s="21">
        <v>0</v>
      </c>
      <c r="E240" s="21">
        <v>1</v>
      </c>
      <c r="F240" s="21" t="s">
        <v>27</v>
      </c>
      <c r="G240" s="23">
        <v>228481415</v>
      </c>
      <c r="H240" s="24">
        <v>0</v>
      </c>
      <c r="I240" s="23">
        <f>+G240+H240</f>
        <v>228481415</v>
      </c>
      <c r="J240" s="23">
        <v>0</v>
      </c>
      <c r="K240" s="23">
        <f t="shared" si="16"/>
        <v>0</v>
      </c>
      <c r="L240" s="14">
        <f t="shared" si="15"/>
        <v>0</v>
      </c>
      <c r="M240" s="3"/>
    </row>
    <row r="241" spans="1:13" ht="12.75" hidden="1">
      <c r="A241" s="21" t="s">
        <v>19</v>
      </c>
      <c r="B241" s="21">
        <v>1</v>
      </c>
      <c r="C241" s="21">
        <v>5</v>
      </c>
      <c r="D241" s="21">
        <v>0</v>
      </c>
      <c r="E241" s="21">
        <v>2</v>
      </c>
      <c r="F241" s="21" t="s">
        <v>28</v>
      </c>
      <c r="G241" s="23">
        <v>107394256</v>
      </c>
      <c r="H241" s="24">
        <v>0</v>
      </c>
      <c r="I241" s="23">
        <f>+G241+H241</f>
        <v>107394256</v>
      </c>
      <c r="J241" s="23">
        <v>0</v>
      </c>
      <c r="K241" s="23">
        <f t="shared" si="16"/>
        <v>0</v>
      </c>
      <c r="L241" s="14">
        <f t="shared" si="15"/>
        <v>0</v>
      </c>
      <c r="M241" s="3"/>
    </row>
    <row r="242" spans="1:13" ht="12.75" hidden="1">
      <c r="A242" s="21" t="s">
        <v>19</v>
      </c>
      <c r="B242" s="21">
        <v>2</v>
      </c>
      <c r="C242" s="21">
        <v>0</v>
      </c>
      <c r="D242" s="21">
        <v>0</v>
      </c>
      <c r="E242" s="21">
        <v>0</v>
      </c>
      <c r="F242" s="21" t="s">
        <v>29</v>
      </c>
      <c r="G242" s="23">
        <f>SUM(G243:G245)</f>
        <v>696598707</v>
      </c>
      <c r="H242" s="23">
        <v>0</v>
      </c>
      <c r="I242" s="23">
        <f>+I243+I244+I245</f>
        <v>696598707</v>
      </c>
      <c r="J242" s="23">
        <f>SUM(J243:J245)</f>
        <v>96443409</v>
      </c>
      <c r="K242" s="23">
        <f t="shared" si="16"/>
        <v>138001918</v>
      </c>
      <c r="L242" s="14">
        <f t="shared" si="15"/>
        <v>19.810820291976224</v>
      </c>
      <c r="M242" s="3"/>
    </row>
    <row r="243" spans="1:13" ht="12.75" hidden="1">
      <c r="A243" s="21" t="s">
        <v>19</v>
      </c>
      <c r="B243" s="21">
        <v>2</v>
      </c>
      <c r="C243" s="21">
        <v>4</v>
      </c>
      <c r="D243" s="21">
        <v>0</v>
      </c>
      <c r="E243" s="21">
        <v>0</v>
      </c>
      <c r="F243" s="21" t="s">
        <v>41</v>
      </c>
      <c r="G243" s="23">
        <v>124289000</v>
      </c>
      <c r="H243" s="24">
        <v>0</v>
      </c>
      <c r="I243" s="23">
        <f>+G243+H243</f>
        <v>124289000</v>
      </c>
      <c r="J243" s="23">
        <v>10589589</v>
      </c>
      <c r="K243" s="23">
        <f t="shared" si="16"/>
        <v>22178047</v>
      </c>
      <c r="L243" s="14">
        <f t="shared" si="15"/>
        <v>17.84393389600045</v>
      </c>
      <c r="M243" s="3"/>
    </row>
    <row r="244" spans="1:13" ht="12.75" hidden="1">
      <c r="A244" s="21" t="s">
        <v>19</v>
      </c>
      <c r="B244" s="21">
        <v>2</v>
      </c>
      <c r="C244" s="21">
        <v>4</v>
      </c>
      <c r="D244" s="21">
        <v>0</v>
      </c>
      <c r="E244" s="21">
        <v>0</v>
      </c>
      <c r="F244" s="21" t="s">
        <v>30</v>
      </c>
      <c r="G244" s="23">
        <v>551497096</v>
      </c>
      <c r="H244" s="24">
        <v>0</v>
      </c>
      <c r="I244" s="23">
        <f>+G244+H244</f>
        <v>551497096</v>
      </c>
      <c r="J244" s="23">
        <f>136443409-50589589</f>
        <v>85853820</v>
      </c>
      <c r="K244" s="23">
        <f t="shared" si="16"/>
        <v>115823871</v>
      </c>
      <c r="L244" s="14">
        <f t="shared" si="15"/>
        <v>21.001719109686846</v>
      </c>
      <c r="M244" s="3"/>
    </row>
    <row r="245" spans="1:13" ht="12.75" hidden="1">
      <c r="A245" s="21" t="s">
        <v>19</v>
      </c>
      <c r="B245" s="21">
        <v>2</v>
      </c>
      <c r="C245" s="21">
        <v>0</v>
      </c>
      <c r="D245" s="21">
        <v>3</v>
      </c>
      <c r="E245" s="21">
        <v>0</v>
      </c>
      <c r="F245" s="21" t="s">
        <v>31</v>
      </c>
      <c r="G245" s="23">
        <v>20812611</v>
      </c>
      <c r="H245" s="23">
        <v>0</v>
      </c>
      <c r="I245" s="23">
        <f>+G245+H245</f>
        <v>20812611</v>
      </c>
      <c r="J245" s="23">
        <v>0</v>
      </c>
      <c r="K245" s="23">
        <f t="shared" si="16"/>
        <v>0</v>
      </c>
      <c r="L245" s="14">
        <f t="shared" si="15"/>
        <v>0</v>
      </c>
      <c r="M245" s="3"/>
    </row>
    <row r="246" spans="1:13" ht="12.75" hidden="1">
      <c r="A246" s="21" t="s">
        <v>19</v>
      </c>
      <c r="B246" s="21">
        <v>3</v>
      </c>
      <c r="C246" s="21">
        <v>0</v>
      </c>
      <c r="D246" s="21">
        <v>0</v>
      </c>
      <c r="E246" s="21">
        <v>0</v>
      </c>
      <c r="F246" s="21" t="s">
        <v>32</v>
      </c>
      <c r="G246" s="23">
        <f>SUM(G247:G250)</f>
        <v>977658163</v>
      </c>
      <c r="H246" s="23">
        <v>0</v>
      </c>
      <c r="I246" s="23">
        <f>SUM(I247:I250)</f>
        <v>977658163</v>
      </c>
      <c r="J246" s="23">
        <f>SUM(J247:J250)</f>
        <v>88487115</v>
      </c>
      <c r="K246" s="23">
        <f t="shared" si="16"/>
        <v>88487115</v>
      </c>
      <c r="L246" s="14">
        <f t="shared" si="15"/>
        <v>9.0509258091266</v>
      </c>
      <c r="M246" s="3"/>
    </row>
    <row r="247" spans="1:13" ht="12.75" hidden="1">
      <c r="A247" s="21" t="s">
        <v>19</v>
      </c>
      <c r="B247" s="21">
        <v>3</v>
      </c>
      <c r="C247" s="21">
        <v>2</v>
      </c>
      <c r="D247" s="21">
        <v>1</v>
      </c>
      <c r="E247" s="21">
        <v>1</v>
      </c>
      <c r="F247" s="21" t="s">
        <v>42</v>
      </c>
      <c r="G247" s="23">
        <v>18796584</v>
      </c>
      <c r="H247" s="23">
        <v>0</v>
      </c>
      <c r="I247" s="23">
        <f>+G247+H247</f>
        <v>18796584</v>
      </c>
      <c r="J247" s="23">
        <v>0</v>
      </c>
      <c r="K247" s="23">
        <f t="shared" si="16"/>
        <v>0</v>
      </c>
      <c r="L247" s="14">
        <f t="shared" si="15"/>
        <v>0</v>
      </c>
      <c r="M247" s="3"/>
    </row>
    <row r="248" spans="1:13" ht="12.75" hidden="1">
      <c r="A248" s="21" t="s">
        <v>19</v>
      </c>
      <c r="B248" s="21">
        <v>3</v>
      </c>
      <c r="C248" s="21">
        <v>2</v>
      </c>
      <c r="D248" s="21">
        <v>1</v>
      </c>
      <c r="E248" s="21">
        <v>2</v>
      </c>
      <c r="F248" s="21" t="s">
        <v>43</v>
      </c>
      <c r="G248" s="23">
        <v>935861579</v>
      </c>
      <c r="H248" s="23">
        <v>0</v>
      </c>
      <c r="I248" s="23">
        <f>+G248+H248</f>
        <v>935861579</v>
      </c>
      <c r="J248" s="23">
        <v>88487115</v>
      </c>
      <c r="K248" s="23">
        <f t="shared" si="16"/>
        <v>88487115</v>
      </c>
      <c r="L248" s="14">
        <f t="shared" si="15"/>
        <v>9.455149883869739</v>
      </c>
      <c r="M248" s="3"/>
    </row>
    <row r="249" spans="1:13" ht="12.75" hidden="1">
      <c r="A249" s="21" t="s">
        <v>19</v>
      </c>
      <c r="B249" s="21">
        <v>3</v>
      </c>
      <c r="C249" s="21">
        <v>2</v>
      </c>
      <c r="D249" s="21">
        <v>1</v>
      </c>
      <c r="E249" s="21">
        <v>3</v>
      </c>
      <c r="F249" s="21" t="s">
        <v>44</v>
      </c>
      <c r="G249" s="23">
        <v>18000000</v>
      </c>
      <c r="H249" s="23">
        <v>0</v>
      </c>
      <c r="I249" s="23">
        <f>+G249+H249</f>
        <v>18000000</v>
      </c>
      <c r="J249" s="23">
        <v>0</v>
      </c>
      <c r="K249" s="23">
        <f t="shared" si="16"/>
        <v>0</v>
      </c>
      <c r="L249" s="14">
        <f t="shared" si="15"/>
        <v>0</v>
      </c>
      <c r="M249" s="3"/>
    </row>
    <row r="250" spans="1:13" ht="12.75" hidden="1">
      <c r="A250" s="21" t="s">
        <v>19</v>
      </c>
      <c r="B250" s="21">
        <v>3</v>
      </c>
      <c r="C250" s="21">
        <v>6</v>
      </c>
      <c r="D250" s="21">
        <v>1</v>
      </c>
      <c r="E250" s="21">
        <v>1</v>
      </c>
      <c r="F250" s="21" t="s">
        <v>45</v>
      </c>
      <c r="G250" s="23">
        <v>5000000</v>
      </c>
      <c r="H250" s="23">
        <v>0</v>
      </c>
      <c r="I250" s="23">
        <f>+G250+H250</f>
        <v>5000000</v>
      </c>
      <c r="J250" s="23">
        <v>0</v>
      </c>
      <c r="K250" s="23">
        <f t="shared" si="16"/>
        <v>0</v>
      </c>
      <c r="L250" s="14">
        <f t="shared" si="15"/>
        <v>0</v>
      </c>
      <c r="M250" s="3"/>
    </row>
    <row r="251" spans="1:13" ht="12.75" hidden="1">
      <c r="A251" s="21"/>
      <c r="B251" s="21"/>
      <c r="C251" s="21"/>
      <c r="D251" s="21"/>
      <c r="E251" s="21"/>
      <c r="F251" s="21" t="s">
        <v>1</v>
      </c>
      <c r="G251" s="23" t="s">
        <v>1</v>
      </c>
      <c r="H251" s="23" t="s">
        <v>1</v>
      </c>
      <c r="I251" s="23" t="s">
        <v>1</v>
      </c>
      <c r="J251" s="23"/>
      <c r="K251" s="23" t="s">
        <v>1</v>
      </c>
      <c r="L251" s="14" t="s">
        <v>1</v>
      </c>
      <c r="M251" s="3"/>
    </row>
    <row r="252" spans="1:13" ht="12.75" hidden="1">
      <c r="A252" s="21" t="s">
        <v>33</v>
      </c>
      <c r="B252" s="21"/>
      <c r="C252" s="21"/>
      <c r="D252" s="21" t="s">
        <v>1</v>
      </c>
      <c r="E252" s="21"/>
      <c r="F252" s="21" t="s">
        <v>34</v>
      </c>
      <c r="G252" s="25">
        <f>SUM(G254:G260)</f>
        <v>7087047925</v>
      </c>
      <c r="H252" s="25">
        <f>SUM(H254:H260)</f>
        <v>1230345600</v>
      </c>
      <c r="I252" s="25">
        <f>SUM(G252+H252)</f>
        <v>8317393525</v>
      </c>
      <c r="J252" s="25">
        <f>SUM(J254:J260)</f>
        <v>107242406</v>
      </c>
      <c r="K252" s="23">
        <f t="shared" si="16"/>
        <v>138505211</v>
      </c>
      <c r="L252" s="14">
        <f>+K252/I252*100</f>
        <v>1.6652477796522198</v>
      </c>
      <c r="M252" s="3"/>
    </row>
    <row r="253" spans="1:13" ht="12.75" hidden="1">
      <c r="A253" s="21"/>
      <c r="B253" s="21"/>
      <c r="C253" s="21"/>
      <c r="D253" s="21"/>
      <c r="E253" s="21"/>
      <c r="F253" s="21"/>
      <c r="G253" s="23"/>
      <c r="H253" s="23" t="s">
        <v>1</v>
      </c>
      <c r="I253" s="23" t="s">
        <v>1</v>
      </c>
      <c r="J253" s="23"/>
      <c r="K253" s="23">
        <f t="shared" si="16"/>
        <v>0</v>
      </c>
      <c r="L253" s="14" t="s">
        <v>1</v>
      </c>
      <c r="M253" s="3"/>
    </row>
    <row r="254" spans="1:13" ht="33.75" hidden="1">
      <c r="A254" s="26" t="s">
        <v>33</v>
      </c>
      <c r="B254" s="26">
        <v>113</v>
      </c>
      <c r="C254" s="26">
        <v>900</v>
      </c>
      <c r="D254" s="26">
        <v>1</v>
      </c>
      <c r="E254" s="26"/>
      <c r="F254" s="29" t="s">
        <v>51</v>
      </c>
      <c r="G254" s="25">
        <v>900000000</v>
      </c>
      <c r="H254" s="31">
        <v>1230345600</v>
      </c>
      <c r="I254" s="25">
        <f aca="true" t="shared" si="17" ref="I254:I260">SUM(G254+H254)</f>
        <v>2130345600</v>
      </c>
      <c r="J254" s="25">
        <v>4774450</v>
      </c>
      <c r="K254" s="23">
        <f t="shared" si="16"/>
        <v>6688354</v>
      </c>
      <c r="L254" s="14">
        <f aca="true" t="shared" si="18" ref="L254:L261">+K254/I254*100</f>
        <v>0.3139562895334917</v>
      </c>
      <c r="M254" s="3"/>
    </row>
    <row r="255" spans="1:13" ht="12.75" hidden="1">
      <c r="A255" s="26" t="s">
        <v>33</v>
      </c>
      <c r="B255" s="26">
        <v>113</v>
      </c>
      <c r="C255" s="26">
        <v>900</v>
      </c>
      <c r="D255" s="26">
        <v>2</v>
      </c>
      <c r="E255" s="26"/>
      <c r="F255" s="29" t="s">
        <v>52</v>
      </c>
      <c r="G255" s="25">
        <v>4759999979</v>
      </c>
      <c r="H255" s="31">
        <v>0</v>
      </c>
      <c r="I255" s="25">
        <f t="shared" si="17"/>
        <v>4759999979</v>
      </c>
      <c r="J255" s="25">
        <v>77890253</v>
      </c>
      <c r="K255" s="23">
        <f t="shared" si="16"/>
        <v>87170023</v>
      </c>
      <c r="L255" s="14">
        <f t="shared" si="18"/>
        <v>1.8313030122809586</v>
      </c>
      <c r="M255" s="3"/>
    </row>
    <row r="256" spans="1:13" ht="33.75" hidden="1">
      <c r="A256" s="26" t="s">
        <v>33</v>
      </c>
      <c r="B256" s="26">
        <v>113</v>
      </c>
      <c r="C256" s="26">
        <v>900</v>
      </c>
      <c r="D256" s="26">
        <v>3</v>
      </c>
      <c r="E256" s="26"/>
      <c r="F256" s="29" t="s">
        <v>53</v>
      </c>
      <c r="G256" s="25">
        <v>314978597</v>
      </c>
      <c r="H256" s="31">
        <v>0</v>
      </c>
      <c r="I256" s="25">
        <f t="shared" si="17"/>
        <v>314978597</v>
      </c>
      <c r="J256" s="25">
        <v>7791040</v>
      </c>
      <c r="K256" s="23">
        <f t="shared" si="16"/>
        <v>8361809</v>
      </c>
      <c r="L256" s="14">
        <f t="shared" si="18"/>
        <v>2.654722917570174</v>
      </c>
      <c r="M256" s="3"/>
    </row>
    <row r="257" spans="1:13" ht="12.75" hidden="1">
      <c r="A257" s="26" t="s">
        <v>33</v>
      </c>
      <c r="B257" s="26">
        <v>310</v>
      </c>
      <c r="C257" s="26">
        <v>900</v>
      </c>
      <c r="D257" s="26">
        <v>4</v>
      </c>
      <c r="E257" s="26"/>
      <c r="F257" s="28" t="s">
        <v>54</v>
      </c>
      <c r="G257" s="25">
        <v>100000000</v>
      </c>
      <c r="H257" s="25">
        <v>0</v>
      </c>
      <c r="I257" s="25">
        <f t="shared" si="17"/>
        <v>100000000</v>
      </c>
      <c r="J257" s="25">
        <v>682154</v>
      </c>
      <c r="K257" s="23">
        <f t="shared" si="16"/>
        <v>1634066</v>
      </c>
      <c r="L257" s="14">
        <f t="shared" si="18"/>
        <v>1.634066</v>
      </c>
      <c r="M257" s="3"/>
    </row>
    <row r="258" spans="1:13" ht="12.75" hidden="1">
      <c r="A258" s="26" t="s">
        <v>33</v>
      </c>
      <c r="B258" s="26">
        <v>310</v>
      </c>
      <c r="C258" s="26">
        <v>900</v>
      </c>
      <c r="D258" s="26">
        <v>5</v>
      </c>
      <c r="E258" s="26"/>
      <c r="F258" s="28" t="s">
        <v>55</v>
      </c>
      <c r="G258" s="25">
        <v>712069349</v>
      </c>
      <c r="H258" s="31">
        <v>0</v>
      </c>
      <c r="I258" s="25">
        <f t="shared" si="17"/>
        <v>712069349</v>
      </c>
      <c r="J258" s="25">
        <v>8412022</v>
      </c>
      <c r="K258" s="23">
        <f t="shared" si="16"/>
        <v>8412022</v>
      </c>
      <c r="L258" s="14">
        <f t="shared" si="18"/>
        <v>1.18134870034969</v>
      </c>
      <c r="M258" s="3"/>
    </row>
    <row r="259" spans="1:13" ht="22.5" hidden="1">
      <c r="A259" s="26" t="s">
        <v>33</v>
      </c>
      <c r="B259" s="26">
        <v>310</v>
      </c>
      <c r="C259" s="26">
        <v>900</v>
      </c>
      <c r="D259" s="26">
        <v>6</v>
      </c>
      <c r="E259" s="26"/>
      <c r="F259" s="28" t="s">
        <v>56</v>
      </c>
      <c r="G259" s="25">
        <v>100000000</v>
      </c>
      <c r="H259" s="25">
        <v>0</v>
      </c>
      <c r="I259" s="25">
        <f t="shared" si="17"/>
        <v>100000000</v>
      </c>
      <c r="J259" s="25">
        <v>5991872</v>
      </c>
      <c r="K259" s="23">
        <f t="shared" si="16"/>
        <v>5991872</v>
      </c>
      <c r="L259" s="14">
        <f t="shared" si="18"/>
        <v>5.991872</v>
      </c>
      <c r="M259" s="3"/>
    </row>
    <row r="260" spans="1:13" ht="22.5" hidden="1">
      <c r="A260" s="26" t="s">
        <v>33</v>
      </c>
      <c r="B260" s="26">
        <v>520</v>
      </c>
      <c r="C260" s="26">
        <v>900</v>
      </c>
      <c r="D260" s="26">
        <v>7</v>
      </c>
      <c r="E260" s="26"/>
      <c r="F260" s="30" t="s">
        <v>57</v>
      </c>
      <c r="G260" s="25">
        <v>200000000</v>
      </c>
      <c r="H260" s="25">
        <v>0</v>
      </c>
      <c r="I260" s="25">
        <f t="shared" si="17"/>
        <v>200000000</v>
      </c>
      <c r="J260" s="25">
        <v>1700615</v>
      </c>
      <c r="K260" s="23">
        <f t="shared" si="16"/>
        <v>20247065</v>
      </c>
      <c r="L260" s="14">
        <f t="shared" si="18"/>
        <v>10.1235325</v>
      </c>
      <c r="M260" s="3"/>
    </row>
    <row r="261" spans="1:13" ht="12.75" hidden="1">
      <c r="A261" s="13" t="s">
        <v>33</v>
      </c>
      <c r="B261" s="13"/>
      <c r="C261" s="13"/>
      <c r="D261" s="13"/>
      <c r="E261" s="13"/>
      <c r="F261" s="27" t="s">
        <v>35</v>
      </c>
      <c r="G261" s="16">
        <f>+G252+G232</f>
        <v>10077156120</v>
      </c>
      <c r="H261" s="16">
        <f>+H252+H232</f>
        <v>1230345600</v>
      </c>
      <c r="I261" s="16">
        <f>+I252+I232</f>
        <v>11307501720</v>
      </c>
      <c r="J261" s="16">
        <f>+J252+J232</f>
        <v>293503669</v>
      </c>
      <c r="K261" s="23">
        <f t="shared" si="16"/>
        <v>495344651</v>
      </c>
      <c r="L261" s="14">
        <f t="shared" si="18"/>
        <v>4.38067278932061</v>
      </c>
      <c r="M261" s="3"/>
    </row>
    <row r="262" ht="12.75" hidden="1">
      <c r="K262" s="3" t="s">
        <v>1</v>
      </c>
    </row>
    <row r="263" ht="12.75" hidden="1"/>
    <row r="264" ht="12.75" hidden="1"/>
    <row r="265" ht="12.75" hidden="1"/>
    <row r="266" ht="12.75" hidden="1"/>
    <row r="267" spans="3:7" ht="12.75" hidden="1">
      <c r="C267" s="2" t="s">
        <v>1</v>
      </c>
      <c r="D267" s="1" t="s">
        <v>1</v>
      </c>
      <c r="E267" s="1" t="s">
        <v>1</v>
      </c>
      <c r="F267" s="1" t="s">
        <v>0</v>
      </c>
      <c r="G267" s="1"/>
    </row>
    <row r="268" spans="1:11" ht="12.75" hidden="1">
      <c r="A268" s="5"/>
      <c r="B268" s="5"/>
      <c r="C268" s="6" t="s">
        <v>1</v>
      </c>
      <c r="D268" s="7" t="s">
        <v>1</v>
      </c>
      <c r="E268" s="7" t="s">
        <v>1</v>
      </c>
      <c r="F268" s="7" t="s">
        <v>48</v>
      </c>
      <c r="G268" s="7"/>
      <c r="H268" s="7"/>
      <c r="I268" s="5"/>
      <c r="J268" s="5"/>
      <c r="K268" s="5"/>
    </row>
    <row r="269" spans="1:11" ht="12.75" hidden="1">
      <c r="A269" s="8"/>
      <c r="B269" s="8"/>
      <c r="C269" s="8"/>
      <c r="D269" s="8"/>
      <c r="E269" s="8"/>
      <c r="F269" s="9" t="s">
        <v>49</v>
      </c>
      <c r="G269" s="9"/>
      <c r="H269" s="9"/>
      <c r="I269" s="8"/>
      <c r="J269" s="18"/>
      <c r="K269" s="10" t="s">
        <v>65</v>
      </c>
    </row>
    <row r="270" spans="6:9" ht="12.75" hidden="1">
      <c r="F270" s="1"/>
      <c r="I270" t="s">
        <v>1</v>
      </c>
    </row>
    <row r="271" spans="1:12" ht="12.75" hidden="1">
      <c r="A271" s="11" t="s">
        <v>7</v>
      </c>
      <c r="B271" s="11" t="s">
        <v>8</v>
      </c>
      <c r="C271" s="12" t="s">
        <v>9</v>
      </c>
      <c r="D271" s="12" t="s">
        <v>10</v>
      </c>
      <c r="E271" s="12" t="s">
        <v>11</v>
      </c>
      <c r="F271" s="13"/>
      <c r="G271" s="13"/>
      <c r="H271" s="12" t="s">
        <v>1</v>
      </c>
      <c r="I271" s="13"/>
      <c r="J271" s="13"/>
      <c r="K271" s="11" t="s">
        <v>1</v>
      </c>
      <c r="L271" s="13"/>
    </row>
    <row r="272" spans="1:12" ht="12.75" hidden="1">
      <c r="A272" s="12"/>
      <c r="B272" s="11" t="s">
        <v>12</v>
      </c>
      <c r="C272" s="12"/>
      <c r="D272" s="12" t="s">
        <v>13</v>
      </c>
      <c r="E272" s="12"/>
      <c r="F272" s="13"/>
      <c r="G272" s="11" t="s">
        <v>3</v>
      </c>
      <c r="H272" s="11" t="s">
        <v>2</v>
      </c>
      <c r="I272" s="11" t="s">
        <v>3</v>
      </c>
      <c r="J272" s="11"/>
      <c r="K272" s="11" t="s">
        <v>58</v>
      </c>
      <c r="L272" s="32" t="s">
        <v>60</v>
      </c>
    </row>
    <row r="273" spans="1:12" ht="12.75" hidden="1">
      <c r="A273" s="12"/>
      <c r="B273" s="12"/>
      <c r="C273" s="12"/>
      <c r="D273" s="12" t="s">
        <v>14</v>
      </c>
      <c r="E273" s="12"/>
      <c r="F273" s="11" t="s">
        <v>15</v>
      </c>
      <c r="G273" s="11" t="s">
        <v>4</v>
      </c>
      <c r="H273" s="11" t="s">
        <v>16</v>
      </c>
      <c r="I273" s="11" t="s">
        <v>5</v>
      </c>
      <c r="J273" s="11"/>
      <c r="K273" s="11" t="s">
        <v>59</v>
      </c>
      <c r="L273" s="33" t="s">
        <v>61</v>
      </c>
    </row>
    <row r="274" spans="1:12" ht="12.75" hidden="1">
      <c r="A274" s="12"/>
      <c r="B274" s="12"/>
      <c r="C274" s="12"/>
      <c r="D274" s="12" t="s">
        <v>17</v>
      </c>
      <c r="E274" s="12"/>
      <c r="F274" s="13"/>
      <c r="G274" s="11">
        <v>1</v>
      </c>
      <c r="H274" s="11">
        <v>2</v>
      </c>
      <c r="I274" s="11" t="s">
        <v>18</v>
      </c>
      <c r="J274" s="11"/>
      <c r="K274" s="11"/>
      <c r="L274" s="13"/>
    </row>
    <row r="275" spans="1:12" ht="12.75" hidden="1">
      <c r="A275" s="13"/>
      <c r="B275" s="13"/>
      <c r="C275" s="13"/>
      <c r="D275" s="13"/>
      <c r="E275" s="13"/>
      <c r="F275" s="13"/>
      <c r="G275" s="14" t="s">
        <v>1</v>
      </c>
      <c r="H275" s="14"/>
      <c r="I275" s="14" t="s">
        <v>1</v>
      </c>
      <c r="J275" s="14"/>
      <c r="K275" s="14"/>
      <c r="L275" s="13"/>
    </row>
    <row r="276" spans="1:12" ht="12.75" hidden="1">
      <c r="A276" s="13" t="s">
        <v>19</v>
      </c>
      <c r="B276" s="13"/>
      <c r="C276" s="13"/>
      <c r="D276" s="13"/>
      <c r="E276" s="13"/>
      <c r="F276" s="15" t="s">
        <v>20</v>
      </c>
      <c r="G276" s="16">
        <f>SUM(G277+G285+G288)</f>
        <v>1291922856</v>
      </c>
      <c r="H276" s="16">
        <f>SUM(H277+H285+H287+H288)</f>
        <v>0</v>
      </c>
      <c r="I276" s="16">
        <f>+G276+H276</f>
        <v>1291922856</v>
      </c>
      <c r="J276" s="16">
        <f>SUM(J277+J285+J288)</f>
        <v>170619606</v>
      </c>
      <c r="K276" s="16">
        <f>+K186+J276</f>
        <v>477017164</v>
      </c>
      <c r="L276" s="14">
        <f>+K276/I276*100</f>
        <v>36.923037763796636</v>
      </c>
    </row>
    <row r="277" spans="1:12" ht="12.75" hidden="1">
      <c r="A277" s="13" t="s">
        <v>19</v>
      </c>
      <c r="B277" s="13">
        <v>1</v>
      </c>
      <c r="C277" s="13">
        <v>1</v>
      </c>
      <c r="D277" s="13">
        <v>0</v>
      </c>
      <c r="E277" s="13">
        <v>0</v>
      </c>
      <c r="F277" s="15" t="s">
        <v>21</v>
      </c>
      <c r="G277" s="16">
        <f>+G278+G283+G284</f>
        <v>1259060399</v>
      </c>
      <c r="H277" s="16">
        <f>+H278+H283+H284</f>
        <v>0</v>
      </c>
      <c r="I277" s="16">
        <f>+I278+I283+I284</f>
        <v>1259060399</v>
      </c>
      <c r="J277" s="16">
        <f>+J278+J283+J284</f>
        <v>170619606</v>
      </c>
      <c r="K277" s="16">
        <f aca="true" t="shared" si="19" ref="K277:K293">+K187+J277</f>
        <v>453506073</v>
      </c>
      <c r="L277" s="14">
        <f aca="true" t="shared" si="20" ref="L277:L288">+K277/I277*100</f>
        <v>36.019405690163396</v>
      </c>
    </row>
    <row r="278" spans="1:12" ht="12.75" hidden="1">
      <c r="A278" s="13" t="s">
        <v>19</v>
      </c>
      <c r="B278" s="13">
        <v>1</v>
      </c>
      <c r="C278" s="13">
        <v>1</v>
      </c>
      <c r="D278" s="13">
        <v>1</v>
      </c>
      <c r="E278" s="13">
        <v>0</v>
      </c>
      <c r="F278" s="13" t="s">
        <v>22</v>
      </c>
      <c r="G278" s="14">
        <f>SUM(G279:G282)</f>
        <v>998428465</v>
      </c>
      <c r="H278" s="14">
        <f>SUM(H279:H282)</f>
        <v>0</v>
      </c>
      <c r="I278" s="14">
        <f>+G278+H278</f>
        <v>998428465</v>
      </c>
      <c r="J278" s="14">
        <f>SUM(J279:J282)</f>
        <v>130521111</v>
      </c>
      <c r="K278" s="16">
        <f t="shared" si="19"/>
        <v>370832858</v>
      </c>
      <c r="L278" s="14">
        <f t="shared" si="20"/>
        <v>37.14165521112221</v>
      </c>
    </row>
    <row r="279" spans="1:12" ht="12.75" hidden="1">
      <c r="A279" s="13" t="s">
        <v>19</v>
      </c>
      <c r="B279" s="13">
        <v>1</v>
      </c>
      <c r="C279" s="13">
        <v>1</v>
      </c>
      <c r="D279" s="13">
        <v>1</v>
      </c>
      <c r="E279" s="13">
        <v>1</v>
      </c>
      <c r="F279" s="13" t="s">
        <v>23</v>
      </c>
      <c r="G279" s="14">
        <v>726033173</v>
      </c>
      <c r="H279" s="14">
        <v>0</v>
      </c>
      <c r="I279" s="14">
        <f>+G279+H279</f>
        <v>726033173</v>
      </c>
      <c r="J279" s="14">
        <v>110523630</v>
      </c>
      <c r="K279" s="16">
        <f t="shared" si="19"/>
        <v>312957129</v>
      </c>
      <c r="L279" s="14">
        <f t="shared" si="20"/>
        <v>43.10507296889036</v>
      </c>
    </row>
    <row r="280" spans="1:12" ht="12.75" hidden="1">
      <c r="A280" s="13" t="s">
        <v>19</v>
      </c>
      <c r="B280" s="13">
        <v>1</v>
      </c>
      <c r="C280" s="13">
        <v>1</v>
      </c>
      <c r="D280" s="13">
        <v>9</v>
      </c>
      <c r="E280" s="13">
        <v>1</v>
      </c>
      <c r="F280" s="13" t="s">
        <v>24</v>
      </c>
      <c r="G280" s="14">
        <v>1109073</v>
      </c>
      <c r="H280" s="14">
        <v>0</v>
      </c>
      <c r="I280" s="14">
        <f aca="true" t="shared" si="21" ref="I280:I285">+G280+H280</f>
        <v>1109073</v>
      </c>
      <c r="J280" s="14"/>
      <c r="K280" s="16">
        <f t="shared" si="19"/>
        <v>0</v>
      </c>
      <c r="L280" s="14">
        <f t="shared" si="20"/>
        <v>0</v>
      </c>
    </row>
    <row r="281" spans="1:12" ht="12.75" hidden="1">
      <c r="A281" s="13" t="s">
        <v>19</v>
      </c>
      <c r="B281" s="13">
        <v>1</v>
      </c>
      <c r="C281" s="13">
        <v>1</v>
      </c>
      <c r="D281" s="13">
        <v>4</v>
      </c>
      <c r="E281" s="13">
        <v>2</v>
      </c>
      <c r="F281" s="13" t="s">
        <v>25</v>
      </c>
      <c r="G281" s="14">
        <v>96499234</v>
      </c>
      <c r="H281" s="14">
        <f>0</f>
        <v>0</v>
      </c>
      <c r="I281" s="14">
        <f t="shared" si="21"/>
        <v>96499234</v>
      </c>
      <c r="J281" s="14">
        <v>10876510</v>
      </c>
      <c r="K281" s="16">
        <f t="shared" si="19"/>
        <v>32965978</v>
      </c>
      <c r="L281" s="14">
        <f t="shared" si="20"/>
        <v>34.161906404355506</v>
      </c>
    </row>
    <row r="282" spans="1:12" ht="12.75" hidden="1">
      <c r="A282" s="13" t="s">
        <v>19</v>
      </c>
      <c r="B282" s="13">
        <v>1</v>
      </c>
      <c r="C282" s="13">
        <v>1</v>
      </c>
      <c r="D282" s="13">
        <v>5</v>
      </c>
      <c r="E282" s="13">
        <v>0</v>
      </c>
      <c r="F282" s="13" t="s">
        <v>26</v>
      </c>
      <c r="G282" s="14">
        <v>174786985</v>
      </c>
      <c r="H282" s="14">
        <f>0</f>
        <v>0</v>
      </c>
      <c r="I282" s="14">
        <f t="shared" si="21"/>
        <v>174786985</v>
      </c>
      <c r="J282" s="14">
        <f>1098681+4042485+3979805</f>
        <v>9120971</v>
      </c>
      <c r="K282" s="16">
        <f t="shared" si="19"/>
        <v>24909751</v>
      </c>
      <c r="L282" s="14">
        <f t="shared" si="20"/>
        <v>14.25149075029814</v>
      </c>
    </row>
    <row r="283" spans="1:12" ht="12.75" hidden="1">
      <c r="A283" s="13" t="s">
        <v>19</v>
      </c>
      <c r="B283" s="13">
        <v>1</v>
      </c>
      <c r="C283" s="13">
        <v>5</v>
      </c>
      <c r="D283" s="13">
        <v>0</v>
      </c>
      <c r="E283" s="13">
        <v>1</v>
      </c>
      <c r="F283" s="13" t="s">
        <v>27</v>
      </c>
      <c r="G283" s="14">
        <v>56827811</v>
      </c>
      <c r="H283" s="14">
        <v>0</v>
      </c>
      <c r="I283" s="14">
        <f t="shared" si="21"/>
        <v>56827811</v>
      </c>
      <c r="J283" s="14">
        <v>19338483</v>
      </c>
      <c r="K283" s="16">
        <f t="shared" si="19"/>
        <v>40831668</v>
      </c>
      <c r="L283" s="14">
        <f t="shared" si="20"/>
        <v>71.85155873767512</v>
      </c>
    </row>
    <row r="284" spans="1:12" ht="12.75" hidden="1">
      <c r="A284" s="13" t="s">
        <v>19</v>
      </c>
      <c r="B284" s="13">
        <v>1</v>
      </c>
      <c r="C284" s="13">
        <v>5</v>
      </c>
      <c r="D284" s="13">
        <v>0</v>
      </c>
      <c r="E284" s="13">
        <v>2</v>
      </c>
      <c r="F284" s="13" t="s">
        <v>28</v>
      </c>
      <c r="G284" s="14">
        <f>163804123+40000000</f>
        <v>203804123</v>
      </c>
      <c r="H284" s="14">
        <f>0</f>
        <v>0</v>
      </c>
      <c r="I284" s="14">
        <f t="shared" si="21"/>
        <v>203804123</v>
      </c>
      <c r="J284" s="14">
        <f>15547576+3127461+2084975</f>
        <v>20760012</v>
      </c>
      <c r="K284" s="16">
        <f t="shared" si="19"/>
        <v>41841547</v>
      </c>
      <c r="L284" s="14">
        <f t="shared" si="20"/>
        <v>20.530275042571144</v>
      </c>
    </row>
    <row r="285" spans="1:12" ht="12.75" hidden="1">
      <c r="A285" s="13" t="s">
        <v>19</v>
      </c>
      <c r="B285" s="13">
        <v>2</v>
      </c>
      <c r="C285" s="13">
        <v>0</v>
      </c>
      <c r="D285" s="13">
        <v>0</v>
      </c>
      <c r="E285" s="13">
        <v>0</v>
      </c>
      <c r="F285" s="15" t="s">
        <v>29</v>
      </c>
      <c r="G285" s="16">
        <f>SUM(G286:G287)</f>
        <v>24698480</v>
      </c>
      <c r="H285" s="16">
        <f>SUM(H286:H287)</f>
        <v>0</v>
      </c>
      <c r="I285" s="16">
        <f t="shared" si="21"/>
        <v>24698480</v>
      </c>
      <c r="J285" s="16">
        <f>SUM(J286:J287)</f>
        <v>0</v>
      </c>
      <c r="K285" s="16">
        <f t="shared" si="19"/>
        <v>23511091</v>
      </c>
      <c r="L285" s="14">
        <f t="shared" si="20"/>
        <v>95.19246123648095</v>
      </c>
    </row>
    <row r="286" spans="1:12" ht="12.75" hidden="1">
      <c r="A286" s="13" t="s">
        <v>19</v>
      </c>
      <c r="B286" s="13">
        <v>2</v>
      </c>
      <c r="C286" s="13">
        <v>0</v>
      </c>
      <c r="D286" s="13">
        <v>4</v>
      </c>
      <c r="E286" s="13">
        <v>0</v>
      </c>
      <c r="F286" s="13" t="s">
        <v>30</v>
      </c>
      <c r="G286" s="14">
        <v>23511091</v>
      </c>
      <c r="H286" s="14">
        <v>0</v>
      </c>
      <c r="I286" s="14">
        <f>+G286+H286</f>
        <v>23511091</v>
      </c>
      <c r="J286" s="16">
        <v>0</v>
      </c>
      <c r="K286" s="16">
        <f t="shared" si="19"/>
        <v>23511091</v>
      </c>
      <c r="L286" s="14">
        <f t="shared" si="20"/>
        <v>100</v>
      </c>
    </row>
    <row r="287" spans="1:12" ht="12.75" hidden="1">
      <c r="A287" s="13" t="s">
        <v>19</v>
      </c>
      <c r="B287" s="13">
        <v>2</v>
      </c>
      <c r="C287" s="13">
        <v>0</v>
      </c>
      <c r="D287" s="13">
        <v>3</v>
      </c>
      <c r="E287" s="13">
        <v>50</v>
      </c>
      <c r="F287" s="13" t="s">
        <v>31</v>
      </c>
      <c r="G287" s="14">
        <v>1187389</v>
      </c>
      <c r="H287" s="14">
        <v>0</v>
      </c>
      <c r="I287" s="14">
        <f>+G287+H287</f>
        <v>1187389</v>
      </c>
      <c r="J287" s="14">
        <v>0</v>
      </c>
      <c r="K287" s="16">
        <f t="shared" si="19"/>
        <v>0</v>
      </c>
      <c r="L287" s="14">
        <f t="shared" si="20"/>
        <v>0</v>
      </c>
    </row>
    <row r="288" spans="1:12" ht="12.75" hidden="1">
      <c r="A288" s="13" t="s">
        <v>19</v>
      </c>
      <c r="B288" s="13">
        <v>3</v>
      </c>
      <c r="C288" s="13">
        <v>2</v>
      </c>
      <c r="D288" s="13">
        <v>1</v>
      </c>
      <c r="E288" s="13">
        <v>1</v>
      </c>
      <c r="F288" s="13" t="s">
        <v>32</v>
      </c>
      <c r="G288" s="14">
        <v>8163977</v>
      </c>
      <c r="H288" s="14">
        <v>0</v>
      </c>
      <c r="I288" s="14">
        <f>+G288+H288</f>
        <v>8163977</v>
      </c>
      <c r="J288" s="14">
        <v>0</v>
      </c>
      <c r="K288" s="16">
        <f t="shared" si="19"/>
        <v>0</v>
      </c>
      <c r="L288" s="14">
        <f t="shared" si="20"/>
        <v>0</v>
      </c>
    </row>
    <row r="289" spans="1:12" ht="12.75" hidden="1">
      <c r="A289" s="13"/>
      <c r="B289" s="13"/>
      <c r="C289" s="13"/>
      <c r="D289" s="13"/>
      <c r="E289" s="13"/>
      <c r="F289" s="13"/>
      <c r="G289" s="14"/>
      <c r="H289" s="14"/>
      <c r="I289" s="14"/>
      <c r="J289" s="14"/>
      <c r="K289" s="16">
        <f t="shared" si="19"/>
        <v>0</v>
      </c>
      <c r="L289" s="14" t="s">
        <v>1</v>
      </c>
    </row>
    <row r="290" spans="1:12" ht="12.75" hidden="1">
      <c r="A290" s="13" t="s">
        <v>33</v>
      </c>
      <c r="B290" s="13"/>
      <c r="C290" s="13"/>
      <c r="D290" s="13"/>
      <c r="E290" s="13"/>
      <c r="F290" s="15" t="s">
        <v>34</v>
      </c>
      <c r="G290" s="16">
        <f>+G292</f>
        <v>0</v>
      </c>
      <c r="H290" s="16">
        <f>+H292</f>
        <v>0</v>
      </c>
      <c r="I290" s="16">
        <f>+G290+H290</f>
        <v>0</v>
      </c>
      <c r="J290" s="16">
        <f>+J292</f>
        <v>0</v>
      </c>
      <c r="K290" s="16">
        <f t="shared" si="19"/>
        <v>0</v>
      </c>
      <c r="L290" s="14">
        <v>0</v>
      </c>
    </row>
    <row r="291" spans="1:12" ht="12.75" hidden="1">
      <c r="A291" s="13"/>
      <c r="B291" s="13"/>
      <c r="C291" s="13"/>
      <c r="D291" s="13"/>
      <c r="E291" s="13"/>
      <c r="F291" s="13"/>
      <c r="G291" s="14"/>
      <c r="H291" s="14"/>
      <c r="I291" s="14"/>
      <c r="J291" s="14"/>
      <c r="K291" s="16">
        <f t="shared" si="19"/>
        <v>0</v>
      </c>
      <c r="L291" s="14" t="s">
        <v>1</v>
      </c>
    </row>
    <row r="292" spans="1:12" ht="12.75" hidden="1">
      <c r="A292" s="13" t="s">
        <v>1</v>
      </c>
      <c r="B292" s="13" t="s">
        <v>1</v>
      </c>
      <c r="C292" s="13" t="s">
        <v>1</v>
      </c>
      <c r="D292" s="13" t="s">
        <v>1</v>
      </c>
      <c r="E292" s="13" t="s">
        <v>1</v>
      </c>
      <c r="F292" s="17" t="s">
        <v>1</v>
      </c>
      <c r="G292" s="14">
        <v>0</v>
      </c>
      <c r="H292" s="14">
        <v>0</v>
      </c>
      <c r="I292" s="14">
        <f>+G292+H292</f>
        <v>0</v>
      </c>
      <c r="J292" s="14">
        <v>0</v>
      </c>
      <c r="K292" s="16">
        <f t="shared" si="19"/>
        <v>0</v>
      </c>
      <c r="L292" s="14">
        <v>0</v>
      </c>
    </row>
    <row r="293" spans="1:12" ht="12.75" hidden="1">
      <c r="A293" s="13"/>
      <c r="B293" s="13"/>
      <c r="C293" s="13"/>
      <c r="D293" s="13"/>
      <c r="E293" s="13"/>
      <c r="F293" s="15" t="s">
        <v>35</v>
      </c>
      <c r="G293" s="16">
        <f>+G276+G290</f>
        <v>1291922856</v>
      </c>
      <c r="H293" s="16">
        <f>+H276+H290</f>
        <v>0</v>
      </c>
      <c r="I293" s="16">
        <f>+I276+I290</f>
        <v>1291922856</v>
      </c>
      <c r="J293" s="16">
        <f>+J276+J290</f>
        <v>170619606</v>
      </c>
      <c r="K293" s="16">
        <f t="shared" si="19"/>
        <v>477017164</v>
      </c>
      <c r="L293" s="14">
        <f>+K293/I293*100</f>
        <v>36.923037763796636</v>
      </c>
    </row>
    <row r="294" spans="2:11" ht="12.75" hidden="1">
      <c r="B294" s="18"/>
      <c r="C294" s="18"/>
      <c r="D294" s="18"/>
      <c r="E294" s="18"/>
      <c r="F294" s="18"/>
      <c r="G294" s="19" t="s">
        <v>1</v>
      </c>
      <c r="H294" s="18"/>
      <c r="I294" s="19" t="s">
        <v>1</v>
      </c>
      <c r="J294" s="19"/>
      <c r="K294" s="19"/>
    </row>
    <row r="295" spans="7:10" ht="12.75" hidden="1">
      <c r="G295" s="3" t="s">
        <v>1</v>
      </c>
      <c r="I295" s="3" t="s">
        <v>1</v>
      </c>
      <c r="J295" s="3"/>
    </row>
    <row r="296" ht="12.75" hidden="1"/>
    <row r="297" ht="12.75" hidden="1"/>
    <row r="298" spans="6:11" ht="12.75" hidden="1">
      <c r="F298" s="4" t="s">
        <v>6</v>
      </c>
      <c r="G298" s="4"/>
      <c r="H298" s="4" t="s">
        <v>46</v>
      </c>
      <c r="I298" s="4"/>
      <c r="J298" s="4"/>
      <c r="K298" s="4"/>
    </row>
    <row r="299" spans="6:11" ht="12.75" hidden="1">
      <c r="F299" s="4" t="s">
        <v>36</v>
      </c>
      <c r="G299" s="4"/>
      <c r="H299" s="4" t="s">
        <v>47</v>
      </c>
      <c r="I299" s="4"/>
      <c r="J299" s="4"/>
      <c r="K299" s="4"/>
    </row>
    <row r="300" ht="12.75" hidden="1"/>
    <row r="301" ht="12.75" hidden="1"/>
    <row r="302" ht="12.75" hidden="1"/>
    <row r="303" ht="12.75" hidden="1"/>
    <row r="304" ht="12.75" hidden="1">
      <c r="H304" t="s">
        <v>1</v>
      </c>
    </row>
    <row r="305" ht="12.75" hidden="1">
      <c r="H305" t="s">
        <v>1</v>
      </c>
    </row>
    <row r="306" ht="12.75" hidden="1">
      <c r="H306" t="s">
        <v>1</v>
      </c>
    </row>
    <row r="307" ht="12.75" hidden="1"/>
    <row r="308" ht="12.75" hidden="1"/>
    <row r="309" ht="12.75" hidden="1"/>
    <row r="310" ht="12.75" hidden="1"/>
    <row r="311" ht="12.75" hidden="1">
      <c r="I311" t="s">
        <v>1</v>
      </c>
    </row>
    <row r="312" spans="1:10" ht="12.75" hidden="1">
      <c r="A312" t="s">
        <v>1</v>
      </c>
      <c r="F312" s="1" t="s">
        <v>1</v>
      </c>
      <c r="G312" s="1"/>
      <c r="I312" s="3" t="s">
        <v>1</v>
      </c>
      <c r="J312" s="3"/>
    </row>
    <row r="313" spans="1:9" ht="12.75" hidden="1">
      <c r="A313" t="s">
        <v>1</v>
      </c>
      <c r="E313" s="1" t="s">
        <v>1</v>
      </c>
      <c r="F313" s="1" t="s">
        <v>1</v>
      </c>
      <c r="G313" s="1"/>
      <c r="I313" t="s">
        <v>1</v>
      </c>
    </row>
    <row r="314" spans="3:7" ht="12.75" hidden="1">
      <c r="C314" s="2" t="s">
        <v>1</v>
      </c>
      <c r="D314" s="1" t="s">
        <v>1</v>
      </c>
      <c r="E314" s="1" t="s">
        <v>1</v>
      </c>
      <c r="F314" s="1" t="s">
        <v>0</v>
      </c>
      <c r="G314" s="1"/>
    </row>
    <row r="315" spans="1:11" ht="12.75" hidden="1">
      <c r="A315" s="5"/>
      <c r="B315" s="5"/>
      <c r="C315" s="6" t="s">
        <v>1</v>
      </c>
      <c r="D315" s="7" t="s">
        <v>1</v>
      </c>
      <c r="E315" s="7" t="s">
        <v>1</v>
      </c>
      <c r="F315" s="7" t="s">
        <v>48</v>
      </c>
      <c r="G315" s="7"/>
      <c r="H315" s="7"/>
      <c r="I315" s="5"/>
      <c r="J315" s="5"/>
      <c r="K315" s="5"/>
    </row>
    <row r="316" spans="1:11" ht="12.75" hidden="1">
      <c r="A316" s="8"/>
      <c r="B316" s="8"/>
      <c r="C316" s="8"/>
      <c r="D316" s="8"/>
      <c r="E316" s="8"/>
      <c r="F316" s="9" t="s">
        <v>50</v>
      </c>
      <c r="G316" s="9"/>
      <c r="H316" s="9" t="s">
        <v>1</v>
      </c>
      <c r="I316" s="20" t="s">
        <v>1</v>
      </c>
      <c r="J316" s="20"/>
      <c r="K316" s="34">
        <v>39508</v>
      </c>
    </row>
    <row r="317" spans="6:11" ht="12.75" hidden="1">
      <c r="F317" s="1"/>
      <c r="I317" s="3" t="s">
        <v>37</v>
      </c>
      <c r="J317" s="3"/>
      <c r="K317" s="10"/>
    </row>
    <row r="318" spans="1:12" ht="12.75" hidden="1">
      <c r="A318" s="12"/>
      <c r="B318" s="11" t="s">
        <v>12</v>
      </c>
      <c r="C318" s="12"/>
      <c r="D318" s="12" t="s">
        <v>13</v>
      </c>
      <c r="E318" s="12"/>
      <c r="F318" s="21"/>
      <c r="G318" s="11" t="s">
        <v>3</v>
      </c>
      <c r="H318" s="11" t="s">
        <v>2</v>
      </c>
      <c r="I318" s="11" t="s">
        <v>3</v>
      </c>
      <c r="J318" s="11"/>
      <c r="K318" s="22" t="s">
        <v>58</v>
      </c>
      <c r="L318" s="32" t="s">
        <v>60</v>
      </c>
    </row>
    <row r="319" spans="1:12" ht="12.75" hidden="1">
      <c r="A319" s="12"/>
      <c r="B319" s="12"/>
      <c r="C319" s="12"/>
      <c r="D319" s="12" t="s">
        <v>14</v>
      </c>
      <c r="E319" s="12"/>
      <c r="F319" s="11" t="s">
        <v>15</v>
      </c>
      <c r="G319" s="11" t="s">
        <v>4</v>
      </c>
      <c r="H319" s="11" t="s">
        <v>16</v>
      </c>
      <c r="I319" s="11" t="s">
        <v>5</v>
      </c>
      <c r="J319" s="11"/>
      <c r="K319" s="11" t="s">
        <v>59</v>
      </c>
      <c r="L319" s="33" t="s">
        <v>61</v>
      </c>
    </row>
    <row r="320" spans="1:12" ht="12.75" hidden="1">
      <c r="A320" s="12"/>
      <c r="B320" s="12"/>
      <c r="C320" s="12"/>
      <c r="D320" s="12" t="s">
        <v>17</v>
      </c>
      <c r="E320" s="12"/>
      <c r="F320" s="21"/>
      <c r="G320" s="11">
        <v>1</v>
      </c>
      <c r="H320" s="11">
        <v>2</v>
      </c>
      <c r="I320" s="11" t="s">
        <v>18</v>
      </c>
      <c r="J320" s="11"/>
      <c r="K320" s="11"/>
      <c r="L320" s="13"/>
    </row>
    <row r="321" spans="1:12" ht="12.75" hidden="1">
      <c r="A321" s="21"/>
      <c r="B321" s="21"/>
      <c r="C321" s="21"/>
      <c r="D321" s="21"/>
      <c r="E321" s="21"/>
      <c r="F321" s="21"/>
      <c r="G321" s="23" t="s">
        <v>1</v>
      </c>
      <c r="H321" s="23" t="s">
        <v>1</v>
      </c>
      <c r="I321" s="23" t="s">
        <v>1</v>
      </c>
      <c r="J321" s="23"/>
      <c r="K321" s="23"/>
      <c r="L321" s="13"/>
    </row>
    <row r="322" spans="1:13" ht="12.75" hidden="1">
      <c r="A322" s="21" t="s">
        <v>19</v>
      </c>
      <c r="B322" s="21"/>
      <c r="C322" s="21"/>
      <c r="D322" s="21"/>
      <c r="E322" s="21"/>
      <c r="F322" s="21" t="s">
        <v>38</v>
      </c>
      <c r="G322" s="23">
        <f>SUM(G323+G332+G336)</f>
        <v>2990108195</v>
      </c>
      <c r="H322" s="23">
        <f>SUM(H323+H332+H336)</f>
        <v>0</v>
      </c>
      <c r="I322" s="23">
        <f>SUM(I323+I332+I336)</f>
        <v>2990108195</v>
      </c>
      <c r="J322" s="23">
        <f>SUM(J323+J332+J336)</f>
        <v>279963430</v>
      </c>
      <c r="K322" s="23">
        <f>+K232+J322</f>
        <v>636802870</v>
      </c>
      <c r="L322" s="14">
        <f>+K322/I322*100</f>
        <v>21.296984204947808</v>
      </c>
      <c r="M322" s="3"/>
    </row>
    <row r="323" spans="1:13" ht="12.75" hidden="1">
      <c r="A323" s="21" t="s">
        <v>19</v>
      </c>
      <c r="B323" s="21">
        <v>1</v>
      </c>
      <c r="C323" s="21">
        <v>1</v>
      </c>
      <c r="D323" s="21">
        <v>0</v>
      </c>
      <c r="E323" s="21">
        <v>0</v>
      </c>
      <c r="F323" s="21" t="s">
        <v>21</v>
      </c>
      <c r="G323" s="23">
        <f>SUM(G324+G329+G330+G331)</f>
        <v>1315851325</v>
      </c>
      <c r="H323" s="23">
        <f>SUM(H324+H329+H330+H331)</f>
        <v>0</v>
      </c>
      <c r="I323" s="23">
        <f>+I324+I329+I330+I331</f>
        <v>1315851325</v>
      </c>
      <c r="J323" s="23">
        <f>SUM(J324+J329+J330+J331)</f>
        <v>5489789</v>
      </c>
      <c r="K323" s="23">
        <f aca="true" t="shared" si="22" ref="K323:K351">+K233+J323</f>
        <v>135840196</v>
      </c>
      <c r="L323" s="14">
        <f aca="true" t="shared" si="23" ref="L323:L340">+K323/I323*100</f>
        <v>10.32336962536402</v>
      </c>
      <c r="M323" s="3"/>
    </row>
    <row r="324" spans="1:13" ht="12.75" hidden="1">
      <c r="A324" s="21" t="s">
        <v>19</v>
      </c>
      <c r="B324" s="21">
        <v>1</v>
      </c>
      <c r="C324" s="21">
        <v>1</v>
      </c>
      <c r="D324" s="21">
        <v>1</v>
      </c>
      <c r="E324" s="21">
        <v>0</v>
      </c>
      <c r="F324" s="21" t="s">
        <v>22</v>
      </c>
      <c r="G324" s="23">
        <f>SUM(G325:G328)</f>
        <v>839112619</v>
      </c>
      <c r="H324" s="23">
        <f>SUM(H325:H328)</f>
        <v>0</v>
      </c>
      <c r="I324" s="23">
        <f>SUM(I325:I328)</f>
        <v>839112619</v>
      </c>
      <c r="J324" s="23">
        <f>SUM(J325:J328)</f>
        <v>5489789</v>
      </c>
      <c r="K324" s="23">
        <f t="shared" si="22"/>
        <v>14974938</v>
      </c>
      <c r="L324" s="14">
        <f t="shared" si="23"/>
        <v>1.7846159932436914</v>
      </c>
      <c r="M324" s="3"/>
    </row>
    <row r="325" spans="1:13" ht="12.75" hidden="1">
      <c r="A325" s="21" t="s">
        <v>19</v>
      </c>
      <c r="B325" s="21">
        <v>1</v>
      </c>
      <c r="C325" s="21">
        <v>1</v>
      </c>
      <c r="D325" s="21">
        <v>1</v>
      </c>
      <c r="E325" s="21">
        <v>1</v>
      </c>
      <c r="F325" s="21" t="s">
        <v>23</v>
      </c>
      <c r="G325" s="23">
        <v>646562329</v>
      </c>
      <c r="H325" s="23">
        <v>-10000000</v>
      </c>
      <c r="I325" s="23">
        <f>SUM(G325+H325)</f>
        <v>636562329</v>
      </c>
      <c r="J325" s="23">
        <v>0</v>
      </c>
      <c r="K325" s="23">
        <f t="shared" si="22"/>
        <v>0</v>
      </c>
      <c r="L325" s="14">
        <f t="shared" si="23"/>
        <v>0</v>
      </c>
      <c r="M325" s="3"/>
    </row>
    <row r="326" spans="1:13" ht="12.75" hidden="1">
      <c r="A326" s="21" t="s">
        <v>19</v>
      </c>
      <c r="B326" s="21">
        <v>1</v>
      </c>
      <c r="C326" s="21">
        <v>1</v>
      </c>
      <c r="D326" s="21">
        <v>9</v>
      </c>
      <c r="E326" s="21">
        <v>3</v>
      </c>
      <c r="F326" s="21" t="s">
        <v>39</v>
      </c>
      <c r="G326" s="23">
        <v>10000000</v>
      </c>
      <c r="H326" s="23">
        <v>10000000</v>
      </c>
      <c r="I326" s="23">
        <f>SUM(G326+H326)</f>
        <v>20000000</v>
      </c>
      <c r="J326" s="23">
        <v>0</v>
      </c>
      <c r="K326" s="23">
        <f t="shared" si="22"/>
        <v>7204227</v>
      </c>
      <c r="L326" s="14">
        <f t="shared" si="23"/>
        <v>36.021135</v>
      </c>
      <c r="M326" s="3"/>
    </row>
    <row r="327" spans="1:13" ht="12.75" hidden="1">
      <c r="A327" s="21" t="s">
        <v>19</v>
      </c>
      <c r="B327" s="21">
        <v>1</v>
      </c>
      <c r="C327" s="21">
        <v>1</v>
      </c>
      <c r="D327" s="21">
        <v>4</v>
      </c>
      <c r="E327" s="21">
        <v>2</v>
      </c>
      <c r="F327" s="21" t="s">
        <v>25</v>
      </c>
      <c r="G327" s="23">
        <v>51756389</v>
      </c>
      <c r="H327" s="23">
        <v>0</v>
      </c>
      <c r="I327" s="23">
        <f>SUM(G327+H327)</f>
        <v>51756389</v>
      </c>
      <c r="J327" s="23">
        <v>0</v>
      </c>
      <c r="K327" s="23">
        <f t="shared" si="22"/>
        <v>0</v>
      </c>
      <c r="L327" s="14">
        <f t="shared" si="23"/>
        <v>0</v>
      </c>
      <c r="M327" s="3"/>
    </row>
    <row r="328" spans="1:13" ht="12.75" hidden="1">
      <c r="A328" s="21" t="s">
        <v>19</v>
      </c>
      <c r="B328" s="21">
        <v>1</v>
      </c>
      <c r="C328" s="21">
        <v>1</v>
      </c>
      <c r="D328" s="21">
        <v>5</v>
      </c>
      <c r="E328" s="21">
        <v>0</v>
      </c>
      <c r="F328" s="21" t="s">
        <v>26</v>
      </c>
      <c r="G328" s="23">
        <v>130793901</v>
      </c>
      <c r="H328" s="23">
        <v>0</v>
      </c>
      <c r="I328" s="23">
        <f>SUM(G328+H328)</f>
        <v>130793901</v>
      </c>
      <c r="J328" s="23">
        <v>5489789</v>
      </c>
      <c r="K328" s="23">
        <f t="shared" si="22"/>
        <v>7770711</v>
      </c>
      <c r="L328" s="14">
        <f t="shared" si="23"/>
        <v>5.9411875787694415</v>
      </c>
      <c r="M328" s="3"/>
    </row>
    <row r="329" spans="1:13" ht="12.75" hidden="1">
      <c r="A329" s="21" t="s">
        <v>19</v>
      </c>
      <c r="B329" s="21">
        <v>1</v>
      </c>
      <c r="C329" s="21">
        <v>0</v>
      </c>
      <c r="D329" s="21">
        <v>2</v>
      </c>
      <c r="E329" s="21">
        <v>0</v>
      </c>
      <c r="F329" s="21" t="s">
        <v>40</v>
      </c>
      <c r="G329" s="23">
        <v>140863035</v>
      </c>
      <c r="H329" s="24">
        <v>0</v>
      </c>
      <c r="I329" s="23">
        <f>SUM(G329+H329)</f>
        <v>140863035</v>
      </c>
      <c r="J329" s="23">
        <v>0</v>
      </c>
      <c r="K329" s="23">
        <f t="shared" si="22"/>
        <v>120865258</v>
      </c>
      <c r="L329" s="14">
        <f t="shared" si="23"/>
        <v>85.8033890864271</v>
      </c>
      <c r="M329" s="3"/>
    </row>
    <row r="330" spans="1:13" ht="12.75" hidden="1">
      <c r="A330" s="21" t="s">
        <v>19</v>
      </c>
      <c r="B330" s="21">
        <v>1</v>
      </c>
      <c r="C330" s="21">
        <v>5</v>
      </c>
      <c r="D330" s="21">
        <v>0</v>
      </c>
      <c r="E330" s="21">
        <v>1</v>
      </c>
      <c r="F330" s="21" t="s">
        <v>27</v>
      </c>
      <c r="G330" s="23">
        <v>228481415</v>
      </c>
      <c r="H330" s="24">
        <v>0</v>
      </c>
      <c r="I330" s="23">
        <f>+G330+H330</f>
        <v>228481415</v>
      </c>
      <c r="J330" s="23">
        <v>0</v>
      </c>
      <c r="K330" s="23">
        <f t="shared" si="22"/>
        <v>0</v>
      </c>
      <c r="L330" s="14">
        <f t="shared" si="23"/>
        <v>0</v>
      </c>
      <c r="M330" s="3"/>
    </row>
    <row r="331" spans="1:13" ht="12.75" hidden="1">
      <c r="A331" s="21" t="s">
        <v>19</v>
      </c>
      <c r="B331" s="21">
        <v>1</v>
      </c>
      <c r="C331" s="21">
        <v>5</v>
      </c>
      <c r="D331" s="21">
        <v>0</v>
      </c>
      <c r="E331" s="21">
        <v>2</v>
      </c>
      <c r="F331" s="21" t="s">
        <v>28</v>
      </c>
      <c r="G331" s="23">
        <v>107394256</v>
      </c>
      <c r="H331" s="24">
        <v>0</v>
      </c>
      <c r="I331" s="23">
        <f>+G331+H331</f>
        <v>107394256</v>
      </c>
      <c r="J331" s="23">
        <v>0</v>
      </c>
      <c r="K331" s="23">
        <f t="shared" si="22"/>
        <v>0</v>
      </c>
      <c r="L331" s="14">
        <f t="shared" si="23"/>
        <v>0</v>
      </c>
      <c r="M331" s="3"/>
    </row>
    <row r="332" spans="1:13" ht="12.75" hidden="1">
      <c r="A332" s="21" t="s">
        <v>19</v>
      </c>
      <c r="B332" s="21">
        <v>2</v>
      </c>
      <c r="C332" s="21">
        <v>0</v>
      </c>
      <c r="D332" s="21">
        <v>0</v>
      </c>
      <c r="E332" s="21">
        <v>0</v>
      </c>
      <c r="F332" s="21" t="s">
        <v>29</v>
      </c>
      <c r="G332" s="23">
        <f>SUM(G333:G335)</f>
        <v>696598707</v>
      </c>
      <c r="H332" s="23">
        <f>+H333+H334</f>
        <v>0</v>
      </c>
      <c r="I332" s="23">
        <f>+I333+I334+I335</f>
        <v>696598707</v>
      </c>
      <c r="J332" s="23">
        <f>SUM(J333:J335)</f>
        <v>188985748</v>
      </c>
      <c r="K332" s="23">
        <f t="shared" si="22"/>
        <v>326987666</v>
      </c>
      <c r="L332" s="14">
        <f t="shared" si="23"/>
        <v>46.94060765748737</v>
      </c>
      <c r="M332" s="3"/>
    </row>
    <row r="333" spans="1:13" ht="12.75" hidden="1">
      <c r="A333" s="21" t="s">
        <v>19</v>
      </c>
      <c r="B333" s="21">
        <v>2</v>
      </c>
      <c r="C333" s="21">
        <v>4</v>
      </c>
      <c r="D333" s="21">
        <v>0</v>
      </c>
      <c r="E333" s="21">
        <v>0</v>
      </c>
      <c r="F333" s="21" t="s">
        <v>41</v>
      </c>
      <c r="G333" s="23">
        <v>124289000</v>
      </c>
      <c r="H333" s="24">
        <v>0</v>
      </c>
      <c r="I333" s="23">
        <f>+G333+H333</f>
        <v>124289000</v>
      </c>
      <c r="J333" s="23">
        <v>0</v>
      </c>
      <c r="K333" s="23">
        <f t="shared" si="22"/>
        <v>22178047</v>
      </c>
      <c r="L333" s="14">
        <f t="shared" si="23"/>
        <v>17.84393389600045</v>
      </c>
      <c r="M333" s="3"/>
    </row>
    <row r="334" spans="1:13" ht="12.75" hidden="1">
      <c r="A334" s="21" t="s">
        <v>19</v>
      </c>
      <c r="B334" s="21">
        <v>2</v>
      </c>
      <c r="C334" s="21">
        <v>4</v>
      </c>
      <c r="D334" s="21">
        <v>0</v>
      </c>
      <c r="E334" s="21">
        <v>0</v>
      </c>
      <c r="F334" s="21" t="s">
        <v>30</v>
      </c>
      <c r="G334" s="23">
        <v>551497096</v>
      </c>
      <c r="H334" s="24">
        <v>0</v>
      </c>
      <c r="I334" s="23">
        <f>+G334+H334</f>
        <v>551497096</v>
      </c>
      <c r="J334" s="23">
        <f>358985748-170000000</f>
        <v>188985748</v>
      </c>
      <c r="K334" s="23">
        <f t="shared" si="22"/>
        <v>304809619</v>
      </c>
      <c r="L334" s="14">
        <f t="shared" si="23"/>
        <v>55.26948758402891</v>
      </c>
      <c r="M334" s="3"/>
    </row>
    <row r="335" spans="1:13" ht="12.75" hidden="1">
      <c r="A335" s="21" t="s">
        <v>19</v>
      </c>
      <c r="B335" s="21">
        <v>2</v>
      </c>
      <c r="C335" s="21">
        <v>0</v>
      </c>
      <c r="D335" s="21">
        <v>3</v>
      </c>
      <c r="E335" s="21">
        <v>0</v>
      </c>
      <c r="F335" s="21" t="s">
        <v>31</v>
      </c>
      <c r="G335" s="23">
        <v>20812611</v>
      </c>
      <c r="H335" s="23">
        <v>0</v>
      </c>
      <c r="I335" s="23">
        <f>+G335+H335</f>
        <v>20812611</v>
      </c>
      <c r="J335" s="23">
        <v>0</v>
      </c>
      <c r="K335" s="23">
        <f t="shared" si="22"/>
        <v>0</v>
      </c>
      <c r="L335" s="14">
        <f t="shared" si="23"/>
        <v>0</v>
      </c>
      <c r="M335" s="3"/>
    </row>
    <row r="336" spans="1:13" ht="12.75" hidden="1">
      <c r="A336" s="21" t="s">
        <v>19</v>
      </c>
      <c r="B336" s="21">
        <v>3</v>
      </c>
      <c r="C336" s="21">
        <v>0</v>
      </c>
      <c r="D336" s="21">
        <v>0</v>
      </c>
      <c r="E336" s="21">
        <v>0</v>
      </c>
      <c r="F336" s="21" t="s">
        <v>32</v>
      </c>
      <c r="G336" s="23">
        <f>SUM(G337:G340)</f>
        <v>977658163</v>
      </c>
      <c r="H336" s="23">
        <f>+H338</f>
        <v>0</v>
      </c>
      <c r="I336" s="23">
        <f>SUM(I337:I340)</f>
        <v>977658163</v>
      </c>
      <c r="J336" s="23">
        <f>SUM(J337:J340)</f>
        <v>85487893</v>
      </c>
      <c r="K336" s="23">
        <f t="shared" si="22"/>
        <v>173975008</v>
      </c>
      <c r="L336" s="14">
        <f t="shared" si="23"/>
        <v>17.795075475680346</v>
      </c>
      <c r="M336" s="3"/>
    </row>
    <row r="337" spans="1:13" ht="12.75" hidden="1">
      <c r="A337" s="21" t="s">
        <v>19</v>
      </c>
      <c r="B337" s="21">
        <v>3</v>
      </c>
      <c r="C337" s="21">
        <v>2</v>
      </c>
      <c r="D337" s="21">
        <v>1</v>
      </c>
      <c r="E337" s="21">
        <v>1</v>
      </c>
      <c r="F337" s="21" t="s">
        <v>42</v>
      </c>
      <c r="G337" s="23">
        <v>18796584</v>
      </c>
      <c r="H337" s="23">
        <v>0</v>
      </c>
      <c r="I337" s="23">
        <f>+G337+H337</f>
        <v>18796584</v>
      </c>
      <c r="J337" s="23">
        <v>0</v>
      </c>
      <c r="K337" s="23">
        <f t="shared" si="22"/>
        <v>0</v>
      </c>
      <c r="L337" s="14">
        <f t="shared" si="23"/>
        <v>0</v>
      </c>
      <c r="M337" s="3"/>
    </row>
    <row r="338" spans="1:13" ht="12.75" hidden="1">
      <c r="A338" s="21" t="s">
        <v>19</v>
      </c>
      <c r="B338" s="21">
        <v>3</v>
      </c>
      <c r="C338" s="21">
        <v>2</v>
      </c>
      <c r="D338" s="21">
        <v>1</v>
      </c>
      <c r="E338" s="21">
        <v>2</v>
      </c>
      <c r="F338" s="21" t="s">
        <v>43</v>
      </c>
      <c r="G338" s="23">
        <v>935861579</v>
      </c>
      <c r="H338" s="23">
        <v>0</v>
      </c>
      <c r="I338" s="23">
        <f>+G338+H338</f>
        <v>935861579</v>
      </c>
      <c r="J338" s="23">
        <v>85487893</v>
      </c>
      <c r="K338" s="23">
        <f t="shared" si="22"/>
        <v>173975008</v>
      </c>
      <c r="L338" s="14">
        <f t="shared" si="23"/>
        <v>18.58982267291048</v>
      </c>
      <c r="M338" s="3"/>
    </row>
    <row r="339" spans="1:13" ht="12.75" hidden="1">
      <c r="A339" s="21" t="s">
        <v>19</v>
      </c>
      <c r="B339" s="21">
        <v>3</v>
      </c>
      <c r="C339" s="21">
        <v>2</v>
      </c>
      <c r="D339" s="21">
        <v>1</v>
      </c>
      <c r="E339" s="21">
        <v>3</v>
      </c>
      <c r="F339" s="21" t="s">
        <v>44</v>
      </c>
      <c r="G339" s="23">
        <v>18000000</v>
      </c>
      <c r="H339" s="23">
        <v>0</v>
      </c>
      <c r="I339" s="23">
        <f>+G339+H339</f>
        <v>18000000</v>
      </c>
      <c r="J339" s="23">
        <v>0</v>
      </c>
      <c r="K339" s="23">
        <f t="shared" si="22"/>
        <v>0</v>
      </c>
      <c r="L339" s="14">
        <f t="shared" si="23"/>
        <v>0</v>
      </c>
      <c r="M339" s="3"/>
    </row>
    <row r="340" spans="1:13" ht="12.75" hidden="1">
      <c r="A340" s="21" t="s">
        <v>19</v>
      </c>
      <c r="B340" s="21">
        <v>3</v>
      </c>
      <c r="C340" s="21">
        <v>6</v>
      </c>
      <c r="D340" s="21">
        <v>1</v>
      </c>
      <c r="E340" s="21">
        <v>1</v>
      </c>
      <c r="F340" s="21" t="s">
        <v>45</v>
      </c>
      <c r="G340" s="23">
        <v>5000000</v>
      </c>
      <c r="H340" s="23">
        <v>0</v>
      </c>
      <c r="I340" s="23">
        <f>+G340+H340</f>
        <v>5000000</v>
      </c>
      <c r="J340" s="23">
        <v>0</v>
      </c>
      <c r="K340" s="23">
        <f t="shared" si="22"/>
        <v>0</v>
      </c>
      <c r="L340" s="14">
        <f t="shared" si="23"/>
        <v>0</v>
      </c>
      <c r="M340" s="3"/>
    </row>
    <row r="341" spans="1:13" ht="12.75" hidden="1">
      <c r="A341" s="21"/>
      <c r="B341" s="21"/>
      <c r="C341" s="21"/>
      <c r="D341" s="21"/>
      <c r="E341" s="21"/>
      <c r="F341" s="21" t="s">
        <v>1</v>
      </c>
      <c r="G341" s="23" t="s">
        <v>1</v>
      </c>
      <c r="H341" s="23" t="s">
        <v>1</v>
      </c>
      <c r="I341" s="23" t="s">
        <v>1</v>
      </c>
      <c r="J341" s="23"/>
      <c r="K341" s="23" t="s">
        <v>1</v>
      </c>
      <c r="L341" s="14" t="s">
        <v>1</v>
      </c>
      <c r="M341" s="3"/>
    </row>
    <row r="342" spans="1:13" ht="12.75" hidden="1">
      <c r="A342" s="21" t="s">
        <v>33</v>
      </c>
      <c r="B342" s="21"/>
      <c r="C342" s="21"/>
      <c r="D342" s="21" t="s">
        <v>1</v>
      </c>
      <c r="E342" s="21"/>
      <c r="F342" s="21" t="s">
        <v>34</v>
      </c>
      <c r="G342" s="25">
        <f>SUM(G344:G350)</f>
        <v>7087047925</v>
      </c>
      <c r="H342" s="25">
        <f>SUM(H344:H350)</f>
        <v>1968089885</v>
      </c>
      <c r="I342" s="25">
        <f>SUM(G342+H342)</f>
        <v>9055137810</v>
      </c>
      <c r="J342" s="25">
        <f>SUM(J344:J350)</f>
        <v>347489997</v>
      </c>
      <c r="K342" s="23">
        <f t="shared" si="22"/>
        <v>485995208</v>
      </c>
      <c r="L342" s="14">
        <f>+K342/I342*100</f>
        <v>5.367065838173036</v>
      </c>
      <c r="M342" s="3"/>
    </row>
    <row r="343" spans="1:13" ht="12.75" hidden="1">
      <c r="A343" s="21"/>
      <c r="B343" s="21"/>
      <c r="C343" s="21"/>
      <c r="D343" s="21"/>
      <c r="E343" s="21"/>
      <c r="F343" s="21"/>
      <c r="G343" s="23"/>
      <c r="H343" s="23" t="s">
        <v>1</v>
      </c>
      <c r="I343" s="23" t="s">
        <v>1</v>
      </c>
      <c r="J343" s="23"/>
      <c r="K343" s="23">
        <f t="shared" si="22"/>
        <v>0</v>
      </c>
      <c r="L343" s="14" t="s">
        <v>1</v>
      </c>
      <c r="M343" s="3"/>
    </row>
    <row r="344" spans="1:13" ht="33.75" hidden="1">
      <c r="A344" s="26" t="s">
        <v>33</v>
      </c>
      <c r="B344" s="26">
        <v>113</v>
      </c>
      <c r="C344" s="26">
        <v>900</v>
      </c>
      <c r="D344" s="26">
        <v>1</v>
      </c>
      <c r="E344" s="26"/>
      <c r="F344" s="29" t="s">
        <v>51</v>
      </c>
      <c r="G344" s="25">
        <v>900000000</v>
      </c>
      <c r="H344" s="31">
        <v>1230345600</v>
      </c>
      <c r="I344" s="25">
        <f aca="true" t="shared" si="24" ref="I344:I350">SUM(G344+H344)</f>
        <v>2130345600</v>
      </c>
      <c r="J344" s="25">
        <v>52489789</v>
      </c>
      <c r="K344" s="23">
        <f t="shared" si="22"/>
        <v>59178143</v>
      </c>
      <c r="L344" s="14">
        <f aca="true" t="shared" si="25" ref="L344:L351">+K344/I344*100</f>
        <v>2.7778658542538825</v>
      </c>
      <c r="M344" s="3"/>
    </row>
    <row r="345" spans="1:13" ht="12.75" hidden="1">
      <c r="A345" s="26" t="s">
        <v>33</v>
      </c>
      <c r="B345" s="26">
        <v>113</v>
      </c>
      <c r="C345" s="26">
        <v>900</v>
      </c>
      <c r="D345" s="26">
        <v>2</v>
      </c>
      <c r="E345" s="26"/>
      <c r="F345" s="29" t="s">
        <v>52</v>
      </c>
      <c r="G345" s="25">
        <v>4759999979</v>
      </c>
      <c r="H345" s="31">
        <v>737744285</v>
      </c>
      <c r="I345" s="25">
        <f t="shared" si="24"/>
        <v>5497744264</v>
      </c>
      <c r="J345" s="25">
        <f>102589789-72000000</f>
        <v>30589789</v>
      </c>
      <c r="K345" s="23">
        <f t="shared" si="22"/>
        <v>117759812</v>
      </c>
      <c r="L345" s="14">
        <f t="shared" si="25"/>
        <v>2.141965983596359</v>
      </c>
      <c r="M345" s="3"/>
    </row>
    <row r="346" spans="1:13" ht="33.75" hidden="1">
      <c r="A346" s="26" t="s">
        <v>33</v>
      </c>
      <c r="B346" s="26">
        <v>113</v>
      </c>
      <c r="C346" s="26">
        <v>900</v>
      </c>
      <c r="D346" s="26">
        <v>3</v>
      </c>
      <c r="E346" s="26"/>
      <c r="F346" s="29" t="s">
        <v>53</v>
      </c>
      <c r="G346" s="25">
        <v>314978597</v>
      </c>
      <c r="H346" s="31">
        <v>0</v>
      </c>
      <c r="I346" s="25">
        <f t="shared" si="24"/>
        <v>314978597</v>
      </c>
      <c r="J346" s="25">
        <f>25878546-12000000</f>
        <v>13878546</v>
      </c>
      <c r="K346" s="23">
        <f t="shared" si="22"/>
        <v>22240355</v>
      </c>
      <c r="L346" s="14">
        <f t="shared" si="25"/>
        <v>7.060909919539708</v>
      </c>
      <c r="M346" s="3"/>
    </row>
    <row r="347" spans="1:13" ht="12.75" hidden="1">
      <c r="A347" s="26" t="s">
        <v>33</v>
      </c>
      <c r="B347" s="26">
        <v>310</v>
      </c>
      <c r="C347" s="26">
        <v>900</v>
      </c>
      <c r="D347" s="26">
        <v>4</v>
      </c>
      <c r="E347" s="26"/>
      <c r="F347" s="28" t="s">
        <v>54</v>
      </c>
      <c r="G347" s="25">
        <v>100000000</v>
      </c>
      <c r="H347" s="25">
        <v>0</v>
      </c>
      <c r="I347" s="25">
        <f t="shared" si="24"/>
        <v>100000000</v>
      </c>
      <c r="J347" s="25">
        <f>24789569-23000000</f>
        <v>1789569</v>
      </c>
      <c r="K347" s="23">
        <f t="shared" si="22"/>
        <v>3423635</v>
      </c>
      <c r="L347" s="14">
        <f t="shared" si="25"/>
        <v>3.423635</v>
      </c>
      <c r="M347" s="3"/>
    </row>
    <row r="348" spans="1:13" ht="12.75" hidden="1">
      <c r="A348" s="26" t="s">
        <v>33</v>
      </c>
      <c r="B348" s="26">
        <v>310</v>
      </c>
      <c r="C348" s="26">
        <v>900</v>
      </c>
      <c r="D348" s="26">
        <v>5</v>
      </c>
      <c r="E348" s="26"/>
      <c r="F348" s="28" t="s">
        <v>55</v>
      </c>
      <c r="G348" s="25">
        <v>712069349</v>
      </c>
      <c r="H348" s="31">
        <v>0</v>
      </c>
      <c r="I348" s="25">
        <f t="shared" si="24"/>
        <v>712069349</v>
      </c>
      <c r="J348" s="25">
        <f>225823659-8000000</f>
        <v>217823659</v>
      </c>
      <c r="K348" s="23">
        <f t="shared" si="22"/>
        <v>226235681</v>
      </c>
      <c r="L348" s="14">
        <f t="shared" si="25"/>
        <v>31.77157973696183</v>
      </c>
      <c r="M348" s="3"/>
    </row>
    <row r="349" spans="1:13" ht="22.5" hidden="1">
      <c r="A349" s="26" t="s">
        <v>33</v>
      </c>
      <c r="B349" s="26">
        <v>310</v>
      </c>
      <c r="C349" s="26">
        <v>900</v>
      </c>
      <c r="D349" s="26">
        <v>6</v>
      </c>
      <c r="E349" s="26"/>
      <c r="F349" s="28" t="s">
        <v>56</v>
      </c>
      <c r="G349" s="25">
        <v>100000000</v>
      </c>
      <c r="H349" s="25">
        <v>0</v>
      </c>
      <c r="I349" s="25">
        <f t="shared" si="24"/>
        <v>100000000</v>
      </c>
      <c r="J349" s="25">
        <f>25369856-14000000</f>
        <v>11369856</v>
      </c>
      <c r="K349" s="23">
        <f t="shared" si="22"/>
        <v>17361728</v>
      </c>
      <c r="L349" s="14">
        <f t="shared" si="25"/>
        <v>17.361728000000003</v>
      </c>
      <c r="M349" s="3"/>
    </row>
    <row r="350" spans="1:13" ht="22.5" hidden="1">
      <c r="A350" s="26" t="s">
        <v>33</v>
      </c>
      <c r="B350" s="26">
        <v>520</v>
      </c>
      <c r="C350" s="26">
        <v>900</v>
      </c>
      <c r="D350" s="26">
        <v>7</v>
      </c>
      <c r="E350" s="26"/>
      <c r="F350" s="30" t="s">
        <v>57</v>
      </c>
      <c r="G350" s="25">
        <v>200000000</v>
      </c>
      <c r="H350" s="25">
        <v>0</v>
      </c>
      <c r="I350" s="25">
        <f t="shared" si="24"/>
        <v>200000000</v>
      </c>
      <c r="J350" s="25">
        <v>19548789</v>
      </c>
      <c r="K350" s="23">
        <f t="shared" si="22"/>
        <v>39795854</v>
      </c>
      <c r="L350" s="14">
        <f t="shared" si="25"/>
        <v>19.897927000000003</v>
      </c>
      <c r="M350" s="3"/>
    </row>
    <row r="351" spans="1:13" ht="12.75" hidden="1">
      <c r="A351" s="13" t="s">
        <v>33</v>
      </c>
      <c r="B351" s="13"/>
      <c r="C351" s="13"/>
      <c r="D351" s="13"/>
      <c r="E351" s="13"/>
      <c r="F351" s="27" t="s">
        <v>35</v>
      </c>
      <c r="G351" s="16">
        <f>+G342+G322</f>
        <v>10077156120</v>
      </c>
      <c r="H351" s="16">
        <f>+H342+H322</f>
        <v>1968089885</v>
      </c>
      <c r="I351" s="16">
        <f>+I342+I322</f>
        <v>12045246005</v>
      </c>
      <c r="J351" s="16">
        <f>+J342+J322</f>
        <v>627453427</v>
      </c>
      <c r="K351" s="23">
        <f t="shared" si="22"/>
        <v>1122798078</v>
      </c>
      <c r="L351" s="14">
        <f t="shared" si="25"/>
        <v>9.32150391560226</v>
      </c>
      <c r="M351" s="3"/>
    </row>
    <row r="352" spans="9:11" ht="12.75" hidden="1">
      <c r="I352" s="3" t="s">
        <v>1</v>
      </c>
      <c r="J352" s="3"/>
      <c r="K352" s="3" t="s">
        <v>1</v>
      </c>
    </row>
    <row r="353" spans="3:7" ht="12.75" hidden="1">
      <c r="C353" s="2" t="s">
        <v>1</v>
      </c>
      <c r="D353" s="1" t="s">
        <v>1</v>
      </c>
      <c r="E353" s="1" t="s">
        <v>1</v>
      </c>
      <c r="F353" s="1" t="s">
        <v>0</v>
      </c>
      <c r="G353" s="1"/>
    </row>
    <row r="354" spans="1:11" ht="12.75" hidden="1">
      <c r="A354" s="5"/>
      <c r="B354" s="5"/>
      <c r="C354" s="6" t="s">
        <v>1</v>
      </c>
      <c r="D354" s="7" t="s">
        <v>1</v>
      </c>
      <c r="E354" s="7" t="s">
        <v>1</v>
      </c>
      <c r="F354" s="7" t="s">
        <v>48</v>
      </c>
      <c r="G354" s="7"/>
      <c r="H354" s="7"/>
      <c r="I354" s="5"/>
      <c r="J354" s="5"/>
      <c r="K354" s="5"/>
    </row>
    <row r="355" spans="1:11" ht="12.75" hidden="1">
      <c r="A355" s="8"/>
      <c r="B355" s="8"/>
      <c r="C355" s="8"/>
      <c r="D355" s="8"/>
      <c r="E355" s="8"/>
      <c r="F355" s="9" t="s">
        <v>49</v>
      </c>
      <c r="G355" s="9"/>
      <c r="H355" s="9"/>
      <c r="I355" s="8"/>
      <c r="J355" s="18"/>
      <c r="K355" s="10" t="s">
        <v>66</v>
      </c>
    </row>
    <row r="356" spans="6:9" ht="12.75" hidden="1">
      <c r="F356" s="1"/>
      <c r="I356" t="s">
        <v>1</v>
      </c>
    </row>
    <row r="357" spans="1:12" ht="12.75" hidden="1">
      <c r="A357" s="11" t="s">
        <v>7</v>
      </c>
      <c r="B357" s="11" t="s">
        <v>8</v>
      </c>
      <c r="C357" s="12" t="s">
        <v>9</v>
      </c>
      <c r="D357" s="12" t="s">
        <v>10</v>
      </c>
      <c r="E357" s="12" t="s">
        <v>11</v>
      </c>
      <c r="F357" s="13"/>
      <c r="G357" s="13"/>
      <c r="H357" s="12" t="s">
        <v>1</v>
      </c>
      <c r="I357" s="13"/>
      <c r="J357" s="13"/>
      <c r="K357" s="11" t="s">
        <v>1</v>
      </c>
      <c r="L357" s="13"/>
    </row>
    <row r="358" spans="1:12" ht="12.75" hidden="1">
      <c r="A358" s="12"/>
      <c r="B358" s="11" t="s">
        <v>12</v>
      </c>
      <c r="C358" s="12"/>
      <c r="D358" s="12" t="s">
        <v>13</v>
      </c>
      <c r="E358" s="12"/>
      <c r="F358" s="13"/>
      <c r="G358" s="11" t="s">
        <v>3</v>
      </c>
      <c r="H358" s="11" t="s">
        <v>2</v>
      </c>
      <c r="I358" s="11" t="s">
        <v>3</v>
      </c>
      <c r="J358" s="11"/>
      <c r="K358" s="11" t="s">
        <v>58</v>
      </c>
      <c r="L358" s="32" t="s">
        <v>60</v>
      </c>
    </row>
    <row r="359" spans="1:12" ht="12.75" hidden="1">
      <c r="A359" s="12"/>
      <c r="B359" s="12"/>
      <c r="C359" s="12"/>
      <c r="D359" s="12" t="s">
        <v>14</v>
      </c>
      <c r="E359" s="12"/>
      <c r="F359" s="11" t="s">
        <v>15</v>
      </c>
      <c r="G359" s="11" t="s">
        <v>4</v>
      </c>
      <c r="H359" s="11" t="s">
        <v>16</v>
      </c>
      <c r="I359" s="11" t="s">
        <v>5</v>
      </c>
      <c r="J359" s="11"/>
      <c r="K359" s="11" t="s">
        <v>59</v>
      </c>
      <c r="L359" s="33" t="s">
        <v>61</v>
      </c>
    </row>
    <row r="360" spans="1:12" ht="12.75" hidden="1">
      <c r="A360" s="12"/>
      <c r="B360" s="12"/>
      <c r="C360" s="12"/>
      <c r="D360" s="12" t="s">
        <v>17</v>
      </c>
      <c r="E360" s="12"/>
      <c r="F360" s="13"/>
      <c r="G360" s="11">
        <v>1</v>
      </c>
      <c r="H360" s="11">
        <v>2</v>
      </c>
      <c r="I360" s="11" t="s">
        <v>18</v>
      </c>
      <c r="J360" s="11"/>
      <c r="K360" s="11"/>
      <c r="L360" s="13"/>
    </row>
    <row r="361" spans="1:12" ht="12.75" hidden="1">
      <c r="A361" s="13"/>
      <c r="B361" s="13"/>
      <c r="C361" s="13"/>
      <c r="D361" s="13"/>
      <c r="E361" s="13"/>
      <c r="F361" s="13"/>
      <c r="G361" s="14" t="s">
        <v>1</v>
      </c>
      <c r="H361" s="14"/>
      <c r="I361" s="14" t="s">
        <v>1</v>
      </c>
      <c r="J361" s="14"/>
      <c r="K361" s="14"/>
      <c r="L361" s="13"/>
    </row>
    <row r="362" spans="1:12" ht="12.75" hidden="1">
      <c r="A362" s="13" t="s">
        <v>19</v>
      </c>
      <c r="B362" s="13"/>
      <c r="C362" s="13"/>
      <c r="D362" s="13"/>
      <c r="E362" s="13"/>
      <c r="F362" s="15" t="s">
        <v>20</v>
      </c>
      <c r="G362" s="16">
        <f>SUM(G363+G371+G374)</f>
        <v>1291922856</v>
      </c>
      <c r="H362" s="16">
        <f>SUM(H363+H371+H373+H374)</f>
        <v>0</v>
      </c>
      <c r="I362" s="16">
        <f>+G362+H362</f>
        <v>1291922856</v>
      </c>
      <c r="J362" s="16">
        <f>SUM(J363+J371+J374)</f>
        <v>165868092</v>
      </c>
      <c r="K362" s="16">
        <f aca="true" t="shared" si="26" ref="K362:K379">+K10+J362</f>
        <v>809305411</v>
      </c>
      <c r="L362" s="14">
        <f>+K362/I362*100</f>
        <v>62.643478071573035</v>
      </c>
    </row>
    <row r="363" spans="1:12" ht="12.75" hidden="1">
      <c r="A363" s="13" t="s">
        <v>19</v>
      </c>
      <c r="B363" s="13">
        <v>1</v>
      </c>
      <c r="C363" s="13">
        <v>1</v>
      </c>
      <c r="D363" s="13">
        <v>0</v>
      </c>
      <c r="E363" s="13">
        <v>0</v>
      </c>
      <c r="F363" s="15" t="s">
        <v>21</v>
      </c>
      <c r="G363" s="16">
        <f>+G364+G369+G370</f>
        <v>1259060399</v>
      </c>
      <c r="H363" s="16">
        <f>+H364+H369+H370</f>
        <v>0</v>
      </c>
      <c r="I363" s="16">
        <f>+I364+I369+I370</f>
        <v>1259060399</v>
      </c>
      <c r="J363" s="16">
        <f>+J364+J369+J370</f>
        <v>165868092</v>
      </c>
      <c r="K363" s="16">
        <f t="shared" si="26"/>
        <v>785204310</v>
      </c>
      <c r="L363" s="14">
        <f aca="true" t="shared" si="27" ref="L363:L374">+K363/I363*100</f>
        <v>62.3643083861301</v>
      </c>
    </row>
    <row r="364" spans="1:12" ht="12.75" hidden="1">
      <c r="A364" s="13" t="s">
        <v>19</v>
      </c>
      <c r="B364" s="13">
        <v>1</v>
      </c>
      <c r="C364" s="13">
        <v>1</v>
      </c>
      <c r="D364" s="13">
        <v>1</v>
      </c>
      <c r="E364" s="13">
        <v>0</v>
      </c>
      <c r="F364" s="13" t="s">
        <v>22</v>
      </c>
      <c r="G364" s="14">
        <f>SUM(G365:G368)</f>
        <v>998428465</v>
      </c>
      <c r="H364" s="14">
        <f>SUM(H365:H368)</f>
        <v>0</v>
      </c>
      <c r="I364" s="14">
        <f>+G364+H364</f>
        <v>998428465</v>
      </c>
      <c r="J364" s="14">
        <f>SUM(J365:J368)</f>
        <v>122333977</v>
      </c>
      <c r="K364" s="16">
        <f t="shared" si="26"/>
        <v>633467055</v>
      </c>
      <c r="L364" s="14">
        <f t="shared" si="27"/>
        <v>63.446413759848085</v>
      </c>
    </row>
    <row r="365" spans="1:12" ht="12.75" hidden="1">
      <c r="A365" s="13" t="s">
        <v>19</v>
      </c>
      <c r="B365" s="13">
        <v>1</v>
      </c>
      <c r="C365" s="13">
        <v>1</v>
      </c>
      <c r="D365" s="13">
        <v>1</v>
      </c>
      <c r="E365" s="13">
        <v>1</v>
      </c>
      <c r="F365" s="13" t="s">
        <v>23</v>
      </c>
      <c r="G365" s="14">
        <v>726033173</v>
      </c>
      <c r="H365" s="14">
        <v>0</v>
      </c>
      <c r="I365" s="14">
        <f>+G365+H365</f>
        <v>726033173</v>
      </c>
      <c r="J365" s="14">
        <v>103852589</v>
      </c>
      <c r="K365" s="16">
        <f t="shared" si="26"/>
        <v>536380863</v>
      </c>
      <c r="L365" s="14">
        <f t="shared" si="27"/>
        <v>73.87828586173983</v>
      </c>
    </row>
    <row r="366" spans="1:12" ht="12.75" hidden="1">
      <c r="A366" s="13" t="s">
        <v>19</v>
      </c>
      <c r="B366" s="13">
        <v>1</v>
      </c>
      <c r="C366" s="13">
        <v>1</v>
      </c>
      <c r="D366" s="13">
        <v>9</v>
      </c>
      <c r="E366" s="13">
        <v>1</v>
      </c>
      <c r="F366" s="13" t="s">
        <v>24</v>
      </c>
      <c r="G366" s="14">
        <v>1109073</v>
      </c>
      <c r="H366" s="14">
        <v>0</v>
      </c>
      <c r="I366" s="14">
        <f aca="true" t="shared" si="28" ref="I366:I371">+G366+H366</f>
        <v>1109073</v>
      </c>
      <c r="J366" s="14"/>
      <c r="K366" s="16">
        <f t="shared" si="26"/>
        <v>0</v>
      </c>
      <c r="L366" s="14">
        <f t="shared" si="27"/>
        <v>0</v>
      </c>
    </row>
    <row r="367" spans="1:12" ht="12.75" hidden="1">
      <c r="A367" s="13" t="s">
        <v>19</v>
      </c>
      <c r="B367" s="13">
        <v>1</v>
      </c>
      <c r="C367" s="13">
        <v>1</v>
      </c>
      <c r="D367" s="13">
        <v>4</v>
      </c>
      <c r="E367" s="13">
        <v>2</v>
      </c>
      <c r="F367" s="13" t="s">
        <v>25</v>
      </c>
      <c r="G367" s="14">
        <v>96499234</v>
      </c>
      <c r="H367" s="14">
        <f>0</f>
        <v>0</v>
      </c>
      <c r="I367" s="14">
        <f t="shared" si="28"/>
        <v>96499234</v>
      </c>
      <c r="J367" s="14">
        <v>10876510</v>
      </c>
      <c r="K367" s="16">
        <f t="shared" si="26"/>
        <v>55864050</v>
      </c>
      <c r="L367" s="14">
        <f t="shared" si="27"/>
        <v>57.89066677980055</v>
      </c>
    </row>
    <row r="368" spans="1:12" ht="12.75" hidden="1">
      <c r="A368" s="13" t="s">
        <v>19</v>
      </c>
      <c r="B368" s="13">
        <v>1</v>
      </c>
      <c r="C368" s="13">
        <v>1</v>
      </c>
      <c r="D368" s="13">
        <v>5</v>
      </c>
      <c r="E368" s="13">
        <v>0</v>
      </c>
      <c r="F368" s="13" t="s">
        <v>26</v>
      </c>
      <c r="G368" s="14">
        <v>174786985</v>
      </c>
      <c r="H368" s="14">
        <f>0</f>
        <v>0</v>
      </c>
      <c r="I368" s="14">
        <f t="shared" si="28"/>
        <v>174786985</v>
      </c>
      <c r="J368" s="14">
        <f>1414533+291587+5898758</f>
        <v>7604878</v>
      </c>
      <c r="K368" s="16">
        <f t="shared" si="26"/>
        <v>41222142</v>
      </c>
      <c r="L368" s="14">
        <f t="shared" si="27"/>
        <v>23.584217097171166</v>
      </c>
    </row>
    <row r="369" spans="1:12" ht="12.75" hidden="1">
      <c r="A369" s="13" t="s">
        <v>19</v>
      </c>
      <c r="B369" s="13">
        <v>1</v>
      </c>
      <c r="C369" s="13">
        <v>5</v>
      </c>
      <c r="D369" s="13">
        <v>0</v>
      </c>
      <c r="E369" s="13">
        <v>1</v>
      </c>
      <c r="F369" s="13" t="s">
        <v>27</v>
      </c>
      <c r="G369" s="14">
        <v>56827811</v>
      </c>
      <c r="H369" s="14">
        <v>0</v>
      </c>
      <c r="I369" s="14">
        <f t="shared" si="28"/>
        <v>56827811</v>
      </c>
      <c r="J369" s="14">
        <v>21487989</v>
      </c>
      <c r="K369" s="16">
        <f t="shared" si="26"/>
        <v>73116960</v>
      </c>
      <c r="L369" s="14">
        <f t="shared" si="27"/>
        <v>128.664044441198</v>
      </c>
    </row>
    <row r="370" spans="1:12" ht="12.75" hidden="1">
      <c r="A370" s="13" t="s">
        <v>19</v>
      </c>
      <c r="B370" s="13">
        <v>1</v>
      </c>
      <c r="C370" s="13">
        <v>5</v>
      </c>
      <c r="D370" s="13">
        <v>0</v>
      </c>
      <c r="E370" s="13">
        <v>2</v>
      </c>
      <c r="F370" s="13" t="s">
        <v>28</v>
      </c>
      <c r="G370" s="14">
        <f>163804123+40000000</f>
        <v>203804123</v>
      </c>
      <c r="H370" s="14">
        <f>0</f>
        <v>0</v>
      </c>
      <c r="I370" s="14">
        <f t="shared" si="28"/>
        <v>203804123</v>
      </c>
      <c r="J370" s="14">
        <f>15547576+3899130+2599420</f>
        <v>22046126</v>
      </c>
      <c r="K370" s="16">
        <f t="shared" si="26"/>
        <v>78620295</v>
      </c>
      <c r="L370" s="14">
        <f t="shared" si="27"/>
        <v>38.576400635427774</v>
      </c>
    </row>
    <row r="371" spans="1:12" ht="12.75" hidden="1">
      <c r="A371" s="13" t="s">
        <v>19</v>
      </c>
      <c r="B371" s="13">
        <v>2</v>
      </c>
      <c r="C371" s="13">
        <v>0</v>
      </c>
      <c r="D371" s="13">
        <v>0</v>
      </c>
      <c r="E371" s="13">
        <v>0</v>
      </c>
      <c r="F371" s="15" t="s">
        <v>29</v>
      </c>
      <c r="G371" s="16">
        <f>SUM(G372:G373)</f>
        <v>24698480</v>
      </c>
      <c r="H371" s="16">
        <f>SUM(H372:H373)</f>
        <v>0</v>
      </c>
      <c r="I371" s="16">
        <f t="shared" si="28"/>
        <v>24698480</v>
      </c>
      <c r="J371" s="16">
        <f>SUM(J372:J373)</f>
        <v>0</v>
      </c>
      <c r="K371" s="16">
        <f t="shared" si="26"/>
        <v>23511091</v>
      </c>
      <c r="L371" s="14">
        <f t="shared" si="27"/>
        <v>95.19246123648095</v>
      </c>
    </row>
    <row r="372" spans="1:12" ht="12.75" hidden="1">
      <c r="A372" s="13" t="s">
        <v>19</v>
      </c>
      <c r="B372" s="13">
        <v>2</v>
      </c>
      <c r="C372" s="13">
        <v>0</v>
      </c>
      <c r="D372" s="13">
        <v>4</v>
      </c>
      <c r="E372" s="13">
        <v>0</v>
      </c>
      <c r="F372" s="13" t="s">
        <v>30</v>
      </c>
      <c r="G372" s="14">
        <v>23511091</v>
      </c>
      <c r="H372" s="14">
        <v>0</v>
      </c>
      <c r="I372" s="14">
        <f>+G372+H372</f>
        <v>23511091</v>
      </c>
      <c r="J372" s="16">
        <v>0</v>
      </c>
      <c r="K372" s="16">
        <f t="shared" si="26"/>
        <v>23511091</v>
      </c>
      <c r="L372" s="14">
        <f t="shared" si="27"/>
        <v>100</v>
      </c>
    </row>
    <row r="373" spans="1:12" ht="12.75" hidden="1">
      <c r="A373" s="13" t="s">
        <v>19</v>
      </c>
      <c r="B373" s="13">
        <v>2</v>
      </c>
      <c r="C373" s="13">
        <v>0</v>
      </c>
      <c r="D373" s="13">
        <v>3</v>
      </c>
      <c r="E373" s="13">
        <v>50</v>
      </c>
      <c r="F373" s="13" t="s">
        <v>31</v>
      </c>
      <c r="G373" s="14">
        <v>1187389</v>
      </c>
      <c r="H373" s="14">
        <v>0</v>
      </c>
      <c r="I373" s="14">
        <f>+G373+H373</f>
        <v>1187389</v>
      </c>
      <c r="J373" s="14">
        <v>0</v>
      </c>
      <c r="K373" s="16">
        <f t="shared" si="26"/>
        <v>0</v>
      </c>
      <c r="L373" s="14">
        <f t="shared" si="27"/>
        <v>0</v>
      </c>
    </row>
    <row r="374" spans="1:12" ht="12.75" hidden="1">
      <c r="A374" s="13" t="s">
        <v>19</v>
      </c>
      <c r="B374" s="13">
        <v>3</v>
      </c>
      <c r="C374" s="13">
        <v>2</v>
      </c>
      <c r="D374" s="13">
        <v>1</v>
      </c>
      <c r="E374" s="13">
        <v>1</v>
      </c>
      <c r="F374" s="13" t="s">
        <v>32</v>
      </c>
      <c r="G374" s="14">
        <v>8163977</v>
      </c>
      <c r="H374" s="14">
        <v>0</v>
      </c>
      <c r="I374" s="14">
        <f>+G374+H374</f>
        <v>8163977</v>
      </c>
      <c r="J374" s="14">
        <v>0</v>
      </c>
      <c r="K374" s="16">
        <f t="shared" si="26"/>
        <v>0</v>
      </c>
      <c r="L374" s="14">
        <f t="shared" si="27"/>
        <v>0</v>
      </c>
    </row>
    <row r="375" spans="1:12" ht="12.75" hidden="1">
      <c r="A375" s="13"/>
      <c r="B375" s="13"/>
      <c r="C375" s="13"/>
      <c r="D375" s="13"/>
      <c r="E375" s="13"/>
      <c r="F375" s="13"/>
      <c r="G375" s="14"/>
      <c r="H375" s="14"/>
      <c r="I375" s="14"/>
      <c r="J375" s="14"/>
      <c r="K375" s="16">
        <f t="shared" si="26"/>
        <v>0</v>
      </c>
      <c r="L375" s="14" t="s">
        <v>1</v>
      </c>
    </row>
    <row r="376" spans="1:12" ht="12.75" hidden="1">
      <c r="A376" s="13" t="s">
        <v>33</v>
      </c>
      <c r="B376" s="13"/>
      <c r="C376" s="13"/>
      <c r="D376" s="13"/>
      <c r="E376" s="13"/>
      <c r="F376" s="15" t="s">
        <v>34</v>
      </c>
      <c r="G376" s="16">
        <f>+G378</f>
        <v>0</v>
      </c>
      <c r="H376" s="16">
        <f>+H378</f>
        <v>0</v>
      </c>
      <c r="I376" s="16">
        <f>+G376+H376</f>
        <v>0</v>
      </c>
      <c r="J376" s="16">
        <f>+J378</f>
        <v>0</v>
      </c>
      <c r="K376" s="16">
        <f t="shared" si="26"/>
        <v>0</v>
      </c>
      <c r="L376" s="14">
        <v>0</v>
      </c>
    </row>
    <row r="377" spans="1:12" ht="12.75" hidden="1">
      <c r="A377" s="13"/>
      <c r="B377" s="13"/>
      <c r="C377" s="13"/>
      <c r="D377" s="13"/>
      <c r="E377" s="13"/>
      <c r="F377" s="13"/>
      <c r="G377" s="14"/>
      <c r="H377" s="14"/>
      <c r="I377" s="14"/>
      <c r="J377" s="14"/>
      <c r="K377" s="16">
        <f t="shared" si="26"/>
        <v>0</v>
      </c>
      <c r="L377" s="14" t="s">
        <v>1</v>
      </c>
    </row>
    <row r="378" spans="1:12" ht="12.75" hidden="1">
      <c r="A378" s="13" t="s">
        <v>1</v>
      </c>
      <c r="B378" s="13" t="s">
        <v>1</v>
      </c>
      <c r="C378" s="13" t="s">
        <v>1</v>
      </c>
      <c r="D378" s="13" t="s">
        <v>1</v>
      </c>
      <c r="E378" s="13" t="s">
        <v>1</v>
      </c>
      <c r="F378" s="17" t="s">
        <v>1</v>
      </c>
      <c r="G378" s="14">
        <v>0</v>
      </c>
      <c r="H378" s="14">
        <v>0</v>
      </c>
      <c r="I378" s="14">
        <f>+G378+H378</f>
        <v>0</v>
      </c>
      <c r="J378" s="14">
        <v>0</v>
      </c>
      <c r="K378" s="16">
        <f t="shared" si="26"/>
        <v>0</v>
      </c>
      <c r="L378" s="14">
        <v>0</v>
      </c>
    </row>
    <row r="379" spans="1:12" ht="12.75" hidden="1">
      <c r="A379" s="13"/>
      <c r="B379" s="13"/>
      <c r="C379" s="13"/>
      <c r="D379" s="13"/>
      <c r="E379" s="13"/>
      <c r="F379" s="15" t="s">
        <v>35</v>
      </c>
      <c r="G379" s="16">
        <f>+G362+G376</f>
        <v>1291922856</v>
      </c>
      <c r="H379" s="16">
        <f>+H362+H376</f>
        <v>0</v>
      </c>
      <c r="I379" s="16">
        <f>+I362+I376</f>
        <v>1291922856</v>
      </c>
      <c r="J379" s="16">
        <f>+J362+J376</f>
        <v>165868092</v>
      </c>
      <c r="K379" s="16">
        <f t="shared" si="26"/>
        <v>809305411</v>
      </c>
      <c r="L379" s="14">
        <f>+K379/I379*100</f>
        <v>62.643478071573035</v>
      </c>
    </row>
    <row r="380" spans="2:11" ht="12.75" hidden="1">
      <c r="B380" s="18"/>
      <c r="C380" s="18"/>
      <c r="D380" s="18"/>
      <c r="E380" s="18"/>
      <c r="F380" s="18"/>
      <c r="G380" s="19" t="s">
        <v>1</v>
      </c>
      <c r="H380" s="18"/>
      <c r="I380" s="19" t="s">
        <v>1</v>
      </c>
      <c r="J380" s="19"/>
      <c r="K380" s="19"/>
    </row>
    <row r="381" spans="7:10" ht="12.75" hidden="1">
      <c r="G381" s="3" t="s">
        <v>1</v>
      </c>
      <c r="I381" s="3" t="s">
        <v>1</v>
      </c>
      <c r="J381" s="3"/>
    </row>
    <row r="382" ht="12.75" hidden="1"/>
    <row r="383" ht="12.75" hidden="1"/>
    <row r="384" spans="6:11" ht="12.75" hidden="1">
      <c r="F384" s="4" t="s">
        <v>6</v>
      </c>
      <c r="G384" s="4"/>
      <c r="H384" s="4" t="s">
        <v>46</v>
      </c>
      <c r="I384" s="4"/>
      <c r="J384" s="4"/>
      <c r="K384" s="4"/>
    </row>
    <row r="385" spans="6:11" ht="12.75" hidden="1">
      <c r="F385" s="4" t="s">
        <v>36</v>
      </c>
      <c r="G385" s="4"/>
      <c r="H385" s="4" t="s">
        <v>47</v>
      </c>
      <c r="I385" s="4"/>
      <c r="J385" s="4"/>
      <c r="K385" s="4"/>
    </row>
    <row r="386" ht="12.75" hidden="1"/>
    <row r="387" ht="12.75" hidden="1"/>
    <row r="388" ht="12.75" hidden="1"/>
    <row r="389" ht="12.75" hidden="1"/>
    <row r="390" ht="12.75" hidden="1">
      <c r="H390" t="s">
        <v>1</v>
      </c>
    </row>
    <row r="391" ht="12.75" hidden="1">
      <c r="H391" t="s">
        <v>1</v>
      </c>
    </row>
    <row r="392" ht="12.75" hidden="1">
      <c r="H392" t="s">
        <v>1</v>
      </c>
    </row>
    <row r="393" ht="12.75" hidden="1"/>
    <row r="394" ht="12.75" hidden="1"/>
    <row r="395" ht="12.75" hidden="1"/>
    <row r="396" ht="12.75" hidden="1"/>
    <row r="397" ht="12.75" hidden="1">
      <c r="I397" t="s">
        <v>1</v>
      </c>
    </row>
    <row r="398" spans="1:10" ht="12.75" hidden="1">
      <c r="A398" t="s">
        <v>1</v>
      </c>
      <c r="F398" s="1" t="s">
        <v>1</v>
      </c>
      <c r="G398" s="1"/>
      <c r="I398" s="3" t="s">
        <v>1</v>
      </c>
      <c r="J398" s="3"/>
    </row>
    <row r="399" spans="1:9" ht="12.75" hidden="1">
      <c r="A399" t="s">
        <v>1</v>
      </c>
      <c r="E399" s="1" t="s">
        <v>1</v>
      </c>
      <c r="F399" s="1" t="s">
        <v>1</v>
      </c>
      <c r="G399" s="1"/>
      <c r="I399" t="s">
        <v>1</v>
      </c>
    </row>
    <row r="400" spans="3:7" ht="12.75" hidden="1">
      <c r="C400" s="2" t="s">
        <v>1</v>
      </c>
      <c r="D400" s="1" t="s">
        <v>1</v>
      </c>
      <c r="E400" s="1" t="s">
        <v>1</v>
      </c>
      <c r="F400" s="1" t="s">
        <v>0</v>
      </c>
      <c r="G400" s="1"/>
    </row>
    <row r="401" spans="1:11" ht="12.75" hidden="1">
      <c r="A401" s="5"/>
      <c r="B401" s="5"/>
      <c r="C401" s="6" t="s">
        <v>1</v>
      </c>
      <c r="D401" s="7" t="s">
        <v>1</v>
      </c>
      <c r="E401" s="7" t="s">
        <v>1</v>
      </c>
      <c r="F401" s="7" t="s">
        <v>48</v>
      </c>
      <c r="G401" s="7"/>
      <c r="H401" s="7"/>
      <c r="I401" s="5"/>
      <c r="J401" s="5"/>
      <c r="K401" s="5"/>
    </row>
    <row r="402" spans="1:11" ht="12.75" hidden="1">
      <c r="A402" s="8"/>
      <c r="B402" s="8"/>
      <c r="C402" s="8"/>
      <c r="D402" s="8"/>
      <c r="E402" s="8"/>
      <c r="F402" s="9" t="s">
        <v>50</v>
      </c>
      <c r="G402" s="9"/>
      <c r="H402" s="9" t="s">
        <v>1</v>
      </c>
      <c r="I402" s="20" t="s">
        <v>1</v>
      </c>
      <c r="J402" s="20"/>
      <c r="K402" s="34">
        <v>39569</v>
      </c>
    </row>
    <row r="403" spans="6:11" ht="12.75" hidden="1">
      <c r="F403" s="1"/>
      <c r="I403" s="3" t="s">
        <v>37</v>
      </c>
      <c r="J403" s="3"/>
      <c r="K403" s="10"/>
    </row>
    <row r="404" spans="1:12" ht="12.75" hidden="1">
      <c r="A404" s="12"/>
      <c r="B404" s="11" t="s">
        <v>12</v>
      </c>
      <c r="C404" s="12"/>
      <c r="D404" s="12" t="s">
        <v>13</v>
      </c>
      <c r="E404" s="12"/>
      <c r="F404" s="21"/>
      <c r="G404" s="11" t="s">
        <v>3</v>
      </c>
      <c r="H404" s="11" t="s">
        <v>2</v>
      </c>
      <c r="I404" s="11" t="s">
        <v>3</v>
      </c>
      <c r="J404" s="11"/>
      <c r="K404" s="22" t="s">
        <v>58</v>
      </c>
      <c r="L404" s="32" t="s">
        <v>60</v>
      </c>
    </row>
    <row r="405" spans="1:12" ht="12.75" hidden="1">
      <c r="A405" s="12"/>
      <c r="B405" s="12"/>
      <c r="C405" s="12"/>
      <c r="D405" s="12" t="s">
        <v>14</v>
      </c>
      <c r="E405" s="12"/>
      <c r="F405" s="11" t="s">
        <v>15</v>
      </c>
      <c r="G405" s="11" t="s">
        <v>4</v>
      </c>
      <c r="H405" s="11" t="s">
        <v>16</v>
      </c>
      <c r="I405" s="11" t="s">
        <v>5</v>
      </c>
      <c r="J405" s="11"/>
      <c r="K405" s="11" t="s">
        <v>59</v>
      </c>
      <c r="L405" s="33" t="s">
        <v>61</v>
      </c>
    </row>
    <row r="406" spans="1:12" ht="12.75" hidden="1">
      <c r="A406" s="12"/>
      <c r="B406" s="12"/>
      <c r="C406" s="12"/>
      <c r="D406" s="12" t="s">
        <v>17</v>
      </c>
      <c r="E406" s="12"/>
      <c r="F406" s="21"/>
      <c r="G406" s="11">
        <v>1</v>
      </c>
      <c r="H406" s="11" t="s">
        <v>1</v>
      </c>
      <c r="I406" s="11" t="s">
        <v>18</v>
      </c>
      <c r="J406" s="11"/>
      <c r="K406" s="11"/>
      <c r="L406" s="13"/>
    </row>
    <row r="407" spans="1:12" ht="12.75" hidden="1">
      <c r="A407" s="21"/>
      <c r="B407" s="21"/>
      <c r="C407" s="21"/>
      <c r="D407" s="21"/>
      <c r="E407" s="21"/>
      <c r="F407" s="21"/>
      <c r="G407" s="23" t="s">
        <v>1</v>
      </c>
      <c r="H407" s="23" t="s">
        <v>1</v>
      </c>
      <c r="I407" s="23" t="s">
        <v>1</v>
      </c>
      <c r="J407" s="23"/>
      <c r="K407" s="23"/>
      <c r="L407" s="13"/>
    </row>
    <row r="408" spans="1:12" ht="12.75" hidden="1">
      <c r="A408" s="21" t="s">
        <v>19</v>
      </c>
      <c r="B408" s="21"/>
      <c r="C408" s="21"/>
      <c r="D408" s="21"/>
      <c r="E408" s="21"/>
      <c r="F408" s="21" t="s">
        <v>38</v>
      </c>
      <c r="G408" s="23">
        <f>SUM(G409+G418+G422)</f>
        <v>2990108195</v>
      </c>
      <c r="H408" s="23">
        <f>SUM(H409+H418+H422)</f>
        <v>151001983</v>
      </c>
      <c r="I408" s="23">
        <f>SUM(I409+I418+I422)</f>
        <v>3141110178</v>
      </c>
      <c r="J408" s="23">
        <f>SUM(J409+J418+J422)</f>
        <v>152162682</v>
      </c>
      <c r="K408" s="23">
        <f aca="true" t="shared" si="29" ref="K408:K426">+K55+J408</f>
        <v>1042420687</v>
      </c>
      <c r="L408" s="14">
        <f>+K408/I408*100</f>
        <v>33.18637767949062</v>
      </c>
    </row>
    <row r="409" spans="1:14" ht="12.75" hidden="1">
      <c r="A409" s="21" t="s">
        <v>19</v>
      </c>
      <c r="B409" s="21">
        <v>1</v>
      </c>
      <c r="C409" s="21">
        <v>1</v>
      </c>
      <c r="D409" s="21">
        <v>0</v>
      </c>
      <c r="E409" s="21">
        <v>0</v>
      </c>
      <c r="F409" s="21" t="s">
        <v>21</v>
      </c>
      <c r="G409" s="23">
        <f>SUM(G410+G415+G416+G417)</f>
        <v>1315851325</v>
      </c>
      <c r="H409" s="23">
        <f>SUM(H410+H415+H416+H417)</f>
        <v>14500000</v>
      </c>
      <c r="I409" s="23">
        <f>+I410+I415+I416+I417</f>
        <v>1330351325</v>
      </c>
      <c r="J409" s="23">
        <f>SUM(J410+J415+J416+J417)</f>
        <v>46865875</v>
      </c>
      <c r="K409" s="23">
        <f t="shared" si="29"/>
        <v>242841343</v>
      </c>
      <c r="L409" s="14">
        <f aca="true" t="shared" si="30" ref="L409:L426">+K409/I409*100</f>
        <v>18.25392574401352</v>
      </c>
      <c r="M409">
        <v>270330563</v>
      </c>
      <c r="N409" s="3">
        <f>+K409-M409</f>
        <v>-27489220</v>
      </c>
    </row>
    <row r="410" spans="1:12" ht="12.75" hidden="1">
      <c r="A410" s="21" t="s">
        <v>19</v>
      </c>
      <c r="B410" s="21">
        <v>1</v>
      </c>
      <c r="C410" s="21">
        <v>1</v>
      </c>
      <c r="D410" s="21">
        <v>1</v>
      </c>
      <c r="E410" s="21">
        <v>0</v>
      </c>
      <c r="F410" s="21" t="s">
        <v>22</v>
      </c>
      <c r="G410" s="23">
        <f>SUM(G411:G414)</f>
        <v>839112619</v>
      </c>
      <c r="H410" s="23">
        <f>SUM(H411:H414)</f>
        <v>-17500000</v>
      </c>
      <c r="I410" s="23">
        <f>SUM(I411:I414)</f>
        <v>821612619</v>
      </c>
      <c r="J410" s="23">
        <f>SUM(J411:J414)</f>
        <v>18468549</v>
      </c>
      <c r="K410" s="23">
        <f t="shared" si="29"/>
        <v>46694230</v>
      </c>
      <c r="L410" s="14">
        <f t="shared" si="30"/>
        <v>5.683241581273717</v>
      </c>
    </row>
    <row r="411" spans="1:12" ht="12.75" hidden="1">
      <c r="A411" s="21" t="s">
        <v>19</v>
      </c>
      <c r="B411" s="21">
        <v>1</v>
      </c>
      <c r="C411" s="21">
        <v>1</v>
      </c>
      <c r="D411" s="21">
        <v>1</v>
      </c>
      <c r="E411" s="21">
        <v>1</v>
      </c>
      <c r="F411" s="21" t="s">
        <v>23</v>
      </c>
      <c r="G411" s="23">
        <v>646562329</v>
      </c>
      <c r="H411" s="23">
        <f>-17500000-10000000</f>
        <v>-27500000</v>
      </c>
      <c r="I411" s="23">
        <f>SUM(G411+H411)</f>
        <v>619062329</v>
      </c>
      <c r="J411" s="23">
        <v>0</v>
      </c>
      <c r="K411" s="23">
        <f t="shared" si="29"/>
        <v>0</v>
      </c>
      <c r="L411" s="14">
        <f t="shared" si="30"/>
        <v>0</v>
      </c>
    </row>
    <row r="412" spans="1:12" ht="12.75" hidden="1">
      <c r="A412" s="21" t="s">
        <v>19</v>
      </c>
      <c r="B412" s="21">
        <v>1</v>
      </c>
      <c r="C412" s="21">
        <v>1</v>
      </c>
      <c r="D412" s="21">
        <v>9</v>
      </c>
      <c r="E412" s="21">
        <v>3</v>
      </c>
      <c r="F412" s="21" t="s">
        <v>39</v>
      </c>
      <c r="G412" s="23">
        <v>10000000</v>
      </c>
      <c r="H412" s="23">
        <v>10000000</v>
      </c>
      <c r="I412" s="23">
        <f>SUM(G412+H412)</f>
        <v>20000000</v>
      </c>
      <c r="J412" s="23">
        <v>2589560</v>
      </c>
      <c r="K412" s="23">
        <f t="shared" si="29"/>
        <v>15746049</v>
      </c>
      <c r="L412" s="14">
        <f t="shared" si="30"/>
        <v>78.730245</v>
      </c>
    </row>
    <row r="413" spans="1:12" ht="12.75" hidden="1">
      <c r="A413" s="21" t="s">
        <v>19</v>
      </c>
      <c r="B413" s="21">
        <v>1</v>
      </c>
      <c r="C413" s="21">
        <v>1</v>
      </c>
      <c r="D413" s="21">
        <v>4</v>
      </c>
      <c r="E413" s="21">
        <v>2</v>
      </c>
      <c r="F413" s="21" t="s">
        <v>25</v>
      </c>
      <c r="G413" s="23">
        <v>51756389</v>
      </c>
      <c r="H413" s="23">
        <v>0</v>
      </c>
      <c r="I413" s="23">
        <f>SUM(G413+H413)</f>
        <v>51756389</v>
      </c>
      <c r="J413" s="23">
        <v>0</v>
      </c>
      <c r="K413" s="23">
        <f t="shared" si="29"/>
        <v>0</v>
      </c>
      <c r="L413" s="14">
        <f t="shared" si="30"/>
        <v>0</v>
      </c>
    </row>
    <row r="414" spans="1:12" ht="12.75" hidden="1">
      <c r="A414" s="21" t="s">
        <v>19</v>
      </c>
      <c r="B414" s="21">
        <v>1</v>
      </c>
      <c r="C414" s="21">
        <v>1</v>
      </c>
      <c r="D414" s="21">
        <v>5</v>
      </c>
      <c r="E414" s="21">
        <v>0</v>
      </c>
      <c r="F414" s="21" t="s">
        <v>26</v>
      </c>
      <c r="G414" s="23">
        <v>130793901</v>
      </c>
      <c r="H414" s="23">
        <v>0</v>
      </c>
      <c r="I414" s="23">
        <f>SUM(G414+H414)</f>
        <v>130793901</v>
      </c>
      <c r="J414" s="23">
        <v>15878989</v>
      </c>
      <c r="K414" s="23">
        <f t="shared" si="29"/>
        <v>30948181</v>
      </c>
      <c r="L414" s="14">
        <f t="shared" si="30"/>
        <v>23.66179215038475</v>
      </c>
    </row>
    <row r="415" spans="1:13" ht="12.75" hidden="1">
      <c r="A415" s="21" t="s">
        <v>19</v>
      </c>
      <c r="B415" s="21">
        <v>1</v>
      </c>
      <c r="C415" s="21">
        <v>0</v>
      </c>
      <c r="D415" s="21">
        <v>2</v>
      </c>
      <c r="E415" s="21">
        <v>0</v>
      </c>
      <c r="F415" s="21" t="s">
        <v>40</v>
      </c>
      <c r="G415" s="23">
        <v>140863035</v>
      </c>
      <c r="H415" s="24">
        <v>32000000</v>
      </c>
      <c r="I415" s="23">
        <f>SUM(G415+H415)</f>
        <v>172863035</v>
      </c>
      <c r="J415" s="23">
        <v>15258748</v>
      </c>
      <c r="K415" s="23">
        <f t="shared" si="29"/>
        <v>157050116</v>
      </c>
      <c r="L415" s="14">
        <f t="shared" si="30"/>
        <v>90.85234214475061</v>
      </c>
      <c r="M415" s="3" t="s">
        <v>1</v>
      </c>
    </row>
    <row r="416" spans="1:12" ht="12.75" hidden="1">
      <c r="A416" s="21" t="s">
        <v>19</v>
      </c>
      <c r="B416" s="21">
        <v>1</v>
      </c>
      <c r="C416" s="21">
        <v>5</v>
      </c>
      <c r="D416" s="21">
        <v>0</v>
      </c>
      <c r="E416" s="21">
        <v>1</v>
      </c>
      <c r="F416" s="21" t="s">
        <v>27</v>
      </c>
      <c r="G416" s="23">
        <v>228481415</v>
      </c>
      <c r="H416" s="24">
        <v>0</v>
      </c>
      <c r="I416" s="23">
        <f>+G416+H416</f>
        <v>228481415</v>
      </c>
      <c r="J416" s="23">
        <v>4589789</v>
      </c>
      <c r="K416" s="23">
        <f t="shared" si="29"/>
        <v>30548208</v>
      </c>
      <c r="L416" s="14">
        <f t="shared" si="30"/>
        <v>13.370106273195132</v>
      </c>
    </row>
    <row r="417" spans="1:12" ht="12.75" hidden="1">
      <c r="A417" s="21" t="s">
        <v>19</v>
      </c>
      <c r="B417" s="21">
        <v>1</v>
      </c>
      <c r="C417" s="21">
        <v>5</v>
      </c>
      <c r="D417" s="21">
        <v>0</v>
      </c>
      <c r="E417" s="21">
        <v>2</v>
      </c>
      <c r="F417" s="21" t="s">
        <v>28</v>
      </c>
      <c r="G417" s="23">
        <v>107394256</v>
      </c>
      <c r="H417" s="24">
        <v>0</v>
      </c>
      <c r="I417" s="23">
        <f>+G417+H417</f>
        <v>107394256</v>
      </c>
      <c r="J417" s="23">
        <v>8548789</v>
      </c>
      <c r="K417" s="23">
        <f t="shared" si="29"/>
        <v>8548789</v>
      </c>
      <c r="L417" s="14">
        <f t="shared" si="30"/>
        <v>7.960192023677691</v>
      </c>
    </row>
    <row r="418" spans="1:12" ht="12.75" hidden="1">
      <c r="A418" s="21" t="s">
        <v>19</v>
      </c>
      <c r="B418" s="21">
        <v>2</v>
      </c>
      <c r="C418" s="21">
        <v>0</v>
      </c>
      <c r="D418" s="21">
        <v>0</v>
      </c>
      <c r="E418" s="21">
        <v>0</v>
      </c>
      <c r="F418" s="21" t="s">
        <v>29</v>
      </c>
      <c r="G418" s="23">
        <f>SUM(G419:G421)</f>
        <v>696598707</v>
      </c>
      <c r="H418" s="23">
        <f>SUM(H419:H421)</f>
        <v>34000000</v>
      </c>
      <c r="I418" s="23">
        <f>+I419+I420+I421</f>
        <v>730598707</v>
      </c>
      <c r="J418" s="23">
        <f>SUM(J419:J421)</f>
        <v>36748018</v>
      </c>
      <c r="K418" s="23">
        <f t="shared" si="29"/>
        <v>405016198</v>
      </c>
      <c r="L418" s="14">
        <f t="shared" si="30"/>
        <v>55.43620514510437</v>
      </c>
    </row>
    <row r="419" spans="1:12" ht="12.75" hidden="1">
      <c r="A419" s="21" t="s">
        <v>19</v>
      </c>
      <c r="B419" s="21">
        <v>2</v>
      </c>
      <c r="C419" s="21">
        <v>4</v>
      </c>
      <c r="D419" s="21">
        <v>0</v>
      </c>
      <c r="E419" s="21">
        <v>0</v>
      </c>
      <c r="F419" s="21" t="s">
        <v>41</v>
      </c>
      <c r="G419" s="23">
        <v>124289000</v>
      </c>
      <c r="H419" s="24">
        <v>17000000</v>
      </c>
      <c r="I419" s="23">
        <f>+G419+H419</f>
        <v>141289000</v>
      </c>
      <c r="J419" s="23">
        <v>0</v>
      </c>
      <c r="K419" s="23">
        <f t="shared" si="29"/>
        <v>36565836</v>
      </c>
      <c r="L419" s="14">
        <f t="shared" si="30"/>
        <v>25.880171846357463</v>
      </c>
    </row>
    <row r="420" spans="1:12" ht="12.75" hidden="1">
      <c r="A420" s="21" t="s">
        <v>19</v>
      </c>
      <c r="B420" s="21">
        <v>2</v>
      </c>
      <c r="C420" s="21">
        <v>4</v>
      </c>
      <c r="D420" s="21">
        <v>0</v>
      </c>
      <c r="E420" s="21">
        <v>0</v>
      </c>
      <c r="F420" s="21" t="s">
        <v>30</v>
      </c>
      <c r="G420" s="23">
        <v>551497096</v>
      </c>
      <c r="H420" s="24">
        <f>+H419</f>
        <v>17000000</v>
      </c>
      <c r="I420" s="23">
        <f>+G420+H420</f>
        <v>568497096</v>
      </c>
      <c r="J420" s="23">
        <v>32158458</v>
      </c>
      <c r="K420" s="23">
        <f t="shared" si="29"/>
        <v>359392088</v>
      </c>
      <c r="L420" s="14">
        <f t="shared" si="30"/>
        <v>63.217928557369454</v>
      </c>
    </row>
    <row r="421" spans="1:12" ht="12.75" hidden="1">
      <c r="A421" s="21" t="s">
        <v>19</v>
      </c>
      <c r="B421" s="21">
        <v>2</v>
      </c>
      <c r="C421" s="21">
        <v>0</v>
      </c>
      <c r="D421" s="21">
        <v>3</v>
      </c>
      <c r="E421" s="21">
        <v>0</v>
      </c>
      <c r="F421" s="21" t="s">
        <v>31</v>
      </c>
      <c r="G421" s="23">
        <v>20812611</v>
      </c>
      <c r="H421" s="23">
        <v>0</v>
      </c>
      <c r="I421" s="23">
        <f>+G421+H421</f>
        <v>20812611</v>
      </c>
      <c r="J421" s="23">
        <v>4589560</v>
      </c>
      <c r="K421" s="23">
        <f t="shared" si="29"/>
        <v>9058274</v>
      </c>
      <c r="L421" s="14">
        <f t="shared" si="30"/>
        <v>43.52300631573809</v>
      </c>
    </row>
    <row r="422" spans="1:12" ht="12.75" hidden="1">
      <c r="A422" s="21" t="s">
        <v>19</v>
      </c>
      <c r="B422" s="21">
        <v>3</v>
      </c>
      <c r="C422" s="21">
        <v>0</v>
      </c>
      <c r="D422" s="21">
        <v>0</v>
      </c>
      <c r="E422" s="21">
        <v>0</v>
      </c>
      <c r="F422" s="21" t="s">
        <v>32</v>
      </c>
      <c r="G422" s="23">
        <f>SUM(G423:G426)</f>
        <v>977658163</v>
      </c>
      <c r="H422" s="23">
        <f>SUM(H423:H426)</f>
        <v>102501983</v>
      </c>
      <c r="I422" s="23">
        <f>SUM(I423:I426)</f>
        <v>1080160146</v>
      </c>
      <c r="J422" s="23">
        <f>SUM(J423:J426)</f>
        <v>68548789</v>
      </c>
      <c r="K422" s="23">
        <f t="shared" si="29"/>
        <v>394563146</v>
      </c>
      <c r="L422" s="14">
        <f t="shared" si="30"/>
        <v>36.5282081051711</v>
      </c>
    </row>
    <row r="423" spans="1:12" ht="12.75" hidden="1">
      <c r="A423" s="21" t="s">
        <v>19</v>
      </c>
      <c r="B423" s="21">
        <v>3</v>
      </c>
      <c r="C423" s="21">
        <v>2</v>
      </c>
      <c r="D423" s="21">
        <v>1</v>
      </c>
      <c r="E423" s="21">
        <v>1</v>
      </c>
      <c r="F423" s="21" t="s">
        <v>42</v>
      </c>
      <c r="G423" s="23">
        <v>18796584</v>
      </c>
      <c r="H423" s="23">
        <v>0</v>
      </c>
      <c r="I423" s="23">
        <f>+G423+H423</f>
        <v>18796584</v>
      </c>
      <c r="J423" s="23">
        <v>0</v>
      </c>
      <c r="K423" s="23">
        <f t="shared" si="29"/>
        <v>0</v>
      </c>
      <c r="L423" s="14">
        <f t="shared" si="30"/>
        <v>0</v>
      </c>
    </row>
    <row r="424" spans="1:12" ht="12.75" hidden="1">
      <c r="A424" s="21" t="s">
        <v>19</v>
      </c>
      <c r="B424" s="21">
        <v>3</v>
      </c>
      <c r="C424" s="21">
        <v>2</v>
      </c>
      <c r="D424" s="21">
        <v>1</v>
      </c>
      <c r="E424" s="21">
        <v>2</v>
      </c>
      <c r="F424" s="21" t="s">
        <v>43</v>
      </c>
      <c r="G424" s="23">
        <v>935861579</v>
      </c>
      <c r="H424" s="23">
        <v>85001983</v>
      </c>
      <c r="I424" s="23">
        <f>+G424+H424</f>
        <v>1020863562</v>
      </c>
      <c r="J424" s="23">
        <v>68548789</v>
      </c>
      <c r="K424" s="23">
        <f t="shared" si="29"/>
        <v>360264332</v>
      </c>
      <c r="L424" s="14">
        <f t="shared" si="30"/>
        <v>35.290154865964354</v>
      </c>
    </row>
    <row r="425" spans="1:12" ht="12.75" hidden="1">
      <c r="A425" s="21" t="s">
        <v>19</v>
      </c>
      <c r="B425" s="21">
        <v>3</v>
      </c>
      <c r="C425" s="21">
        <v>2</v>
      </c>
      <c r="D425" s="21">
        <v>1</v>
      </c>
      <c r="E425" s="21">
        <v>3</v>
      </c>
      <c r="F425" s="21" t="s">
        <v>44</v>
      </c>
      <c r="G425" s="23">
        <v>18000000</v>
      </c>
      <c r="H425" s="23">
        <v>0</v>
      </c>
      <c r="I425" s="23">
        <f>+G425+H425</f>
        <v>18000000</v>
      </c>
      <c r="J425" s="23">
        <v>0</v>
      </c>
      <c r="K425" s="23">
        <f t="shared" si="29"/>
        <v>16819460</v>
      </c>
      <c r="L425" s="14">
        <f t="shared" si="30"/>
        <v>93.44144444444444</v>
      </c>
    </row>
    <row r="426" spans="1:12" ht="12.75" hidden="1">
      <c r="A426" s="21" t="s">
        <v>19</v>
      </c>
      <c r="B426" s="21">
        <v>3</v>
      </c>
      <c r="C426" s="21">
        <v>6</v>
      </c>
      <c r="D426" s="21">
        <v>1</v>
      </c>
      <c r="E426" s="21">
        <v>1</v>
      </c>
      <c r="F426" s="21" t="s">
        <v>45</v>
      </c>
      <c r="G426" s="23">
        <v>5000000</v>
      </c>
      <c r="H426" s="23">
        <v>17500000</v>
      </c>
      <c r="I426" s="23">
        <f>+G426+H426</f>
        <v>22500000</v>
      </c>
      <c r="J426" s="23">
        <v>0</v>
      </c>
      <c r="K426" s="23">
        <f t="shared" si="29"/>
        <v>17479354</v>
      </c>
      <c r="L426" s="14">
        <f t="shared" si="30"/>
        <v>77.68601777777778</v>
      </c>
    </row>
    <row r="427" spans="1:12" ht="12.75" hidden="1">
      <c r="A427" s="21"/>
      <c r="B427" s="21"/>
      <c r="C427" s="21"/>
      <c r="D427" s="21"/>
      <c r="E427" s="21"/>
      <c r="F427" s="21" t="s">
        <v>1</v>
      </c>
      <c r="G427" s="23" t="s">
        <v>1</v>
      </c>
      <c r="H427" s="23" t="s">
        <v>1</v>
      </c>
      <c r="I427" s="23" t="s">
        <v>1</v>
      </c>
      <c r="J427" s="23"/>
      <c r="K427" s="23" t="s">
        <v>1</v>
      </c>
      <c r="L427" s="14" t="s">
        <v>1</v>
      </c>
    </row>
    <row r="428" spans="1:12" ht="12.75" hidden="1">
      <c r="A428" s="21" t="s">
        <v>33</v>
      </c>
      <c r="B428" s="21"/>
      <c r="C428" s="21"/>
      <c r="D428" s="21" t="s">
        <v>1</v>
      </c>
      <c r="E428" s="21"/>
      <c r="F428" s="21" t="s">
        <v>34</v>
      </c>
      <c r="G428" s="25">
        <f>SUM(G430:G436)</f>
        <v>7087047925</v>
      </c>
      <c r="H428" s="25">
        <f>SUM(H430:H436)</f>
        <v>2738945956</v>
      </c>
      <c r="I428" s="25">
        <f>SUM(G428+H428)</f>
        <v>9825993881</v>
      </c>
      <c r="J428" s="25">
        <f>SUM(J430:J436)</f>
        <v>2034679736</v>
      </c>
      <c r="K428" s="23">
        <f>+K75+J428</f>
        <v>2676146862</v>
      </c>
      <c r="L428" s="14">
        <f>+K428/I428*100</f>
        <v>27.235380913219604</v>
      </c>
    </row>
    <row r="429" spans="1:12" ht="12.75" hidden="1">
      <c r="A429" s="21"/>
      <c r="B429" s="21"/>
      <c r="C429" s="21"/>
      <c r="D429" s="21"/>
      <c r="E429" s="21"/>
      <c r="F429" s="21"/>
      <c r="G429" s="23"/>
      <c r="H429" s="23" t="s">
        <v>1</v>
      </c>
      <c r="I429" s="23" t="s">
        <v>1</v>
      </c>
      <c r="J429" s="23"/>
      <c r="K429" s="23" t="e">
        <f>+#REF!+J429</f>
        <v>#REF!</v>
      </c>
      <c r="L429" s="14" t="s">
        <v>1</v>
      </c>
    </row>
    <row r="430" spans="1:12" ht="33.75" hidden="1">
      <c r="A430" s="26" t="s">
        <v>33</v>
      </c>
      <c r="B430" s="26">
        <v>113</v>
      </c>
      <c r="C430" s="26">
        <v>900</v>
      </c>
      <c r="D430" s="26">
        <v>1</v>
      </c>
      <c r="E430" s="26"/>
      <c r="F430" s="29" t="s">
        <v>51</v>
      </c>
      <c r="G430" s="25">
        <v>900000000</v>
      </c>
      <c r="H430" s="25">
        <f>1230345600+57000000+79200000</f>
        <v>1366545600</v>
      </c>
      <c r="I430" s="25">
        <f aca="true" t="shared" si="31" ref="I430:I436">SUM(G430+H430)</f>
        <v>2266545600</v>
      </c>
      <c r="J430" s="25">
        <v>845778970</v>
      </c>
      <c r="K430" s="23">
        <f aca="true" t="shared" si="32" ref="K430:K437">+K76+J430</f>
        <v>1053225025</v>
      </c>
      <c r="L430" s="14">
        <f aca="true" t="shared" si="33" ref="L430:L437">+K430/I430*100</f>
        <v>46.46829187994276</v>
      </c>
    </row>
    <row r="431" spans="1:12" ht="12.75" hidden="1">
      <c r="A431" s="26" t="s">
        <v>33</v>
      </c>
      <c r="B431" s="26">
        <v>113</v>
      </c>
      <c r="C431" s="26">
        <v>900</v>
      </c>
      <c r="D431" s="26">
        <v>2</v>
      </c>
      <c r="E431" s="26"/>
      <c r="F431" s="29" t="s">
        <v>52</v>
      </c>
      <c r="G431" s="25">
        <v>4759999979</v>
      </c>
      <c r="H431" s="31">
        <f>737744285+8562633</f>
        <v>746306918</v>
      </c>
      <c r="I431" s="25">
        <f t="shared" si="31"/>
        <v>5506306897</v>
      </c>
      <c r="J431" s="25">
        <v>948789789</v>
      </c>
      <c r="K431" s="23">
        <f t="shared" si="32"/>
        <v>1066561910</v>
      </c>
      <c r="L431" s="14">
        <f t="shared" si="33"/>
        <v>19.369823185501968</v>
      </c>
    </row>
    <row r="432" spans="1:12" ht="33.75" hidden="1">
      <c r="A432" s="26" t="s">
        <v>33</v>
      </c>
      <c r="B432" s="26">
        <v>113</v>
      </c>
      <c r="C432" s="26">
        <v>900</v>
      </c>
      <c r="D432" s="26">
        <v>3</v>
      </c>
      <c r="E432" s="26"/>
      <c r="F432" s="29" t="s">
        <v>53</v>
      </c>
      <c r="G432" s="25">
        <v>314978597</v>
      </c>
      <c r="H432" s="31">
        <v>78792000</v>
      </c>
      <c r="I432" s="25">
        <f t="shared" si="31"/>
        <v>393770597</v>
      </c>
      <c r="J432" s="25">
        <v>158787976</v>
      </c>
      <c r="K432" s="23">
        <f t="shared" si="32"/>
        <v>181657401</v>
      </c>
      <c r="L432" s="14">
        <f t="shared" si="33"/>
        <v>46.13279975294854</v>
      </c>
    </row>
    <row r="433" spans="1:12" ht="12.75" hidden="1">
      <c r="A433" s="26" t="s">
        <v>33</v>
      </c>
      <c r="B433" s="26">
        <v>310</v>
      </c>
      <c r="C433" s="26">
        <v>900</v>
      </c>
      <c r="D433" s="26">
        <v>4</v>
      </c>
      <c r="E433" s="26"/>
      <c r="F433" s="28" t="s">
        <v>54</v>
      </c>
      <c r="G433" s="25">
        <v>100000000</v>
      </c>
      <c r="H433" s="25">
        <v>260000000</v>
      </c>
      <c r="I433" s="25">
        <f t="shared" si="31"/>
        <v>360000000</v>
      </c>
      <c r="J433" s="25">
        <v>41589789</v>
      </c>
      <c r="K433" s="23">
        <f t="shared" si="32"/>
        <v>45191803</v>
      </c>
      <c r="L433" s="14">
        <f t="shared" si="33"/>
        <v>12.55327861111111</v>
      </c>
    </row>
    <row r="434" spans="1:12" ht="12.75" hidden="1">
      <c r="A434" s="26" t="s">
        <v>33</v>
      </c>
      <c r="B434" s="26">
        <v>310</v>
      </c>
      <c r="C434" s="26">
        <v>900</v>
      </c>
      <c r="D434" s="26">
        <v>5</v>
      </c>
      <c r="E434" s="26"/>
      <c r="F434" s="28" t="s">
        <v>55</v>
      </c>
      <c r="G434" s="25">
        <v>712069349</v>
      </c>
      <c r="H434" s="31">
        <v>0</v>
      </c>
      <c r="I434" s="25">
        <f t="shared" si="31"/>
        <v>712069349</v>
      </c>
      <c r="J434" s="25">
        <v>15487890</v>
      </c>
      <c r="K434" s="23">
        <f t="shared" si="32"/>
        <v>242121376</v>
      </c>
      <c r="L434" s="14">
        <f t="shared" si="33"/>
        <v>34.00249938296389</v>
      </c>
    </row>
    <row r="435" spans="1:12" ht="22.5" hidden="1">
      <c r="A435" s="26" t="s">
        <v>33</v>
      </c>
      <c r="B435" s="26">
        <v>310</v>
      </c>
      <c r="C435" s="26">
        <v>900</v>
      </c>
      <c r="D435" s="26">
        <v>6</v>
      </c>
      <c r="E435" s="26"/>
      <c r="F435" s="28" t="s">
        <v>56</v>
      </c>
      <c r="G435" s="25">
        <v>100000000</v>
      </c>
      <c r="H435" s="25">
        <v>60040000</v>
      </c>
      <c r="I435" s="25">
        <f t="shared" si="31"/>
        <v>160040000</v>
      </c>
      <c r="J435" s="25">
        <v>8457899</v>
      </c>
      <c r="K435" s="23">
        <f t="shared" si="32"/>
        <v>26698571</v>
      </c>
      <c r="L435" s="14">
        <f t="shared" si="33"/>
        <v>16.682436265933518</v>
      </c>
    </row>
    <row r="436" spans="1:12" ht="22.5" hidden="1">
      <c r="A436" s="26" t="s">
        <v>33</v>
      </c>
      <c r="B436" s="26">
        <v>520</v>
      </c>
      <c r="C436" s="26">
        <v>900</v>
      </c>
      <c r="D436" s="26">
        <v>7</v>
      </c>
      <c r="E436" s="26"/>
      <c r="F436" s="30" t="s">
        <v>57</v>
      </c>
      <c r="G436" s="25">
        <v>200000000</v>
      </c>
      <c r="H436" s="25">
        <v>227261438</v>
      </c>
      <c r="I436" s="25">
        <f t="shared" si="31"/>
        <v>427261438</v>
      </c>
      <c r="J436" s="25">
        <v>15787423</v>
      </c>
      <c r="K436" s="23">
        <f t="shared" si="32"/>
        <v>60690776</v>
      </c>
      <c r="L436" s="14">
        <f t="shared" si="33"/>
        <v>14.204599479909067</v>
      </c>
    </row>
    <row r="437" spans="1:12" ht="12.75" hidden="1">
      <c r="A437" s="13" t="s">
        <v>33</v>
      </c>
      <c r="B437" s="13"/>
      <c r="C437" s="13"/>
      <c r="D437" s="13"/>
      <c r="E437" s="13"/>
      <c r="F437" s="27" t="s">
        <v>35</v>
      </c>
      <c r="G437" s="16">
        <f>+G428+G408</f>
        <v>10077156120</v>
      </c>
      <c r="H437" s="16">
        <f>+H428+H408</f>
        <v>2889947939</v>
      </c>
      <c r="I437" s="16">
        <f>+I428+I408</f>
        <v>12967104059</v>
      </c>
      <c r="J437" s="16">
        <f>+J428+J408</f>
        <v>2186842418</v>
      </c>
      <c r="K437" s="23">
        <f t="shared" si="32"/>
        <v>3718567549</v>
      </c>
      <c r="L437" s="14">
        <f t="shared" si="33"/>
        <v>28.676931503600265</v>
      </c>
    </row>
    <row r="438" ht="12.75" hidden="1">
      <c r="K438" s="3" t="s">
        <v>1</v>
      </c>
    </row>
    <row r="439" ht="12.75" hidden="1"/>
    <row r="440" ht="12.75" hidden="1"/>
    <row r="441" ht="12.75" hidden="1"/>
    <row r="442" ht="12.75" hidden="1"/>
    <row r="443" spans="3:7" ht="12.75" hidden="1">
      <c r="C443" s="2" t="s">
        <v>1</v>
      </c>
      <c r="D443" s="1" t="s">
        <v>1</v>
      </c>
      <c r="E443" s="1" t="s">
        <v>1</v>
      </c>
      <c r="F443" s="1" t="s">
        <v>0</v>
      </c>
      <c r="G443" s="1"/>
    </row>
    <row r="444" spans="1:11" ht="12.75" hidden="1">
      <c r="A444" s="5"/>
      <c r="B444" s="5"/>
      <c r="C444" s="6" t="s">
        <v>1</v>
      </c>
      <c r="D444" s="7" t="s">
        <v>1</v>
      </c>
      <c r="E444" s="7" t="s">
        <v>1</v>
      </c>
      <c r="F444" s="7" t="s">
        <v>48</v>
      </c>
      <c r="G444" s="7"/>
      <c r="H444" s="7"/>
      <c r="I444" s="5"/>
      <c r="J444" s="5"/>
      <c r="K444" s="5"/>
    </row>
    <row r="445" spans="1:11" ht="12.75" hidden="1">
      <c r="A445" s="8"/>
      <c r="B445" s="8"/>
      <c r="C445" s="8"/>
      <c r="D445" s="8"/>
      <c r="E445" s="8"/>
      <c r="F445" s="9" t="s">
        <v>49</v>
      </c>
      <c r="G445" s="9"/>
      <c r="H445" s="9"/>
      <c r="I445" s="8"/>
      <c r="J445" s="18"/>
      <c r="K445" s="10" t="s">
        <v>67</v>
      </c>
    </row>
    <row r="446" spans="6:9" ht="12.75" hidden="1">
      <c r="F446" s="1"/>
      <c r="I446" t="s">
        <v>1</v>
      </c>
    </row>
    <row r="447" spans="1:12" ht="12.75" hidden="1">
      <c r="A447" s="11" t="s">
        <v>7</v>
      </c>
      <c r="B447" s="11" t="s">
        <v>8</v>
      </c>
      <c r="C447" s="12" t="s">
        <v>9</v>
      </c>
      <c r="D447" s="12" t="s">
        <v>10</v>
      </c>
      <c r="E447" s="12" t="s">
        <v>11</v>
      </c>
      <c r="F447" s="13"/>
      <c r="G447" s="13"/>
      <c r="H447" s="12" t="s">
        <v>1</v>
      </c>
      <c r="I447" s="13"/>
      <c r="J447" s="13"/>
      <c r="K447" s="11" t="s">
        <v>1</v>
      </c>
      <c r="L447" s="13"/>
    </row>
    <row r="448" spans="1:12" ht="12.75" hidden="1">
      <c r="A448" s="12"/>
      <c r="B448" s="11" t="s">
        <v>12</v>
      </c>
      <c r="C448" s="12"/>
      <c r="D448" s="12" t="s">
        <v>13</v>
      </c>
      <c r="E448" s="12"/>
      <c r="F448" s="13"/>
      <c r="G448" s="11" t="s">
        <v>3</v>
      </c>
      <c r="H448" s="11" t="s">
        <v>2</v>
      </c>
      <c r="I448" s="11" t="s">
        <v>3</v>
      </c>
      <c r="J448" s="11"/>
      <c r="K448" s="11" t="s">
        <v>58</v>
      </c>
      <c r="L448" s="32" t="s">
        <v>60</v>
      </c>
    </row>
    <row r="449" spans="1:12" ht="12.75" hidden="1">
      <c r="A449" s="12"/>
      <c r="B449" s="12"/>
      <c r="C449" s="12"/>
      <c r="D449" s="12" t="s">
        <v>14</v>
      </c>
      <c r="E449" s="12"/>
      <c r="F449" s="11" t="s">
        <v>15</v>
      </c>
      <c r="G449" s="11" t="s">
        <v>4</v>
      </c>
      <c r="H449" s="11" t="s">
        <v>16</v>
      </c>
      <c r="I449" s="11" t="s">
        <v>5</v>
      </c>
      <c r="J449" s="11"/>
      <c r="K449" s="11" t="s">
        <v>59</v>
      </c>
      <c r="L449" s="33" t="s">
        <v>61</v>
      </c>
    </row>
    <row r="450" spans="1:12" ht="12.75" hidden="1">
      <c r="A450" s="12"/>
      <c r="B450" s="12"/>
      <c r="C450" s="12"/>
      <c r="D450" s="12" t="s">
        <v>17</v>
      </c>
      <c r="E450" s="12"/>
      <c r="F450" s="13"/>
      <c r="G450" s="11">
        <v>1</v>
      </c>
      <c r="H450" s="11">
        <v>2</v>
      </c>
      <c r="I450" s="11" t="s">
        <v>18</v>
      </c>
      <c r="J450" s="11"/>
      <c r="K450" s="11"/>
      <c r="L450" s="13"/>
    </row>
    <row r="451" spans="1:12" ht="12.75" hidden="1">
      <c r="A451" s="13"/>
      <c r="B451" s="13"/>
      <c r="C451" s="13"/>
      <c r="D451" s="13"/>
      <c r="E451" s="13"/>
      <c r="F451" s="13"/>
      <c r="G451" s="14" t="s">
        <v>1</v>
      </c>
      <c r="H451" s="14"/>
      <c r="I451" s="14" t="s">
        <v>1</v>
      </c>
      <c r="J451" s="14"/>
      <c r="K451" s="14"/>
      <c r="L451" s="13"/>
    </row>
    <row r="452" spans="1:12" ht="12.75" hidden="1">
      <c r="A452" s="13" t="s">
        <v>19</v>
      </c>
      <c r="B452" s="13"/>
      <c r="C452" s="13"/>
      <c r="D452" s="13"/>
      <c r="E452" s="13"/>
      <c r="F452" s="15" t="s">
        <v>20</v>
      </c>
      <c r="G452" s="16">
        <f>SUM(G453+G461+G464)</f>
        <v>1291922856</v>
      </c>
      <c r="H452" s="16">
        <f>SUM(H453+H461+H463+H464)</f>
        <v>0</v>
      </c>
      <c r="I452" s="16">
        <f>+G452+H452</f>
        <v>1291922856</v>
      </c>
      <c r="J452" s="16">
        <f>SUM(J453+J461+J464)</f>
        <v>332462813</v>
      </c>
      <c r="K452" s="16">
        <f>+K362+J452</f>
        <v>1141768224</v>
      </c>
      <c r="L452" s="14">
        <f>+K452/I452*100</f>
        <v>88.37743048645314</v>
      </c>
    </row>
    <row r="453" spans="1:12" ht="12.75" hidden="1">
      <c r="A453" s="13" t="s">
        <v>19</v>
      </c>
      <c r="B453" s="13">
        <v>1</v>
      </c>
      <c r="C453" s="13">
        <v>1</v>
      </c>
      <c r="D453" s="13">
        <v>0</v>
      </c>
      <c r="E453" s="13">
        <v>0</v>
      </c>
      <c r="F453" s="15" t="s">
        <v>21</v>
      </c>
      <c r="G453" s="16">
        <f>+G454+G459+G460</f>
        <v>1259060399</v>
      </c>
      <c r="H453" s="16">
        <f>+H454+H459+H460</f>
        <v>0</v>
      </c>
      <c r="I453" s="16">
        <f>+I454+I459+I460</f>
        <v>1259060399</v>
      </c>
      <c r="J453" s="16">
        <f>+J454+J459+J460</f>
        <v>332462813</v>
      </c>
      <c r="K453" s="16">
        <f aca="true" t="shared" si="34" ref="K453:K464">+K363+J453</f>
        <v>1117667123</v>
      </c>
      <c r="L453" s="14">
        <f aca="true" t="shared" si="35" ref="L453:L469">+K453/I453*100</f>
        <v>88.76993700125104</v>
      </c>
    </row>
    <row r="454" spans="1:12" ht="12.75" hidden="1">
      <c r="A454" s="13" t="s">
        <v>19</v>
      </c>
      <c r="B454" s="13">
        <v>1</v>
      </c>
      <c r="C454" s="13">
        <v>1</v>
      </c>
      <c r="D454" s="13">
        <v>1</v>
      </c>
      <c r="E454" s="13">
        <v>0</v>
      </c>
      <c r="F454" s="13" t="s">
        <v>22</v>
      </c>
      <c r="G454" s="14">
        <f>SUM(G455:G458)</f>
        <v>998428465</v>
      </c>
      <c r="H454" s="14">
        <v>0</v>
      </c>
      <c r="I454" s="14">
        <f>+G454+H454</f>
        <v>998428465</v>
      </c>
      <c r="J454" s="14">
        <f>SUM(J455:J458)</f>
        <v>307333375</v>
      </c>
      <c r="K454" s="16">
        <f t="shared" si="34"/>
        <v>940800430</v>
      </c>
      <c r="L454" s="14">
        <f t="shared" si="35"/>
        <v>94.22812579767546</v>
      </c>
    </row>
    <row r="455" spans="1:12" ht="12.75" hidden="1">
      <c r="A455" s="13" t="s">
        <v>19</v>
      </c>
      <c r="B455" s="13">
        <v>1</v>
      </c>
      <c r="C455" s="13">
        <v>1</v>
      </c>
      <c r="D455" s="13">
        <v>1</v>
      </c>
      <c r="E455" s="13">
        <v>1</v>
      </c>
      <c r="F455" s="13" t="s">
        <v>23</v>
      </c>
      <c r="G455" s="14">
        <v>726033173</v>
      </c>
      <c r="H455" s="14">
        <v>0</v>
      </c>
      <c r="I455" s="14">
        <f>+G455+H455</f>
        <v>726033173</v>
      </c>
      <c r="J455" s="14">
        <v>98158789</v>
      </c>
      <c r="K455" s="16">
        <f t="shared" si="34"/>
        <v>634539652</v>
      </c>
      <c r="L455" s="14">
        <f t="shared" si="35"/>
        <v>87.39816245283328</v>
      </c>
    </row>
    <row r="456" spans="1:12" ht="12.75" hidden="1">
      <c r="A456" s="13" t="s">
        <v>19</v>
      </c>
      <c r="B456" s="13">
        <v>1</v>
      </c>
      <c r="C456" s="13">
        <v>1</v>
      </c>
      <c r="D456" s="13">
        <v>9</v>
      </c>
      <c r="E456" s="13">
        <v>1</v>
      </c>
      <c r="F456" s="13" t="s">
        <v>24</v>
      </c>
      <c r="G456" s="14">
        <v>1109073</v>
      </c>
      <c r="H456" s="14">
        <v>0</v>
      </c>
      <c r="I456" s="14">
        <f aca="true" t="shared" si="36" ref="I456:I461">+G456+H456</f>
        <v>1109073</v>
      </c>
      <c r="J456" s="14"/>
      <c r="K456" s="16">
        <f t="shared" si="34"/>
        <v>0</v>
      </c>
      <c r="L456" s="14">
        <f t="shared" si="35"/>
        <v>0</v>
      </c>
    </row>
    <row r="457" spans="1:12" ht="12.75" hidden="1">
      <c r="A457" s="13" t="s">
        <v>19</v>
      </c>
      <c r="B457" s="13">
        <v>1</v>
      </c>
      <c r="C457" s="13">
        <v>1</v>
      </c>
      <c r="D457" s="13">
        <v>4</v>
      </c>
      <c r="E457" s="13">
        <v>2</v>
      </c>
      <c r="F457" s="13" t="s">
        <v>25</v>
      </c>
      <c r="G457" s="14">
        <v>96499234</v>
      </c>
      <c r="H457" s="14">
        <f>0</f>
        <v>0</v>
      </c>
      <c r="I457" s="14">
        <f t="shared" si="36"/>
        <v>96499234</v>
      </c>
      <c r="J457" s="14">
        <v>10876510</v>
      </c>
      <c r="K457" s="16">
        <f t="shared" si="34"/>
        <v>66740560</v>
      </c>
      <c r="L457" s="14">
        <f t="shared" si="35"/>
        <v>69.16175106633489</v>
      </c>
    </row>
    <row r="458" spans="1:12" ht="12.75" hidden="1">
      <c r="A458" s="13" t="s">
        <v>19</v>
      </c>
      <c r="B458" s="13">
        <v>1</v>
      </c>
      <c r="C458" s="13">
        <v>1</v>
      </c>
      <c r="D458" s="13">
        <v>5</v>
      </c>
      <c r="E458" s="13">
        <v>0</v>
      </c>
      <c r="F458" s="13" t="s">
        <v>26</v>
      </c>
      <c r="G458" s="14">
        <v>174786985</v>
      </c>
      <c r="H458" s="14">
        <f>0</f>
        <v>0</v>
      </c>
      <c r="I458" s="14">
        <f t="shared" si="36"/>
        <v>174786985</v>
      </c>
      <c r="J458" s="23">
        <f>+J104+I458</f>
        <v>198298076</v>
      </c>
      <c r="K458" s="16">
        <f t="shared" si="34"/>
        <v>239520218</v>
      </c>
      <c r="L458" s="14">
        <f t="shared" si="35"/>
        <v>137.03549952532222</v>
      </c>
    </row>
    <row r="459" spans="1:12" ht="12.75" hidden="1">
      <c r="A459" s="13" t="s">
        <v>19</v>
      </c>
      <c r="B459" s="13">
        <v>1</v>
      </c>
      <c r="C459" s="13">
        <v>5</v>
      </c>
      <c r="D459" s="13">
        <v>0</v>
      </c>
      <c r="E459" s="13">
        <v>1</v>
      </c>
      <c r="F459" s="13" t="s">
        <v>27</v>
      </c>
      <c r="G459" s="14">
        <v>56827811</v>
      </c>
      <c r="H459" s="14">
        <v>0</v>
      </c>
      <c r="I459" s="14">
        <f t="shared" si="36"/>
        <v>56827811</v>
      </c>
      <c r="J459" s="14">
        <v>15958789</v>
      </c>
      <c r="K459" s="16">
        <f t="shared" si="34"/>
        <v>89075749</v>
      </c>
      <c r="L459" s="14">
        <f t="shared" si="35"/>
        <v>156.74675380334463</v>
      </c>
    </row>
    <row r="460" spans="1:12" ht="12.75" hidden="1">
      <c r="A460" s="13" t="s">
        <v>19</v>
      </c>
      <c r="B460" s="13">
        <v>1</v>
      </c>
      <c r="C460" s="13">
        <v>5</v>
      </c>
      <c r="D460" s="13">
        <v>0</v>
      </c>
      <c r="E460" s="13">
        <v>2</v>
      </c>
      <c r="F460" s="13" t="s">
        <v>28</v>
      </c>
      <c r="G460" s="14">
        <f>163804123+40000000</f>
        <v>203804123</v>
      </c>
      <c r="H460" s="14">
        <f>0</f>
        <v>0</v>
      </c>
      <c r="I460" s="14">
        <f t="shared" si="36"/>
        <v>203804123</v>
      </c>
      <c r="J460" s="14">
        <f>949019137-939848488</f>
        <v>9170649</v>
      </c>
      <c r="K460" s="16">
        <f t="shared" si="34"/>
        <v>87790944</v>
      </c>
      <c r="L460" s="14">
        <f t="shared" si="35"/>
        <v>43.07613737529736</v>
      </c>
    </row>
    <row r="461" spans="1:12" ht="12.75" hidden="1">
      <c r="A461" s="13" t="s">
        <v>19</v>
      </c>
      <c r="B461" s="13">
        <v>2</v>
      </c>
      <c r="C461" s="13">
        <v>0</v>
      </c>
      <c r="D461" s="13">
        <v>0</v>
      </c>
      <c r="E461" s="13">
        <v>0</v>
      </c>
      <c r="F461" s="15" t="s">
        <v>29</v>
      </c>
      <c r="G461" s="16">
        <f>SUM(G462:G463)</f>
        <v>24698480</v>
      </c>
      <c r="H461" s="16">
        <f>SUM(H462:H463)</f>
        <v>0</v>
      </c>
      <c r="I461" s="16">
        <f t="shared" si="36"/>
        <v>24698480</v>
      </c>
      <c r="J461" s="16">
        <f>SUM(J462:J463)</f>
        <v>0</v>
      </c>
      <c r="K461" s="16">
        <f t="shared" si="34"/>
        <v>23511091</v>
      </c>
      <c r="L461" s="14">
        <f t="shared" si="35"/>
        <v>95.19246123648095</v>
      </c>
    </row>
    <row r="462" spans="1:12" ht="12.75" hidden="1">
      <c r="A462" s="13" t="s">
        <v>19</v>
      </c>
      <c r="B462" s="13">
        <v>2</v>
      </c>
      <c r="C462" s="13">
        <v>0</v>
      </c>
      <c r="D462" s="13">
        <v>4</v>
      </c>
      <c r="E462" s="13">
        <v>0</v>
      </c>
      <c r="F462" s="13" t="s">
        <v>30</v>
      </c>
      <c r="G462" s="14">
        <v>23511091</v>
      </c>
      <c r="H462" s="14">
        <v>0</v>
      </c>
      <c r="I462" s="14">
        <f>+G462+H462</f>
        <v>23511091</v>
      </c>
      <c r="J462" s="16">
        <v>0</v>
      </c>
      <c r="K462" s="16">
        <f t="shared" si="34"/>
        <v>23511091</v>
      </c>
      <c r="L462" s="14">
        <f t="shared" si="35"/>
        <v>100</v>
      </c>
    </row>
    <row r="463" spans="1:12" ht="12.75" hidden="1">
      <c r="A463" s="13" t="s">
        <v>19</v>
      </c>
      <c r="B463" s="13">
        <v>2</v>
      </c>
      <c r="C463" s="13">
        <v>0</v>
      </c>
      <c r="D463" s="13">
        <v>3</v>
      </c>
      <c r="E463" s="13">
        <v>50</v>
      </c>
      <c r="F463" s="13" t="s">
        <v>31</v>
      </c>
      <c r="G463" s="14">
        <v>1187389</v>
      </c>
      <c r="H463" s="14">
        <v>0</v>
      </c>
      <c r="I463" s="14">
        <f>+G463+H463</f>
        <v>1187389</v>
      </c>
      <c r="J463" s="14">
        <v>0</v>
      </c>
      <c r="K463" s="16">
        <f t="shared" si="34"/>
        <v>0</v>
      </c>
      <c r="L463" s="14">
        <f t="shared" si="35"/>
        <v>0</v>
      </c>
    </row>
    <row r="464" spans="1:12" ht="12.75" hidden="1">
      <c r="A464" s="13" t="s">
        <v>19</v>
      </c>
      <c r="B464" s="13">
        <v>3</v>
      </c>
      <c r="C464" s="13">
        <v>2</v>
      </c>
      <c r="D464" s="13">
        <v>1</v>
      </c>
      <c r="E464" s="13">
        <v>1</v>
      </c>
      <c r="F464" s="13" t="s">
        <v>32</v>
      </c>
      <c r="G464" s="14">
        <v>8163977</v>
      </c>
      <c r="H464" s="14">
        <v>0</v>
      </c>
      <c r="I464" s="14">
        <f>+G464+H464</f>
        <v>8163977</v>
      </c>
      <c r="J464" s="14">
        <v>0</v>
      </c>
      <c r="K464" s="16">
        <f t="shared" si="34"/>
        <v>0</v>
      </c>
      <c r="L464" s="14">
        <f t="shared" si="35"/>
        <v>0</v>
      </c>
    </row>
    <row r="465" spans="1:12" ht="12.75" hidden="1">
      <c r="A465" s="13"/>
      <c r="B465" s="13"/>
      <c r="C465" s="13"/>
      <c r="D465" s="13"/>
      <c r="E465" s="13"/>
      <c r="F465" s="13"/>
      <c r="G465" s="14"/>
      <c r="H465" s="14"/>
      <c r="I465" s="14"/>
      <c r="J465" s="14"/>
      <c r="K465" s="14"/>
      <c r="L465" s="14" t="s">
        <v>1</v>
      </c>
    </row>
    <row r="466" spans="1:12" ht="12.75" hidden="1">
      <c r="A466" s="13" t="s">
        <v>33</v>
      </c>
      <c r="B466" s="13"/>
      <c r="C466" s="13"/>
      <c r="D466" s="13"/>
      <c r="E466" s="13"/>
      <c r="F466" s="15" t="s">
        <v>34</v>
      </c>
      <c r="G466" s="16">
        <f>+G468+G469</f>
        <v>0</v>
      </c>
      <c r="H466" s="16">
        <f>+H468+H469</f>
        <v>1155800000</v>
      </c>
      <c r="I466" s="16">
        <f>+G466+H466</f>
        <v>1155800000</v>
      </c>
      <c r="J466" s="16">
        <f>SUM(J468:J471)</f>
        <v>651912751</v>
      </c>
      <c r="K466" s="16">
        <f>+K376+J466</f>
        <v>651912751</v>
      </c>
      <c r="L466" s="14">
        <f t="shared" si="35"/>
        <v>56.403594999134796</v>
      </c>
    </row>
    <row r="467" spans="1:12" ht="12.75" hidden="1">
      <c r="A467" s="13"/>
      <c r="B467" s="13"/>
      <c r="C467" s="13"/>
      <c r="D467" s="13"/>
      <c r="E467" s="13"/>
      <c r="F467" s="13"/>
      <c r="G467" s="14"/>
      <c r="H467" s="14"/>
      <c r="I467" s="14"/>
      <c r="J467" s="14"/>
      <c r="K467" s="14"/>
      <c r="L467" s="14" t="s">
        <v>1</v>
      </c>
    </row>
    <row r="468" spans="1:12" ht="25.5" hidden="1">
      <c r="A468" s="13" t="s">
        <v>33</v>
      </c>
      <c r="B468" s="13">
        <v>630</v>
      </c>
      <c r="C468" s="13">
        <v>900</v>
      </c>
      <c r="D468" s="13">
        <v>1</v>
      </c>
      <c r="E468" s="13">
        <v>81</v>
      </c>
      <c r="F468" s="17" t="s">
        <v>68</v>
      </c>
      <c r="G468" s="14">
        <v>0</v>
      </c>
      <c r="H468" s="14">
        <v>150200000</v>
      </c>
      <c r="I468" s="14">
        <f>+G468+H468</f>
        <v>150200000</v>
      </c>
      <c r="J468" s="14">
        <v>12284340</v>
      </c>
      <c r="K468" s="16">
        <f>+J468</f>
        <v>12284340</v>
      </c>
      <c r="L468" s="14">
        <f t="shared" si="35"/>
        <v>8.178655126498002</v>
      </c>
    </row>
    <row r="469" spans="1:12" ht="25.5" hidden="1">
      <c r="A469" s="13" t="s">
        <v>33</v>
      </c>
      <c r="B469" s="13">
        <v>630</v>
      </c>
      <c r="C469" s="13">
        <v>900</v>
      </c>
      <c r="D469" s="13">
        <v>1</v>
      </c>
      <c r="E469" s="13">
        <v>82</v>
      </c>
      <c r="F469" s="17" t="s">
        <v>69</v>
      </c>
      <c r="G469" s="14">
        <v>0</v>
      </c>
      <c r="H469" s="14">
        <v>1005600000</v>
      </c>
      <c r="I469" s="14">
        <f>+G469+H469</f>
        <v>1005600000</v>
      </c>
      <c r="J469" s="14">
        <v>639628411</v>
      </c>
      <c r="K469" s="16">
        <f>+J469</f>
        <v>639628411</v>
      </c>
      <c r="L469" s="14">
        <f t="shared" si="35"/>
        <v>63.60664389419253</v>
      </c>
    </row>
    <row r="470" spans="1:12" ht="12.75" hidden="1">
      <c r="A470" s="13"/>
      <c r="B470" s="13"/>
      <c r="C470" s="13"/>
      <c r="D470" s="13"/>
      <c r="E470" s="13"/>
      <c r="F470" s="13"/>
      <c r="G470" s="14"/>
      <c r="H470" s="14"/>
      <c r="I470" s="14"/>
      <c r="J470" s="14"/>
      <c r="K470" s="16" t="s">
        <v>1</v>
      </c>
      <c r="L470" s="14"/>
    </row>
    <row r="471" spans="1:12" ht="12.75" hidden="1">
      <c r="A471" s="13" t="s">
        <v>1</v>
      </c>
      <c r="B471" s="13" t="s">
        <v>1</v>
      </c>
      <c r="C471" s="13" t="s">
        <v>1</v>
      </c>
      <c r="D471" s="13" t="s">
        <v>1</v>
      </c>
      <c r="E471" s="13" t="s">
        <v>1</v>
      </c>
      <c r="F471" s="17" t="s">
        <v>1</v>
      </c>
      <c r="G471" s="14" t="s">
        <v>1</v>
      </c>
      <c r="H471" s="14" t="s">
        <v>1</v>
      </c>
      <c r="I471" s="14" t="s">
        <v>1</v>
      </c>
      <c r="J471" s="14" t="s">
        <v>37</v>
      </c>
      <c r="K471" s="16" t="s">
        <v>1</v>
      </c>
      <c r="L471" s="14" t="s">
        <v>1</v>
      </c>
    </row>
    <row r="472" spans="1:12" ht="12.75" hidden="1">
      <c r="A472" s="13"/>
      <c r="B472" s="13"/>
      <c r="C472" s="13"/>
      <c r="D472" s="13"/>
      <c r="E472" s="13"/>
      <c r="F472" s="15" t="s">
        <v>35</v>
      </c>
      <c r="G472" s="16">
        <f>+G452+G466</f>
        <v>1291922856</v>
      </c>
      <c r="H472" s="16">
        <f>+H452+H466</f>
        <v>1155800000</v>
      </c>
      <c r="I472" s="16">
        <f>+I452+I466</f>
        <v>2447722856</v>
      </c>
      <c r="J472" s="16">
        <f>+J466+J452</f>
        <v>984375564</v>
      </c>
      <c r="K472" s="16">
        <f>+K379+J472</f>
        <v>1793680975</v>
      </c>
      <c r="L472" s="14">
        <f>+K472/I472*100</f>
        <v>73.27957781671341</v>
      </c>
    </row>
    <row r="473" spans="2:11" ht="12.75" hidden="1">
      <c r="B473" s="18"/>
      <c r="C473" s="18"/>
      <c r="D473" s="18"/>
      <c r="E473" s="18"/>
      <c r="F473" s="18"/>
      <c r="G473" s="19" t="s">
        <v>1</v>
      </c>
      <c r="H473" s="18"/>
      <c r="I473" s="19" t="s">
        <v>1</v>
      </c>
      <c r="J473" s="19"/>
      <c r="K473" s="19"/>
    </row>
    <row r="474" spans="7:10" ht="12.75" hidden="1">
      <c r="G474" s="3" t="s">
        <v>1</v>
      </c>
      <c r="I474" s="3" t="s">
        <v>1</v>
      </c>
      <c r="J474" s="3"/>
    </row>
    <row r="475" ht="12.75" hidden="1"/>
    <row r="476" ht="12.75" hidden="1"/>
    <row r="477" spans="6:11" ht="12.75" hidden="1">
      <c r="F477" s="4" t="s">
        <v>6</v>
      </c>
      <c r="G477" s="4"/>
      <c r="H477" s="4" t="s">
        <v>46</v>
      </c>
      <c r="I477" s="4"/>
      <c r="J477" s="4"/>
      <c r="K477" s="4"/>
    </row>
    <row r="478" spans="6:11" ht="12.75" hidden="1">
      <c r="F478" s="4" t="s">
        <v>36</v>
      </c>
      <c r="G478" s="4"/>
      <c r="H478" s="4" t="s">
        <v>47</v>
      </c>
      <c r="I478" s="4"/>
      <c r="J478" s="4"/>
      <c r="K478" s="4"/>
    </row>
    <row r="479" ht="12.75" hidden="1"/>
    <row r="480" ht="12.75" hidden="1"/>
    <row r="481" ht="12.75" hidden="1"/>
    <row r="482" ht="12.75" hidden="1"/>
    <row r="483" ht="12.75" hidden="1">
      <c r="H483" t="s">
        <v>1</v>
      </c>
    </row>
    <row r="484" ht="12.75" hidden="1">
      <c r="H484" t="s">
        <v>1</v>
      </c>
    </row>
    <row r="485" ht="12.75" hidden="1">
      <c r="H485" t="s">
        <v>1</v>
      </c>
    </row>
    <row r="486" ht="12.75" hidden="1"/>
    <row r="487" ht="12.75" hidden="1"/>
    <row r="488" ht="12.75" hidden="1"/>
    <row r="489" ht="12.75" hidden="1"/>
    <row r="490" ht="12.75" hidden="1">
      <c r="I490" t="s">
        <v>1</v>
      </c>
    </row>
    <row r="491" spans="1:10" ht="12.75" hidden="1">
      <c r="A491" t="s">
        <v>1</v>
      </c>
      <c r="F491" s="1" t="s">
        <v>1</v>
      </c>
      <c r="G491" s="1"/>
      <c r="I491" s="3" t="s">
        <v>1</v>
      </c>
      <c r="J491" s="3"/>
    </row>
    <row r="492" spans="1:9" ht="12.75" hidden="1">
      <c r="A492" t="s">
        <v>1</v>
      </c>
      <c r="E492" s="1" t="s">
        <v>1</v>
      </c>
      <c r="F492" s="1" t="s">
        <v>1</v>
      </c>
      <c r="G492" s="1"/>
      <c r="I492" t="s">
        <v>1</v>
      </c>
    </row>
    <row r="493" spans="3:7" ht="12.75" hidden="1">
      <c r="C493" s="2" t="s">
        <v>1</v>
      </c>
      <c r="D493" s="1" t="s">
        <v>1</v>
      </c>
      <c r="E493" s="1" t="s">
        <v>1</v>
      </c>
      <c r="F493" s="1" t="s">
        <v>0</v>
      </c>
      <c r="G493" s="1"/>
    </row>
    <row r="494" spans="1:11" ht="12.75" hidden="1">
      <c r="A494" s="5"/>
      <c r="B494" s="5"/>
      <c r="C494" s="6" t="s">
        <v>1</v>
      </c>
      <c r="D494" s="7" t="s">
        <v>1</v>
      </c>
      <c r="E494" s="7" t="s">
        <v>1</v>
      </c>
      <c r="F494" s="7" t="s">
        <v>48</v>
      </c>
      <c r="G494" s="7"/>
      <c r="H494" s="7"/>
      <c r="I494" s="5"/>
      <c r="J494" s="5"/>
      <c r="K494" s="5"/>
    </row>
    <row r="495" spans="1:11" ht="12.75" hidden="1">
      <c r="A495" s="8"/>
      <c r="B495" s="8"/>
      <c r="C495" s="8"/>
      <c r="D495" s="8"/>
      <c r="E495" s="8"/>
      <c r="F495" s="9" t="s">
        <v>50</v>
      </c>
      <c r="G495" s="9"/>
      <c r="H495" s="9" t="s">
        <v>1</v>
      </c>
      <c r="I495" s="20" t="s">
        <v>1</v>
      </c>
      <c r="J495" s="20"/>
      <c r="K495" s="34">
        <v>39600</v>
      </c>
    </row>
    <row r="496" spans="6:11" ht="12.75" hidden="1">
      <c r="F496" s="1"/>
      <c r="I496" s="3" t="s">
        <v>37</v>
      </c>
      <c r="J496" s="3"/>
      <c r="K496" s="10"/>
    </row>
    <row r="497" spans="1:12" ht="12.75" hidden="1">
      <c r="A497" s="12"/>
      <c r="B497" s="11" t="s">
        <v>12</v>
      </c>
      <c r="C497" s="12"/>
      <c r="D497" s="12" t="s">
        <v>13</v>
      </c>
      <c r="E497" s="12"/>
      <c r="F497" s="21"/>
      <c r="G497" s="11" t="s">
        <v>3</v>
      </c>
      <c r="H497" s="11" t="s">
        <v>2</v>
      </c>
      <c r="I497" s="11" t="s">
        <v>3</v>
      </c>
      <c r="J497" s="11"/>
      <c r="K497" s="22" t="s">
        <v>58</v>
      </c>
      <c r="L497" s="32" t="s">
        <v>60</v>
      </c>
    </row>
    <row r="498" spans="1:12" ht="12.75" hidden="1">
      <c r="A498" s="12"/>
      <c r="B498" s="12"/>
      <c r="C498" s="12"/>
      <c r="D498" s="12" t="s">
        <v>14</v>
      </c>
      <c r="E498" s="12"/>
      <c r="F498" s="11" t="s">
        <v>15</v>
      </c>
      <c r="G498" s="11" t="s">
        <v>4</v>
      </c>
      <c r="H498" s="11" t="s">
        <v>16</v>
      </c>
      <c r="I498" s="11" t="s">
        <v>5</v>
      </c>
      <c r="J498" s="11"/>
      <c r="K498" s="11" t="s">
        <v>59</v>
      </c>
      <c r="L498" s="33" t="s">
        <v>61</v>
      </c>
    </row>
    <row r="499" spans="1:12" ht="12.75" hidden="1">
      <c r="A499" s="12"/>
      <c r="B499" s="12"/>
      <c r="C499" s="12"/>
      <c r="D499" s="12" t="s">
        <v>17</v>
      </c>
      <c r="E499" s="12"/>
      <c r="F499" s="21"/>
      <c r="G499" s="11">
        <v>1</v>
      </c>
      <c r="H499" s="11" t="s">
        <v>1</v>
      </c>
      <c r="I499" s="11" t="s">
        <v>18</v>
      </c>
      <c r="J499" s="11"/>
      <c r="K499" s="11"/>
      <c r="L499" s="13"/>
    </row>
    <row r="500" spans="1:12" ht="12.75" hidden="1">
      <c r="A500" s="21"/>
      <c r="B500" s="21"/>
      <c r="C500" s="21"/>
      <c r="D500" s="21"/>
      <c r="E500" s="21"/>
      <c r="F500" s="21"/>
      <c r="G500" s="23" t="s">
        <v>1</v>
      </c>
      <c r="H500" s="23" t="s">
        <v>1</v>
      </c>
      <c r="I500" s="23" t="s">
        <v>1</v>
      </c>
      <c r="J500" s="23"/>
      <c r="K500" s="23"/>
      <c r="L500" s="13"/>
    </row>
    <row r="501" spans="1:12" ht="12.75" hidden="1">
      <c r="A501" s="21" t="s">
        <v>19</v>
      </c>
      <c r="B501" s="21"/>
      <c r="C501" s="21"/>
      <c r="D501" s="21"/>
      <c r="E501" s="21"/>
      <c r="F501" s="21" t="s">
        <v>38</v>
      </c>
      <c r="G501" s="23">
        <f>SUM(G502+G511+G515)</f>
        <v>2990108195</v>
      </c>
      <c r="H501" s="23">
        <f>SUM(H502+H511+H515)</f>
        <v>151001983</v>
      </c>
      <c r="I501" s="23">
        <f>SUM(I502+I511+I515)</f>
        <v>3141110178</v>
      </c>
      <c r="J501" s="23">
        <f>SUM(J502+J511+J515)</f>
        <v>105374309</v>
      </c>
      <c r="K501" s="23">
        <f>+K408+J501</f>
        <v>1147794996</v>
      </c>
      <c r="L501" s="14">
        <f>+K501/I501*100</f>
        <v>36.541061311348884</v>
      </c>
    </row>
    <row r="502" spans="1:12" ht="12.75" hidden="1">
      <c r="A502" s="21" t="s">
        <v>19</v>
      </c>
      <c r="B502" s="21">
        <v>1</v>
      </c>
      <c r="C502" s="21">
        <v>1</v>
      </c>
      <c r="D502" s="21">
        <v>0</v>
      </c>
      <c r="E502" s="21">
        <v>0</v>
      </c>
      <c r="F502" s="21" t="s">
        <v>21</v>
      </c>
      <c r="G502" s="23">
        <f>SUM(G503+G508+G509+G510)</f>
        <v>1315851325</v>
      </c>
      <c r="H502" s="23">
        <f>SUM(H503+H508+H509+H510)</f>
        <v>14500000</v>
      </c>
      <c r="I502" s="23">
        <f>+I503+I508+I509+I510</f>
        <v>1330351325</v>
      </c>
      <c r="J502" s="23">
        <f>SUM(J503+J508+J509+J510)</f>
        <v>27489220</v>
      </c>
      <c r="K502" s="23">
        <f aca="true" t="shared" si="37" ref="K502:K530">+K409+J502</f>
        <v>270330563</v>
      </c>
      <c r="L502" s="14">
        <f aca="true" t="shared" si="38" ref="L502:L519">+K502/I502*100</f>
        <v>20.32023856555335</v>
      </c>
    </row>
    <row r="503" spans="1:12" ht="12.75" hidden="1">
      <c r="A503" s="21" t="s">
        <v>19</v>
      </c>
      <c r="B503" s="21">
        <v>1</v>
      </c>
      <c r="C503" s="21">
        <v>1</v>
      </c>
      <c r="D503" s="21">
        <v>1</v>
      </c>
      <c r="E503" s="21">
        <v>0</v>
      </c>
      <c r="F503" s="21" t="s">
        <v>22</v>
      </c>
      <c r="G503" s="23">
        <f>SUM(G504:G507)</f>
        <v>839112619</v>
      </c>
      <c r="H503" s="23">
        <f>SUM(H504:H507)</f>
        <v>-17500000</v>
      </c>
      <c r="I503" s="23">
        <f>SUM(I504:I507)</f>
        <v>821612619</v>
      </c>
      <c r="J503" s="23">
        <f>SUM(J504:J507)</f>
        <v>8548989</v>
      </c>
      <c r="K503" s="23">
        <f t="shared" si="37"/>
        <v>55243219</v>
      </c>
      <c r="L503" s="14">
        <f t="shared" si="38"/>
        <v>6.723754932980161</v>
      </c>
    </row>
    <row r="504" spans="1:12" ht="12.75" hidden="1">
      <c r="A504" s="21" t="s">
        <v>19</v>
      </c>
      <c r="B504" s="21">
        <v>1</v>
      </c>
      <c r="C504" s="21">
        <v>1</v>
      </c>
      <c r="D504" s="21">
        <v>1</v>
      </c>
      <c r="E504" s="21">
        <v>1</v>
      </c>
      <c r="F504" s="21" t="s">
        <v>23</v>
      </c>
      <c r="G504" s="23">
        <v>646562329</v>
      </c>
      <c r="H504" s="23">
        <f>-17500000-10000000</f>
        <v>-27500000</v>
      </c>
      <c r="I504" s="23">
        <f>SUM(G504+H504)</f>
        <v>619062329</v>
      </c>
      <c r="J504" s="23">
        <v>0</v>
      </c>
      <c r="K504" s="23">
        <f t="shared" si="37"/>
        <v>0</v>
      </c>
      <c r="L504" s="14">
        <f t="shared" si="38"/>
        <v>0</v>
      </c>
    </row>
    <row r="505" spans="1:12" ht="12.75" hidden="1">
      <c r="A505" s="21" t="s">
        <v>19</v>
      </c>
      <c r="B505" s="21">
        <v>1</v>
      </c>
      <c r="C505" s="21">
        <v>1</v>
      </c>
      <c r="D505" s="21">
        <v>9</v>
      </c>
      <c r="E505" s="21">
        <v>3</v>
      </c>
      <c r="F505" s="21" t="s">
        <v>39</v>
      </c>
      <c r="G505" s="23">
        <v>10000000</v>
      </c>
      <c r="H505" s="23">
        <v>10000000</v>
      </c>
      <c r="I505" s="23">
        <f>SUM(G505+H505)</f>
        <v>20000000</v>
      </c>
      <c r="J505" s="23">
        <v>0</v>
      </c>
      <c r="K505" s="23">
        <f t="shared" si="37"/>
        <v>15746049</v>
      </c>
      <c r="L505" s="14">
        <f t="shared" si="38"/>
        <v>78.730245</v>
      </c>
    </row>
    <row r="506" spans="1:12" ht="12.75" hidden="1">
      <c r="A506" s="21" t="s">
        <v>19</v>
      </c>
      <c r="B506" s="21">
        <v>1</v>
      </c>
      <c r="C506" s="21">
        <v>1</v>
      </c>
      <c r="D506" s="21">
        <v>4</v>
      </c>
      <c r="E506" s="21">
        <v>2</v>
      </c>
      <c r="F506" s="21" t="s">
        <v>25</v>
      </c>
      <c r="G506" s="23">
        <v>51756389</v>
      </c>
      <c r="H506" s="23">
        <v>0</v>
      </c>
      <c r="I506" s="23">
        <f>SUM(G506+H506)</f>
        <v>51756389</v>
      </c>
      <c r="J506" s="23">
        <v>0</v>
      </c>
      <c r="K506" s="23">
        <f t="shared" si="37"/>
        <v>0</v>
      </c>
      <c r="L506" s="14">
        <f t="shared" si="38"/>
        <v>0</v>
      </c>
    </row>
    <row r="507" spans="1:13" ht="12.75" hidden="1">
      <c r="A507" s="21" t="s">
        <v>19</v>
      </c>
      <c r="B507" s="21">
        <v>1</v>
      </c>
      <c r="C507" s="21">
        <v>1</v>
      </c>
      <c r="D507" s="21">
        <v>5</v>
      </c>
      <c r="E507" s="21">
        <v>0</v>
      </c>
      <c r="F507" s="21" t="s">
        <v>26</v>
      </c>
      <c r="G507" s="23">
        <v>130793901</v>
      </c>
      <c r="H507" s="23">
        <v>0</v>
      </c>
      <c r="I507" s="23">
        <f>SUM(G507+H507)</f>
        <v>130793901</v>
      </c>
      <c r="J507" s="23">
        <v>8548989</v>
      </c>
      <c r="K507" s="23">
        <f t="shared" si="37"/>
        <v>39497170</v>
      </c>
      <c r="L507" s="14">
        <f t="shared" si="38"/>
        <v>30.198021236479523</v>
      </c>
      <c r="M507" s="3"/>
    </row>
    <row r="508" spans="1:12" ht="12.75" hidden="1">
      <c r="A508" s="21" t="s">
        <v>19</v>
      </c>
      <c r="B508" s="21">
        <v>1</v>
      </c>
      <c r="C508" s="21">
        <v>0</v>
      </c>
      <c r="D508" s="21">
        <v>2</v>
      </c>
      <c r="E508" s="21">
        <v>0</v>
      </c>
      <c r="F508" s="21" t="s">
        <v>40</v>
      </c>
      <c r="G508" s="23">
        <v>140863035</v>
      </c>
      <c r="H508" s="24">
        <v>32000000</v>
      </c>
      <c r="I508" s="23">
        <f>SUM(G508+H508)</f>
        <v>172863035</v>
      </c>
      <c r="J508" s="23">
        <v>0</v>
      </c>
      <c r="K508" s="23">
        <f t="shared" si="37"/>
        <v>157050116</v>
      </c>
      <c r="L508" s="14">
        <f t="shared" si="38"/>
        <v>90.85234214475061</v>
      </c>
    </row>
    <row r="509" spans="1:12" ht="12.75" hidden="1">
      <c r="A509" s="21" t="s">
        <v>19</v>
      </c>
      <c r="B509" s="21">
        <v>1</v>
      </c>
      <c r="C509" s="21">
        <v>5</v>
      </c>
      <c r="D509" s="21">
        <v>0</v>
      </c>
      <c r="E509" s="21">
        <v>1</v>
      </c>
      <c r="F509" s="21" t="s">
        <v>27</v>
      </c>
      <c r="G509" s="23">
        <v>228481415</v>
      </c>
      <c r="H509" s="24">
        <v>0</v>
      </c>
      <c r="I509" s="23">
        <f>+G509+H509</f>
        <v>228481415</v>
      </c>
      <c r="J509" s="23">
        <v>8548790</v>
      </c>
      <c r="K509" s="23">
        <f t="shared" si="37"/>
        <v>39096998</v>
      </c>
      <c r="L509" s="14">
        <f t="shared" si="38"/>
        <v>17.111675363179977</v>
      </c>
    </row>
    <row r="510" spans="1:12" ht="12.75" hidden="1">
      <c r="A510" s="21" t="s">
        <v>19</v>
      </c>
      <c r="B510" s="21">
        <v>1</v>
      </c>
      <c r="C510" s="21">
        <v>5</v>
      </c>
      <c r="D510" s="21">
        <v>0</v>
      </c>
      <c r="E510" s="21">
        <v>2</v>
      </c>
      <c r="F510" s="21" t="s">
        <v>28</v>
      </c>
      <c r="G510" s="23">
        <v>107394256</v>
      </c>
      <c r="H510" s="24">
        <v>0</v>
      </c>
      <c r="I510" s="23">
        <f>+G510+H510</f>
        <v>107394256</v>
      </c>
      <c r="J510" s="23">
        <v>10391441</v>
      </c>
      <c r="K510" s="23">
        <f t="shared" si="37"/>
        <v>18940230</v>
      </c>
      <c r="L510" s="14">
        <f t="shared" si="38"/>
        <v>17.63616668660566</v>
      </c>
    </row>
    <row r="511" spans="1:12" ht="12.75" hidden="1">
      <c r="A511" s="21" t="s">
        <v>19</v>
      </c>
      <c r="B511" s="21">
        <v>2</v>
      </c>
      <c r="C511" s="21">
        <v>0</v>
      </c>
      <c r="D511" s="21">
        <v>0</v>
      </c>
      <c r="E511" s="21">
        <v>0</v>
      </c>
      <c r="F511" s="21" t="s">
        <v>29</v>
      </c>
      <c r="G511" s="23">
        <f>SUM(G512:G514)</f>
        <v>696598707</v>
      </c>
      <c r="H511" s="23">
        <f>SUM(H512:H514)</f>
        <v>34000000</v>
      </c>
      <c r="I511" s="23">
        <f>+I512+I513+I514</f>
        <v>730598707</v>
      </c>
      <c r="J511" s="23">
        <f>SUM(J512:J514)</f>
        <v>17890525</v>
      </c>
      <c r="K511" s="23">
        <f t="shared" si="37"/>
        <v>422906723</v>
      </c>
      <c r="L511" s="14">
        <f t="shared" si="38"/>
        <v>57.88495366170967</v>
      </c>
    </row>
    <row r="512" spans="1:12" ht="12.75" hidden="1">
      <c r="A512" s="21" t="s">
        <v>19</v>
      </c>
      <c r="B512" s="21">
        <v>2</v>
      </c>
      <c r="C512" s="21">
        <v>4</v>
      </c>
      <c r="D512" s="21">
        <v>0</v>
      </c>
      <c r="E512" s="21">
        <v>0</v>
      </c>
      <c r="F512" s="21" t="s">
        <v>41</v>
      </c>
      <c r="G512" s="23">
        <v>124289000</v>
      </c>
      <c r="H512" s="24">
        <v>17000000</v>
      </c>
      <c r="I512" s="23">
        <f>+G512+H512</f>
        <v>141289000</v>
      </c>
      <c r="J512" s="23">
        <v>0</v>
      </c>
      <c r="K512" s="23">
        <f t="shared" si="37"/>
        <v>36565836</v>
      </c>
      <c r="L512" s="14">
        <f t="shared" si="38"/>
        <v>25.880171846357463</v>
      </c>
    </row>
    <row r="513" spans="1:12" ht="12.75" hidden="1">
      <c r="A513" s="21" t="s">
        <v>19</v>
      </c>
      <c r="B513" s="21">
        <v>2</v>
      </c>
      <c r="C513" s="21">
        <v>4</v>
      </c>
      <c r="D513" s="21">
        <v>0</v>
      </c>
      <c r="E513" s="21">
        <v>0</v>
      </c>
      <c r="F513" s="21" t="s">
        <v>30</v>
      </c>
      <c r="G513" s="23">
        <v>551497096</v>
      </c>
      <c r="H513" s="24">
        <f>+H512</f>
        <v>17000000</v>
      </c>
      <c r="I513" s="23">
        <f>+G513+H513</f>
        <v>568497096</v>
      </c>
      <c r="J513" s="23">
        <f>374081401-359392088</f>
        <v>14689313</v>
      </c>
      <c r="K513" s="23">
        <f t="shared" si="37"/>
        <v>374081401</v>
      </c>
      <c r="L513" s="14">
        <f t="shared" si="38"/>
        <v>65.80181387593227</v>
      </c>
    </row>
    <row r="514" spans="1:12" ht="12.75" hidden="1">
      <c r="A514" s="21" t="s">
        <v>19</v>
      </c>
      <c r="B514" s="21">
        <v>2</v>
      </c>
      <c r="C514" s="21">
        <v>0</v>
      </c>
      <c r="D514" s="21">
        <v>3</v>
      </c>
      <c r="E514" s="21">
        <v>0</v>
      </c>
      <c r="F514" s="21" t="s">
        <v>31</v>
      </c>
      <c r="G514" s="23">
        <v>20812611</v>
      </c>
      <c r="H514" s="23">
        <v>0</v>
      </c>
      <c r="I514" s="23">
        <f>+G514+H514</f>
        <v>20812611</v>
      </c>
      <c r="J514" s="23">
        <f>12259486-9058274</f>
        <v>3201212</v>
      </c>
      <c r="K514" s="23">
        <f t="shared" si="37"/>
        <v>12259486</v>
      </c>
      <c r="L514" s="14">
        <f t="shared" si="38"/>
        <v>58.90412308191413</v>
      </c>
    </row>
    <row r="515" spans="1:12" ht="12.75" hidden="1">
      <c r="A515" s="21" t="s">
        <v>19</v>
      </c>
      <c r="B515" s="21">
        <v>3</v>
      </c>
      <c r="C515" s="21">
        <v>0</v>
      </c>
      <c r="D515" s="21">
        <v>0</v>
      </c>
      <c r="E515" s="21">
        <v>0</v>
      </c>
      <c r="F515" s="21" t="s">
        <v>32</v>
      </c>
      <c r="G515" s="23">
        <f>SUM(G516:G519)</f>
        <v>977658163</v>
      </c>
      <c r="H515" s="23">
        <f>SUM(H516:H519)</f>
        <v>102501983</v>
      </c>
      <c r="I515" s="23">
        <f>SUM(I516:I519)</f>
        <v>1080160146</v>
      </c>
      <c r="J515" s="23">
        <f>SUM(J516:J519)</f>
        <v>59994564</v>
      </c>
      <c r="K515" s="23">
        <f t="shared" si="37"/>
        <v>454557710</v>
      </c>
      <c r="L515" s="14">
        <f t="shared" si="38"/>
        <v>42.082436727859054</v>
      </c>
    </row>
    <row r="516" spans="1:12" ht="12.75" hidden="1">
      <c r="A516" s="21" t="s">
        <v>19</v>
      </c>
      <c r="B516" s="21">
        <v>3</v>
      </c>
      <c r="C516" s="21">
        <v>2</v>
      </c>
      <c r="D516" s="21">
        <v>1</v>
      </c>
      <c r="E516" s="21">
        <v>1</v>
      </c>
      <c r="F516" s="21" t="s">
        <v>42</v>
      </c>
      <c r="G516" s="23">
        <v>18796584</v>
      </c>
      <c r="H516" s="23">
        <v>0</v>
      </c>
      <c r="I516" s="23">
        <f>+G516+H516</f>
        <v>18796584</v>
      </c>
      <c r="J516" s="23">
        <v>0</v>
      </c>
      <c r="K516" s="23">
        <f t="shared" si="37"/>
        <v>0</v>
      </c>
      <c r="L516" s="14">
        <f t="shared" si="38"/>
        <v>0</v>
      </c>
    </row>
    <row r="517" spans="1:12" ht="12.75" hidden="1">
      <c r="A517" s="21" t="s">
        <v>19</v>
      </c>
      <c r="B517" s="21">
        <v>3</v>
      </c>
      <c r="C517" s="21">
        <v>2</v>
      </c>
      <c r="D517" s="21">
        <v>1</v>
      </c>
      <c r="E517" s="21">
        <v>2</v>
      </c>
      <c r="F517" s="21" t="s">
        <v>43</v>
      </c>
      <c r="G517" s="23">
        <v>935861579</v>
      </c>
      <c r="H517" s="23">
        <v>85001983</v>
      </c>
      <c r="I517" s="23">
        <f>+G517+H517</f>
        <v>1020863562</v>
      </c>
      <c r="J517" s="23">
        <f>420258896-360264332</f>
        <v>59994564</v>
      </c>
      <c r="K517" s="23">
        <f t="shared" si="37"/>
        <v>420258896</v>
      </c>
      <c r="L517" s="14">
        <f t="shared" si="38"/>
        <v>41.16699935657024</v>
      </c>
    </row>
    <row r="518" spans="1:12" ht="12.75" hidden="1">
      <c r="A518" s="21" t="s">
        <v>19</v>
      </c>
      <c r="B518" s="21">
        <v>3</v>
      </c>
      <c r="C518" s="21">
        <v>2</v>
      </c>
      <c r="D518" s="21">
        <v>1</v>
      </c>
      <c r="E518" s="21">
        <v>3</v>
      </c>
      <c r="F518" s="21" t="s">
        <v>44</v>
      </c>
      <c r="G518" s="23">
        <v>18000000</v>
      </c>
      <c r="H518" s="23">
        <v>0</v>
      </c>
      <c r="I518" s="23">
        <f>+G518+H518</f>
        <v>18000000</v>
      </c>
      <c r="J518" s="23">
        <v>0</v>
      </c>
      <c r="K518" s="23">
        <f t="shared" si="37"/>
        <v>16819460</v>
      </c>
      <c r="L518" s="14">
        <f t="shared" si="38"/>
        <v>93.44144444444444</v>
      </c>
    </row>
    <row r="519" spans="1:12" ht="12.75" hidden="1">
      <c r="A519" s="21" t="s">
        <v>19</v>
      </c>
      <c r="B519" s="21">
        <v>3</v>
      </c>
      <c r="C519" s="21">
        <v>6</v>
      </c>
      <c r="D519" s="21">
        <v>1</v>
      </c>
      <c r="E519" s="21">
        <v>1</v>
      </c>
      <c r="F519" s="21" t="s">
        <v>45</v>
      </c>
      <c r="G519" s="23">
        <v>5000000</v>
      </c>
      <c r="H519" s="23">
        <v>17500000</v>
      </c>
      <c r="I519" s="23">
        <f>+G519+H519</f>
        <v>22500000</v>
      </c>
      <c r="J519" s="23">
        <v>0</v>
      </c>
      <c r="K519" s="23">
        <f t="shared" si="37"/>
        <v>17479354</v>
      </c>
      <c r="L519" s="14">
        <f t="shared" si="38"/>
        <v>77.68601777777778</v>
      </c>
    </row>
    <row r="520" spans="1:12" ht="12.75" hidden="1">
      <c r="A520" s="21"/>
      <c r="B520" s="21"/>
      <c r="C520" s="21"/>
      <c r="D520" s="21"/>
      <c r="E520" s="21"/>
      <c r="F520" s="21" t="s">
        <v>1</v>
      </c>
      <c r="G520" s="23" t="s">
        <v>1</v>
      </c>
      <c r="H520" s="23" t="s">
        <v>1</v>
      </c>
      <c r="I520" s="23" t="s">
        <v>1</v>
      </c>
      <c r="J520" s="23"/>
      <c r="K520" s="23" t="s">
        <v>1</v>
      </c>
      <c r="L520" s="14" t="s">
        <v>1</v>
      </c>
    </row>
    <row r="521" spans="1:12" ht="12.75" hidden="1">
      <c r="A521" s="21" t="s">
        <v>33</v>
      </c>
      <c r="B521" s="21"/>
      <c r="C521" s="21"/>
      <c r="D521" s="21" t="s">
        <v>1</v>
      </c>
      <c r="E521" s="21"/>
      <c r="F521" s="21" t="s">
        <v>34</v>
      </c>
      <c r="G521" s="25">
        <f>SUM(G523:G529)</f>
        <v>7087047925</v>
      </c>
      <c r="H521" s="25">
        <f>SUM(H523:H529)</f>
        <v>2738945956</v>
      </c>
      <c r="I521" s="25">
        <f>SUM(G521+H521)</f>
        <v>9825993881</v>
      </c>
      <c r="J521" s="25">
        <f>SUM(J523:J529)</f>
        <v>1562210601</v>
      </c>
      <c r="K521" s="23">
        <f t="shared" si="37"/>
        <v>4238357463</v>
      </c>
      <c r="L521" s="14">
        <f>+K521/I521*100</f>
        <v>43.13413497229512</v>
      </c>
    </row>
    <row r="522" spans="1:12" ht="12.75" hidden="1">
      <c r="A522" s="21"/>
      <c r="B522" s="21"/>
      <c r="C522" s="21"/>
      <c r="D522" s="21"/>
      <c r="E522" s="21"/>
      <c r="F522" s="21"/>
      <c r="G522" s="23"/>
      <c r="H522" s="23" t="s">
        <v>1</v>
      </c>
      <c r="I522" s="23" t="s">
        <v>1</v>
      </c>
      <c r="J522" s="23"/>
      <c r="K522" s="23" t="s">
        <v>1</v>
      </c>
      <c r="L522" s="14" t="s">
        <v>1</v>
      </c>
    </row>
    <row r="523" spans="1:12" ht="33.75" hidden="1">
      <c r="A523" s="26" t="s">
        <v>33</v>
      </c>
      <c r="B523" s="26">
        <v>113</v>
      </c>
      <c r="C523" s="26">
        <v>900</v>
      </c>
      <c r="D523" s="26">
        <v>1</v>
      </c>
      <c r="E523" s="26"/>
      <c r="F523" s="29" t="s">
        <v>51</v>
      </c>
      <c r="G523" s="25">
        <v>900000000</v>
      </c>
      <c r="H523" s="25">
        <f>1230345600+57000000+79200000</f>
        <v>1366545600</v>
      </c>
      <c r="I523" s="25">
        <f aca="true" t="shared" si="39" ref="I523:I529">SUM(G523+H523)</f>
        <v>2266545600</v>
      </c>
      <c r="J523" s="25">
        <f>1346269773-1053225025</f>
        <v>293044748</v>
      </c>
      <c r="K523" s="23">
        <f t="shared" si="37"/>
        <v>1346269773</v>
      </c>
      <c r="L523" s="14">
        <f aca="true" t="shared" si="40" ref="L523:L530">+K523/I523*100</f>
        <v>59.39742721258289</v>
      </c>
    </row>
    <row r="524" spans="1:12" ht="12.75" hidden="1">
      <c r="A524" s="26" t="s">
        <v>33</v>
      </c>
      <c r="B524" s="26">
        <v>113</v>
      </c>
      <c r="C524" s="26">
        <v>900</v>
      </c>
      <c r="D524" s="26">
        <v>2</v>
      </c>
      <c r="E524" s="26"/>
      <c r="F524" s="29" t="s">
        <v>52</v>
      </c>
      <c r="G524" s="25">
        <v>4759999979</v>
      </c>
      <c r="H524" s="31">
        <f>737744285+8562633</f>
        <v>746306918</v>
      </c>
      <c r="I524" s="25">
        <f t="shared" si="39"/>
        <v>5506306897</v>
      </c>
      <c r="J524" s="25">
        <f>2027838572-1066561910</f>
        <v>961276662</v>
      </c>
      <c r="K524" s="23">
        <f t="shared" si="37"/>
        <v>2027838572</v>
      </c>
      <c r="L524" s="14">
        <f t="shared" si="40"/>
        <v>36.8275617384281</v>
      </c>
    </row>
    <row r="525" spans="1:12" ht="33.75" hidden="1">
      <c r="A525" s="26" t="s">
        <v>33</v>
      </c>
      <c r="B525" s="26">
        <v>113</v>
      </c>
      <c r="C525" s="26">
        <v>900</v>
      </c>
      <c r="D525" s="26">
        <v>3</v>
      </c>
      <c r="E525" s="26"/>
      <c r="F525" s="29" t="s">
        <v>53</v>
      </c>
      <c r="G525" s="25">
        <v>314978597</v>
      </c>
      <c r="H525" s="31">
        <v>78792000</v>
      </c>
      <c r="I525" s="25">
        <f t="shared" si="39"/>
        <v>393770597</v>
      </c>
      <c r="J525" s="25">
        <f>348399097-181657401</f>
        <v>166741696</v>
      </c>
      <c r="K525" s="23">
        <f t="shared" si="37"/>
        <v>348399097</v>
      </c>
      <c r="L525" s="14">
        <f t="shared" si="40"/>
        <v>88.47768209569999</v>
      </c>
    </row>
    <row r="526" spans="1:12" ht="12.75" hidden="1">
      <c r="A526" s="26" t="s">
        <v>33</v>
      </c>
      <c r="B526" s="26">
        <v>310</v>
      </c>
      <c r="C526" s="26">
        <v>900</v>
      </c>
      <c r="D526" s="26">
        <v>4</v>
      </c>
      <c r="E526" s="26"/>
      <c r="F526" s="28" t="s">
        <v>54</v>
      </c>
      <c r="G526" s="25">
        <v>100000000</v>
      </c>
      <c r="H526" s="25">
        <v>260000000</v>
      </c>
      <c r="I526" s="25">
        <f t="shared" si="39"/>
        <v>360000000</v>
      </c>
      <c r="J526" s="25">
        <f>64197908-45191803</f>
        <v>19006105</v>
      </c>
      <c r="K526" s="23">
        <f t="shared" si="37"/>
        <v>64197908</v>
      </c>
      <c r="L526" s="14">
        <f t="shared" si="40"/>
        <v>17.832752222222222</v>
      </c>
    </row>
    <row r="527" spans="1:12" ht="12.75" hidden="1">
      <c r="A527" s="26" t="s">
        <v>33</v>
      </c>
      <c r="B527" s="26">
        <v>310</v>
      </c>
      <c r="C527" s="26">
        <v>900</v>
      </c>
      <c r="D527" s="26">
        <v>5</v>
      </c>
      <c r="E527" s="26"/>
      <c r="F527" s="28" t="s">
        <v>55</v>
      </c>
      <c r="G527" s="25">
        <v>712069349</v>
      </c>
      <c r="H527" s="31">
        <v>0</v>
      </c>
      <c r="I527" s="25">
        <f t="shared" si="39"/>
        <v>712069349</v>
      </c>
      <c r="J527" s="25">
        <f>293599761-242121376</f>
        <v>51478385</v>
      </c>
      <c r="K527" s="23">
        <f t="shared" si="37"/>
        <v>293599761</v>
      </c>
      <c r="L527" s="14">
        <f t="shared" si="40"/>
        <v>41.23190548958736</v>
      </c>
    </row>
    <row r="528" spans="1:12" ht="22.5" hidden="1">
      <c r="A528" s="26" t="s">
        <v>33</v>
      </c>
      <c r="B528" s="26">
        <v>310</v>
      </c>
      <c r="C528" s="26">
        <v>900</v>
      </c>
      <c r="D528" s="26">
        <v>6</v>
      </c>
      <c r="E528" s="26"/>
      <c r="F528" s="28" t="s">
        <v>56</v>
      </c>
      <c r="G528" s="25">
        <v>100000000</v>
      </c>
      <c r="H528" s="25">
        <v>60040000</v>
      </c>
      <c r="I528" s="25">
        <f t="shared" si="39"/>
        <v>160040000</v>
      </c>
      <c r="J528" s="25">
        <f>39149013-26698571</f>
        <v>12450442</v>
      </c>
      <c r="K528" s="23">
        <f t="shared" si="37"/>
        <v>39149013</v>
      </c>
      <c r="L528" s="14">
        <f t="shared" si="40"/>
        <v>24.46201762059485</v>
      </c>
    </row>
    <row r="529" spans="1:12" ht="22.5" hidden="1">
      <c r="A529" s="26" t="s">
        <v>33</v>
      </c>
      <c r="B529" s="26">
        <v>520</v>
      </c>
      <c r="C529" s="26">
        <v>900</v>
      </c>
      <c r="D529" s="26">
        <v>7</v>
      </c>
      <c r="E529" s="26"/>
      <c r="F529" s="30" t="s">
        <v>57</v>
      </c>
      <c r="G529" s="25">
        <v>200000000</v>
      </c>
      <c r="H529" s="25">
        <v>227261438</v>
      </c>
      <c r="I529" s="25">
        <f t="shared" si="39"/>
        <v>427261438</v>
      </c>
      <c r="J529" s="25">
        <f>118903339-60690776</f>
        <v>58212563</v>
      </c>
      <c r="K529" s="23">
        <f t="shared" si="37"/>
        <v>118903339</v>
      </c>
      <c r="L529" s="14">
        <f t="shared" si="40"/>
        <v>27.82917633676082</v>
      </c>
    </row>
    <row r="530" spans="1:12" ht="12.75" hidden="1">
      <c r="A530" s="13" t="s">
        <v>33</v>
      </c>
      <c r="B530" s="13"/>
      <c r="C530" s="13"/>
      <c r="D530" s="13"/>
      <c r="E530" s="13"/>
      <c r="F530" s="27" t="s">
        <v>35</v>
      </c>
      <c r="G530" s="16">
        <f>+G521+G501</f>
        <v>10077156120</v>
      </c>
      <c r="H530" s="16">
        <f>+H521+H501</f>
        <v>2889947939</v>
      </c>
      <c r="I530" s="16">
        <f>+I521+I501</f>
        <v>12967104059</v>
      </c>
      <c r="J530" s="16">
        <f>+J521+J501</f>
        <v>1667584910</v>
      </c>
      <c r="K530" s="23">
        <f t="shared" si="37"/>
        <v>5386152459</v>
      </c>
      <c r="L530" s="14">
        <f t="shared" si="40"/>
        <v>41.53704971050699</v>
      </c>
    </row>
    <row r="531" ht="12.75" hidden="1">
      <c r="K531" s="3" t="s">
        <v>1</v>
      </c>
    </row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7" spans="3:7" ht="12.75">
      <c r="C577" s="2" t="s">
        <v>1</v>
      </c>
      <c r="D577" s="1" t="s">
        <v>1</v>
      </c>
      <c r="E577" s="1" t="s">
        <v>1</v>
      </c>
      <c r="F577" s="1" t="s">
        <v>0</v>
      </c>
      <c r="G577" s="1"/>
    </row>
    <row r="578" spans="1:11" ht="12.75">
      <c r="A578" s="5"/>
      <c r="B578" s="5"/>
      <c r="C578" s="6" t="s">
        <v>1</v>
      </c>
      <c r="D578" s="7" t="s">
        <v>1</v>
      </c>
      <c r="E578" s="7" t="s">
        <v>1</v>
      </c>
      <c r="F578" s="7" t="s">
        <v>48</v>
      </c>
      <c r="G578" s="7"/>
      <c r="H578" s="7"/>
      <c r="I578" s="5"/>
      <c r="J578" s="5"/>
      <c r="K578" s="5"/>
    </row>
    <row r="579" spans="1:11" ht="12.75">
      <c r="A579" s="8"/>
      <c r="B579" s="8"/>
      <c r="C579" s="8"/>
      <c r="D579" s="8"/>
      <c r="E579" s="8"/>
      <c r="F579" s="9" t="s">
        <v>49</v>
      </c>
      <c r="G579" s="9"/>
      <c r="H579" s="9"/>
      <c r="I579" s="8"/>
      <c r="J579" s="18"/>
      <c r="K579" s="10" t="s">
        <v>75</v>
      </c>
    </row>
    <row r="580" spans="6:9" ht="12.75">
      <c r="F580" s="1"/>
      <c r="I580" t="s">
        <v>1</v>
      </c>
    </row>
    <row r="581" spans="1:12" ht="12.75">
      <c r="A581" s="11" t="s">
        <v>7</v>
      </c>
      <c r="B581" s="11" t="s">
        <v>8</v>
      </c>
      <c r="C581" s="12" t="s">
        <v>9</v>
      </c>
      <c r="D581" s="12" t="s">
        <v>10</v>
      </c>
      <c r="E581" s="12" t="s">
        <v>11</v>
      </c>
      <c r="F581" s="13"/>
      <c r="G581" s="13"/>
      <c r="H581" s="12" t="s">
        <v>1</v>
      </c>
      <c r="I581" s="13"/>
      <c r="J581" s="13"/>
      <c r="K581" s="11" t="s">
        <v>1</v>
      </c>
      <c r="L581" s="13"/>
    </row>
    <row r="582" spans="1:12" ht="12.75">
      <c r="A582" s="12"/>
      <c r="B582" s="11" t="s">
        <v>12</v>
      </c>
      <c r="C582" s="12"/>
      <c r="D582" s="12" t="s">
        <v>13</v>
      </c>
      <c r="E582" s="12"/>
      <c r="F582" s="13"/>
      <c r="G582" s="11" t="s">
        <v>3</v>
      </c>
      <c r="H582" s="11" t="s">
        <v>2</v>
      </c>
      <c r="I582" s="11" t="s">
        <v>3</v>
      </c>
      <c r="J582" s="11" t="s">
        <v>58</v>
      </c>
      <c r="K582" s="11" t="s">
        <v>73</v>
      </c>
      <c r="L582" s="32" t="s">
        <v>60</v>
      </c>
    </row>
    <row r="583" spans="1:12" ht="12.75">
      <c r="A583" s="12"/>
      <c r="B583" s="12"/>
      <c r="C583" s="12"/>
      <c r="D583" s="12" t="s">
        <v>14</v>
      </c>
      <c r="E583" s="12"/>
      <c r="F583" s="11" t="s">
        <v>15</v>
      </c>
      <c r="G583" s="11" t="s">
        <v>4</v>
      </c>
      <c r="H583" s="11" t="s">
        <v>16</v>
      </c>
      <c r="I583" s="11" t="s">
        <v>5</v>
      </c>
      <c r="J583" s="11" t="s">
        <v>72</v>
      </c>
      <c r="K583" s="11" t="s">
        <v>59</v>
      </c>
      <c r="L583" s="33" t="s">
        <v>61</v>
      </c>
    </row>
    <row r="584" spans="1:12" ht="12.75">
      <c r="A584" s="12"/>
      <c r="B584" s="12"/>
      <c r="C584" s="12"/>
      <c r="D584" s="12" t="s">
        <v>17</v>
      </c>
      <c r="E584" s="12"/>
      <c r="F584" s="13"/>
      <c r="G584" s="11">
        <v>1</v>
      </c>
      <c r="H584" s="11">
        <v>2</v>
      </c>
      <c r="I584" s="11" t="s">
        <v>18</v>
      </c>
      <c r="J584" s="11"/>
      <c r="K584" s="11"/>
      <c r="L584" s="13"/>
    </row>
    <row r="585" spans="1:12" ht="12.75">
      <c r="A585" s="13"/>
      <c r="B585" s="13"/>
      <c r="C585" s="13"/>
      <c r="D585" s="13"/>
      <c r="E585" s="13"/>
      <c r="F585" s="13"/>
      <c r="G585" s="14" t="s">
        <v>1</v>
      </c>
      <c r="H585" s="14"/>
      <c r="I585" s="14" t="s">
        <v>1</v>
      </c>
      <c r="J585" s="14"/>
      <c r="K585" s="14"/>
      <c r="L585" s="13"/>
    </row>
    <row r="586" spans="1:13" ht="12.75">
      <c r="A586" s="13" t="s">
        <v>19</v>
      </c>
      <c r="B586" s="13"/>
      <c r="C586" s="13"/>
      <c r="D586" s="13"/>
      <c r="E586" s="13"/>
      <c r="F586" s="15" t="s">
        <v>20</v>
      </c>
      <c r="G586" s="16">
        <f>SUM(G587+G595+G598)</f>
        <v>1291922856</v>
      </c>
      <c r="H586" s="16">
        <f>SUM(H587+H595+H597+H598)</f>
        <v>150549000</v>
      </c>
      <c r="I586" s="16">
        <f>+G586+H586</f>
        <v>1442471856</v>
      </c>
      <c r="J586" s="16">
        <f>SUM(J587+J595+J598)</f>
        <v>139821009</v>
      </c>
      <c r="K586" s="16">
        <f>+K452+J586</f>
        <v>1281589233</v>
      </c>
      <c r="L586" s="14">
        <f>+K586/I586*100</f>
        <v>88.84674093773098</v>
      </c>
      <c r="M586" s="3">
        <f>+I586-K586</f>
        <v>160882623</v>
      </c>
    </row>
    <row r="587" spans="1:13" ht="12.75">
      <c r="A587" s="13" t="s">
        <v>19</v>
      </c>
      <c r="B587" s="13">
        <v>1</v>
      </c>
      <c r="C587" s="13">
        <v>1</v>
      </c>
      <c r="D587" s="13">
        <v>0</v>
      </c>
      <c r="E587" s="13">
        <v>0</v>
      </c>
      <c r="F587" s="15" t="s">
        <v>21</v>
      </c>
      <c r="G587" s="16">
        <f>+G588+G593+G594</f>
        <v>1259060399</v>
      </c>
      <c r="H587" s="16">
        <f>+H588+H593+H594</f>
        <v>134897000</v>
      </c>
      <c r="I587" s="16">
        <f>+I588+I593+I594</f>
        <v>1393957399</v>
      </c>
      <c r="J587" s="16">
        <f>+J588+J593+J594</f>
        <v>139821009</v>
      </c>
      <c r="K587" s="16">
        <f>+K453+J587</f>
        <v>1257488132</v>
      </c>
      <c r="L587" s="14">
        <f aca="true" t="shared" si="41" ref="L587:L600">+K587/I587*100</f>
        <v>90.20993990936161</v>
      </c>
      <c r="M587" s="3">
        <f aca="true" t="shared" si="42" ref="M587:M606">+I587-K587</f>
        <v>136469267</v>
      </c>
    </row>
    <row r="588" spans="1:13" ht="12.75">
      <c r="A588" s="13" t="s">
        <v>19</v>
      </c>
      <c r="B588" s="13">
        <v>1</v>
      </c>
      <c r="C588" s="13">
        <v>1</v>
      </c>
      <c r="D588" s="13">
        <v>1</v>
      </c>
      <c r="E588" s="13">
        <v>0</v>
      </c>
      <c r="F588" s="13" t="s">
        <v>22</v>
      </c>
      <c r="G588" s="14">
        <f>SUM(G589:G592)</f>
        <v>998428465</v>
      </c>
      <c r="H588" s="14">
        <f>SUM(H589:H592)</f>
        <v>134897000</v>
      </c>
      <c r="I588" s="14">
        <f>+G588+H588</f>
        <v>1133325465</v>
      </c>
      <c r="J588" s="14">
        <f>SUM(J589:J592)</f>
        <v>114871880</v>
      </c>
      <c r="K588" s="16">
        <f>+K454+J588</f>
        <v>1055672310</v>
      </c>
      <c r="L588" s="14">
        <f t="shared" si="41"/>
        <v>93.14820345980667</v>
      </c>
      <c r="M588" s="3">
        <f t="shared" si="42"/>
        <v>77653155</v>
      </c>
    </row>
    <row r="589" spans="1:13" ht="12.75">
      <c r="A589" s="13" t="s">
        <v>19</v>
      </c>
      <c r="B589" s="13">
        <v>1</v>
      </c>
      <c r="C589" s="13">
        <v>1</v>
      </c>
      <c r="D589" s="13">
        <v>1</v>
      </c>
      <c r="E589" s="13">
        <v>1</v>
      </c>
      <c r="F589" s="13" t="s">
        <v>23</v>
      </c>
      <c r="G589" s="14">
        <v>726033173</v>
      </c>
      <c r="H589" s="14">
        <v>134897000</v>
      </c>
      <c r="I589" s="14">
        <f>+G589+H589</f>
        <v>860930173</v>
      </c>
      <c r="J589" s="14">
        <v>103995372</v>
      </c>
      <c r="K589" s="16">
        <f>+I589</f>
        <v>860930173</v>
      </c>
      <c r="L589" s="14">
        <f t="shared" si="41"/>
        <v>100</v>
      </c>
      <c r="M589" s="3">
        <f t="shared" si="42"/>
        <v>0</v>
      </c>
    </row>
    <row r="590" spans="1:13" ht="12.75">
      <c r="A590" s="13" t="s">
        <v>19</v>
      </c>
      <c r="B590" s="13">
        <v>1</v>
      </c>
      <c r="C590" s="13">
        <v>1</v>
      </c>
      <c r="D590" s="13">
        <v>9</v>
      </c>
      <c r="E590" s="13">
        <v>1</v>
      </c>
      <c r="F590" s="13" t="s">
        <v>24</v>
      </c>
      <c r="G590" s="14">
        <v>1109073</v>
      </c>
      <c r="H590" s="14">
        <v>0</v>
      </c>
      <c r="I590" s="14">
        <f aca="true" t="shared" si="43" ref="I590:I595">+G590+H590</f>
        <v>1109073</v>
      </c>
      <c r="J590" s="14"/>
      <c r="K590" s="16">
        <f>+K456+J590</f>
        <v>0</v>
      </c>
      <c r="L590" s="14">
        <f t="shared" si="41"/>
        <v>0</v>
      </c>
      <c r="M590" s="3">
        <f t="shared" si="42"/>
        <v>1109073</v>
      </c>
    </row>
    <row r="591" spans="1:13" ht="12.75">
      <c r="A591" s="13" t="s">
        <v>19</v>
      </c>
      <c r="B591" s="13">
        <v>1</v>
      </c>
      <c r="C591" s="13">
        <v>1</v>
      </c>
      <c r="D591" s="13">
        <v>4</v>
      </c>
      <c r="E591" s="13">
        <v>2</v>
      </c>
      <c r="F591" s="13" t="s">
        <v>25</v>
      </c>
      <c r="G591" s="14">
        <v>96499234</v>
      </c>
      <c r="H591" s="14">
        <f>0</f>
        <v>0</v>
      </c>
      <c r="I591" s="14">
        <f t="shared" si="43"/>
        <v>96499234</v>
      </c>
      <c r="J591" s="14">
        <v>10876508</v>
      </c>
      <c r="K591" s="16">
        <f>+I591</f>
        <v>96499234</v>
      </c>
      <c r="L591" s="14">
        <f t="shared" si="41"/>
        <v>100</v>
      </c>
      <c r="M591" s="3">
        <f t="shared" si="42"/>
        <v>0</v>
      </c>
    </row>
    <row r="592" spans="1:13" ht="12.75">
      <c r="A592" s="13" t="s">
        <v>19</v>
      </c>
      <c r="B592" s="13">
        <v>1</v>
      </c>
      <c r="C592" s="13">
        <v>1</v>
      </c>
      <c r="D592" s="13">
        <v>5</v>
      </c>
      <c r="E592" s="13">
        <v>0</v>
      </c>
      <c r="F592" s="13" t="s">
        <v>26</v>
      </c>
      <c r="G592" s="14">
        <v>174786985</v>
      </c>
      <c r="H592" s="14">
        <f>0</f>
        <v>0</v>
      </c>
      <c r="I592" s="14">
        <f t="shared" si="43"/>
        <v>174786985</v>
      </c>
      <c r="J592" s="14">
        <v>0</v>
      </c>
      <c r="K592" s="16">
        <f>10000000+50000000+15225608+5518649+1589789</f>
        <v>82334046</v>
      </c>
      <c r="L592" s="14">
        <f t="shared" si="41"/>
        <v>47.10536428098465</v>
      </c>
      <c r="M592" s="3">
        <f t="shared" si="42"/>
        <v>92452939</v>
      </c>
    </row>
    <row r="593" spans="1:13" ht="12.75">
      <c r="A593" s="13" t="s">
        <v>19</v>
      </c>
      <c r="B593" s="13">
        <v>1</v>
      </c>
      <c r="C593" s="13">
        <v>5</v>
      </c>
      <c r="D593" s="13">
        <v>0</v>
      </c>
      <c r="E593" s="13">
        <v>1</v>
      </c>
      <c r="F593" s="13" t="s">
        <v>27</v>
      </c>
      <c r="G593" s="14">
        <v>56827811</v>
      </c>
      <c r="H593" s="14">
        <v>0</v>
      </c>
      <c r="I593" s="14">
        <f t="shared" si="43"/>
        <v>56827811</v>
      </c>
      <c r="J593" s="14">
        <v>0</v>
      </c>
      <c r="K593" s="16">
        <f>+I593</f>
        <v>56827811</v>
      </c>
      <c r="L593" s="14">
        <f t="shared" si="41"/>
        <v>100</v>
      </c>
      <c r="M593" s="3">
        <f t="shared" si="42"/>
        <v>0</v>
      </c>
    </row>
    <row r="594" spans="1:13" ht="12.75">
      <c r="A594" s="13" t="s">
        <v>19</v>
      </c>
      <c r="B594" s="13">
        <v>1</v>
      </c>
      <c r="C594" s="13">
        <v>5</v>
      </c>
      <c r="D594" s="13">
        <v>0</v>
      </c>
      <c r="E594" s="13">
        <v>2</v>
      </c>
      <c r="F594" s="13" t="s">
        <v>28</v>
      </c>
      <c r="G594" s="14">
        <f>163804123+40000000</f>
        <v>203804123</v>
      </c>
      <c r="H594" s="14">
        <f>0</f>
        <v>0</v>
      </c>
      <c r="I594" s="14">
        <f t="shared" si="43"/>
        <v>203804123</v>
      </c>
      <c r="J594" s="14">
        <f>8485219+13207710+3256200</f>
        <v>24949129</v>
      </c>
      <c r="K594" s="16">
        <f>142131257+20000000+19657335</f>
        <v>181788592</v>
      </c>
      <c r="L594" s="14">
        <f t="shared" si="41"/>
        <v>89.19770087281306</v>
      </c>
      <c r="M594" s="3">
        <f t="shared" si="42"/>
        <v>22015531</v>
      </c>
    </row>
    <row r="595" spans="1:13" ht="12.75">
      <c r="A595" s="13" t="s">
        <v>19</v>
      </c>
      <c r="B595" s="13">
        <v>2</v>
      </c>
      <c r="C595" s="13">
        <v>0</v>
      </c>
      <c r="D595" s="13">
        <v>0</v>
      </c>
      <c r="E595" s="13">
        <v>0</v>
      </c>
      <c r="F595" s="15" t="s">
        <v>29</v>
      </c>
      <c r="G595" s="16">
        <f>SUM(G596:G597)</f>
        <v>24698480</v>
      </c>
      <c r="H595" s="16">
        <f>SUM(H596:H597)</f>
        <v>15652000</v>
      </c>
      <c r="I595" s="16">
        <f t="shared" si="43"/>
        <v>40350480</v>
      </c>
      <c r="J595" s="16">
        <f>SUM(J596:J597)</f>
        <v>0</v>
      </c>
      <c r="K595" s="16">
        <f>+K461+J595</f>
        <v>23511091</v>
      </c>
      <c r="L595" s="14">
        <f t="shared" si="41"/>
        <v>58.26719037790876</v>
      </c>
      <c r="M595" s="3">
        <f t="shared" si="42"/>
        <v>16839389</v>
      </c>
    </row>
    <row r="596" spans="1:13" ht="12.75">
      <c r="A596" s="13" t="s">
        <v>19</v>
      </c>
      <c r="B596" s="13">
        <v>2</v>
      </c>
      <c r="C596" s="13">
        <v>0</v>
      </c>
      <c r="D596" s="13">
        <v>4</v>
      </c>
      <c r="E596" s="13">
        <v>0</v>
      </c>
      <c r="F596" s="13" t="s">
        <v>30</v>
      </c>
      <c r="G596" s="14">
        <v>23511091</v>
      </c>
      <c r="H596" s="14">
        <v>15652000</v>
      </c>
      <c r="I596" s="14">
        <f>+G596+H596</f>
        <v>39163091</v>
      </c>
      <c r="J596" s="16">
        <v>0</v>
      </c>
      <c r="K596" s="16">
        <f>23511091+J596</f>
        <v>23511091</v>
      </c>
      <c r="L596" s="14">
        <f t="shared" si="41"/>
        <v>60.0337981493851</v>
      </c>
      <c r="M596" s="3">
        <f t="shared" si="42"/>
        <v>15652000</v>
      </c>
    </row>
    <row r="597" spans="1:13" ht="12.75">
      <c r="A597" s="13" t="s">
        <v>19</v>
      </c>
      <c r="B597" s="13">
        <v>2</v>
      </c>
      <c r="C597" s="13">
        <v>0</v>
      </c>
      <c r="D597" s="13">
        <v>3</v>
      </c>
      <c r="E597" s="13">
        <v>50</v>
      </c>
      <c r="F597" s="13" t="s">
        <v>31</v>
      </c>
      <c r="G597" s="14">
        <v>1187389</v>
      </c>
      <c r="H597" s="14">
        <v>0</v>
      </c>
      <c r="I597" s="14">
        <f>+G597+H597</f>
        <v>1187389</v>
      </c>
      <c r="J597" s="14">
        <v>0</v>
      </c>
      <c r="K597" s="16">
        <f>1187389+J597</f>
        <v>1187389</v>
      </c>
      <c r="L597" s="14">
        <f t="shared" si="41"/>
        <v>100</v>
      </c>
      <c r="M597" s="3">
        <f t="shared" si="42"/>
        <v>0</v>
      </c>
    </row>
    <row r="598" spans="1:13" ht="12.75">
      <c r="A598" s="13" t="s">
        <v>19</v>
      </c>
      <c r="B598" s="13">
        <v>3</v>
      </c>
      <c r="C598" s="13">
        <v>2</v>
      </c>
      <c r="D598" s="13">
        <v>1</v>
      </c>
      <c r="E598" s="13">
        <v>1</v>
      </c>
      <c r="F598" s="13" t="s">
        <v>32</v>
      </c>
      <c r="G598" s="14">
        <v>8163977</v>
      </c>
      <c r="H598" s="14">
        <v>0</v>
      </c>
      <c r="I598" s="14">
        <f>+G598+H598</f>
        <v>8163977</v>
      </c>
      <c r="J598" s="14">
        <v>0</v>
      </c>
      <c r="K598" s="16">
        <f>+K464+J598</f>
        <v>0</v>
      </c>
      <c r="L598" s="14">
        <f t="shared" si="41"/>
        <v>0</v>
      </c>
      <c r="M598" s="3">
        <f t="shared" si="42"/>
        <v>8163977</v>
      </c>
    </row>
    <row r="599" spans="1:13" ht="12.75">
      <c r="A599" s="13"/>
      <c r="B599" s="13"/>
      <c r="C599" s="13"/>
      <c r="D599" s="13"/>
      <c r="E599" s="13"/>
      <c r="F599" s="13"/>
      <c r="G599" s="14"/>
      <c r="H599" s="14"/>
      <c r="I599" s="14"/>
      <c r="J599" s="14"/>
      <c r="K599" s="16">
        <f>+K465+J599</f>
        <v>0</v>
      </c>
      <c r="L599" s="14" t="s">
        <v>1</v>
      </c>
      <c r="M599" s="3">
        <f t="shared" si="42"/>
        <v>0</v>
      </c>
    </row>
    <row r="600" spans="1:13" ht="12.75">
      <c r="A600" s="13" t="s">
        <v>33</v>
      </c>
      <c r="B600" s="13"/>
      <c r="C600" s="13"/>
      <c r="D600" s="13"/>
      <c r="E600" s="13"/>
      <c r="F600" s="15" t="s">
        <v>34</v>
      </c>
      <c r="G600" s="16">
        <f>+G602+G603</f>
        <v>0</v>
      </c>
      <c r="H600" s="16">
        <f>+H602+H603</f>
        <v>1155800000</v>
      </c>
      <c r="I600" s="16">
        <f>+G600+H600</f>
        <v>1155800000</v>
      </c>
      <c r="J600" s="16">
        <f>SUM(J602:J605)</f>
        <v>35280000</v>
      </c>
      <c r="K600" s="16">
        <f>+K602+K603</f>
        <v>959427471</v>
      </c>
      <c r="L600" s="14">
        <f t="shared" si="41"/>
        <v>83.00981752898426</v>
      </c>
      <c r="M600" s="3">
        <f t="shared" si="42"/>
        <v>196372529</v>
      </c>
    </row>
    <row r="601" spans="1:13" ht="12.75">
      <c r="A601" s="13"/>
      <c r="B601" s="13"/>
      <c r="C601" s="13"/>
      <c r="D601" s="13"/>
      <c r="E601" s="13"/>
      <c r="F601" s="13"/>
      <c r="G601" s="14"/>
      <c r="H601" s="14"/>
      <c r="I601" s="14"/>
      <c r="J601" s="14"/>
      <c r="K601" s="16">
        <f>+K467+J601</f>
        <v>0</v>
      </c>
      <c r="L601" s="14" t="s">
        <v>1</v>
      </c>
      <c r="M601" s="3">
        <f t="shared" si="42"/>
        <v>0</v>
      </c>
    </row>
    <row r="602" spans="1:13" ht="25.5">
      <c r="A602" s="13" t="s">
        <v>33</v>
      </c>
      <c r="B602" s="13">
        <v>630</v>
      </c>
      <c r="C602" s="13">
        <v>900</v>
      </c>
      <c r="D602" s="13">
        <v>1</v>
      </c>
      <c r="E602" s="13">
        <v>81</v>
      </c>
      <c r="F602" s="17" t="s">
        <v>68</v>
      </c>
      <c r="G602" s="14">
        <v>0</v>
      </c>
      <c r="H602" s="14">
        <v>150200000</v>
      </c>
      <c r="I602" s="14">
        <f>+G602+H602</f>
        <v>150200000</v>
      </c>
      <c r="J602" s="14">
        <v>0</v>
      </c>
      <c r="K602" s="16">
        <v>150199060</v>
      </c>
      <c r="L602" s="14">
        <f>+K602/I602*100</f>
        <v>99.9993741677763</v>
      </c>
      <c r="M602" s="3">
        <f t="shared" si="42"/>
        <v>940</v>
      </c>
    </row>
    <row r="603" spans="1:13" ht="25.5">
      <c r="A603" s="13" t="s">
        <v>33</v>
      </c>
      <c r="B603" s="13">
        <v>630</v>
      </c>
      <c r="C603" s="13">
        <v>900</v>
      </c>
      <c r="D603" s="13">
        <v>1</v>
      </c>
      <c r="E603" s="13">
        <v>82</v>
      </c>
      <c r="F603" s="17" t="s">
        <v>69</v>
      </c>
      <c r="G603" s="14">
        <v>0</v>
      </c>
      <c r="H603" s="14">
        <v>1005600000</v>
      </c>
      <c r="I603" s="14">
        <f>+G603+H603</f>
        <v>1005600000</v>
      </c>
      <c r="J603" s="14">
        <f>18000000+5760000+5760000+5760000</f>
        <v>35280000</v>
      </c>
      <c r="K603" s="16">
        <v>809228411</v>
      </c>
      <c r="L603" s="14">
        <f>+K603/I603*100</f>
        <v>80.47219679793159</v>
      </c>
      <c r="M603" s="3">
        <f t="shared" si="42"/>
        <v>196371589</v>
      </c>
    </row>
    <row r="604" spans="1:13" ht="12.75">
      <c r="A604" s="13"/>
      <c r="B604" s="13"/>
      <c r="C604" s="13"/>
      <c r="D604" s="13"/>
      <c r="E604" s="13"/>
      <c r="F604" s="13"/>
      <c r="G604" s="14"/>
      <c r="H604" s="14"/>
      <c r="I604" s="14"/>
      <c r="J604" s="14"/>
      <c r="K604" s="16" t="s">
        <v>1</v>
      </c>
      <c r="L604" s="14"/>
      <c r="M604" s="3" t="s">
        <v>1</v>
      </c>
    </row>
    <row r="605" spans="1:13" ht="12.75">
      <c r="A605" s="13" t="s">
        <v>1</v>
      </c>
      <c r="B605" s="13" t="s">
        <v>1</v>
      </c>
      <c r="C605" s="13" t="s">
        <v>1</v>
      </c>
      <c r="D605" s="13" t="s">
        <v>1</v>
      </c>
      <c r="E605" s="13" t="s">
        <v>1</v>
      </c>
      <c r="F605" s="17" t="s">
        <v>1</v>
      </c>
      <c r="G605" s="14">
        <v>0</v>
      </c>
      <c r="H605" s="14">
        <v>0</v>
      </c>
      <c r="I605" s="14">
        <f>+G605+H605</f>
        <v>0</v>
      </c>
      <c r="J605" s="14"/>
      <c r="K605" s="16" t="s">
        <v>1</v>
      </c>
      <c r="L605" s="14">
        <v>0</v>
      </c>
      <c r="M605" s="3" t="s">
        <v>1</v>
      </c>
    </row>
    <row r="606" spans="1:13" ht="12.75">
      <c r="A606" s="13"/>
      <c r="B606" s="13"/>
      <c r="C606" s="13"/>
      <c r="D606" s="13"/>
      <c r="E606" s="13"/>
      <c r="F606" s="15" t="s">
        <v>35</v>
      </c>
      <c r="G606" s="16">
        <f>+G586+G600</f>
        <v>1291922856</v>
      </c>
      <c r="H606" s="16">
        <f>+H586+H600</f>
        <v>1306349000</v>
      </c>
      <c r="I606" s="16">
        <f>+I586+I600</f>
        <v>2598271856</v>
      </c>
      <c r="J606" s="16">
        <f>+J600+J586</f>
        <v>175101009</v>
      </c>
      <c r="K606" s="16">
        <f>+K586+K600</f>
        <v>2241016704</v>
      </c>
      <c r="L606" s="14">
        <f>+K606/I606*100</f>
        <v>86.2502781925988</v>
      </c>
      <c r="M606" s="3">
        <f t="shared" si="42"/>
        <v>357255152</v>
      </c>
    </row>
    <row r="607" spans="2:11" ht="12.75">
      <c r="B607" s="18"/>
      <c r="C607" s="18"/>
      <c r="D607" s="18"/>
      <c r="E607" s="18"/>
      <c r="F607" s="18"/>
      <c r="G607" s="19" t="s">
        <v>1</v>
      </c>
      <c r="H607" s="18"/>
      <c r="I607" s="19" t="s">
        <v>1</v>
      </c>
      <c r="J607" s="19"/>
      <c r="K607" s="19" t="s">
        <v>1</v>
      </c>
    </row>
    <row r="608" spans="7:10" ht="12.75">
      <c r="G608" s="3" t="s">
        <v>1</v>
      </c>
      <c r="I608" s="3" t="s">
        <v>1</v>
      </c>
      <c r="J608" s="3"/>
    </row>
    <row r="611" spans="6:11" ht="12.75">
      <c r="F611" s="4" t="s">
        <v>6</v>
      </c>
      <c r="G611" s="4"/>
      <c r="H611" s="4" t="s">
        <v>46</v>
      </c>
      <c r="I611" s="4"/>
      <c r="J611" s="4"/>
      <c r="K611" s="35" t="s">
        <v>37</v>
      </c>
    </row>
    <row r="612" spans="6:11" ht="12.75">
      <c r="F612" s="4" t="s">
        <v>36</v>
      </c>
      <c r="G612" s="4"/>
      <c r="H612" s="4" t="s">
        <v>47</v>
      </c>
      <c r="I612" s="4"/>
      <c r="J612" s="4"/>
      <c r="K612" s="35" t="s">
        <v>1</v>
      </c>
    </row>
    <row r="613" ht="12.75">
      <c r="K613" s="3" t="s">
        <v>1</v>
      </c>
    </row>
    <row r="614" spans="1:11" ht="12.75">
      <c r="A614" t="s">
        <v>1</v>
      </c>
      <c r="F614" s="1" t="s">
        <v>1</v>
      </c>
      <c r="G614" s="1"/>
      <c r="I614" s="3" t="s">
        <v>1</v>
      </c>
      <c r="J614" s="3"/>
      <c r="K614" s="3" t="s">
        <v>1</v>
      </c>
    </row>
    <row r="615" spans="1:11" ht="12.75">
      <c r="A615" t="s">
        <v>1</v>
      </c>
      <c r="E615" s="1" t="s">
        <v>1</v>
      </c>
      <c r="F615" s="1" t="s">
        <v>1</v>
      </c>
      <c r="G615" s="1"/>
      <c r="I615" t="s">
        <v>1</v>
      </c>
      <c r="K615" s="3" t="s">
        <v>1</v>
      </c>
    </row>
    <row r="616" spans="3:11" ht="12.75">
      <c r="C616" s="2" t="s">
        <v>1</v>
      </c>
      <c r="D616" s="1" t="s">
        <v>1</v>
      </c>
      <c r="E616" s="1" t="s">
        <v>1</v>
      </c>
      <c r="F616" s="1" t="s">
        <v>0</v>
      </c>
      <c r="G616" s="1"/>
      <c r="I616" t="s">
        <v>1</v>
      </c>
      <c r="K616" s="3" t="s">
        <v>1</v>
      </c>
    </row>
    <row r="617" spans="1:11" ht="12.75">
      <c r="A617" s="5"/>
      <c r="B617" s="5"/>
      <c r="C617" s="6" t="s">
        <v>1</v>
      </c>
      <c r="D617" s="7" t="s">
        <v>1</v>
      </c>
      <c r="E617" s="7" t="s">
        <v>1</v>
      </c>
      <c r="F617" s="7" t="s">
        <v>48</v>
      </c>
      <c r="G617" s="7"/>
      <c r="H617" s="7"/>
      <c r="I617" s="5"/>
      <c r="J617" s="5"/>
      <c r="K617" s="36" t="str">
        <f>+K579</f>
        <v>VIGENCIA   OCTUBRE 2008</v>
      </c>
    </row>
    <row r="618" spans="1:11" ht="12.75">
      <c r="A618" s="8"/>
      <c r="B618" s="8"/>
      <c r="C618" s="8"/>
      <c r="D618" s="8"/>
      <c r="E618" s="8"/>
      <c r="F618" s="9" t="s">
        <v>50</v>
      </c>
      <c r="G618" s="9"/>
      <c r="H618" s="9" t="s">
        <v>1</v>
      </c>
      <c r="I618" s="20" t="s">
        <v>1</v>
      </c>
      <c r="J618" s="20"/>
      <c r="K618" s="34" t="s">
        <v>1</v>
      </c>
    </row>
    <row r="619" spans="6:11" ht="12.75">
      <c r="F619" s="1"/>
      <c r="I619" s="3" t="s">
        <v>37</v>
      </c>
      <c r="J619" s="3"/>
      <c r="K619" s="10" t="s">
        <v>1</v>
      </c>
    </row>
    <row r="620" spans="1:12" ht="12.75">
      <c r="A620" s="12"/>
      <c r="B620" s="11" t="s">
        <v>12</v>
      </c>
      <c r="C620" s="12"/>
      <c r="D620" s="12" t="s">
        <v>13</v>
      </c>
      <c r="E620" s="12"/>
      <c r="F620" s="21"/>
      <c r="G620" s="11" t="s">
        <v>3</v>
      </c>
      <c r="H620" s="11" t="s">
        <v>2</v>
      </c>
      <c r="I620" s="11" t="s">
        <v>3</v>
      </c>
      <c r="J620" s="11" t="s">
        <v>58</v>
      </c>
      <c r="K620" s="22" t="s">
        <v>73</v>
      </c>
      <c r="L620" s="32" t="s">
        <v>60</v>
      </c>
    </row>
    <row r="621" spans="1:12" ht="12.75">
      <c r="A621" s="12"/>
      <c r="B621" s="12"/>
      <c r="C621" s="12"/>
      <c r="D621" s="12" t="s">
        <v>14</v>
      </c>
      <c r="E621" s="12"/>
      <c r="F621" s="11" t="s">
        <v>15</v>
      </c>
      <c r="G621" s="11" t="s">
        <v>4</v>
      </c>
      <c r="H621" s="11" t="s">
        <v>16</v>
      </c>
      <c r="I621" s="11" t="s">
        <v>5</v>
      </c>
      <c r="J621" s="11" t="s">
        <v>72</v>
      </c>
      <c r="K621" s="11" t="s">
        <v>59</v>
      </c>
      <c r="L621" s="33" t="s">
        <v>61</v>
      </c>
    </row>
    <row r="622" spans="1:12" ht="12.75">
      <c r="A622" s="12"/>
      <c r="B622" s="12"/>
      <c r="C622" s="12"/>
      <c r="D622" s="12" t="s">
        <v>17</v>
      </c>
      <c r="E622" s="12"/>
      <c r="F622" s="21"/>
      <c r="G622" s="11">
        <v>1</v>
      </c>
      <c r="H622" s="11" t="s">
        <v>1</v>
      </c>
      <c r="I622" s="11" t="s">
        <v>18</v>
      </c>
      <c r="J622" s="11"/>
      <c r="K622" s="11"/>
      <c r="L622" s="13"/>
    </row>
    <row r="623" spans="1:12" ht="12.75">
      <c r="A623" s="21"/>
      <c r="B623" s="21"/>
      <c r="C623" s="21"/>
      <c r="D623" s="21"/>
      <c r="E623" s="21"/>
      <c r="F623" s="21"/>
      <c r="G623" s="23" t="s">
        <v>1</v>
      </c>
      <c r="H623" s="23" t="s">
        <v>1</v>
      </c>
      <c r="I623" s="23" t="s">
        <v>1</v>
      </c>
      <c r="J623" s="23"/>
      <c r="K623" s="23"/>
      <c r="L623" s="13"/>
    </row>
    <row r="624" spans="1:14" ht="12.75">
      <c r="A624" s="21" t="s">
        <v>19</v>
      </c>
      <c r="B624" s="21"/>
      <c r="C624" s="21"/>
      <c r="D624" s="21"/>
      <c r="E624" s="21"/>
      <c r="F624" s="21" t="s">
        <v>38</v>
      </c>
      <c r="G624" s="23">
        <f>SUM(G625+G634+G638)</f>
        <v>2990108845</v>
      </c>
      <c r="H624" s="23">
        <f>SUM(H625+H634+H638)</f>
        <v>10452983</v>
      </c>
      <c r="I624" s="23">
        <f>SUM(I625+I634+I638)</f>
        <v>3000561828</v>
      </c>
      <c r="J624" s="23">
        <f>SUM(J625+J634+J638)</f>
        <v>144999068</v>
      </c>
      <c r="K624" s="23">
        <f>SUM(K625+K634+K638)</f>
        <v>1948782663</v>
      </c>
      <c r="L624" s="14">
        <f>+K624/I624*100</f>
        <v>64.94725903711657</v>
      </c>
      <c r="M624" s="3">
        <f>+I624-K624</f>
        <v>1051779165</v>
      </c>
      <c r="N624" s="3" t="s">
        <v>1</v>
      </c>
    </row>
    <row r="625" spans="1:12" ht="12.75">
      <c r="A625" s="21" t="s">
        <v>19</v>
      </c>
      <c r="B625" s="21">
        <v>1</v>
      </c>
      <c r="C625" s="21">
        <v>1</v>
      </c>
      <c r="D625" s="21">
        <v>0</v>
      </c>
      <c r="E625" s="21">
        <v>0</v>
      </c>
      <c r="F625" s="21" t="s">
        <v>21</v>
      </c>
      <c r="G625" s="23">
        <f>SUM(G626+G631+G632+G633)</f>
        <v>1315851975</v>
      </c>
      <c r="H625" s="23">
        <f>SUM(H626+H631+H632+H633)</f>
        <v>-142897000</v>
      </c>
      <c r="I625" s="23">
        <f>+I626+I631+I632+I633</f>
        <v>1172954975</v>
      </c>
      <c r="J625" s="23">
        <f>SUM(J626+J631+J632+J633)</f>
        <v>59505549</v>
      </c>
      <c r="K625" s="23">
        <f>SUM(K626+K631+K632+K633)</f>
        <v>575944334</v>
      </c>
      <c r="L625" s="14">
        <f aca="true" t="shared" si="44" ref="L625:L642">+K625/I625*100</f>
        <v>49.10199848037645</v>
      </c>
    </row>
    <row r="626" spans="1:14" ht="12.75">
      <c r="A626" s="21" t="s">
        <v>19</v>
      </c>
      <c r="B626" s="21">
        <v>1</v>
      </c>
      <c r="C626" s="21">
        <v>1</v>
      </c>
      <c r="D626" s="21">
        <v>1</v>
      </c>
      <c r="E626" s="21">
        <v>0</v>
      </c>
      <c r="F626" s="21" t="s">
        <v>22</v>
      </c>
      <c r="G626" s="23">
        <f>SUM(G627:G630)</f>
        <v>839112619</v>
      </c>
      <c r="H626" s="23">
        <f>SUM(H627:H630)</f>
        <v>-173397000</v>
      </c>
      <c r="I626" s="23">
        <f>SUM(I627:I630)</f>
        <v>665715619</v>
      </c>
      <c r="J626" s="23">
        <f>SUM(J627:J630)</f>
        <v>19664801</v>
      </c>
      <c r="K626" s="23">
        <f>SUM(K627:K630)</f>
        <v>273922410</v>
      </c>
      <c r="L626" s="14">
        <f t="shared" si="44"/>
        <v>41.14706072413782</v>
      </c>
      <c r="M626" s="3">
        <f aca="true" t="shared" si="45" ref="M626:M653">+I626-K626</f>
        <v>391793209</v>
      </c>
      <c r="N626" s="3" t="s">
        <v>1</v>
      </c>
    </row>
    <row r="627" spans="1:14" ht="12.75">
      <c r="A627" s="21" t="s">
        <v>19</v>
      </c>
      <c r="B627" s="21">
        <v>1</v>
      </c>
      <c r="C627" s="21">
        <v>1</v>
      </c>
      <c r="D627" s="21">
        <v>1</v>
      </c>
      <c r="E627" s="21">
        <v>1</v>
      </c>
      <c r="F627" s="21" t="s">
        <v>23</v>
      </c>
      <c r="G627" s="23">
        <v>646562329</v>
      </c>
      <c r="H627" s="23">
        <f>-17500000-10000000-124897000-38400000</f>
        <v>-190797000</v>
      </c>
      <c r="I627" s="23">
        <f>SUM(G627+H627)</f>
        <v>455765329</v>
      </c>
      <c r="J627" s="23">
        <v>0</v>
      </c>
      <c r="K627" s="23">
        <v>106639697</v>
      </c>
      <c r="L627" s="14">
        <f t="shared" si="44"/>
        <v>23.397939732269542</v>
      </c>
      <c r="M627" s="3">
        <f t="shared" si="45"/>
        <v>349125632</v>
      </c>
      <c r="N627" s="3" t="s">
        <v>1</v>
      </c>
    </row>
    <row r="628" spans="1:15" ht="12.75">
      <c r="A628" s="21" t="s">
        <v>19</v>
      </c>
      <c r="B628" s="21">
        <v>1</v>
      </c>
      <c r="C628" s="21">
        <v>1</v>
      </c>
      <c r="D628" s="21">
        <v>9</v>
      </c>
      <c r="E628" s="21">
        <v>3</v>
      </c>
      <c r="F628" s="21" t="s">
        <v>39</v>
      </c>
      <c r="G628" s="23">
        <v>10000000</v>
      </c>
      <c r="H628" s="23">
        <f>10000000+12000000</f>
        <v>22000000</v>
      </c>
      <c r="I628" s="23">
        <f>SUM(G628+H628)</f>
        <v>32000000</v>
      </c>
      <c r="J628" s="23">
        <v>5044145</v>
      </c>
      <c r="K628" s="23">
        <v>26698951</v>
      </c>
      <c r="L628" s="14">
        <f t="shared" si="44"/>
        <v>83.434221875</v>
      </c>
      <c r="M628" s="3">
        <f t="shared" si="45"/>
        <v>5301049</v>
      </c>
      <c r="N628" s="3" t="s">
        <v>1</v>
      </c>
      <c r="O628" s="3" t="s">
        <v>1</v>
      </c>
    </row>
    <row r="629" spans="1:14" ht="12.75">
      <c r="A629" s="21" t="s">
        <v>19</v>
      </c>
      <c r="B629" s="21">
        <v>1</v>
      </c>
      <c r="C629" s="21">
        <v>1</v>
      </c>
      <c r="D629" s="21">
        <v>4</v>
      </c>
      <c r="E629" s="21">
        <v>2</v>
      </c>
      <c r="F629" s="21" t="s">
        <v>25</v>
      </c>
      <c r="G629" s="23">
        <v>51756389</v>
      </c>
      <c r="H629" s="23">
        <v>-16000000</v>
      </c>
      <c r="I629" s="23">
        <f>SUM(G629+H629)</f>
        <v>35756389</v>
      </c>
      <c r="J629" s="23">
        <v>0</v>
      </c>
      <c r="K629" s="23">
        <v>15895689</v>
      </c>
      <c r="L629" s="14">
        <f t="shared" si="44"/>
        <v>44.45552094200564</v>
      </c>
      <c r="M629" s="3">
        <f t="shared" si="45"/>
        <v>19860700</v>
      </c>
      <c r="N629" s="3" t="s">
        <v>1</v>
      </c>
    </row>
    <row r="630" spans="1:14" ht="12.75">
      <c r="A630" s="21" t="s">
        <v>19</v>
      </c>
      <c r="B630" s="21">
        <v>1</v>
      </c>
      <c r="C630" s="21">
        <v>1</v>
      </c>
      <c r="D630" s="21">
        <v>5</v>
      </c>
      <c r="E630" s="21">
        <v>0</v>
      </c>
      <c r="F630" s="21" t="s">
        <v>26</v>
      </c>
      <c r="G630" s="23">
        <v>130793901</v>
      </c>
      <c r="H630" s="23">
        <f>-4500000-1100000+5000000+500000+500000+11000000</f>
        <v>11400000</v>
      </c>
      <c r="I630" s="23">
        <f>SUM(G630+H630)</f>
        <v>142193901</v>
      </c>
      <c r="J630" s="23">
        <f>3681706+544708+5474642+4919600</f>
        <v>14620656</v>
      </c>
      <c r="K630" s="23">
        <f>24173914+4663649+3493805+3316245+4310675+29661396+4919600+50148789</f>
        <v>124688073</v>
      </c>
      <c r="L630" s="14">
        <f t="shared" si="44"/>
        <v>87.68876310665392</v>
      </c>
      <c r="M630" s="3">
        <f t="shared" si="45"/>
        <v>17505828</v>
      </c>
      <c r="N630" s="3" t="s">
        <v>37</v>
      </c>
    </row>
    <row r="631" spans="1:14" ht="12.75">
      <c r="A631" s="21" t="s">
        <v>19</v>
      </c>
      <c r="B631" s="21">
        <v>1</v>
      </c>
      <c r="C631" s="21">
        <v>0</v>
      </c>
      <c r="D631" s="21">
        <v>2</v>
      </c>
      <c r="E631" s="21">
        <v>0</v>
      </c>
      <c r="F631" s="21" t="s">
        <v>40</v>
      </c>
      <c r="G631" s="23">
        <v>140863685</v>
      </c>
      <c r="H631" s="24">
        <f>32000000+38500000</f>
        <v>70500000</v>
      </c>
      <c r="I631" s="23">
        <f>SUM(G631+H631)</f>
        <v>211363685</v>
      </c>
      <c r="J631" s="23">
        <f>172863035-158570079</f>
        <v>14292956</v>
      </c>
      <c r="K631" s="23">
        <f>6835469+19263685+158716326+1658989</f>
        <v>186474469</v>
      </c>
      <c r="L631" s="14">
        <f t="shared" si="44"/>
        <v>88.22445965587703</v>
      </c>
      <c r="M631" s="3">
        <f t="shared" si="45"/>
        <v>24889216</v>
      </c>
      <c r="N631" s="3" t="s">
        <v>1</v>
      </c>
    </row>
    <row r="632" spans="1:14" ht="12.75">
      <c r="A632" s="21" t="s">
        <v>19</v>
      </c>
      <c r="B632" s="21">
        <v>1</v>
      </c>
      <c r="C632" s="21">
        <v>5</v>
      </c>
      <c r="D632" s="21">
        <v>0</v>
      </c>
      <c r="E632" s="21">
        <v>1</v>
      </c>
      <c r="F632" s="21" t="s">
        <v>27</v>
      </c>
      <c r="G632" s="23">
        <v>228481415</v>
      </c>
      <c r="H632" s="24">
        <v>-30000000</v>
      </c>
      <c r="I632" s="23">
        <f>+G632+H632</f>
        <v>198481415</v>
      </c>
      <c r="J632" s="23">
        <v>20643955</v>
      </c>
      <c r="K632" s="23">
        <f>100085595+5878960</f>
        <v>105964555</v>
      </c>
      <c r="L632" s="14">
        <f t="shared" si="44"/>
        <v>53.38764589117827</v>
      </c>
      <c r="M632" s="3">
        <f t="shared" si="45"/>
        <v>92516860</v>
      </c>
      <c r="N632" s="3" t="s">
        <v>1</v>
      </c>
    </row>
    <row r="633" spans="1:14" ht="12.75">
      <c r="A633" s="21" t="s">
        <v>19</v>
      </c>
      <c r="B633" s="21">
        <v>1</v>
      </c>
      <c r="C633" s="21">
        <v>5</v>
      </c>
      <c r="D633" s="21">
        <v>0</v>
      </c>
      <c r="E633" s="21">
        <v>2</v>
      </c>
      <c r="F633" s="21" t="s">
        <v>28</v>
      </c>
      <c r="G633" s="23">
        <v>107394256</v>
      </c>
      <c r="H633" s="24">
        <v>-10000000</v>
      </c>
      <c r="I633" s="23">
        <f>+G633+H633</f>
        <v>97394256</v>
      </c>
      <c r="J633" s="23">
        <v>4903837</v>
      </c>
      <c r="K633" s="23">
        <f>9523944+58956</f>
        <v>9582900</v>
      </c>
      <c r="L633" s="14">
        <f t="shared" si="44"/>
        <v>9.839286620763342</v>
      </c>
      <c r="M633" s="3">
        <f t="shared" si="45"/>
        <v>87811356</v>
      </c>
      <c r="N633" s="3" t="s">
        <v>1</v>
      </c>
    </row>
    <row r="634" spans="1:15" ht="12.75">
      <c r="A634" s="21" t="s">
        <v>19</v>
      </c>
      <c r="B634" s="21">
        <v>2</v>
      </c>
      <c r="C634" s="21">
        <v>0</v>
      </c>
      <c r="D634" s="21">
        <v>0</v>
      </c>
      <c r="E634" s="21">
        <v>0</v>
      </c>
      <c r="F634" s="21" t="s">
        <v>29</v>
      </c>
      <c r="G634" s="23">
        <f>SUM(G635:G637)</f>
        <v>696598707</v>
      </c>
      <c r="H634" s="23">
        <f>SUM(H635:H637)</f>
        <v>50848000</v>
      </c>
      <c r="I634" s="23">
        <f>+I635+I636+I637</f>
        <v>747446707</v>
      </c>
      <c r="J634" s="23">
        <f>SUM(J635:J637)</f>
        <v>25397264</v>
      </c>
      <c r="K634" s="23">
        <f>SUM(K635:K637)</f>
        <v>662894754</v>
      </c>
      <c r="L634" s="14">
        <f t="shared" si="44"/>
        <v>88.68789544349414</v>
      </c>
      <c r="M634" s="3">
        <f t="shared" si="45"/>
        <v>84551953</v>
      </c>
      <c r="N634" s="3" t="s">
        <v>1</v>
      </c>
      <c r="O634" s="3" t="s">
        <v>1</v>
      </c>
    </row>
    <row r="635" spans="1:15" ht="12.75">
      <c r="A635" s="21" t="s">
        <v>19</v>
      </c>
      <c r="B635" s="21">
        <v>2</v>
      </c>
      <c r="C635" s="21">
        <v>4</v>
      </c>
      <c r="D635" s="21">
        <v>0</v>
      </c>
      <c r="E635" s="21">
        <v>0</v>
      </c>
      <c r="F635" s="21" t="s">
        <v>41</v>
      </c>
      <c r="G635" s="23">
        <v>124289000</v>
      </c>
      <c r="H635" s="24">
        <f>17000000-29000000</f>
        <v>-12000000</v>
      </c>
      <c r="I635" s="23">
        <f>+G635+H635</f>
        <v>112289000</v>
      </c>
      <c r="J635" s="23">
        <v>3335690</v>
      </c>
      <c r="K635" s="23">
        <f>9126614+64237149+1858956</f>
        <v>75222719</v>
      </c>
      <c r="L635" s="14">
        <f t="shared" si="44"/>
        <v>66.99028310876399</v>
      </c>
      <c r="M635" s="3">
        <f t="shared" si="45"/>
        <v>37066281</v>
      </c>
      <c r="N635" s="3" t="s">
        <v>1</v>
      </c>
      <c r="O635" t="s">
        <v>1</v>
      </c>
    </row>
    <row r="636" spans="1:15" ht="12.75">
      <c r="A636" s="21" t="s">
        <v>19</v>
      </c>
      <c r="B636" s="21">
        <v>2</v>
      </c>
      <c r="C636" s="21">
        <v>4</v>
      </c>
      <c r="D636" s="21">
        <v>0</v>
      </c>
      <c r="E636" s="21">
        <v>0</v>
      </c>
      <c r="F636" s="21" t="s">
        <v>30</v>
      </c>
      <c r="G636" s="23">
        <v>551497096</v>
      </c>
      <c r="H636" s="24">
        <f>17000000-15652000+24000000+15000000+6000000</f>
        <v>46348000</v>
      </c>
      <c r="I636" s="23">
        <f>+G636+H636</f>
        <v>597845096</v>
      </c>
      <c r="J636" s="23">
        <v>22061574</v>
      </c>
      <c r="K636" s="23">
        <f>133235366+24999600+34046910+154568909+73453340+17374445+83352953+798719+13845160+15478956</f>
        <v>551154358</v>
      </c>
      <c r="L636" s="14">
        <f t="shared" si="44"/>
        <v>92.19016124538054</v>
      </c>
      <c r="M636" s="3">
        <f t="shared" si="45"/>
        <v>46690738</v>
      </c>
      <c r="N636" s="3" t="s">
        <v>1</v>
      </c>
      <c r="O636" t="s">
        <v>1</v>
      </c>
    </row>
    <row r="637" spans="1:15" ht="12.75">
      <c r="A637" s="21" t="s">
        <v>19</v>
      </c>
      <c r="B637" s="21">
        <v>2</v>
      </c>
      <c r="C637" s="21">
        <v>0</v>
      </c>
      <c r="D637" s="21">
        <v>3</v>
      </c>
      <c r="E637" s="21">
        <v>0</v>
      </c>
      <c r="F637" s="21" t="s">
        <v>31</v>
      </c>
      <c r="G637" s="23">
        <v>20812611</v>
      </c>
      <c r="H637" s="23">
        <v>16500000</v>
      </c>
      <c r="I637" s="23">
        <f>+G637+H637</f>
        <v>37312611</v>
      </c>
      <c r="J637" s="23">
        <v>0</v>
      </c>
      <c r="K637" s="23">
        <v>36517677</v>
      </c>
      <c r="L637" s="14">
        <f t="shared" si="44"/>
        <v>97.86952995597119</v>
      </c>
      <c r="M637" s="3">
        <f t="shared" si="45"/>
        <v>794934</v>
      </c>
      <c r="N637" s="3" t="s">
        <v>1</v>
      </c>
      <c r="O637" s="3" t="s">
        <v>1</v>
      </c>
    </row>
    <row r="638" spans="1:15" ht="12.75">
      <c r="A638" s="21" t="s">
        <v>19</v>
      </c>
      <c r="B638" s="21">
        <v>3</v>
      </c>
      <c r="C638" s="21">
        <v>0</v>
      </c>
      <c r="D638" s="21">
        <v>0</v>
      </c>
      <c r="E638" s="21">
        <v>0</v>
      </c>
      <c r="F638" s="21" t="s">
        <v>32</v>
      </c>
      <c r="G638" s="23">
        <f>SUM(G639:G642)</f>
        <v>977658163</v>
      </c>
      <c r="H638" s="23">
        <f>SUM(H639:H642)</f>
        <v>102501983</v>
      </c>
      <c r="I638" s="23">
        <f>SUM(I639:I642)</f>
        <v>1080160146</v>
      </c>
      <c r="J638" s="23">
        <f>SUM(J639:J642)</f>
        <v>60096255</v>
      </c>
      <c r="K638" s="23">
        <f>SUM(K639:K642)</f>
        <v>709943575</v>
      </c>
      <c r="L638" s="14">
        <f t="shared" si="44"/>
        <v>65.72577016741738</v>
      </c>
      <c r="M638" s="3">
        <f t="shared" si="45"/>
        <v>370216571</v>
      </c>
      <c r="N638" s="3" t="s">
        <v>1</v>
      </c>
      <c r="O638" s="3" t="s">
        <v>37</v>
      </c>
    </row>
    <row r="639" spans="1:14" ht="12.75">
      <c r="A639" s="21" t="s">
        <v>19</v>
      </c>
      <c r="B639" s="21">
        <v>3</v>
      </c>
      <c r="C639" s="21">
        <v>2</v>
      </c>
      <c r="D639" s="21">
        <v>1</v>
      </c>
      <c r="E639" s="21">
        <v>1</v>
      </c>
      <c r="F639" s="21" t="s">
        <v>42</v>
      </c>
      <c r="G639" s="23">
        <v>18796584</v>
      </c>
      <c r="H639" s="23">
        <v>0</v>
      </c>
      <c r="I639" s="23">
        <f>+G639+H639</f>
        <v>18796584</v>
      </c>
      <c r="J639" s="23">
        <v>0</v>
      </c>
      <c r="K639" s="23">
        <v>0</v>
      </c>
      <c r="L639" s="14">
        <f t="shared" si="44"/>
        <v>0</v>
      </c>
      <c r="M639" s="3">
        <f t="shared" si="45"/>
        <v>18796584</v>
      </c>
      <c r="N639" s="3" t="s">
        <v>1</v>
      </c>
    </row>
    <row r="640" spans="1:14" ht="12.75">
      <c r="A640" s="21" t="s">
        <v>19</v>
      </c>
      <c r="B640" s="21">
        <v>3</v>
      </c>
      <c r="C640" s="21">
        <v>2</v>
      </c>
      <c r="D640" s="21">
        <v>1</v>
      </c>
      <c r="E640" s="21">
        <v>2</v>
      </c>
      <c r="F640" s="21" t="s">
        <v>43</v>
      </c>
      <c r="G640" s="23">
        <v>935861579</v>
      </c>
      <c r="H640" s="23">
        <v>85001983</v>
      </c>
      <c r="I640" s="23">
        <f>+G640+H640</f>
        <v>1020863562</v>
      </c>
      <c r="J640" s="23">
        <v>60096255</v>
      </c>
      <c r="K640" s="23">
        <f>567185805+108458956</f>
        <v>675644761</v>
      </c>
      <c r="L640" s="14">
        <f t="shared" si="44"/>
        <v>66.18364942679774</v>
      </c>
      <c r="M640" s="3">
        <f t="shared" si="45"/>
        <v>345218801</v>
      </c>
      <c r="N640" s="3" t="s">
        <v>1</v>
      </c>
    </row>
    <row r="641" spans="1:14" ht="12.75">
      <c r="A641" s="21" t="s">
        <v>19</v>
      </c>
      <c r="B641" s="21">
        <v>3</v>
      </c>
      <c r="C641" s="21">
        <v>2</v>
      </c>
      <c r="D641" s="21">
        <v>1</v>
      </c>
      <c r="E641" s="21">
        <v>3</v>
      </c>
      <c r="F641" s="21" t="s">
        <v>44</v>
      </c>
      <c r="G641" s="23">
        <v>18000000</v>
      </c>
      <c r="H641" s="23">
        <v>0</v>
      </c>
      <c r="I641" s="23">
        <f>+G641+H641</f>
        <v>18000000</v>
      </c>
      <c r="J641" s="23">
        <v>0</v>
      </c>
      <c r="K641" s="23">
        <v>16819460</v>
      </c>
      <c r="L641" s="14">
        <f t="shared" si="44"/>
        <v>93.44144444444444</v>
      </c>
      <c r="M641" s="3">
        <f t="shared" si="45"/>
        <v>1180540</v>
      </c>
      <c r="N641" s="3" t="s">
        <v>37</v>
      </c>
    </row>
    <row r="642" spans="1:14" ht="12.75">
      <c r="A642" s="21" t="s">
        <v>19</v>
      </c>
      <c r="B642" s="21">
        <v>3</v>
      </c>
      <c r="C642" s="21">
        <v>6</v>
      </c>
      <c r="D642" s="21">
        <v>1</v>
      </c>
      <c r="E642" s="21">
        <v>1</v>
      </c>
      <c r="F642" s="21" t="s">
        <v>45</v>
      </c>
      <c r="G642" s="23">
        <v>5000000</v>
      </c>
      <c r="H642" s="23">
        <v>17500000</v>
      </c>
      <c r="I642" s="23">
        <f>+G642+H642</f>
        <v>22500000</v>
      </c>
      <c r="J642" s="23">
        <v>0</v>
      </c>
      <c r="K642" s="23">
        <v>17479354</v>
      </c>
      <c r="L642" s="14">
        <f t="shared" si="44"/>
        <v>77.68601777777778</v>
      </c>
      <c r="M642" s="3">
        <f t="shared" si="45"/>
        <v>5020646</v>
      </c>
      <c r="N642" s="3" t="s">
        <v>1</v>
      </c>
    </row>
    <row r="643" spans="1:14" ht="12.75">
      <c r="A643" s="21"/>
      <c r="B643" s="21"/>
      <c r="C643" s="21"/>
      <c r="D643" s="21"/>
      <c r="E643" s="21"/>
      <c r="F643" s="21" t="s">
        <v>1</v>
      </c>
      <c r="G643" s="23" t="s">
        <v>1</v>
      </c>
      <c r="H643" s="23" t="s">
        <v>1</v>
      </c>
      <c r="I643" s="23" t="s">
        <v>1</v>
      </c>
      <c r="J643" s="23"/>
      <c r="K643" s="23" t="s">
        <v>1</v>
      </c>
      <c r="L643" s="14" t="s">
        <v>1</v>
      </c>
      <c r="M643" s="3" t="s">
        <v>1</v>
      </c>
      <c r="N643" s="3" t="s">
        <v>1</v>
      </c>
    </row>
    <row r="644" spans="1:14" ht="12.75">
      <c r="A644" s="21" t="s">
        <v>33</v>
      </c>
      <c r="B644" s="21"/>
      <c r="C644" s="21"/>
      <c r="D644" s="21" t="s">
        <v>1</v>
      </c>
      <c r="E644" s="21"/>
      <c r="F644" s="21" t="s">
        <v>34</v>
      </c>
      <c r="G644" s="25">
        <f>SUM(G646:G652)</f>
        <v>7087047925</v>
      </c>
      <c r="H644" s="25">
        <f>SUM(H646:H652)</f>
        <v>5321635344</v>
      </c>
      <c r="I644" s="25">
        <f>SUM(G644+H644)</f>
        <v>12408683269</v>
      </c>
      <c r="J644" s="25">
        <f>SUM(J646:J652)</f>
        <v>428198891</v>
      </c>
      <c r="K644" s="25">
        <f>SUM(K646:K652)</f>
        <v>9773326703</v>
      </c>
      <c r="L644" s="14">
        <f>+K644/I644*100</f>
        <v>78.76199666902788</v>
      </c>
      <c r="M644" s="3">
        <f t="shared" si="45"/>
        <v>2635356566</v>
      </c>
      <c r="N644" t="s">
        <v>1</v>
      </c>
    </row>
    <row r="645" spans="1:15" ht="12.75">
      <c r="A645" s="21"/>
      <c r="B645" s="21"/>
      <c r="C645" s="21"/>
      <c r="D645" s="21"/>
      <c r="E645" s="21"/>
      <c r="F645" s="21"/>
      <c r="G645" s="23"/>
      <c r="H645" s="23" t="s">
        <v>1</v>
      </c>
      <c r="I645" s="23" t="s">
        <v>1</v>
      </c>
      <c r="J645" s="23"/>
      <c r="K645" s="23"/>
      <c r="L645" s="14" t="s">
        <v>1</v>
      </c>
      <c r="M645" s="3" t="s">
        <v>1</v>
      </c>
      <c r="N645" s="3" t="s">
        <v>1</v>
      </c>
      <c r="O645" t="s">
        <v>1</v>
      </c>
    </row>
    <row r="646" spans="1:16" ht="33.75">
      <c r="A646" s="26" t="s">
        <v>33</v>
      </c>
      <c r="B646" s="26">
        <v>113</v>
      </c>
      <c r="C646" s="26">
        <v>900</v>
      </c>
      <c r="D646" s="26">
        <v>1</v>
      </c>
      <c r="E646" s="26"/>
      <c r="F646" s="29" t="s">
        <v>51</v>
      </c>
      <c r="G646" s="25">
        <v>900000000</v>
      </c>
      <c r="H646" s="25">
        <f>1230345600+57000000+79200000+146140388+10040000+76000000+1200000000</f>
        <v>2798725988</v>
      </c>
      <c r="I646" s="25">
        <f aca="true" t="shared" si="46" ref="I646:I652">SUM(G646+H646)</f>
        <v>3698725988</v>
      </c>
      <c r="J646" s="25">
        <v>229592811</v>
      </c>
      <c r="K646" s="25">
        <f>2157139304+941245878</f>
        <v>3098385182</v>
      </c>
      <c r="L646" s="14">
        <f aca="true" t="shared" si="47" ref="L646:L653">+K646/I646*100</f>
        <v>83.76898402456084</v>
      </c>
      <c r="M646" s="3">
        <f t="shared" si="45"/>
        <v>600340806</v>
      </c>
      <c r="N646" s="3" t="s">
        <v>1</v>
      </c>
      <c r="O646" s="3" t="s">
        <v>1</v>
      </c>
      <c r="P646" s="3"/>
    </row>
    <row r="647" spans="1:16" ht="12.75">
      <c r="A647" s="26" t="s">
        <v>33</v>
      </c>
      <c r="B647" s="26">
        <v>113</v>
      </c>
      <c r="C647" s="26">
        <v>900</v>
      </c>
      <c r="D647" s="26">
        <v>2</v>
      </c>
      <c r="E647" s="26"/>
      <c r="F647" s="29" t="s">
        <v>52</v>
      </c>
      <c r="G647" s="25">
        <v>4759999979</v>
      </c>
      <c r="H647" s="31">
        <f>737744285+8562633+15060000</f>
        <v>761366918</v>
      </c>
      <c r="I647" s="25">
        <f t="shared" si="46"/>
        <v>5521366897</v>
      </c>
      <c r="J647" s="25">
        <v>55138892</v>
      </c>
      <c r="K647" s="25">
        <f>5056545414+1584556</f>
        <v>5058129970</v>
      </c>
      <c r="L647" s="14">
        <f t="shared" si="47"/>
        <v>91.6101042433587</v>
      </c>
      <c r="M647" s="3">
        <f t="shared" si="45"/>
        <v>463236927</v>
      </c>
      <c r="N647" s="3" t="s">
        <v>1</v>
      </c>
      <c r="O647" s="3" t="s">
        <v>1</v>
      </c>
      <c r="P647" s="3"/>
    </row>
    <row r="648" spans="1:16" ht="33.75">
      <c r="A648" s="26" t="s">
        <v>33</v>
      </c>
      <c r="B648" s="26">
        <v>113</v>
      </c>
      <c r="C648" s="26">
        <v>900</v>
      </c>
      <c r="D648" s="26">
        <v>3</v>
      </c>
      <c r="E648" s="26"/>
      <c r="F648" s="29" t="s">
        <v>53</v>
      </c>
      <c r="G648" s="25">
        <v>314978597</v>
      </c>
      <c r="H648" s="31">
        <f>78792000+20116272</f>
        <v>98908272</v>
      </c>
      <c r="I648" s="25">
        <f t="shared" si="46"/>
        <v>413886869</v>
      </c>
      <c r="J648" s="25">
        <v>4813901</v>
      </c>
      <c r="K648" s="25">
        <f>355868484+856560</f>
        <v>356725044</v>
      </c>
      <c r="L648" s="14">
        <f t="shared" si="47"/>
        <v>86.189021860464</v>
      </c>
      <c r="M648" s="3">
        <f t="shared" si="45"/>
        <v>57161825</v>
      </c>
      <c r="N648" s="3" t="s">
        <v>1</v>
      </c>
      <c r="O648" s="3" t="s">
        <v>1</v>
      </c>
      <c r="P648" s="3"/>
    </row>
    <row r="649" spans="1:16" ht="12.75">
      <c r="A649" s="26" t="s">
        <v>33</v>
      </c>
      <c r="B649" s="26">
        <v>310</v>
      </c>
      <c r="C649" s="26">
        <v>900</v>
      </c>
      <c r="D649" s="26">
        <v>4</v>
      </c>
      <c r="E649" s="26"/>
      <c r="F649" s="28" t="s">
        <v>54</v>
      </c>
      <c r="G649" s="25">
        <v>100000000</v>
      </c>
      <c r="H649" s="25">
        <f>260000000+19211922+960000000</f>
        <v>1239211922</v>
      </c>
      <c r="I649" s="25">
        <f t="shared" si="46"/>
        <v>1339211922</v>
      </c>
      <c r="J649" s="25">
        <v>893455</v>
      </c>
      <c r="K649" s="25">
        <f>275775368+18545789</f>
        <v>294321157</v>
      </c>
      <c r="L649" s="14">
        <f t="shared" si="47"/>
        <v>21.977190627190367</v>
      </c>
      <c r="M649" s="3">
        <f t="shared" si="45"/>
        <v>1044890765</v>
      </c>
      <c r="N649" s="3" t="s">
        <v>1</v>
      </c>
      <c r="O649" s="3" t="s">
        <v>1</v>
      </c>
      <c r="P649" s="3"/>
    </row>
    <row r="650" spans="1:16" ht="12.75">
      <c r="A650" s="26" t="s">
        <v>33</v>
      </c>
      <c r="B650" s="26">
        <v>310</v>
      </c>
      <c r="C650" s="26">
        <v>900</v>
      </c>
      <c r="D650" s="26">
        <v>5</v>
      </c>
      <c r="E650" s="26"/>
      <c r="F650" s="28" t="s">
        <v>55</v>
      </c>
      <c r="G650" s="25">
        <v>712069349</v>
      </c>
      <c r="H650" s="31">
        <f>60000000+0</f>
        <v>60000000</v>
      </c>
      <c r="I650" s="25">
        <f t="shared" si="46"/>
        <v>772069349</v>
      </c>
      <c r="J650" s="25">
        <v>73364178</v>
      </c>
      <c r="K650" s="25">
        <v>475939059</v>
      </c>
      <c r="L650" s="14">
        <f t="shared" si="47"/>
        <v>61.64459962261758</v>
      </c>
      <c r="M650" s="3">
        <f t="shared" si="45"/>
        <v>296130290</v>
      </c>
      <c r="N650" s="3" t="s">
        <v>1</v>
      </c>
      <c r="O650" s="3" t="s">
        <v>1</v>
      </c>
      <c r="P650" s="3"/>
    </row>
    <row r="651" spans="1:16" ht="22.5">
      <c r="A651" s="26" t="s">
        <v>33</v>
      </c>
      <c r="B651" s="26">
        <v>310</v>
      </c>
      <c r="C651" s="26">
        <v>900</v>
      </c>
      <c r="D651" s="26">
        <v>6</v>
      </c>
      <c r="E651" s="26"/>
      <c r="F651" s="28" t="s">
        <v>56</v>
      </c>
      <c r="G651" s="25">
        <v>100000000</v>
      </c>
      <c r="H651" s="25">
        <v>60040000</v>
      </c>
      <c r="I651" s="25">
        <f t="shared" si="46"/>
        <v>160040000</v>
      </c>
      <c r="J651" s="25">
        <v>3440906</v>
      </c>
      <c r="K651" s="25">
        <f>122681575+15896</f>
        <v>122697471</v>
      </c>
      <c r="L651" s="14">
        <f t="shared" si="47"/>
        <v>76.66675268682829</v>
      </c>
      <c r="M651" s="3">
        <f t="shared" si="45"/>
        <v>37342529</v>
      </c>
      <c r="N651" s="3" t="s">
        <v>1</v>
      </c>
      <c r="O651" s="3" t="s">
        <v>1</v>
      </c>
      <c r="P651" s="3"/>
    </row>
    <row r="652" spans="1:16" ht="22.5">
      <c r="A652" s="26" t="s">
        <v>33</v>
      </c>
      <c r="B652" s="26">
        <v>520</v>
      </c>
      <c r="C652" s="26">
        <v>900</v>
      </c>
      <c r="D652" s="26">
        <v>7</v>
      </c>
      <c r="E652" s="26"/>
      <c r="F652" s="30" t="s">
        <v>57</v>
      </c>
      <c r="G652" s="25">
        <v>200000000</v>
      </c>
      <c r="H652" s="25">
        <f>227261438+66080806+10040000</f>
        <v>303382244</v>
      </c>
      <c r="I652" s="25">
        <f t="shared" si="46"/>
        <v>503382244</v>
      </c>
      <c r="J652" s="25">
        <v>60954748</v>
      </c>
      <c r="K652" s="25">
        <f>365874031+1254789</f>
        <v>367128820</v>
      </c>
      <c r="L652" s="14">
        <f t="shared" si="47"/>
        <v>72.93241356363774</v>
      </c>
      <c r="M652" s="3">
        <f t="shared" si="45"/>
        <v>136253424</v>
      </c>
      <c r="N652" s="3" t="s">
        <v>1</v>
      </c>
      <c r="O652" s="3" t="s">
        <v>1</v>
      </c>
      <c r="P652" s="3"/>
    </row>
    <row r="653" spans="1:16" ht="12.75">
      <c r="A653" s="13" t="s">
        <v>33</v>
      </c>
      <c r="B653" s="13"/>
      <c r="C653" s="13"/>
      <c r="D653" s="13"/>
      <c r="E653" s="13"/>
      <c r="F653" s="27" t="s">
        <v>35</v>
      </c>
      <c r="G653" s="16">
        <f>+G644+G624</f>
        <v>10077156770</v>
      </c>
      <c r="H653" s="16">
        <f>+H644+H624</f>
        <v>5332088327</v>
      </c>
      <c r="I653" s="16">
        <f>+I644+I624</f>
        <v>15409245097</v>
      </c>
      <c r="J653" s="16">
        <f>+J644+J624</f>
        <v>573197959</v>
      </c>
      <c r="K653" s="16">
        <f>+K644+K624</f>
        <v>11722109366</v>
      </c>
      <c r="L653" s="14">
        <f t="shared" si="47"/>
        <v>76.07192495291127</v>
      </c>
      <c r="M653" s="3">
        <f t="shared" si="45"/>
        <v>3687135731</v>
      </c>
      <c r="N653" s="3" t="s">
        <v>37</v>
      </c>
      <c r="O653" s="3" t="s">
        <v>1</v>
      </c>
      <c r="P653" s="3"/>
    </row>
    <row r="654" spans="7:16" ht="12.75">
      <c r="G654" s="3" t="s">
        <v>1</v>
      </c>
      <c r="H654" s="3" t="s">
        <v>37</v>
      </c>
      <c r="I654" s="3">
        <f>+I653+I606</f>
        <v>18007516953</v>
      </c>
      <c r="K654" s="3" t="s">
        <v>1</v>
      </c>
      <c r="N654" s="3" t="s">
        <v>1</v>
      </c>
      <c r="O654" s="3" t="s">
        <v>1</v>
      </c>
      <c r="P654" s="3"/>
    </row>
    <row r="655" spans="7:16" ht="12.75">
      <c r="G655" s="3" t="s">
        <v>1</v>
      </c>
      <c r="H655" s="3" t="s">
        <v>1</v>
      </c>
      <c r="I655" s="3">
        <f>17147517203+960000000</f>
        <v>18107517203</v>
      </c>
      <c r="K655" s="38" t="s">
        <v>1</v>
      </c>
      <c r="M655" s="3" t="s">
        <v>1</v>
      </c>
      <c r="N655" s="3" t="s">
        <v>1</v>
      </c>
      <c r="O655" s="3" t="s">
        <v>1</v>
      </c>
      <c r="P655" s="3"/>
    </row>
    <row r="656" spans="7:16" ht="12.75">
      <c r="G656" t="s">
        <v>37</v>
      </c>
      <c r="H656" t="s">
        <v>1</v>
      </c>
      <c r="I656" s="3">
        <f>+I655+960000000</f>
        <v>19067517203</v>
      </c>
      <c r="K656" s="38" t="s">
        <v>1</v>
      </c>
      <c r="L656" s="3" t="s">
        <v>1</v>
      </c>
      <c r="M656" s="3" t="s">
        <v>1</v>
      </c>
      <c r="N656" s="3" t="s">
        <v>1</v>
      </c>
      <c r="O656" s="3" t="s">
        <v>1</v>
      </c>
      <c r="P656" s="3"/>
    </row>
    <row r="657" spans="7:16" ht="12.75">
      <c r="G657" t="s">
        <v>1</v>
      </c>
      <c r="H657" t="s">
        <v>1</v>
      </c>
      <c r="I657" s="3" t="s">
        <v>1</v>
      </c>
      <c r="K657" s="37" t="s">
        <v>1</v>
      </c>
      <c r="L657" s="3" t="s">
        <v>37</v>
      </c>
      <c r="M657" s="3" t="s">
        <v>1</v>
      </c>
      <c r="N657" s="3" t="s">
        <v>1</v>
      </c>
      <c r="O657" s="3"/>
      <c r="P657" s="3"/>
    </row>
    <row r="658" spans="7:16" ht="12.75">
      <c r="G658" t="s">
        <v>1</v>
      </c>
      <c r="H658" t="s">
        <v>1</v>
      </c>
      <c r="I658" s="3" t="s">
        <v>1</v>
      </c>
      <c r="K658" s="37" t="s">
        <v>1</v>
      </c>
      <c r="L658" t="s">
        <v>1</v>
      </c>
      <c r="M658" t="s">
        <v>1</v>
      </c>
      <c r="N658" s="3" t="s">
        <v>1</v>
      </c>
      <c r="O658" s="3"/>
      <c r="P658" s="3"/>
    </row>
    <row r="659" spans="6:16" ht="12.75">
      <c r="F659" s="4" t="s">
        <v>6</v>
      </c>
      <c r="G659" s="4" t="s">
        <v>1</v>
      </c>
      <c r="H659" s="4" t="s">
        <v>46</v>
      </c>
      <c r="I659" s="4"/>
      <c r="K659" s="37" t="s">
        <v>1</v>
      </c>
      <c r="M659" t="s">
        <v>1</v>
      </c>
      <c r="N659" s="3" t="s">
        <v>1</v>
      </c>
      <c r="O659" s="3" t="s">
        <v>1</v>
      </c>
      <c r="P659" s="3"/>
    </row>
    <row r="660" spans="6:16" ht="12.75">
      <c r="F660" s="4" t="s">
        <v>36</v>
      </c>
      <c r="G660" s="4"/>
      <c r="H660" s="4" t="s">
        <v>47</v>
      </c>
      <c r="I660" s="4"/>
      <c r="K660" s="37" t="s">
        <v>1</v>
      </c>
      <c r="M660" t="s">
        <v>74</v>
      </c>
      <c r="N660" s="3" t="s">
        <v>1</v>
      </c>
      <c r="O660" s="3"/>
      <c r="P660" s="3"/>
    </row>
    <row r="661" spans="11:16" ht="12.75">
      <c r="K661" s="37" t="s">
        <v>1</v>
      </c>
      <c r="M661" t="s">
        <v>1</v>
      </c>
      <c r="N661" s="3" t="s">
        <v>1</v>
      </c>
      <c r="O661" s="3"/>
      <c r="P661" s="3"/>
    </row>
    <row r="662" spans="8:16" ht="12.75">
      <c r="H662">
        <f>14263000-5231678</f>
        <v>9031322</v>
      </c>
      <c r="K662" s="37" t="s">
        <v>1</v>
      </c>
      <c r="M662" t="s">
        <v>1</v>
      </c>
      <c r="N662" s="3" t="s">
        <v>1</v>
      </c>
      <c r="O662" s="3" t="s">
        <v>1</v>
      </c>
      <c r="P662" s="3"/>
    </row>
    <row r="663" spans="11:16" ht="12.75">
      <c r="K663" s="37"/>
      <c r="M663" t="s">
        <v>1</v>
      </c>
      <c r="N663" s="3" t="s">
        <v>1</v>
      </c>
      <c r="O663" s="3" t="s">
        <v>1</v>
      </c>
      <c r="P663" s="3"/>
    </row>
    <row r="664" spans="11:16" ht="12.75">
      <c r="K664" s="37"/>
      <c r="M664" t="s">
        <v>1</v>
      </c>
      <c r="N664" s="3" t="s">
        <v>1</v>
      </c>
      <c r="O664" s="3" t="s">
        <v>37</v>
      </c>
      <c r="P664" s="3"/>
    </row>
    <row r="665" spans="11:16" ht="12.75">
      <c r="K665" s="18"/>
      <c r="M665" t="s">
        <v>1</v>
      </c>
      <c r="N665" s="3" t="s">
        <v>1</v>
      </c>
      <c r="O665" s="3"/>
      <c r="P665" s="3"/>
    </row>
    <row r="666" spans="13:16" ht="12.75">
      <c r="M666" t="s">
        <v>37</v>
      </c>
      <c r="N666" s="3" t="s">
        <v>1</v>
      </c>
      <c r="O666" s="3"/>
      <c r="P666" s="3"/>
    </row>
    <row r="667" spans="13:16" ht="12.75">
      <c r="M667" t="s">
        <v>1</v>
      </c>
      <c r="N667" s="3"/>
      <c r="O667" s="3"/>
      <c r="P667" s="3"/>
    </row>
    <row r="668" spans="14:16" ht="12.75">
      <c r="N668" s="3"/>
      <c r="O668" s="3"/>
      <c r="P668" s="3"/>
    </row>
    <row r="669" spans="14:16" ht="12.75">
      <c r="N669" s="3"/>
      <c r="O669" s="3"/>
      <c r="P669" s="3"/>
    </row>
    <row r="670" spans="14:16" ht="12.75">
      <c r="N670" s="3"/>
      <c r="O670" s="3"/>
      <c r="P670" s="3"/>
    </row>
    <row r="671" spans="14:16" ht="12.75">
      <c r="N671" s="3"/>
      <c r="O671" s="3"/>
      <c r="P671" s="3"/>
    </row>
    <row r="672" spans="14:16" ht="12.75">
      <c r="N672" s="3"/>
      <c r="O672" s="3"/>
      <c r="P672" s="3"/>
    </row>
    <row r="673" spans="14:16" ht="12.75">
      <c r="N673" s="3"/>
      <c r="O673" s="3"/>
      <c r="P673" s="3"/>
    </row>
    <row r="674" spans="14:16" ht="12.75">
      <c r="N674" s="3"/>
      <c r="O674" s="3"/>
      <c r="P674" s="3"/>
    </row>
    <row r="675" spans="14:16" ht="12.75">
      <c r="N675" s="3"/>
      <c r="O675" s="3"/>
      <c r="P675" s="3"/>
    </row>
    <row r="676" spans="14:16" ht="12.75">
      <c r="N676" s="3"/>
      <c r="O676" s="3"/>
      <c r="P676" s="3"/>
    </row>
    <row r="677" spans="14:16" ht="12.75">
      <c r="N677" s="3"/>
      <c r="O677" s="3"/>
      <c r="P677" s="3"/>
    </row>
    <row r="678" spans="14:16" ht="12.75">
      <c r="N678" s="3"/>
      <c r="O678" s="3"/>
      <c r="P678" s="3"/>
    </row>
    <row r="679" spans="14:16" ht="12.75">
      <c r="N679" s="3"/>
      <c r="O679" s="3"/>
      <c r="P679" s="3"/>
    </row>
    <row r="680" spans="14:16" ht="12.75">
      <c r="N680" s="3"/>
      <c r="O680" s="3"/>
      <c r="P680" s="3"/>
    </row>
    <row r="681" spans="14:16" ht="12.75">
      <c r="N681" s="3"/>
      <c r="O681" s="3"/>
      <c r="P681" s="3"/>
    </row>
    <row r="682" spans="14:16" ht="12.75">
      <c r="N682" s="3"/>
      <c r="O682" s="3"/>
      <c r="P682" s="3"/>
    </row>
    <row r="683" spans="14:16" ht="12.75">
      <c r="N683" s="3"/>
      <c r="O683" s="3"/>
      <c r="P683" s="3"/>
    </row>
    <row r="684" spans="14:16" ht="12.75">
      <c r="N684" s="3"/>
      <c r="O684" s="3"/>
      <c r="P684" s="3"/>
    </row>
    <row r="685" spans="14:16" ht="12.75">
      <c r="N685" s="3"/>
      <c r="O685" s="3"/>
      <c r="P685" s="3"/>
    </row>
    <row r="686" spans="14:16" ht="12.75">
      <c r="N686" s="3"/>
      <c r="O686" s="3"/>
      <c r="P686" s="3"/>
    </row>
    <row r="687" spans="14:16" ht="12.75">
      <c r="N687" s="3"/>
      <c r="O687" s="3"/>
      <c r="P687" s="3"/>
    </row>
    <row r="688" spans="14:16" ht="12.75">
      <c r="N688" s="3"/>
      <c r="O688" s="3"/>
      <c r="P688" s="3"/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2008-08-05T21:27:24Z</cp:lastPrinted>
  <dcterms:created xsi:type="dcterms:W3CDTF">2007-01-13T18:42:48Z</dcterms:created>
  <dcterms:modified xsi:type="dcterms:W3CDTF">2008-12-04T00:03:28Z</dcterms:modified>
  <cp:category/>
  <cp:version/>
  <cp:contentType/>
  <cp:contentStatus/>
</cp:coreProperties>
</file>