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 " sheetId="1" r:id="rId1"/>
    <sheet name="INVERSION" sheetId="2" r:id="rId2"/>
    <sheet name="ADICIONES201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<sst xmlns="http://schemas.openxmlformats.org/spreadsheetml/2006/main" count="391" uniqueCount="138">
  <si>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</si>
  <si>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</si>
  <si>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</si>
  <si>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</si>
  <si>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</si>
  <si>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</si>
  <si>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</si>
  <si>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</si>
  <si>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</si>
  <si>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</si>
  <si>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</si>
  <si>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</si>
  <si>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</si>
  <si>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</si>
  <si>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</si>
  <si>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</si>
  <si>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</si>
  <si>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</si>
  <si>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</si>
  <si>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</si>
  <si>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</si>
  <si>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</si>
  <si>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</si>
  <si>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</si>
  <si>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</si>
  <si>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</si>
  <si>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</si>
  <si>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</si>
  <si>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</si>
  <si>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</si>
  <si>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</si>
  <si>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</si>
  <si>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</si>
  <si>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</si>
  <si>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</si>
  <si>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</si>
  <si>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Horas extras</t>
  </si>
  <si>
    <t>SALDO</t>
  </si>
  <si>
    <t>RESERVAS</t>
  </si>
  <si>
    <t>ICBF</t>
  </si>
  <si>
    <t>SENA</t>
  </si>
  <si>
    <t>sueldos personal de nomina vacaciones</t>
  </si>
  <si>
    <t>PAGOS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</si>
  <si>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</si>
  <si>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</si>
  <si>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</si>
  <si>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</si>
  <si>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</si>
  <si>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</si>
  <si>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</si>
  <si>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</si>
  <si>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</si>
  <si>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RECURSOS PROPIOS</t>
  </si>
  <si>
    <t>RECURSOS NACION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</si>
  <si>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</si>
  <si>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</si>
  <si>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</si>
  <si>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</si>
  <si>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</si>
  <si>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</si>
  <si>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</si>
  <si>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</si>
  <si>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</si>
  <si>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</si>
  <si>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</si>
  <si>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</si>
  <si>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</si>
  <si>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</si>
  <si>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</si>
  <si>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</si>
  <si>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</si>
  <si>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</si>
  <si>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</si>
  <si>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</si>
  <si>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CUENTAS</t>
  </si>
  <si>
    <t>POR PAGAR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</si>
  <si>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</si>
  <si>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</si>
  <si>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</si>
  <si>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</si>
  <si>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</si>
  <si>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</si>
  <si>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</si>
  <si>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>% DE EJEUCION COMPROMISOS</t>
  </si>
  <si>
    <t>SALDO PÓR EJECUTAR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</si>
  <si>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</si>
  <si>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</si>
  <si>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</si>
  <si>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</si>
  <si>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</si>
  <si>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</si>
  <si>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</si>
  <si>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</si>
  <si>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</si>
  <si>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RESOLUCION 0021</t>
  </si>
  <si>
    <t>05-0900-01</t>
  </si>
  <si>
    <t>EMBAJADA DE CANADA</t>
  </si>
  <si>
    <t>RESOLUCION 0107</t>
  </si>
  <si>
    <t>01-0900-01</t>
  </si>
  <si>
    <t>MPIOS</t>
  </si>
  <si>
    <t>02-0900-02</t>
  </si>
  <si>
    <t>RESOLUCION 0108</t>
  </si>
  <si>
    <t>MINISTERIO MEDIO AMBIENTE</t>
  </si>
  <si>
    <t>RESOLUCION 0109</t>
  </si>
  <si>
    <t>03-0900-02</t>
  </si>
  <si>
    <t>DEPARTAMENTO DEL HUILA</t>
  </si>
  <si>
    <t>RESOLUCION  0110</t>
  </si>
  <si>
    <t>UACT</t>
  </si>
  <si>
    <t>RESOLUCION 0111</t>
  </si>
  <si>
    <t>RESOLUCION 0484</t>
  </si>
  <si>
    <t>RESOLUCION 0569</t>
  </si>
  <si>
    <t>ACUERDO 002</t>
  </si>
  <si>
    <t>GASTOS DE PERSONAL</t>
  </si>
  <si>
    <t>MULTAS</t>
  </si>
  <si>
    <t>GASTOS GENERALES</t>
  </si>
  <si>
    <t>TRANSFERENCIAS</t>
  </si>
  <si>
    <t>FCA</t>
  </si>
  <si>
    <t>02-0900-03</t>
  </si>
  <si>
    <t>TSE</t>
  </si>
  <si>
    <t>TR</t>
  </si>
  <si>
    <t>TUA</t>
  </si>
  <si>
    <t>02-0900-04</t>
  </si>
  <si>
    <t>PORCENTAJE AMBIENTAL</t>
  </si>
  <si>
    <t>04-0900-01</t>
  </si>
  <si>
    <t>06-0900-01</t>
  </si>
  <si>
    <t>06-0900-02</t>
  </si>
  <si>
    <t>ACUERDO 003</t>
  </si>
  <si>
    <t>RESOLUCION 1155</t>
  </si>
  <si>
    <t>TOTAL INVERSION</t>
  </si>
  <si>
    <t>ecedentes fros</t>
  </si>
  <si>
    <t>acuerdo</t>
  </si>
  <si>
    <t>CANCELACION RESERVAS INTERESES</t>
  </si>
  <si>
    <t>EJECUCION PRESUPUESTAL A 30 DE SEPTIEMBRE DE 2013</t>
  </si>
  <si>
    <t>EJECUCION PRESUPUESTAL A 30 SEPTIEMBRE DE 2013</t>
  </si>
  <si>
    <t>acuerdo 007</t>
  </si>
  <si>
    <t>TRASLADO</t>
  </si>
  <si>
    <t>GATSO PERSONAL</t>
  </si>
  <si>
    <t>EJECUCION PRESUPUESTAL GASTOS DE INVERSION A NOVIEMBRE 25  DE 2013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</si>
</sst>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0" fontId="1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left"/>
    </xf>
    <xf numFmtId="3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junio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septiembre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2172196856.96</v>
          </cell>
        </row>
      </sheetData>
      <sheetData sheetId="2">
        <row r="36">
          <cell r="H36">
            <v>240246611</v>
          </cell>
        </row>
      </sheetData>
      <sheetData sheetId="3">
        <row r="35">
          <cell r="H35">
            <v>74762678</v>
          </cell>
        </row>
      </sheetData>
      <sheetData sheetId="4">
        <row r="28">
          <cell r="H28">
            <v>1867301538.748</v>
          </cell>
        </row>
      </sheetData>
      <sheetData sheetId="5">
        <row r="142">
          <cell r="H142">
            <v>2532483472.4040008</v>
          </cell>
        </row>
      </sheetData>
      <sheetData sheetId="6">
        <row r="73">
          <cell r="H73">
            <v>719983484.232</v>
          </cell>
        </row>
      </sheetData>
      <sheetData sheetId="7">
        <row r="23">
          <cell r="H23">
            <v>4589240857.672</v>
          </cell>
        </row>
      </sheetData>
      <sheetData sheetId="8">
        <row r="41">
          <cell r="H41">
            <v>248968257</v>
          </cell>
        </row>
      </sheetData>
      <sheetData sheetId="9">
        <row r="96">
          <cell r="H96">
            <v>6499197533.863999</v>
          </cell>
        </row>
      </sheetData>
      <sheetData sheetId="10">
        <row r="605">
          <cell r="H605">
            <v>902945021.9959999</v>
          </cell>
        </row>
      </sheetData>
      <sheetData sheetId="11">
        <row r="119">
          <cell r="H119">
            <v>348579833.988</v>
          </cell>
        </row>
      </sheetData>
      <sheetData sheetId="12">
        <row r="131">
          <cell r="I131">
            <v>745562911.0080001</v>
          </cell>
        </row>
      </sheetData>
      <sheetData sheetId="13">
        <row r="66">
          <cell r="H66">
            <v>560766328.9560002</v>
          </cell>
        </row>
      </sheetData>
      <sheetData sheetId="14">
        <row r="39">
          <cell r="H39">
            <v>318895408.78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1">
          <cell r="E41">
            <v>27556621538.1</v>
          </cell>
          <cell r="F41">
            <v>16092694746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26">
          <cell r="D26">
            <v>17376765.26</v>
          </cell>
        </row>
        <row r="28">
          <cell r="D28">
            <v>3115185173</v>
          </cell>
        </row>
        <row r="29">
          <cell r="D29">
            <v>250217557</v>
          </cell>
        </row>
        <row r="42">
          <cell r="C42">
            <v>16948686990.1</v>
          </cell>
          <cell r="D42">
            <v>11584837357.970001</v>
          </cell>
          <cell r="E42">
            <v>28533524347.97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22">
      <selection activeCell="A27" sqref="A2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0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customWidth="1"/>
    <col min="19" max="19" width="16.00390625" style="0" customWidth="1"/>
    <col min="20" max="20" width="13.57421875" style="0" customWidth="1"/>
  </cols>
  <sheetData>
    <row r="1" spans="1:22" ht="12.7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ht="12.75">
      <c r="A2" s="123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12.75">
      <c r="A3" s="123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</row>
    <row r="4" spans="1:22" ht="13.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R4" s="42"/>
      <c r="S4" s="42"/>
      <c r="T4" s="42"/>
      <c r="U4" s="42"/>
      <c r="V4" s="42"/>
    </row>
    <row r="5" spans="1:22" ht="51">
      <c r="A5" s="68"/>
      <c r="B5" s="69" t="s">
        <v>6</v>
      </c>
      <c r="C5" s="70"/>
      <c r="D5" s="70" t="s">
        <v>7</v>
      </c>
      <c r="E5" s="70"/>
      <c r="F5" s="52"/>
      <c r="G5" s="69" t="s">
        <v>3</v>
      </c>
      <c r="H5" s="69" t="s">
        <v>2</v>
      </c>
      <c r="I5" s="69" t="s">
        <v>3</v>
      </c>
      <c r="J5" s="71" t="s">
        <v>35</v>
      </c>
      <c r="K5" s="71" t="s">
        <v>42</v>
      </c>
      <c r="L5" s="71" t="s">
        <v>74</v>
      </c>
      <c r="M5" s="71" t="s">
        <v>38</v>
      </c>
      <c r="N5" s="72" t="s">
        <v>37</v>
      </c>
      <c r="O5" s="73" t="s">
        <v>51</v>
      </c>
      <c r="R5" s="106" t="s">
        <v>80</v>
      </c>
      <c r="S5" s="107" t="s">
        <v>81</v>
      </c>
      <c r="T5" s="107" t="s">
        <v>84</v>
      </c>
      <c r="U5" s="107" t="s">
        <v>82</v>
      </c>
      <c r="V5" s="108" t="s">
        <v>83</v>
      </c>
    </row>
    <row r="6" spans="1:22" ht="12.75">
      <c r="A6" s="59"/>
      <c r="B6" s="3"/>
      <c r="C6" s="3"/>
      <c r="D6" s="3" t="s">
        <v>8</v>
      </c>
      <c r="E6" s="3"/>
      <c r="F6" s="22" t="s">
        <v>9</v>
      </c>
      <c r="G6" s="22" t="s">
        <v>4</v>
      </c>
      <c r="H6" s="22" t="s">
        <v>10</v>
      </c>
      <c r="I6" s="22" t="s">
        <v>5</v>
      </c>
      <c r="J6" s="12" t="s">
        <v>1</v>
      </c>
      <c r="K6" s="35"/>
      <c r="L6" s="12" t="s">
        <v>75</v>
      </c>
      <c r="M6" s="35"/>
      <c r="N6" s="17" t="s">
        <v>43</v>
      </c>
      <c r="O6" s="60"/>
      <c r="R6" s="109"/>
      <c r="S6" s="2"/>
      <c r="T6" s="2"/>
      <c r="U6" s="2"/>
      <c r="V6" s="110"/>
    </row>
    <row r="7" spans="1:22" ht="13.5" thickBot="1">
      <c r="A7" s="61"/>
      <c r="B7" s="62"/>
      <c r="C7" s="62"/>
      <c r="D7" s="62" t="s">
        <v>11</v>
      </c>
      <c r="E7" s="62"/>
      <c r="F7" s="63"/>
      <c r="G7" s="64" t="s">
        <v>1</v>
      </c>
      <c r="H7" s="111" t="s">
        <v>1</v>
      </c>
      <c r="I7" s="64" t="s">
        <v>26</v>
      </c>
      <c r="J7" s="65" t="s">
        <v>1</v>
      </c>
      <c r="K7" s="65"/>
      <c r="L7" s="65"/>
      <c r="M7" s="65"/>
      <c r="N7" s="66"/>
      <c r="O7" s="67"/>
      <c r="R7" s="74"/>
      <c r="S7" s="75"/>
      <c r="T7" s="75"/>
      <c r="U7" s="75"/>
      <c r="V7" s="76"/>
    </row>
    <row r="8" spans="1:22" ht="12.75">
      <c r="A8" s="52"/>
      <c r="B8" s="52"/>
      <c r="C8" s="52"/>
      <c r="D8" s="52"/>
      <c r="E8" s="52"/>
      <c r="F8" s="52"/>
      <c r="G8" s="53" t="s">
        <v>1</v>
      </c>
      <c r="H8" s="53" t="s">
        <v>1</v>
      </c>
      <c r="I8" s="54" t="s">
        <v>1</v>
      </c>
      <c r="J8" s="55">
        <f>+J9+J44</f>
        <v>5666897750</v>
      </c>
      <c r="K8" s="56">
        <f>+K9+K44</f>
        <v>5154185536</v>
      </c>
      <c r="L8" s="56"/>
      <c r="M8" s="56">
        <f>+L9+M9</f>
        <v>472096128</v>
      </c>
      <c r="N8" s="57"/>
      <c r="O8" s="58"/>
      <c r="R8" s="105"/>
      <c r="S8" s="119" t="s">
        <v>1</v>
      </c>
      <c r="T8" s="105"/>
      <c r="U8" s="105"/>
      <c r="V8" s="105"/>
    </row>
    <row r="9" spans="1:22" ht="12.75">
      <c r="A9" s="10" t="s">
        <v>12</v>
      </c>
      <c r="B9" s="10"/>
      <c r="C9" s="10"/>
      <c r="D9" s="10"/>
      <c r="E9" s="10"/>
      <c r="F9" s="10" t="s">
        <v>27</v>
      </c>
      <c r="G9" s="5">
        <f>SUM(G10+G23+G27)</f>
        <v>4416984995</v>
      </c>
      <c r="H9" s="5">
        <f>SUM(H10+H23+H27)</f>
        <v>574099882</v>
      </c>
      <c r="I9" s="27">
        <f>+G9+H9</f>
        <v>4991084877</v>
      </c>
      <c r="J9" s="25">
        <f>SUM(J10+J23+J27)</f>
        <v>4029465212</v>
      </c>
      <c r="K9" s="25">
        <f>SUM(K10+K23+K27)</f>
        <v>3557369084</v>
      </c>
      <c r="L9" s="25">
        <f>SUM(L10+L23+L27)</f>
        <v>106376379</v>
      </c>
      <c r="M9" s="25">
        <f>SUM(M10+M23+M27)</f>
        <v>365719749</v>
      </c>
      <c r="N9" s="39">
        <f>+I9-J9</f>
        <v>961619665</v>
      </c>
      <c r="O9" s="41">
        <f>+J9/I9*100</f>
        <v>80.73325361723758</v>
      </c>
      <c r="P9" s="34"/>
      <c r="R9" s="5">
        <f>SUM(R10+R23+R27)</f>
        <v>2167477947</v>
      </c>
      <c r="S9" s="5">
        <f>SUM(S10+S23+S27)</f>
        <v>2024165408</v>
      </c>
      <c r="T9" s="46">
        <f>+I9-R9</f>
        <v>2823606930</v>
      </c>
      <c r="U9" s="41">
        <f>+R9/I9*100</f>
        <v>43.42699033206603</v>
      </c>
      <c r="V9" s="41">
        <f>+S9/I9*100</f>
        <v>40.55561982782125</v>
      </c>
    </row>
    <row r="10" spans="1:22" ht="12.75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 t="s">
        <v>13</v>
      </c>
      <c r="G10" s="5">
        <f>SUM(G11+G18+G19+G20+G21+G22)</f>
        <v>1840923812</v>
      </c>
      <c r="H10" s="5">
        <f>SUM(H11+H18+H19+H20+H21+H22)</f>
        <v>10000000</v>
      </c>
      <c r="I10" s="27">
        <f>+G10+H10</f>
        <v>1850923812</v>
      </c>
      <c r="J10" s="25">
        <f>SUM(J11+J18+J19+J20+J21+J22)</f>
        <v>1475405321</v>
      </c>
      <c r="K10" s="25">
        <f>SUM(K11+K18+K19+K20+K21+K22)</f>
        <v>1363123178</v>
      </c>
      <c r="L10" s="25">
        <f>SUM(L11+L18+L19+L20+L21+L22)</f>
        <v>64037939</v>
      </c>
      <c r="M10" s="25">
        <f>SUM(M11+M18+M19+M20+M21+M22)</f>
        <v>48244204</v>
      </c>
      <c r="N10" s="39">
        <f aca="true" t="shared" si="0" ref="N10:N31">+I10-J10</f>
        <v>375518491</v>
      </c>
      <c r="O10" s="41">
        <f aca="true" t="shared" si="1" ref="O10:O30">+J10/I10*100</f>
        <v>79.71183424377492</v>
      </c>
      <c r="P10" s="34"/>
      <c r="R10" s="5">
        <f>SUM(R11+R18+R19+R20+R21+R22)</f>
        <v>758973111</v>
      </c>
      <c r="S10" s="5">
        <f>SUM(S11+S18+S19+S20+S21+S22)</f>
        <v>709286951</v>
      </c>
      <c r="T10" s="46">
        <f aca="true" t="shared" si="2" ref="T10:T31">+I10-R10</f>
        <v>1091950701</v>
      </c>
      <c r="U10" s="41">
        <f aca="true" t="shared" si="3" ref="U10:U31">+R10/I10*100</f>
        <v>41.00509735081413</v>
      </c>
      <c r="V10" s="41">
        <f aca="true" t="shared" si="4" ref="V10:V31">+S10/I10*100</f>
        <v>38.320699447568614</v>
      </c>
    </row>
    <row r="11" spans="1:22" ht="12.75">
      <c r="A11" s="10" t="s">
        <v>12</v>
      </c>
      <c r="B11" s="10">
        <v>1</v>
      </c>
      <c r="C11" s="10">
        <v>1</v>
      </c>
      <c r="D11" s="10">
        <v>1</v>
      </c>
      <c r="E11" s="10">
        <v>0</v>
      </c>
      <c r="F11" s="10" t="s">
        <v>14</v>
      </c>
      <c r="G11" s="5">
        <f>SUM(G12:G17)</f>
        <v>1066249418</v>
      </c>
      <c r="H11" s="5">
        <f>SUM(H12:H17)</f>
        <v>0</v>
      </c>
      <c r="I11" s="27">
        <f aca="true" t="shared" si="5" ref="I11:I31">+G11+H11</f>
        <v>1066249418</v>
      </c>
      <c r="J11" s="25">
        <f>SUM(J12:J17)</f>
        <v>732027914</v>
      </c>
      <c r="K11" s="25">
        <f>SUM(K12:K17)</f>
        <v>732027914</v>
      </c>
      <c r="L11" s="25">
        <f>SUM(L12:L17)</f>
        <v>0</v>
      </c>
      <c r="M11" s="25">
        <f>SUM(M12:M17)</f>
        <v>0</v>
      </c>
      <c r="N11" s="39">
        <f t="shared" si="0"/>
        <v>334221504</v>
      </c>
      <c r="O11" s="41">
        <f t="shared" si="1"/>
        <v>68.6544725504366</v>
      </c>
      <c r="P11" s="34"/>
      <c r="R11" s="5">
        <f>SUM(R12:R17)</f>
        <v>197637846</v>
      </c>
      <c r="S11" s="5">
        <f>SUM(S12:S17)</f>
        <v>196067851</v>
      </c>
      <c r="T11" s="46">
        <f t="shared" si="2"/>
        <v>868611572</v>
      </c>
      <c r="U11" s="41">
        <f t="shared" si="3"/>
        <v>18.535798722471146</v>
      </c>
      <c r="V11" s="41">
        <f t="shared" si="4"/>
        <v>18.388554093447578</v>
      </c>
    </row>
    <row r="12" spans="1:22" ht="12.75">
      <c r="A12" s="10" t="s">
        <v>12</v>
      </c>
      <c r="B12" s="10">
        <v>1</v>
      </c>
      <c r="C12" s="10">
        <v>1</v>
      </c>
      <c r="D12" s="10">
        <v>1</v>
      </c>
      <c r="E12" s="10">
        <v>1</v>
      </c>
      <c r="F12" s="10" t="s">
        <v>15</v>
      </c>
      <c r="G12" s="5">
        <v>699180255</v>
      </c>
      <c r="H12" s="5">
        <f>-30000000+311300000-311300000</f>
        <v>-30000000</v>
      </c>
      <c r="I12" s="27">
        <f t="shared" si="5"/>
        <v>669180255</v>
      </c>
      <c r="J12" s="25">
        <v>416561778</v>
      </c>
      <c r="K12" s="49">
        <f>+J12-L12-M12</f>
        <v>416561778</v>
      </c>
      <c r="L12" s="49">
        <v>0</v>
      </c>
      <c r="M12" s="49">
        <v>0</v>
      </c>
      <c r="N12" s="39">
        <f t="shared" si="0"/>
        <v>252618477</v>
      </c>
      <c r="O12" s="41">
        <f t="shared" si="1"/>
        <v>62.24956204064927</v>
      </c>
      <c r="P12" s="34"/>
      <c r="R12" s="5">
        <v>19911091</v>
      </c>
      <c r="S12" s="5">
        <f>+R12</f>
        <v>19911091</v>
      </c>
      <c r="T12" s="46">
        <f t="shared" si="2"/>
        <v>649269164</v>
      </c>
      <c r="U12" s="41">
        <f t="shared" si="3"/>
        <v>2.975445083925855</v>
      </c>
      <c r="V12" s="41">
        <f t="shared" si="4"/>
        <v>2.975445083925855</v>
      </c>
    </row>
    <row r="13" spans="1:22" ht="12.75">
      <c r="A13" s="10" t="s">
        <v>12</v>
      </c>
      <c r="B13" s="10">
        <v>1</v>
      </c>
      <c r="C13" s="10">
        <v>1</v>
      </c>
      <c r="D13" s="10">
        <v>1</v>
      </c>
      <c r="E13" s="10">
        <v>2</v>
      </c>
      <c r="F13" s="2" t="s">
        <v>41</v>
      </c>
      <c r="G13" s="5">
        <v>116272121</v>
      </c>
      <c r="H13" s="5">
        <v>0</v>
      </c>
      <c r="I13" s="27">
        <f t="shared" si="5"/>
        <v>116272121</v>
      </c>
      <c r="J13" s="26">
        <v>73841117</v>
      </c>
      <c r="K13" s="49">
        <f aca="true" t="shared" si="6" ref="K13:K30">+J13-L13-M13</f>
        <v>73841117</v>
      </c>
      <c r="L13" s="26">
        <v>0</v>
      </c>
      <c r="M13" s="26">
        <v>0</v>
      </c>
      <c r="N13" s="39">
        <f t="shared" si="0"/>
        <v>42431004</v>
      </c>
      <c r="O13" s="41">
        <f t="shared" si="1"/>
        <v>63.507155769524495</v>
      </c>
      <c r="P13" s="34"/>
      <c r="R13" s="5">
        <v>35010327</v>
      </c>
      <c r="S13" s="5">
        <f>+R13</f>
        <v>35010327</v>
      </c>
      <c r="T13" s="46">
        <f t="shared" si="2"/>
        <v>81261794</v>
      </c>
      <c r="U13" s="41">
        <f t="shared" si="3"/>
        <v>30.110680616207215</v>
      </c>
      <c r="V13" s="41">
        <f t="shared" si="4"/>
        <v>30.110680616207215</v>
      </c>
    </row>
    <row r="14" spans="1:22" ht="12.75">
      <c r="A14" s="10" t="s">
        <v>12</v>
      </c>
      <c r="B14" s="10">
        <v>1</v>
      </c>
      <c r="C14" s="10">
        <v>1</v>
      </c>
      <c r="D14" s="10">
        <v>9</v>
      </c>
      <c r="E14" s="10">
        <v>1</v>
      </c>
      <c r="F14" s="10" t="s">
        <v>36</v>
      </c>
      <c r="G14" s="5">
        <v>0</v>
      </c>
      <c r="H14" s="5">
        <v>0</v>
      </c>
      <c r="I14" s="27">
        <f t="shared" si="5"/>
        <v>0</v>
      </c>
      <c r="J14" s="38">
        <v>178696</v>
      </c>
      <c r="K14" s="49">
        <f t="shared" si="6"/>
        <v>178696</v>
      </c>
      <c r="L14" s="26">
        <v>0</v>
      </c>
      <c r="M14" s="26">
        <v>0</v>
      </c>
      <c r="N14" s="39">
        <f t="shared" si="0"/>
        <v>-178696</v>
      </c>
      <c r="O14" s="41" t="e">
        <f t="shared" si="1"/>
        <v>#DIV/0!</v>
      </c>
      <c r="P14" s="34"/>
      <c r="R14" s="5">
        <v>0</v>
      </c>
      <c r="S14" s="5">
        <v>0</v>
      </c>
      <c r="T14" s="46">
        <f t="shared" si="2"/>
        <v>0</v>
      </c>
      <c r="U14" s="41">
        <v>0</v>
      </c>
      <c r="V14" s="41">
        <v>0</v>
      </c>
    </row>
    <row r="15" spans="1:22" ht="12.75">
      <c r="A15" s="10" t="s">
        <v>12</v>
      </c>
      <c r="B15" s="10">
        <v>1</v>
      </c>
      <c r="C15" s="10">
        <v>1</v>
      </c>
      <c r="D15" s="10">
        <v>9</v>
      </c>
      <c r="E15" s="10">
        <v>3</v>
      </c>
      <c r="F15" s="10" t="s">
        <v>28</v>
      </c>
      <c r="G15" s="5">
        <v>10000000</v>
      </c>
      <c r="H15" s="5">
        <v>30000000</v>
      </c>
      <c r="I15" s="27">
        <f t="shared" si="5"/>
        <v>40000000</v>
      </c>
      <c r="J15" s="25">
        <v>28781062</v>
      </c>
      <c r="K15" s="49">
        <f t="shared" si="6"/>
        <v>28781062</v>
      </c>
      <c r="L15" s="49">
        <v>0</v>
      </c>
      <c r="M15" s="49">
        <v>0</v>
      </c>
      <c r="N15" s="39">
        <f t="shared" si="0"/>
        <v>11218938</v>
      </c>
      <c r="O15" s="41">
        <f t="shared" si="1"/>
        <v>71.952655</v>
      </c>
      <c r="P15" s="34"/>
      <c r="R15" s="5">
        <v>35288384</v>
      </c>
      <c r="S15" s="5">
        <f>+R15</f>
        <v>35288384</v>
      </c>
      <c r="T15" s="46">
        <f t="shared" si="2"/>
        <v>4711616</v>
      </c>
      <c r="U15" s="41">
        <f t="shared" si="3"/>
        <v>88.22096</v>
      </c>
      <c r="V15" s="41">
        <f t="shared" si="4"/>
        <v>88.22096</v>
      </c>
    </row>
    <row r="16" spans="1:22" ht="12.75">
      <c r="A16" s="10" t="s">
        <v>12</v>
      </c>
      <c r="B16" s="10">
        <v>1</v>
      </c>
      <c r="C16" s="10">
        <v>1</v>
      </c>
      <c r="D16" s="10">
        <v>4</v>
      </c>
      <c r="E16" s="10">
        <v>2</v>
      </c>
      <c r="F16" s="10" t="s">
        <v>16</v>
      </c>
      <c r="G16" s="5">
        <v>53084760</v>
      </c>
      <c r="H16" s="5">
        <f>15600000-15600000</f>
        <v>0</v>
      </c>
      <c r="I16" s="27">
        <f t="shared" si="5"/>
        <v>53084760</v>
      </c>
      <c r="J16" s="25">
        <v>54522631</v>
      </c>
      <c r="K16" s="49">
        <f t="shared" si="6"/>
        <v>54522631</v>
      </c>
      <c r="L16" s="49">
        <v>0</v>
      </c>
      <c r="M16" s="49">
        <v>0</v>
      </c>
      <c r="N16" s="39">
        <f t="shared" si="0"/>
        <v>-1437871</v>
      </c>
      <c r="O16" s="41">
        <f t="shared" si="1"/>
        <v>102.70863238338083</v>
      </c>
      <c r="P16" s="34"/>
      <c r="R16" s="5">
        <v>1569995</v>
      </c>
      <c r="S16" s="5">
        <v>0</v>
      </c>
      <c r="T16" s="46">
        <f t="shared" si="2"/>
        <v>51514765</v>
      </c>
      <c r="U16" s="41">
        <f t="shared" si="3"/>
        <v>2.95752490922065</v>
      </c>
      <c r="V16" s="41">
        <f t="shared" si="4"/>
        <v>0</v>
      </c>
    </row>
    <row r="17" spans="1:22" ht="12.75">
      <c r="A17" s="10" t="s">
        <v>12</v>
      </c>
      <c r="B17" s="10">
        <v>1</v>
      </c>
      <c r="C17" s="10">
        <v>1</v>
      </c>
      <c r="D17" s="10">
        <v>5</v>
      </c>
      <c r="E17" s="10">
        <v>0</v>
      </c>
      <c r="F17" s="10" t="s">
        <v>17</v>
      </c>
      <c r="G17" s="5">
        <v>187712282</v>
      </c>
      <c r="H17" s="5">
        <f>700000+12800000+13300000+27700000-700000-12800000-13300000-27700000</f>
        <v>0</v>
      </c>
      <c r="I17" s="27">
        <f t="shared" si="5"/>
        <v>187712282</v>
      </c>
      <c r="J17" s="25">
        <f>34204869+7275594+5463853+5276740+12632358+46474064+37346884+9468268</f>
        <v>158142630</v>
      </c>
      <c r="K17" s="49">
        <f t="shared" si="6"/>
        <v>158142630</v>
      </c>
      <c r="L17" s="49">
        <v>0</v>
      </c>
      <c r="M17" s="49">
        <v>0</v>
      </c>
      <c r="N17" s="39">
        <f t="shared" si="0"/>
        <v>29569652</v>
      </c>
      <c r="O17" s="41">
        <f t="shared" si="1"/>
        <v>84.24735361748998</v>
      </c>
      <c r="P17" s="34"/>
      <c r="Q17" s="1"/>
      <c r="R17" s="5">
        <f>25299290+5577796+3173112+3171175+11755590+41003052+10342272+5535762</f>
        <v>105858049</v>
      </c>
      <c r="S17" s="5">
        <f>+R17</f>
        <v>105858049</v>
      </c>
      <c r="T17" s="46">
        <f t="shared" si="2"/>
        <v>81854233</v>
      </c>
      <c r="U17" s="41">
        <f t="shared" si="3"/>
        <v>56.39377875124868</v>
      </c>
      <c r="V17" s="41">
        <f t="shared" si="4"/>
        <v>56.39377875124868</v>
      </c>
    </row>
    <row r="18" spans="1:22" ht="12.75">
      <c r="A18" s="10" t="s">
        <v>12</v>
      </c>
      <c r="B18" s="10">
        <v>1</v>
      </c>
      <c r="C18" s="10">
        <v>0</v>
      </c>
      <c r="D18" s="10">
        <v>2</v>
      </c>
      <c r="E18" s="10">
        <v>0</v>
      </c>
      <c r="F18" s="10" t="s">
        <v>29</v>
      </c>
      <c r="G18" s="5">
        <v>373927326</v>
      </c>
      <c r="H18" s="5">
        <v>10000000</v>
      </c>
      <c r="I18" s="27">
        <f t="shared" si="5"/>
        <v>383927326</v>
      </c>
      <c r="J18" s="25">
        <f>315647592+16551920</f>
        <v>332199512</v>
      </c>
      <c r="K18" s="49">
        <f t="shared" si="6"/>
        <v>276847411</v>
      </c>
      <c r="L18" s="49">
        <f>+'[2]2010'!$F$19</f>
        <v>7107897</v>
      </c>
      <c r="M18" s="49">
        <f>+'[1]RESERVAS 2012'!$G$23</f>
        <v>48244204</v>
      </c>
      <c r="N18" s="39">
        <f t="shared" si="0"/>
        <v>51727814</v>
      </c>
      <c r="O18" s="41">
        <f t="shared" si="1"/>
        <v>86.52666520538317</v>
      </c>
      <c r="P18" s="34"/>
      <c r="Q18" s="9" t="s">
        <v>1</v>
      </c>
      <c r="R18" s="5">
        <f>10126147+353088801</f>
        <v>363214948</v>
      </c>
      <c r="S18" s="5">
        <f>+R18</f>
        <v>363214948</v>
      </c>
      <c r="T18" s="46">
        <f t="shared" si="2"/>
        <v>20712378</v>
      </c>
      <c r="U18" s="41">
        <f t="shared" si="3"/>
        <v>94.60513055535932</v>
      </c>
      <c r="V18" s="41">
        <f t="shared" si="4"/>
        <v>94.60513055535932</v>
      </c>
    </row>
    <row r="19" spans="1:22" ht="12.75">
      <c r="A19" s="10" t="s">
        <v>12</v>
      </c>
      <c r="B19" s="10">
        <v>1</v>
      </c>
      <c r="C19" s="10">
        <v>5</v>
      </c>
      <c r="D19" s="10">
        <v>0</v>
      </c>
      <c r="E19" s="10">
        <v>1</v>
      </c>
      <c r="F19" s="10" t="s">
        <v>18</v>
      </c>
      <c r="G19" s="5">
        <v>248551740</v>
      </c>
      <c r="H19" s="5">
        <f>66920000-66920000</f>
        <v>0</v>
      </c>
      <c r="I19" s="27">
        <f t="shared" si="5"/>
        <v>248551740</v>
      </c>
      <c r="J19" s="25">
        <v>247834776</v>
      </c>
      <c r="K19" s="49">
        <f t="shared" si="6"/>
        <v>214899761</v>
      </c>
      <c r="L19" s="49">
        <f>8224366+12087256+993860+11629533</f>
        <v>32935015</v>
      </c>
      <c r="M19" s="49">
        <v>0</v>
      </c>
      <c r="N19" s="39">
        <f t="shared" si="0"/>
        <v>716964</v>
      </c>
      <c r="O19" s="41">
        <f t="shared" si="1"/>
        <v>99.71154335914125</v>
      </c>
      <c r="P19" s="34"/>
      <c r="Q19" s="1"/>
      <c r="R19" s="5">
        <v>150004152</v>
      </c>
      <c r="S19" s="5">
        <f>+R19</f>
        <v>150004152</v>
      </c>
      <c r="T19" s="46">
        <f t="shared" si="2"/>
        <v>98547588</v>
      </c>
      <c r="U19" s="41">
        <f t="shared" si="3"/>
        <v>60.35127816848114</v>
      </c>
      <c r="V19" s="41">
        <f t="shared" si="4"/>
        <v>60.35127816848114</v>
      </c>
    </row>
    <row r="20" spans="1:22" ht="12.75">
      <c r="A20" s="10" t="s">
        <v>12</v>
      </c>
      <c r="B20" s="10">
        <v>1</v>
      </c>
      <c r="C20" s="10">
        <v>5</v>
      </c>
      <c r="D20" s="10">
        <v>0</v>
      </c>
      <c r="E20" s="10">
        <v>2</v>
      </c>
      <c r="F20" s="10" t="s">
        <v>19</v>
      </c>
      <c r="G20" s="5">
        <v>97728535</v>
      </c>
      <c r="H20" s="5">
        <f>36680000-36680000</f>
        <v>0</v>
      </c>
      <c r="I20" s="27">
        <f t="shared" si="5"/>
        <v>97728535</v>
      </c>
      <c r="J20" s="25">
        <v>111563496</v>
      </c>
      <c r="K20" s="49">
        <f t="shared" si="6"/>
        <v>102104983</v>
      </c>
      <c r="L20" s="49">
        <f>8470477+988036</f>
        <v>9458513</v>
      </c>
      <c r="M20" s="49">
        <v>0</v>
      </c>
      <c r="N20" s="39">
        <f t="shared" si="0"/>
        <v>-13834961</v>
      </c>
      <c r="O20" s="41">
        <f t="shared" si="1"/>
        <v>114.15652142948834</v>
      </c>
      <c r="P20" s="34"/>
      <c r="Q20" s="1"/>
      <c r="R20" s="5">
        <v>21898995</v>
      </c>
      <c r="S20" s="5">
        <v>0</v>
      </c>
      <c r="T20" s="46">
        <f t="shared" si="2"/>
        <v>75829540</v>
      </c>
      <c r="U20" s="41">
        <f t="shared" si="3"/>
        <v>22.407984525706848</v>
      </c>
      <c r="V20" s="41">
        <f t="shared" si="4"/>
        <v>0</v>
      </c>
    </row>
    <row r="21" spans="1:22" ht="12.75">
      <c r="A21" s="10" t="s">
        <v>12</v>
      </c>
      <c r="B21" s="10">
        <v>1</v>
      </c>
      <c r="C21" s="10">
        <v>5</v>
      </c>
      <c r="D21" s="10">
        <v>0</v>
      </c>
      <c r="E21" s="10">
        <v>6</v>
      </c>
      <c r="F21" s="2" t="s">
        <v>39</v>
      </c>
      <c r="G21" s="5">
        <v>37438676</v>
      </c>
      <c r="H21" s="5">
        <f>9000000-9000000</f>
        <v>0</v>
      </c>
      <c r="I21" s="27">
        <f t="shared" si="5"/>
        <v>37438676</v>
      </c>
      <c r="J21" s="25">
        <v>34198780</v>
      </c>
      <c r="K21" s="49">
        <f t="shared" si="6"/>
        <v>25477032</v>
      </c>
      <c r="L21" s="49">
        <v>8721748</v>
      </c>
      <c r="M21" s="49">
        <v>0</v>
      </c>
      <c r="N21" s="39">
        <f t="shared" si="0"/>
        <v>3239896</v>
      </c>
      <c r="O21" s="41">
        <f t="shared" si="1"/>
        <v>91.34612559482605</v>
      </c>
      <c r="P21" s="34"/>
      <c r="Q21" s="1"/>
      <c r="R21" s="5">
        <v>20192668</v>
      </c>
      <c r="S21" s="5">
        <v>0</v>
      </c>
      <c r="T21" s="46">
        <f t="shared" si="2"/>
        <v>17246008</v>
      </c>
      <c r="U21" s="41">
        <f t="shared" si="3"/>
        <v>53.93531544758687</v>
      </c>
      <c r="V21" s="41">
        <f t="shared" si="4"/>
        <v>0</v>
      </c>
    </row>
    <row r="22" spans="1:22" ht="12.75">
      <c r="A22" s="10" t="s">
        <v>12</v>
      </c>
      <c r="B22" s="10">
        <v>1</v>
      </c>
      <c r="C22" s="10">
        <v>5</v>
      </c>
      <c r="D22" s="10">
        <v>0</v>
      </c>
      <c r="E22" s="10">
        <v>7</v>
      </c>
      <c r="F22" s="2" t="s">
        <v>40</v>
      </c>
      <c r="G22" s="5">
        <v>17028117</v>
      </c>
      <c r="H22" s="5">
        <f>6000000-6000000</f>
        <v>0</v>
      </c>
      <c r="I22" s="27">
        <f t="shared" si="5"/>
        <v>17028117</v>
      </c>
      <c r="J22" s="25">
        <v>17580843</v>
      </c>
      <c r="K22" s="49">
        <f t="shared" si="6"/>
        <v>11766077</v>
      </c>
      <c r="L22" s="49">
        <v>5814766</v>
      </c>
      <c r="M22" s="49">
        <v>0</v>
      </c>
      <c r="N22" s="39">
        <f t="shared" si="0"/>
        <v>-552726</v>
      </c>
      <c r="O22" s="41">
        <f t="shared" si="1"/>
        <v>103.24596078356755</v>
      </c>
      <c r="P22" s="34"/>
      <c r="Q22" s="1"/>
      <c r="R22" s="5">
        <v>6024502</v>
      </c>
      <c r="S22" s="5">
        <v>0</v>
      </c>
      <c r="T22" s="46">
        <f t="shared" si="2"/>
        <v>11003615</v>
      </c>
      <c r="U22" s="41">
        <f t="shared" si="3"/>
        <v>35.379731064802996</v>
      </c>
      <c r="V22" s="41">
        <f t="shared" si="4"/>
        <v>0</v>
      </c>
    </row>
    <row r="23" spans="1:22" ht="12.75">
      <c r="A23" s="10" t="s">
        <v>12</v>
      </c>
      <c r="B23" s="10">
        <v>2</v>
      </c>
      <c r="C23" s="10">
        <v>0</v>
      </c>
      <c r="D23" s="10">
        <v>0</v>
      </c>
      <c r="E23" s="10">
        <v>0</v>
      </c>
      <c r="F23" s="10" t="s">
        <v>20</v>
      </c>
      <c r="G23" s="5">
        <f>SUM(G24:G26)</f>
        <v>951723950</v>
      </c>
      <c r="H23" s="5">
        <f>+H24+H25+H26</f>
        <v>410000000</v>
      </c>
      <c r="I23" s="27">
        <f t="shared" si="5"/>
        <v>1361723950</v>
      </c>
      <c r="J23" s="25">
        <f>SUM(J24:J26)</f>
        <v>1229209047</v>
      </c>
      <c r="K23" s="25">
        <f>SUM(K24:K26)</f>
        <v>869395062</v>
      </c>
      <c r="L23" s="25">
        <f>SUM(L24:L26)</f>
        <v>42338440</v>
      </c>
      <c r="M23" s="25">
        <f>SUM(M24:M26)</f>
        <v>317475545</v>
      </c>
      <c r="N23" s="39">
        <f t="shared" si="0"/>
        <v>132514903</v>
      </c>
      <c r="O23" s="41">
        <f t="shared" si="1"/>
        <v>90.26859276434112</v>
      </c>
      <c r="P23" s="34"/>
      <c r="Q23" s="1"/>
      <c r="R23" s="5">
        <f>SUM(R24:R26)</f>
        <v>712643279</v>
      </c>
      <c r="S23" s="5">
        <f>SUM(S24:S26)</f>
        <v>619511334</v>
      </c>
      <c r="T23" s="46">
        <f t="shared" si="2"/>
        <v>649080671</v>
      </c>
      <c r="U23" s="41">
        <f t="shared" si="3"/>
        <v>52.33390210989533</v>
      </c>
      <c r="V23" s="41">
        <f t="shared" si="4"/>
        <v>45.4946345035644</v>
      </c>
    </row>
    <row r="24" spans="1:22" ht="12.75">
      <c r="A24" s="10" t="s">
        <v>12</v>
      </c>
      <c r="B24" s="10">
        <v>2</v>
      </c>
      <c r="C24" s="10">
        <v>4</v>
      </c>
      <c r="D24" s="10">
        <v>0</v>
      </c>
      <c r="E24" s="10">
        <v>0</v>
      </c>
      <c r="F24" s="10" t="s">
        <v>30</v>
      </c>
      <c r="G24" s="5">
        <v>190765000</v>
      </c>
      <c r="H24" s="5">
        <v>350000000</v>
      </c>
      <c r="I24" s="27">
        <f t="shared" si="5"/>
        <v>540765000</v>
      </c>
      <c r="J24" s="25">
        <f>107406671+93457790</f>
        <v>200864461</v>
      </c>
      <c r="K24" s="49">
        <f t="shared" si="6"/>
        <v>92791016</v>
      </c>
      <c r="L24" s="49">
        <v>0</v>
      </c>
      <c r="M24" s="49">
        <f>+'[1]RESERVAS 2012'!$G$35+'[1]RESERVAS 2012'!$G$43</f>
        <v>108073445</v>
      </c>
      <c r="N24" s="39">
        <f t="shared" si="0"/>
        <v>339900539</v>
      </c>
      <c r="O24" s="41">
        <f t="shared" si="1"/>
        <v>37.1445010309469</v>
      </c>
      <c r="P24" s="34"/>
      <c r="Q24" s="1"/>
      <c r="R24" s="5">
        <f>49847835+79499043</f>
        <v>129346878</v>
      </c>
      <c r="S24" s="5">
        <v>36214933</v>
      </c>
      <c r="T24" s="46">
        <f t="shared" si="2"/>
        <v>411418122</v>
      </c>
      <c r="U24" s="41">
        <f t="shared" si="3"/>
        <v>23.919239965604284</v>
      </c>
      <c r="V24" s="41">
        <f t="shared" si="4"/>
        <v>6.696981683355986</v>
      </c>
    </row>
    <row r="25" spans="1:22" ht="12.75">
      <c r="A25" s="10" t="s">
        <v>12</v>
      </c>
      <c r="B25" s="10">
        <v>2</v>
      </c>
      <c r="C25" s="10">
        <v>4</v>
      </c>
      <c r="D25" s="10">
        <v>0</v>
      </c>
      <c r="E25" s="10">
        <v>0</v>
      </c>
      <c r="F25" s="10" t="s">
        <v>21</v>
      </c>
      <c r="G25" s="5">
        <v>716756750</v>
      </c>
      <c r="H25" s="5">
        <f>60000000</f>
        <v>60000000</v>
      </c>
      <c r="I25" s="27">
        <f t="shared" si="5"/>
        <v>776756750</v>
      </c>
      <c r="J25" s="24">
        <f>378419962+83087928+41384904+160195000+61599093+28242705+153166036+602400+17695733</f>
        <v>924393761</v>
      </c>
      <c r="K25" s="49">
        <f t="shared" si="6"/>
        <v>714833121</v>
      </c>
      <c r="L25" s="40">
        <f>+'[2]2010'!$F$23</f>
        <v>158540</v>
      </c>
      <c r="M25" s="40">
        <f>+'[1]RESERVAS 2012'!$G$52+'[1]RESERVAS 2012'!$G$60+'[1]RESERVAS 2012'!$G$68+'[1]RESERVAS 2012'!$G$76+'[1]RESERVAS 2012'!$G$84</f>
        <v>209402100</v>
      </c>
      <c r="N25" s="39">
        <f t="shared" si="0"/>
        <v>-147637011</v>
      </c>
      <c r="O25" s="41">
        <f t="shared" si="1"/>
        <v>119.00685266011529</v>
      </c>
      <c r="P25" s="34"/>
      <c r="Q25" s="1"/>
      <c r="R25" s="5">
        <f>137654454+74290578+10610637+94476143+53886970+28864001+114689250+1841028+22771798</f>
        <v>539084859</v>
      </c>
      <c r="S25" s="5">
        <f>+R25</f>
        <v>539084859</v>
      </c>
      <c r="T25" s="46">
        <f t="shared" si="2"/>
        <v>237671891</v>
      </c>
      <c r="U25" s="41">
        <f t="shared" si="3"/>
        <v>69.40201794191039</v>
      </c>
      <c r="V25" s="41">
        <f t="shared" si="4"/>
        <v>69.40201794191039</v>
      </c>
    </row>
    <row r="26" spans="1:22" ht="12.75">
      <c r="A26" s="10" t="s">
        <v>12</v>
      </c>
      <c r="B26" s="10">
        <v>2</v>
      </c>
      <c r="C26" s="10">
        <v>0</v>
      </c>
      <c r="D26" s="10">
        <v>3</v>
      </c>
      <c r="E26" s="10">
        <v>0</v>
      </c>
      <c r="F26" s="43" t="s">
        <v>22</v>
      </c>
      <c r="G26" s="16">
        <v>44202200</v>
      </c>
      <c r="H26" s="16">
        <v>0</v>
      </c>
      <c r="I26" s="24">
        <f t="shared" si="5"/>
        <v>44202200</v>
      </c>
      <c r="J26" s="25">
        <v>103950825</v>
      </c>
      <c r="K26" s="49">
        <f t="shared" si="6"/>
        <v>61770925</v>
      </c>
      <c r="L26" s="49">
        <f>+'[2]2010'!$F$39</f>
        <v>42179900</v>
      </c>
      <c r="M26" s="49">
        <v>0</v>
      </c>
      <c r="N26" s="39">
        <f t="shared" si="0"/>
        <v>-59748625</v>
      </c>
      <c r="O26" s="41">
        <f t="shared" si="1"/>
        <v>235.17115663926228</v>
      </c>
      <c r="P26" s="34"/>
      <c r="Q26" s="1"/>
      <c r="R26" s="16">
        <v>44211542</v>
      </c>
      <c r="S26" s="16">
        <f>+R26</f>
        <v>44211542</v>
      </c>
      <c r="T26" s="46">
        <f t="shared" si="2"/>
        <v>-9342</v>
      </c>
      <c r="U26" s="41">
        <f t="shared" si="3"/>
        <v>100.02113469465321</v>
      </c>
      <c r="V26" s="41">
        <f t="shared" si="4"/>
        <v>100.02113469465321</v>
      </c>
    </row>
    <row r="27" spans="1:22" ht="12.75">
      <c r="A27" s="10" t="s">
        <v>12</v>
      </c>
      <c r="B27" s="10">
        <v>3</v>
      </c>
      <c r="C27" s="10">
        <v>0</v>
      </c>
      <c r="D27" s="10">
        <v>0</v>
      </c>
      <c r="E27" s="10">
        <v>0</v>
      </c>
      <c r="F27" s="10" t="s">
        <v>23</v>
      </c>
      <c r="G27" s="5">
        <f>SUM(G28:G31)</f>
        <v>1624337233</v>
      </c>
      <c r="H27" s="5">
        <f>+H28+H29+H30+H31</f>
        <v>154099882</v>
      </c>
      <c r="I27" s="27">
        <f t="shared" si="5"/>
        <v>1778437115</v>
      </c>
      <c r="J27" s="25">
        <f>SUM(J28:J31)</f>
        <v>1324850844</v>
      </c>
      <c r="K27" s="25">
        <f>SUM(K28:K31)</f>
        <v>1324850844</v>
      </c>
      <c r="L27" s="25">
        <f>SUM(L28:L31)</f>
        <v>0</v>
      </c>
      <c r="M27" s="25">
        <f>SUM(M28:M31)</f>
        <v>0</v>
      </c>
      <c r="N27" s="39">
        <f t="shared" si="0"/>
        <v>453586271</v>
      </c>
      <c r="O27" s="41">
        <f t="shared" si="1"/>
        <v>74.49523139309878</v>
      </c>
      <c r="P27" s="34"/>
      <c r="Q27" s="1"/>
      <c r="R27" s="5">
        <f>SUM(R28:R31)</f>
        <v>695861557</v>
      </c>
      <c r="S27" s="5">
        <f>SUM(S28:S31)</f>
        <v>695367123</v>
      </c>
      <c r="T27" s="46">
        <f t="shared" si="2"/>
        <v>1082575558</v>
      </c>
      <c r="U27" s="41">
        <f t="shared" si="3"/>
        <v>39.12770100954624</v>
      </c>
      <c r="V27" s="41">
        <f t="shared" si="4"/>
        <v>39.09989940802602</v>
      </c>
    </row>
    <row r="28" spans="1:22" ht="12.75">
      <c r="A28" s="10" t="s">
        <v>12</v>
      </c>
      <c r="B28" s="10">
        <v>3</v>
      </c>
      <c r="C28" s="10">
        <v>2</v>
      </c>
      <c r="D28" s="10">
        <v>1</v>
      </c>
      <c r="E28" s="10">
        <v>1</v>
      </c>
      <c r="F28" s="10" t="s">
        <v>31</v>
      </c>
      <c r="G28" s="5">
        <v>28597800</v>
      </c>
      <c r="H28" s="5">
        <v>0</v>
      </c>
      <c r="I28" s="27">
        <f t="shared" si="5"/>
        <v>28597800</v>
      </c>
      <c r="J28" s="25">
        <v>22033796</v>
      </c>
      <c r="K28" s="49">
        <f t="shared" si="6"/>
        <v>22033796</v>
      </c>
      <c r="L28" s="49">
        <v>0</v>
      </c>
      <c r="M28" s="49">
        <v>0</v>
      </c>
      <c r="N28" s="39">
        <f t="shared" si="0"/>
        <v>6564004</v>
      </c>
      <c r="O28" s="41">
        <f t="shared" si="1"/>
        <v>77.04717146074174</v>
      </c>
      <c r="P28" s="34"/>
      <c r="Q28" s="1"/>
      <c r="R28" s="5">
        <v>0</v>
      </c>
      <c r="S28" s="5">
        <v>0</v>
      </c>
      <c r="T28" s="46">
        <f t="shared" si="2"/>
        <v>28597800</v>
      </c>
      <c r="U28" s="41">
        <f t="shared" si="3"/>
        <v>0</v>
      </c>
      <c r="V28" s="41">
        <f t="shared" si="4"/>
        <v>0</v>
      </c>
    </row>
    <row r="29" spans="1:22" ht="12.75">
      <c r="A29" s="10" t="s">
        <v>12</v>
      </c>
      <c r="B29" s="10">
        <v>3</v>
      </c>
      <c r="C29" s="10">
        <v>2</v>
      </c>
      <c r="D29" s="10">
        <v>1</v>
      </c>
      <c r="E29" s="10">
        <v>2</v>
      </c>
      <c r="F29" s="10" t="s">
        <v>32</v>
      </c>
      <c r="G29" s="5">
        <v>1562739433</v>
      </c>
      <c r="H29" s="5">
        <v>154099882</v>
      </c>
      <c r="I29" s="27">
        <f t="shared" si="5"/>
        <v>1716839315</v>
      </c>
      <c r="J29" s="25">
        <v>1282513468</v>
      </c>
      <c r="K29" s="49">
        <f t="shared" si="6"/>
        <v>1282513468</v>
      </c>
      <c r="L29" s="49">
        <v>0</v>
      </c>
      <c r="M29" s="49">
        <v>0</v>
      </c>
      <c r="N29" s="39">
        <f t="shared" si="0"/>
        <v>434325847</v>
      </c>
      <c r="O29" s="41">
        <f t="shared" si="1"/>
        <v>74.70200948887286</v>
      </c>
      <c r="P29" s="34"/>
      <c r="Q29" s="1"/>
      <c r="R29" s="5">
        <v>674291073</v>
      </c>
      <c r="S29" s="5">
        <f>+R29</f>
        <v>674291073</v>
      </c>
      <c r="T29" s="46">
        <f t="shared" si="2"/>
        <v>1042548242</v>
      </c>
      <c r="U29" s="41">
        <f t="shared" si="3"/>
        <v>39.275141657622164</v>
      </c>
      <c r="V29" s="41">
        <f t="shared" si="4"/>
        <v>39.275141657622164</v>
      </c>
    </row>
    <row r="30" spans="1:22" ht="12.75">
      <c r="A30" s="10" t="s">
        <v>12</v>
      </c>
      <c r="B30" s="10">
        <v>3</v>
      </c>
      <c r="C30" s="10">
        <v>2</v>
      </c>
      <c r="D30" s="10">
        <v>1</v>
      </c>
      <c r="E30" s="10">
        <v>3</v>
      </c>
      <c r="F30" s="10" t="s">
        <v>33</v>
      </c>
      <c r="G30" s="5">
        <v>23000000</v>
      </c>
      <c r="H30" s="5">
        <v>0</v>
      </c>
      <c r="I30" s="27">
        <f t="shared" si="5"/>
        <v>23000000</v>
      </c>
      <c r="J30" s="25">
        <v>20303580</v>
      </c>
      <c r="K30" s="49">
        <f t="shared" si="6"/>
        <v>20303580</v>
      </c>
      <c r="L30" s="49">
        <v>0</v>
      </c>
      <c r="M30" s="49">
        <v>0</v>
      </c>
      <c r="N30" s="39">
        <f t="shared" si="0"/>
        <v>2696420</v>
      </c>
      <c r="O30" s="41">
        <f t="shared" si="1"/>
        <v>88.27643478260869</v>
      </c>
      <c r="P30" s="34"/>
      <c r="Q30" s="1"/>
      <c r="R30" s="5">
        <v>21076050</v>
      </c>
      <c r="S30" s="5">
        <f>+R30</f>
        <v>21076050</v>
      </c>
      <c r="T30" s="46">
        <f t="shared" si="2"/>
        <v>1923950</v>
      </c>
      <c r="U30" s="41">
        <f t="shared" si="3"/>
        <v>91.635</v>
      </c>
      <c r="V30" s="41">
        <f t="shared" si="4"/>
        <v>91.635</v>
      </c>
    </row>
    <row r="31" spans="1:22" ht="12.75">
      <c r="A31" s="10" t="s">
        <v>12</v>
      </c>
      <c r="B31" s="10">
        <v>3</v>
      </c>
      <c r="C31" s="10">
        <v>6</v>
      </c>
      <c r="D31" s="10">
        <v>1</v>
      </c>
      <c r="E31" s="10">
        <v>1</v>
      </c>
      <c r="F31" s="10" t="s">
        <v>34</v>
      </c>
      <c r="G31" s="16">
        <v>10000000</v>
      </c>
      <c r="H31" s="5">
        <v>0</v>
      </c>
      <c r="I31" s="27">
        <f t="shared" si="5"/>
        <v>10000000</v>
      </c>
      <c r="J31" s="25">
        <v>0</v>
      </c>
      <c r="K31" s="49">
        <v>0</v>
      </c>
      <c r="L31" s="49">
        <v>0</v>
      </c>
      <c r="M31" s="49">
        <v>0</v>
      </c>
      <c r="N31" s="39">
        <f t="shared" si="0"/>
        <v>10000000</v>
      </c>
      <c r="O31" s="41">
        <v>0</v>
      </c>
      <c r="P31" s="34"/>
      <c r="Q31" s="1"/>
      <c r="R31" s="16">
        <v>494434</v>
      </c>
      <c r="S31" s="16">
        <v>0</v>
      </c>
      <c r="T31" s="46">
        <f t="shared" si="2"/>
        <v>9505566</v>
      </c>
      <c r="U31" s="41">
        <f t="shared" si="3"/>
        <v>4.9443399999999995</v>
      </c>
      <c r="V31" s="41">
        <f t="shared" si="4"/>
        <v>0</v>
      </c>
    </row>
    <row r="32" spans="6:22" ht="12.75">
      <c r="F32" s="21"/>
      <c r="I32" s="28" t="s">
        <v>1</v>
      </c>
      <c r="J32" s="29"/>
      <c r="K32" s="29"/>
      <c r="L32" s="29"/>
      <c r="M32" s="29"/>
      <c r="N32" s="40" t="s">
        <v>1</v>
      </c>
      <c r="O32" s="11" t="s">
        <v>1</v>
      </c>
      <c r="P32" s="34"/>
      <c r="Q32" s="1"/>
      <c r="R32" s="41"/>
      <c r="S32" s="2"/>
      <c r="T32" s="2"/>
      <c r="U32" s="2"/>
      <c r="V32" s="2"/>
    </row>
    <row r="33" spans="1:22" ht="12.75">
      <c r="A33" s="10"/>
      <c r="B33" s="10"/>
      <c r="C33" s="10"/>
      <c r="D33" s="10"/>
      <c r="E33" s="10"/>
      <c r="F33" s="10" t="s">
        <v>1</v>
      </c>
      <c r="G33" s="5" t="s">
        <v>1</v>
      </c>
      <c r="H33" s="5" t="s">
        <v>1</v>
      </c>
      <c r="I33" s="27" t="s">
        <v>1</v>
      </c>
      <c r="J33" s="25" t="s">
        <v>1</v>
      </c>
      <c r="K33" s="49"/>
      <c r="L33" s="49"/>
      <c r="M33" s="49"/>
      <c r="N33" s="40" t="s">
        <v>1</v>
      </c>
      <c r="O33" s="11" t="s">
        <v>1</v>
      </c>
      <c r="P33" s="1"/>
      <c r="Q33" s="1"/>
      <c r="R33" s="41"/>
      <c r="S33" s="2"/>
      <c r="T33" s="2"/>
      <c r="U33" s="2"/>
      <c r="V33" s="2"/>
    </row>
    <row r="34" spans="15:22" ht="12.75">
      <c r="O34" s="41"/>
      <c r="P34" s="1"/>
      <c r="Q34" s="1"/>
      <c r="R34" s="41"/>
      <c r="S34" s="2"/>
      <c r="T34" s="2"/>
      <c r="U34" s="2"/>
      <c r="V34" s="2"/>
    </row>
    <row r="35" spans="1:22" ht="12.75">
      <c r="A35" s="123" t="s">
        <v>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</row>
    <row r="36" spans="1:22" ht="12.75">
      <c r="A36" s="123" t="s">
        <v>132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</row>
    <row r="37" spans="1:22" ht="12.75">
      <c r="A37" s="123" t="s">
        <v>53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</row>
    <row r="38" spans="6:22" ht="12.75">
      <c r="F38" s="21"/>
      <c r="I38" t="s">
        <v>1</v>
      </c>
      <c r="P38" s="1"/>
      <c r="Q38" s="1"/>
      <c r="R38" s="41"/>
      <c r="S38" s="46"/>
      <c r="T38" s="2"/>
      <c r="U38" s="2"/>
      <c r="V38" s="2"/>
    </row>
    <row r="39" spans="1:23" ht="13.5" thickBot="1">
      <c r="A39" s="22" t="s">
        <v>54</v>
      </c>
      <c r="B39" s="22" t="s">
        <v>55</v>
      </c>
      <c r="C39" s="3" t="s">
        <v>56</v>
      </c>
      <c r="D39" s="3" t="s">
        <v>57</v>
      </c>
      <c r="E39" s="3" t="s">
        <v>58</v>
      </c>
      <c r="F39" s="2"/>
      <c r="G39" s="2"/>
      <c r="H39" s="3" t="s">
        <v>1</v>
      </c>
      <c r="I39" s="2"/>
      <c r="J39" s="22" t="s">
        <v>1</v>
      </c>
      <c r="K39" s="22"/>
      <c r="L39" s="22"/>
      <c r="M39" s="22"/>
      <c r="N39" s="17" t="s">
        <v>37</v>
      </c>
      <c r="O39" s="37" t="s">
        <v>51</v>
      </c>
      <c r="P39" s="41"/>
      <c r="Q39" s="96"/>
      <c r="R39" s="41"/>
      <c r="S39" s="2"/>
      <c r="T39" s="2"/>
      <c r="U39" s="2"/>
      <c r="V39" s="2"/>
      <c r="W39" s="101"/>
    </row>
    <row r="40" spans="1:23" ht="51">
      <c r="A40" s="3"/>
      <c r="B40" s="22" t="s">
        <v>6</v>
      </c>
      <c r="C40" s="3"/>
      <c r="D40" s="3" t="s">
        <v>7</v>
      </c>
      <c r="E40" s="3"/>
      <c r="F40" s="2"/>
      <c r="G40" s="22" t="s">
        <v>3</v>
      </c>
      <c r="H40" s="22" t="s">
        <v>2</v>
      </c>
      <c r="I40" s="22" t="s">
        <v>3</v>
      </c>
      <c r="J40" s="12" t="s">
        <v>35</v>
      </c>
      <c r="K40" s="71" t="s">
        <v>42</v>
      </c>
      <c r="L40" s="71" t="s">
        <v>74</v>
      </c>
      <c r="M40" s="71" t="s">
        <v>38</v>
      </c>
      <c r="N40" s="17" t="s">
        <v>43</v>
      </c>
      <c r="O40" s="41"/>
      <c r="P40" s="23"/>
      <c r="Q40" s="97"/>
      <c r="R40" s="106" t="s">
        <v>80</v>
      </c>
      <c r="S40" s="107" t="s">
        <v>81</v>
      </c>
      <c r="T40" s="107" t="s">
        <v>84</v>
      </c>
      <c r="U40" s="107" t="s">
        <v>82</v>
      </c>
      <c r="V40" s="108" t="s">
        <v>83</v>
      </c>
      <c r="W40" s="102"/>
    </row>
    <row r="41" spans="1:23" ht="12.75">
      <c r="A41" s="3"/>
      <c r="B41" s="3"/>
      <c r="C41" s="3"/>
      <c r="D41" s="3" t="s">
        <v>8</v>
      </c>
      <c r="E41" s="3"/>
      <c r="F41" s="22" t="s">
        <v>9</v>
      </c>
      <c r="G41" s="22" t="s">
        <v>4</v>
      </c>
      <c r="H41" s="22" t="s">
        <v>10</v>
      </c>
      <c r="I41" s="22" t="s">
        <v>5</v>
      </c>
      <c r="J41" s="12" t="s">
        <v>1</v>
      </c>
      <c r="K41" s="35"/>
      <c r="L41" s="12" t="s">
        <v>75</v>
      </c>
      <c r="M41" s="35"/>
      <c r="N41" s="15"/>
      <c r="O41" s="15"/>
      <c r="P41" s="19"/>
      <c r="Q41" s="98"/>
      <c r="R41" s="37"/>
      <c r="S41" s="17"/>
      <c r="T41" s="12"/>
      <c r="U41" s="13"/>
      <c r="V41" s="13"/>
      <c r="W41" s="102"/>
    </row>
    <row r="42" spans="1:23" ht="12.75">
      <c r="A42" s="3"/>
      <c r="B42" s="3"/>
      <c r="C42" s="3"/>
      <c r="D42" s="3" t="s">
        <v>11</v>
      </c>
      <c r="E42" s="3"/>
      <c r="F42" s="2"/>
      <c r="G42" s="22" t="s">
        <v>1</v>
      </c>
      <c r="H42" s="22" t="s">
        <v>1</v>
      </c>
      <c r="I42" s="22" t="s">
        <v>1</v>
      </c>
      <c r="J42" s="17" t="s">
        <v>1</v>
      </c>
      <c r="K42" s="17" t="s">
        <v>1</v>
      </c>
      <c r="L42" s="17" t="s">
        <v>1</v>
      </c>
      <c r="M42" s="17"/>
      <c r="N42" s="15"/>
      <c r="O42" s="16"/>
      <c r="P42" s="19"/>
      <c r="Q42" s="98"/>
      <c r="R42" s="19"/>
      <c r="S42" s="16"/>
      <c r="T42" s="14"/>
      <c r="U42" s="15"/>
      <c r="V42" s="14"/>
      <c r="W42" s="101"/>
    </row>
    <row r="43" spans="1:23" ht="12.75">
      <c r="A43" s="2"/>
      <c r="B43" s="2"/>
      <c r="C43" s="2"/>
      <c r="D43" s="2"/>
      <c r="E43" s="2"/>
      <c r="F43" s="2"/>
      <c r="G43" s="11" t="s">
        <v>1</v>
      </c>
      <c r="H43" s="41"/>
      <c r="I43" s="11" t="s">
        <v>1</v>
      </c>
      <c r="J43" s="18" t="s">
        <v>1</v>
      </c>
      <c r="K43" s="19" t="s">
        <v>1</v>
      </c>
      <c r="L43" s="18"/>
      <c r="M43" s="18"/>
      <c r="N43" s="15"/>
      <c r="O43" s="43"/>
      <c r="P43" s="19"/>
      <c r="Q43" s="99"/>
      <c r="R43" s="18" t="s">
        <v>1</v>
      </c>
      <c r="S43" s="14"/>
      <c r="T43" s="18"/>
      <c r="U43" s="15"/>
      <c r="V43" s="15"/>
      <c r="W43" s="101"/>
    </row>
    <row r="44" spans="1:23" ht="12.75">
      <c r="A44" s="2" t="s">
        <v>12</v>
      </c>
      <c r="B44" s="2"/>
      <c r="C44" s="2"/>
      <c r="D44" s="2"/>
      <c r="E44" s="2"/>
      <c r="F44" s="3" t="s">
        <v>59</v>
      </c>
      <c r="G44" s="44">
        <f>+G45+G55+G58</f>
        <v>1637500000</v>
      </c>
      <c r="H44" s="44">
        <f>SUM(H45+H55+H57+H58)</f>
        <v>0</v>
      </c>
      <c r="I44" s="44">
        <f>+G44+H44</f>
        <v>1637500000</v>
      </c>
      <c r="J44" s="45">
        <f>SUM(J45+J55+J58)</f>
        <v>1637432538</v>
      </c>
      <c r="K44" s="44">
        <f>+K45+K55+K58</f>
        <v>1596816452</v>
      </c>
      <c r="L44" s="44">
        <f>+L45+L55+L58</f>
        <v>40616086</v>
      </c>
      <c r="M44" s="44">
        <f>+M45+M55+M58</f>
        <v>0</v>
      </c>
      <c r="N44" s="14">
        <f>+I44-J44</f>
        <v>67462</v>
      </c>
      <c r="O44" s="45">
        <f>+J44/I44*100</f>
        <v>99.99588018320611</v>
      </c>
      <c r="P44" s="47"/>
      <c r="Q44" s="100"/>
      <c r="R44" s="44">
        <f>+R45+R55+R58</f>
        <v>1482070739</v>
      </c>
      <c r="S44" s="44">
        <f>+S45+S55+S58</f>
        <v>1482070739</v>
      </c>
      <c r="T44" s="14">
        <f>+I44-R44</f>
        <v>155429261</v>
      </c>
      <c r="U44" s="18">
        <f>+R44/I44*100</f>
        <v>90.50813673282443</v>
      </c>
      <c r="V44" s="19">
        <f>+S44/I44*100</f>
        <v>90.50813673282443</v>
      </c>
      <c r="W44" s="103"/>
    </row>
    <row r="45" spans="1:23" ht="12.75">
      <c r="A45" s="2" t="s">
        <v>12</v>
      </c>
      <c r="B45" s="2">
        <v>1</v>
      </c>
      <c r="C45" s="2">
        <v>1</v>
      </c>
      <c r="D45" s="2">
        <v>0</v>
      </c>
      <c r="E45" s="2">
        <v>0</v>
      </c>
      <c r="F45" s="3" t="s">
        <v>13</v>
      </c>
      <c r="G45" s="44">
        <f>+G46+G51+G52+G53+G54</f>
        <v>1602000000</v>
      </c>
      <c r="H45" s="44">
        <f>+H46+H51+H52</f>
        <v>0</v>
      </c>
      <c r="I45" s="44">
        <f>+I46+I51+I52+I53+I54</f>
        <v>1602000000</v>
      </c>
      <c r="J45" s="44">
        <f>+J46+J51+J52+J53+J54</f>
        <v>1601932538</v>
      </c>
      <c r="K45" s="44">
        <f>+K46+K51+K52+K53+K54</f>
        <v>1573574579</v>
      </c>
      <c r="L45" s="44">
        <f>+L46+L51+L52+L53+L54</f>
        <v>28357959</v>
      </c>
      <c r="M45" s="44">
        <f>+M46+M51+M52+M53+M54</f>
        <v>0</v>
      </c>
      <c r="N45" s="14">
        <f aca="true" t="shared" si="7" ref="N45:N59">+I45-J45</f>
        <v>67462</v>
      </c>
      <c r="O45" s="45">
        <f aca="true" t="shared" si="8" ref="O45:O59">+J45/I45*100</f>
        <v>99.9957888888889</v>
      </c>
      <c r="P45" s="47"/>
      <c r="Q45" s="100"/>
      <c r="R45" s="44">
        <f>+R46+R51+R52+R53+R54</f>
        <v>1457170739</v>
      </c>
      <c r="S45" s="44">
        <f>+S46+S51+S52+S53+S54</f>
        <v>1457170739</v>
      </c>
      <c r="T45" s="14">
        <f aca="true" t="shared" si="9" ref="T45:T59">+I45-R45</f>
        <v>144829261</v>
      </c>
      <c r="U45" s="18">
        <f aca="true" t="shared" si="10" ref="U45:U59">+R45/I45*100</f>
        <v>90.95947184769038</v>
      </c>
      <c r="V45" s="19">
        <f aca="true" t="shared" si="11" ref="V45:V59">+S45/I45*100</f>
        <v>90.95947184769038</v>
      </c>
      <c r="W45" s="103"/>
    </row>
    <row r="46" spans="1:23" ht="12.75">
      <c r="A46" s="2" t="s">
        <v>12</v>
      </c>
      <c r="B46" s="2">
        <v>1</v>
      </c>
      <c r="C46" s="2">
        <v>1</v>
      </c>
      <c r="D46" s="2">
        <v>1</v>
      </c>
      <c r="E46" s="2">
        <v>0</v>
      </c>
      <c r="F46" s="10" t="s">
        <v>14</v>
      </c>
      <c r="G46" s="46">
        <f>SUM(G47:G50)</f>
        <v>1310600000</v>
      </c>
      <c r="H46" s="46">
        <f>SUM(H47:H50)</f>
        <v>0</v>
      </c>
      <c r="I46" s="46">
        <f>+G46+H46</f>
        <v>1310600000</v>
      </c>
      <c r="J46" s="14">
        <f>SUM(J47:J50)</f>
        <v>1310532538</v>
      </c>
      <c r="K46" s="46">
        <f>SUM(K47:K50)</f>
        <v>1282174579</v>
      </c>
      <c r="L46" s="46">
        <f>SUM(L47:L50)</f>
        <v>28357959</v>
      </c>
      <c r="M46" s="46">
        <f>SUM(M47:M50)</f>
        <v>0</v>
      </c>
      <c r="N46" s="14">
        <f t="shared" si="7"/>
        <v>67462</v>
      </c>
      <c r="O46" s="45">
        <f t="shared" si="8"/>
        <v>99.99485258660155</v>
      </c>
      <c r="P46" s="18"/>
      <c r="Q46" s="99"/>
      <c r="R46" s="46">
        <f>SUM(R47:R50)</f>
        <v>1195568784</v>
      </c>
      <c r="S46" s="46">
        <f>SUM(S47:S50)</f>
        <v>1195568784</v>
      </c>
      <c r="T46" s="14">
        <f t="shared" si="9"/>
        <v>115031216</v>
      </c>
      <c r="U46" s="18">
        <f t="shared" si="10"/>
        <v>91.2230111399359</v>
      </c>
      <c r="V46" s="19">
        <f t="shared" si="11"/>
        <v>91.2230111399359</v>
      </c>
      <c r="W46" s="103"/>
    </row>
    <row r="47" spans="1:23" ht="12.75">
      <c r="A47" s="2" t="s">
        <v>12</v>
      </c>
      <c r="B47" s="2">
        <v>1</v>
      </c>
      <c r="C47" s="2">
        <v>1</v>
      </c>
      <c r="D47" s="2">
        <v>1</v>
      </c>
      <c r="E47" s="2">
        <v>1</v>
      </c>
      <c r="F47" s="2" t="s">
        <v>15</v>
      </c>
      <c r="G47" s="46">
        <v>1006700000</v>
      </c>
      <c r="H47" s="46">
        <v>0</v>
      </c>
      <c r="I47" s="46">
        <f>+G47+H47</f>
        <v>1006700000</v>
      </c>
      <c r="J47" s="45">
        <f>+I47</f>
        <v>1006700000</v>
      </c>
      <c r="K47" s="46">
        <f>+J47</f>
        <v>1006700000</v>
      </c>
      <c r="L47" s="46">
        <v>0</v>
      </c>
      <c r="M47" s="46">
        <v>0</v>
      </c>
      <c r="N47" s="14">
        <f t="shared" si="7"/>
        <v>0</v>
      </c>
      <c r="O47" s="45">
        <f t="shared" si="8"/>
        <v>100</v>
      </c>
      <c r="P47" s="18"/>
      <c r="Q47" s="99"/>
      <c r="R47" s="46">
        <f>+I47</f>
        <v>1006700000</v>
      </c>
      <c r="S47" s="46">
        <f aca="true" t="shared" si="12" ref="S47:S54">+R47</f>
        <v>1006700000</v>
      </c>
      <c r="T47" s="14">
        <f t="shared" si="9"/>
        <v>0</v>
      </c>
      <c r="U47" s="18">
        <f t="shared" si="10"/>
        <v>100</v>
      </c>
      <c r="V47" s="19">
        <f t="shared" si="11"/>
        <v>100</v>
      </c>
      <c r="W47" s="103"/>
    </row>
    <row r="48" spans="1:23" ht="12.75">
      <c r="A48" s="2" t="s">
        <v>12</v>
      </c>
      <c r="B48" s="2">
        <v>1</v>
      </c>
      <c r="C48" s="2">
        <v>1</v>
      </c>
      <c r="D48" s="2">
        <v>9</v>
      </c>
      <c r="E48" s="2">
        <v>1</v>
      </c>
      <c r="F48" s="2" t="s">
        <v>60</v>
      </c>
      <c r="G48" s="46">
        <v>1300000</v>
      </c>
      <c r="H48" s="46">
        <v>0</v>
      </c>
      <c r="I48" s="46">
        <f aca="true" t="shared" si="13" ref="I48:I55">+G48+H48</f>
        <v>1300000</v>
      </c>
      <c r="J48" s="45">
        <v>1232538</v>
      </c>
      <c r="K48" s="46">
        <f>+J48</f>
        <v>1232538</v>
      </c>
      <c r="L48" s="46">
        <v>0</v>
      </c>
      <c r="M48" s="46">
        <v>0</v>
      </c>
      <c r="N48" s="14">
        <f t="shared" si="7"/>
        <v>67462</v>
      </c>
      <c r="O48" s="45">
        <f t="shared" si="8"/>
        <v>94.81061538461539</v>
      </c>
      <c r="P48" s="18"/>
      <c r="Q48" s="99"/>
      <c r="R48" s="46">
        <v>1294868</v>
      </c>
      <c r="S48" s="46">
        <f t="shared" si="12"/>
        <v>1294868</v>
      </c>
      <c r="T48" s="14">
        <f t="shared" si="9"/>
        <v>5132</v>
      </c>
      <c r="U48" s="18">
        <f t="shared" si="10"/>
        <v>99.60523076923077</v>
      </c>
      <c r="V48" s="19">
        <f t="shared" si="11"/>
        <v>99.60523076923077</v>
      </c>
      <c r="W48" s="103"/>
    </row>
    <row r="49" spans="1:23" ht="12.75">
      <c r="A49" s="2" t="s">
        <v>12</v>
      </c>
      <c r="B49" s="2">
        <v>1</v>
      </c>
      <c r="C49" s="2">
        <v>1</v>
      </c>
      <c r="D49" s="2">
        <v>4</v>
      </c>
      <c r="E49" s="2">
        <v>2</v>
      </c>
      <c r="F49" s="2" t="s">
        <v>16</v>
      </c>
      <c r="G49" s="46">
        <v>107600000</v>
      </c>
      <c r="H49" s="46">
        <f>0</f>
        <v>0</v>
      </c>
      <c r="I49" s="46">
        <f t="shared" si="13"/>
        <v>107600000</v>
      </c>
      <c r="J49" s="45">
        <f aca="true" t="shared" si="14" ref="J49:J54">+I49</f>
        <v>107600000</v>
      </c>
      <c r="K49" s="46">
        <f>+J49</f>
        <v>107600000</v>
      </c>
      <c r="L49" s="46">
        <v>0</v>
      </c>
      <c r="M49" s="46">
        <v>0</v>
      </c>
      <c r="N49" s="14">
        <f t="shared" si="7"/>
        <v>0</v>
      </c>
      <c r="O49" s="45">
        <f t="shared" si="8"/>
        <v>100</v>
      </c>
      <c r="P49" s="18"/>
      <c r="Q49" s="99"/>
      <c r="R49" s="46">
        <f>+I49</f>
        <v>107600000</v>
      </c>
      <c r="S49" s="46">
        <f t="shared" si="12"/>
        <v>107600000</v>
      </c>
      <c r="T49" s="14">
        <f t="shared" si="9"/>
        <v>0</v>
      </c>
      <c r="U49" s="18">
        <f t="shared" si="10"/>
        <v>100</v>
      </c>
      <c r="V49" s="19">
        <f t="shared" si="11"/>
        <v>100</v>
      </c>
      <c r="W49" s="103"/>
    </row>
    <row r="50" spans="1:23" ht="12.75">
      <c r="A50" s="2" t="s">
        <v>12</v>
      </c>
      <c r="B50" s="2">
        <v>1</v>
      </c>
      <c r="C50" s="2">
        <v>1</v>
      </c>
      <c r="D50" s="2">
        <v>5</v>
      </c>
      <c r="E50" s="2">
        <v>0</v>
      </c>
      <c r="F50" s="2" t="s">
        <v>17</v>
      </c>
      <c r="G50" s="46">
        <v>195000000</v>
      </c>
      <c r="H50" s="46">
        <v>0</v>
      </c>
      <c r="I50" s="46">
        <f t="shared" si="13"/>
        <v>195000000</v>
      </c>
      <c r="J50" s="45">
        <f t="shared" si="14"/>
        <v>195000000</v>
      </c>
      <c r="K50" s="46">
        <f>+J50-28357959</f>
        <v>166642041</v>
      </c>
      <c r="L50" s="46">
        <f>+J50-K50</f>
        <v>28357959</v>
      </c>
      <c r="M50" s="46">
        <v>0</v>
      </c>
      <c r="N50" s="14">
        <f t="shared" si="7"/>
        <v>0</v>
      </c>
      <c r="O50" s="45">
        <f t="shared" si="8"/>
        <v>100</v>
      </c>
      <c r="P50" s="18"/>
      <c r="Q50" s="99"/>
      <c r="R50" s="46">
        <f>8886377+56301500+14059500+726539</f>
        <v>79973916</v>
      </c>
      <c r="S50" s="46">
        <f t="shared" si="12"/>
        <v>79973916</v>
      </c>
      <c r="T50" s="14">
        <f t="shared" si="9"/>
        <v>115026084</v>
      </c>
      <c r="U50" s="18">
        <f t="shared" si="10"/>
        <v>41.012264615384616</v>
      </c>
      <c r="V50" s="19">
        <f t="shared" si="11"/>
        <v>41.012264615384616</v>
      </c>
      <c r="W50" s="103"/>
    </row>
    <row r="51" spans="1:23" ht="12.75">
      <c r="A51" s="2" t="s">
        <v>12</v>
      </c>
      <c r="B51" s="2">
        <v>1</v>
      </c>
      <c r="C51" s="2">
        <v>5</v>
      </c>
      <c r="D51" s="2">
        <v>0</v>
      </c>
      <c r="E51" s="2">
        <v>1</v>
      </c>
      <c r="F51" s="2" t="s">
        <v>18</v>
      </c>
      <c r="G51" s="46">
        <v>70297500</v>
      </c>
      <c r="H51" s="46">
        <v>0</v>
      </c>
      <c r="I51" s="46">
        <f t="shared" si="13"/>
        <v>70297500</v>
      </c>
      <c r="J51" s="45">
        <f t="shared" si="14"/>
        <v>70297500</v>
      </c>
      <c r="K51" s="46">
        <f>+J51</f>
        <v>70297500</v>
      </c>
      <c r="L51" s="46">
        <v>0</v>
      </c>
      <c r="M51" s="46">
        <v>0</v>
      </c>
      <c r="N51" s="14">
        <f t="shared" si="7"/>
        <v>0</v>
      </c>
      <c r="O51" s="45">
        <f t="shared" si="8"/>
        <v>100</v>
      </c>
      <c r="P51" s="18"/>
      <c r="Q51" s="99"/>
      <c r="R51" s="46">
        <f>+I51-307300</f>
        <v>69990200</v>
      </c>
      <c r="S51" s="46">
        <f t="shared" si="12"/>
        <v>69990200</v>
      </c>
      <c r="T51" s="14">
        <f t="shared" si="9"/>
        <v>307300</v>
      </c>
      <c r="U51" s="18">
        <f t="shared" si="10"/>
        <v>99.56285785412</v>
      </c>
      <c r="V51" s="19">
        <f t="shared" si="11"/>
        <v>99.56285785412</v>
      </c>
      <c r="W51" s="103"/>
    </row>
    <row r="52" spans="1:23" ht="12.75">
      <c r="A52" s="2" t="s">
        <v>12</v>
      </c>
      <c r="B52" s="2">
        <v>1</v>
      </c>
      <c r="C52" s="2">
        <v>5</v>
      </c>
      <c r="D52" s="2">
        <v>0</v>
      </c>
      <c r="E52" s="2">
        <v>2</v>
      </c>
      <c r="F52" s="2" t="s">
        <v>19</v>
      </c>
      <c r="G52" s="5">
        <f>221102500-23793000-23793000</f>
        <v>173516500</v>
      </c>
      <c r="H52" s="46">
        <f>0</f>
        <v>0</v>
      </c>
      <c r="I52" s="46">
        <f t="shared" si="13"/>
        <v>173516500</v>
      </c>
      <c r="J52" s="45">
        <f t="shared" si="14"/>
        <v>173516500</v>
      </c>
      <c r="K52" s="46">
        <f>+J52</f>
        <v>173516500</v>
      </c>
      <c r="L52" s="46">
        <v>0</v>
      </c>
      <c r="M52" s="46">
        <v>0</v>
      </c>
      <c r="N52" s="14">
        <f t="shared" si="7"/>
        <v>0</v>
      </c>
      <c r="O52" s="45">
        <f t="shared" si="8"/>
        <v>100</v>
      </c>
      <c r="P52" s="18"/>
      <c r="Q52" s="99"/>
      <c r="R52" s="5">
        <v>152172032</v>
      </c>
      <c r="S52" s="5">
        <f t="shared" si="12"/>
        <v>152172032</v>
      </c>
      <c r="T52" s="14">
        <f t="shared" si="9"/>
        <v>21344468</v>
      </c>
      <c r="U52" s="18">
        <f t="shared" si="10"/>
        <v>87.69888281517896</v>
      </c>
      <c r="V52" s="19">
        <f t="shared" si="11"/>
        <v>87.69888281517896</v>
      </c>
      <c r="W52" s="103"/>
    </row>
    <row r="53" spans="1:23" ht="12.75">
      <c r="A53" s="2" t="s">
        <v>12</v>
      </c>
      <c r="B53" s="2">
        <v>1</v>
      </c>
      <c r="C53" s="2">
        <v>5</v>
      </c>
      <c r="D53" s="2">
        <v>0</v>
      </c>
      <c r="E53" s="2">
        <v>6</v>
      </c>
      <c r="F53" s="2" t="s">
        <v>39</v>
      </c>
      <c r="G53" s="46">
        <v>23793000</v>
      </c>
      <c r="H53" s="46"/>
      <c r="I53" s="46">
        <f t="shared" si="13"/>
        <v>23793000</v>
      </c>
      <c r="J53" s="45">
        <f t="shared" si="14"/>
        <v>23793000</v>
      </c>
      <c r="K53" s="46">
        <f>+J53</f>
        <v>23793000</v>
      </c>
      <c r="L53" s="46">
        <v>0</v>
      </c>
      <c r="M53" s="46">
        <v>0</v>
      </c>
      <c r="N53" s="14">
        <f t="shared" si="7"/>
        <v>0</v>
      </c>
      <c r="O53" s="45">
        <f t="shared" si="8"/>
        <v>100</v>
      </c>
      <c r="P53" s="18"/>
      <c r="Q53" s="99"/>
      <c r="R53" s="46">
        <v>17547000</v>
      </c>
      <c r="S53" s="46">
        <f t="shared" si="12"/>
        <v>17547000</v>
      </c>
      <c r="T53" s="14">
        <f t="shared" si="9"/>
        <v>6246000</v>
      </c>
      <c r="U53" s="18">
        <f t="shared" si="10"/>
        <v>73.74858151557181</v>
      </c>
      <c r="V53" s="19">
        <f t="shared" si="11"/>
        <v>73.74858151557181</v>
      </c>
      <c r="W53" s="103"/>
    </row>
    <row r="54" spans="1:23" ht="12.75">
      <c r="A54" s="2" t="s">
        <v>12</v>
      </c>
      <c r="B54" s="2">
        <v>1</v>
      </c>
      <c r="C54" s="2">
        <v>5</v>
      </c>
      <c r="D54" s="2">
        <v>0</v>
      </c>
      <c r="E54" s="2">
        <v>7</v>
      </c>
      <c r="F54" s="2" t="s">
        <v>40</v>
      </c>
      <c r="G54" s="46">
        <f>+G53</f>
        <v>23793000</v>
      </c>
      <c r="H54" s="46"/>
      <c r="I54" s="46">
        <f t="shared" si="13"/>
        <v>23793000</v>
      </c>
      <c r="J54" s="45">
        <f t="shared" si="14"/>
        <v>23793000</v>
      </c>
      <c r="K54" s="46">
        <f>+J54</f>
        <v>23793000</v>
      </c>
      <c r="L54" s="46">
        <v>0</v>
      </c>
      <c r="M54" s="46">
        <v>0</v>
      </c>
      <c r="N54" s="14">
        <f t="shared" si="7"/>
        <v>0</v>
      </c>
      <c r="O54" s="45">
        <f t="shared" si="8"/>
        <v>100</v>
      </c>
      <c r="P54" s="18"/>
      <c r="Q54" s="99"/>
      <c r="R54" s="46">
        <v>21892723</v>
      </c>
      <c r="S54" s="46">
        <f t="shared" si="12"/>
        <v>21892723</v>
      </c>
      <c r="T54" s="14">
        <f t="shared" si="9"/>
        <v>1900277</v>
      </c>
      <c r="U54" s="18">
        <f t="shared" si="10"/>
        <v>92.01329382591518</v>
      </c>
      <c r="V54" s="19">
        <f t="shared" si="11"/>
        <v>92.01329382591518</v>
      </c>
      <c r="W54" s="103"/>
    </row>
    <row r="55" spans="1:23" ht="12.75">
      <c r="A55" s="2" t="s">
        <v>12</v>
      </c>
      <c r="B55" s="2">
        <v>2</v>
      </c>
      <c r="C55" s="2">
        <v>0</v>
      </c>
      <c r="D55" s="2">
        <v>0</v>
      </c>
      <c r="E55" s="2">
        <v>0</v>
      </c>
      <c r="F55" s="3" t="s">
        <v>20</v>
      </c>
      <c r="G55" s="44">
        <f>SUM(G56:G57)</f>
        <v>26200000</v>
      </c>
      <c r="H55" s="44">
        <f>SUM(H56:H57)</f>
        <v>0</v>
      </c>
      <c r="I55" s="44">
        <f t="shared" si="13"/>
        <v>26200000</v>
      </c>
      <c r="J55" s="45">
        <f>+J56+J57</f>
        <v>26200000</v>
      </c>
      <c r="K55" s="44">
        <f>SUM(K56:K57)</f>
        <v>23241873</v>
      </c>
      <c r="L55" s="44">
        <f>SUM(L56:L57)</f>
        <v>2958127</v>
      </c>
      <c r="M55" s="44">
        <f>SUM(M56:M57)</f>
        <v>0</v>
      </c>
      <c r="N55" s="14">
        <f t="shared" si="7"/>
        <v>0</v>
      </c>
      <c r="O55" s="45">
        <f t="shared" si="8"/>
        <v>100</v>
      </c>
      <c r="P55" s="47"/>
      <c r="Q55" s="100"/>
      <c r="R55" s="44">
        <f>SUM(R56:R57)</f>
        <v>24900000</v>
      </c>
      <c r="S55" s="44">
        <f>SUM(S56:S57)</f>
        <v>24900000</v>
      </c>
      <c r="T55" s="14">
        <f t="shared" si="9"/>
        <v>1300000</v>
      </c>
      <c r="U55" s="18">
        <f t="shared" si="10"/>
        <v>95.0381679389313</v>
      </c>
      <c r="V55" s="19">
        <f t="shared" si="11"/>
        <v>95.0381679389313</v>
      </c>
      <c r="W55" s="103"/>
    </row>
    <row r="56" spans="1:23" ht="12.75">
      <c r="A56" s="2" t="s">
        <v>12</v>
      </c>
      <c r="B56" s="2">
        <v>2</v>
      </c>
      <c r="C56" s="2">
        <v>0</v>
      </c>
      <c r="D56" s="2">
        <v>4</v>
      </c>
      <c r="E56" s="2">
        <v>0</v>
      </c>
      <c r="F56" s="2" t="s">
        <v>21</v>
      </c>
      <c r="G56" s="46">
        <v>24900000</v>
      </c>
      <c r="H56" s="46">
        <v>0</v>
      </c>
      <c r="I56" s="46">
        <f>+G56+H56</f>
        <v>24900000</v>
      </c>
      <c r="J56" s="45">
        <f>+I56</f>
        <v>24900000</v>
      </c>
      <c r="K56" s="46">
        <f>+J56-2958127</f>
        <v>21941873</v>
      </c>
      <c r="L56" s="46">
        <f>+J56-K56</f>
        <v>2958127</v>
      </c>
      <c r="M56" s="46">
        <v>0</v>
      </c>
      <c r="N56" s="14">
        <f t="shared" si="7"/>
        <v>0</v>
      </c>
      <c r="O56" s="45">
        <f t="shared" si="8"/>
        <v>100</v>
      </c>
      <c r="P56" s="18"/>
      <c r="Q56" s="99"/>
      <c r="R56" s="46">
        <v>24900000</v>
      </c>
      <c r="S56" s="46">
        <f>+R56</f>
        <v>24900000</v>
      </c>
      <c r="T56" s="14">
        <f t="shared" si="9"/>
        <v>0</v>
      </c>
      <c r="U56" s="18">
        <f t="shared" si="10"/>
        <v>100</v>
      </c>
      <c r="V56" s="19">
        <f t="shared" si="11"/>
        <v>100</v>
      </c>
      <c r="W56" s="103"/>
    </row>
    <row r="57" spans="1:23" ht="12.75">
      <c r="A57" s="2" t="s">
        <v>12</v>
      </c>
      <c r="B57" s="2">
        <v>2</v>
      </c>
      <c r="C57" s="2">
        <v>0</v>
      </c>
      <c r="D57" s="2">
        <v>3</v>
      </c>
      <c r="E57" s="2">
        <v>50</v>
      </c>
      <c r="F57" s="2" t="s">
        <v>22</v>
      </c>
      <c r="G57" s="46">
        <v>1300000</v>
      </c>
      <c r="H57" s="46">
        <v>0</v>
      </c>
      <c r="I57" s="46">
        <f>+G57+H57</f>
        <v>1300000</v>
      </c>
      <c r="J57" s="45">
        <f>+I57</f>
        <v>1300000</v>
      </c>
      <c r="K57" s="46">
        <f>+J57</f>
        <v>1300000</v>
      </c>
      <c r="L57" s="46">
        <v>0</v>
      </c>
      <c r="M57" s="46">
        <v>0</v>
      </c>
      <c r="N57" s="14">
        <f t="shared" si="7"/>
        <v>0</v>
      </c>
      <c r="O57" s="45">
        <f t="shared" si="8"/>
        <v>100</v>
      </c>
      <c r="P57" s="18"/>
      <c r="Q57" s="99"/>
      <c r="R57" s="46">
        <v>0</v>
      </c>
      <c r="S57" s="46">
        <v>0</v>
      </c>
      <c r="T57" s="14">
        <f t="shared" si="9"/>
        <v>1300000</v>
      </c>
      <c r="U57" s="18">
        <f t="shared" si="10"/>
        <v>0</v>
      </c>
      <c r="V57" s="19">
        <f t="shared" si="11"/>
        <v>0</v>
      </c>
      <c r="W57" s="101"/>
    </row>
    <row r="58" spans="1:23" ht="12.75">
      <c r="A58" s="2" t="s">
        <v>12</v>
      </c>
      <c r="B58" s="2">
        <v>3</v>
      </c>
      <c r="C58" s="2">
        <v>2</v>
      </c>
      <c r="D58" s="2">
        <v>1</v>
      </c>
      <c r="E58" s="2">
        <v>1</v>
      </c>
      <c r="F58" s="2" t="s">
        <v>23</v>
      </c>
      <c r="G58" s="46">
        <f>+G59</f>
        <v>9300000</v>
      </c>
      <c r="H58" s="46">
        <f>+H59</f>
        <v>0</v>
      </c>
      <c r="I58" s="46">
        <f>+G58+H58</f>
        <v>9300000</v>
      </c>
      <c r="J58" s="45">
        <f>+I58</f>
        <v>9300000</v>
      </c>
      <c r="K58" s="46">
        <f>+K59</f>
        <v>0</v>
      </c>
      <c r="L58" s="46">
        <f>+L59</f>
        <v>9300000</v>
      </c>
      <c r="M58" s="46">
        <f>+M59</f>
        <v>0</v>
      </c>
      <c r="N58" s="14">
        <f t="shared" si="7"/>
        <v>0</v>
      </c>
      <c r="O58" s="45">
        <f t="shared" si="8"/>
        <v>100</v>
      </c>
      <c r="P58" s="18"/>
      <c r="Q58" s="99"/>
      <c r="R58" s="46">
        <f>+R59</f>
        <v>0</v>
      </c>
      <c r="S58" s="46">
        <f>+S59</f>
        <v>0</v>
      </c>
      <c r="T58" s="14">
        <f t="shared" si="9"/>
        <v>9300000</v>
      </c>
      <c r="U58" s="18">
        <f t="shared" si="10"/>
        <v>0</v>
      </c>
      <c r="V58" s="19">
        <f t="shared" si="11"/>
        <v>0</v>
      </c>
      <c r="W58" s="101"/>
    </row>
    <row r="59" spans="1:23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46">
        <v>9300000</v>
      </c>
      <c r="H59" s="46">
        <v>0</v>
      </c>
      <c r="I59" s="46">
        <f>+G59+H59</f>
        <v>9300000</v>
      </c>
      <c r="J59" s="45">
        <f>+I59</f>
        <v>9300000</v>
      </c>
      <c r="K59" s="46">
        <v>0</v>
      </c>
      <c r="L59" s="46">
        <f>+J59-K59</f>
        <v>9300000</v>
      </c>
      <c r="M59" s="46">
        <v>0</v>
      </c>
      <c r="N59" s="14">
        <f t="shared" si="7"/>
        <v>0</v>
      </c>
      <c r="O59" s="45">
        <f t="shared" si="8"/>
        <v>100</v>
      </c>
      <c r="P59" s="18"/>
      <c r="Q59" s="99"/>
      <c r="R59" s="46">
        <v>0</v>
      </c>
      <c r="S59" s="46">
        <v>0</v>
      </c>
      <c r="T59" s="14">
        <f t="shared" si="9"/>
        <v>9300000</v>
      </c>
      <c r="U59" s="18">
        <f t="shared" si="10"/>
        <v>0</v>
      </c>
      <c r="V59" s="19">
        <f t="shared" si="11"/>
        <v>0</v>
      </c>
      <c r="W59" s="101"/>
    </row>
    <row r="60" spans="1:23" ht="12.75">
      <c r="A60" s="10" t="s">
        <v>1</v>
      </c>
      <c r="B60" s="10" t="s">
        <v>1</v>
      </c>
      <c r="C60" s="10" t="s">
        <v>1</v>
      </c>
      <c r="D60" s="10" t="s">
        <v>1</v>
      </c>
      <c r="E60" s="10" t="s">
        <v>1</v>
      </c>
      <c r="F60" s="10" t="s">
        <v>26</v>
      </c>
      <c r="G60" s="5" t="s">
        <v>1</v>
      </c>
      <c r="H60" s="5" t="s">
        <v>1</v>
      </c>
      <c r="I60" s="5" t="s">
        <v>1</v>
      </c>
      <c r="J60" s="45" t="s">
        <v>1</v>
      </c>
      <c r="K60" s="45"/>
      <c r="L60" s="45"/>
      <c r="M60" s="45"/>
      <c r="N60" s="15"/>
      <c r="O60" s="45" t="s">
        <v>1</v>
      </c>
      <c r="P60" s="18"/>
      <c r="Q60" s="99"/>
      <c r="R60" s="47"/>
      <c r="S60" s="45"/>
      <c r="T60" s="16"/>
      <c r="U60" s="19"/>
      <c r="V60" s="19"/>
      <c r="W60" s="104"/>
    </row>
    <row r="61" spans="9:18" ht="12.75">
      <c r="I61" s="1" t="s">
        <v>1</v>
      </c>
      <c r="P61" s="1"/>
      <c r="Q61" s="1"/>
      <c r="R61" s="1"/>
    </row>
    <row r="62" spans="7:19" ht="12.75">
      <c r="G62" s="1">
        <f>+G9+G44+INVERSION!F22</f>
        <v>16948686990</v>
      </c>
      <c r="H62" s="1">
        <f>+INVERSION!G22+'FUNCIONAMIENTO '!H9</f>
        <v>11884837357.970001</v>
      </c>
      <c r="I62" s="9">
        <f>+I44+I9+INVERSION!H22</f>
        <v>28833524347.97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7:19" ht="12.75">
      <c r="G63" s="34">
        <f>+'[5]Hoja2'!$C$42</f>
        <v>16948686990.1</v>
      </c>
      <c r="H63" s="1">
        <f>+'[5]Hoja2'!$D$42</f>
        <v>11584837357.970001</v>
      </c>
      <c r="I63" s="1">
        <f>+'[5]Hoja2'!$E$42</f>
        <v>28533524347.97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8:19" ht="12.75">
      <c r="H64" s="1">
        <f>+H62-H63</f>
        <v>300000000</v>
      </c>
      <c r="I64" s="9">
        <f>+I62-I63</f>
        <v>300000000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9:19" ht="12.75">
      <c r="I65" s="9" t="s"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9:19" ht="12.75">
      <c r="I66" s="9" t="s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9:19" ht="12.7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9:19" ht="12.7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9:19" ht="12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9:19" ht="12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9:19" ht="12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4" spans="18:21" ht="12.75">
      <c r="R74" s="34">
        <f>+I9+I44+INVERSION!H22</f>
        <v>28833524347.97</v>
      </c>
      <c r="S74" s="34">
        <f>+R9+R44+INVERSION!X22</f>
        <v>24764078934.607998</v>
      </c>
      <c r="T74">
        <f>+R74/2</f>
        <v>14416762173.985</v>
      </c>
      <c r="U74">
        <f>+T74/S74</f>
        <v>0.5821642796428604</v>
      </c>
    </row>
    <row r="75" spans="18:19" ht="12.75">
      <c r="R75" s="34">
        <f>+'[4]Hoja2'!$E$41</f>
        <v>27556621538.1</v>
      </c>
      <c r="S75" s="34">
        <f>+'[4]Hoja2'!$F$41</f>
        <v>16092694746</v>
      </c>
    </row>
    <row r="76" ht="12.75">
      <c r="R76" s="34">
        <f>+R74-R75</f>
        <v>1276902809.8700027</v>
      </c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</sheetData>
  <sheetProtection/>
  <mergeCells count="6">
    <mergeCell ref="A35:V35"/>
    <mergeCell ref="A36:V36"/>
    <mergeCell ref="A37:V37"/>
    <mergeCell ref="A1:V1"/>
    <mergeCell ref="A2:V2"/>
    <mergeCell ref="A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SheetLayoutView="100" zoomScalePageLayoutView="0" workbookViewId="0" topLeftCell="G15">
      <selection activeCell="AA16" sqref="AA16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customWidth="1"/>
    <col min="25" max="25" width="20.28125" style="0" customWidth="1"/>
    <col min="26" max="26" width="16.140625" style="0" customWidth="1"/>
    <col min="27" max="27" width="16.28125" style="0" customWidth="1"/>
    <col min="28" max="28" width="16.7109375" style="0" customWidth="1"/>
    <col min="31" max="31" width="15.28125" style="0" bestFit="1" customWidth="1"/>
  </cols>
  <sheetData>
    <row r="1" spans="1:28" ht="12.75">
      <c r="A1" s="2"/>
      <c r="B1" s="2"/>
      <c r="C1" s="90" t="s">
        <v>1</v>
      </c>
      <c r="D1" s="91" t="s">
        <v>1</v>
      </c>
      <c r="E1" s="126" t="s">
        <v>0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2"/>
    </row>
    <row r="2" spans="1:28" ht="12.75">
      <c r="A2" s="2"/>
      <c r="B2" s="2"/>
      <c r="C2" s="90" t="s">
        <v>1</v>
      </c>
      <c r="D2" s="91" t="s">
        <v>1</v>
      </c>
      <c r="E2" s="127" t="s">
        <v>137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2"/>
    </row>
    <row r="3" spans="1:28" ht="12.75">
      <c r="A3" s="2"/>
      <c r="B3" s="2"/>
      <c r="C3" s="2"/>
      <c r="D3" s="2"/>
      <c r="E3" s="91"/>
      <c r="F3" s="91"/>
      <c r="G3" s="91" t="s">
        <v>1</v>
      </c>
      <c r="H3" s="11" t="s">
        <v>1</v>
      </c>
      <c r="I3" s="92" t="s">
        <v>1</v>
      </c>
      <c r="J3" s="15"/>
      <c r="K3" s="15"/>
      <c r="L3" s="15"/>
      <c r="M3" s="15"/>
      <c r="N3" s="15"/>
      <c r="O3" s="92"/>
      <c r="P3" s="92"/>
      <c r="Q3" s="92"/>
      <c r="R3" s="92"/>
      <c r="S3" s="92"/>
      <c r="T3" s="92"/>
      <c r="U3" s="16" t="s">
        <v>1</v>
      </c>
      <c r="V3" s="18"/>
      <c r="W3" s="18"/>
      <c r="X3" s="2"/>
      <c r="Y3" s="2"/>
      <c r="Z3" s="2"/>
      <c r="AA3" s="2"/>
      <c r="AB3" s="2"/>
    </row>
    <row r="4" spans="1:28" ht="12.75">
      <c r="A4" s="2"/>
      <c r="B4" s="2"/>
      <c r="C4" s="2"/>
      <c r="D4" s="2"/>
      <c r="E4" s="91"/>
      <c r="F4" s="2"/>
      <c r="G4" s="10" t="s">
        <v>1</v>
      </c>
      <c r="H4" s="11" t="s">
        <v>1</v>
      </c>
      <c r="I4" s="93" t="s">
        <v>1</v>
      </c>
      <c r="J4" s="15"/>
      <c r="K4" s="15"/>
      <c r="L4" s="15"/>
      <c r="M4" s="15"/>
      <c r="N4" s="15"/>
      <c r="O4" s="94"/>
      <c r="P4" s="94"/>
      <c r="Q4" s="94"/>
      <c r="R4" s="94"/>
      <c r="S4" s="94"/>
      <c r="T4" s="94"/>
      <c r="U4" s="14" t="s">
        <v>1</v>
      </c>
      <c r="V4" s="18"/>
      <c r="W4" s="18"/>
      <c r="X4" s="2"/>
      <c r="Y4" s="2"/>
      <c r="Z4" s="5" t="s">
        <v>1</v>
      </c>
      <c r="AA4" s="2"/>
      <c r="AB4" s="2"/>
    </row>
    <row r="5" spans="1:28" ht="38.25" customHeight="1">
      <c r="A5" s="78"/>
      <c r="B5" s="79"/>
      <c r="C5" s="80"/>
      <c r="D5" s="80"/>
      <c r="E5" s="81" t="s">
        <v>25</v>
      </c>
      <c r="F5" s="82" t="s">
        <v>78</v>
      </c>
      <c r="G5" s="83" t="s">
        <v>2</v>
      </c>
      <c r="H5" s="84" t="s">
        <v>79</v>
      </c>
      <c r="I5" s="85"/>
      <c r="J5" s="32"/>
      <c r="K5" s="85"/>
      <c r="L5" s="85"/>
      <c r="M5" s="85"/>
      <c r="N5" s="85" t="s">
        <v>1</v>
      </c>
      <c r="O5" s="85"/>
      <c r="P5" s="86"/>
      <c r="Q5" s="85"/>
      <c r="R5" s="85"/>
      <c r="S5" s="85"/>
      <c r="T5" s="85"/>
      <c r="U5" s="85" t="s">
        <v>1</v>
      </c>
      <c r="V5" s="85"/>
      <c r="W5" s="87"/>
      <c r="X5" s="88" t="s">
        <v>80</v>
      </c>
      <c r="Y5" s="89" t="s">
        <v>81</v>
      </c>
      <c r="Z5" s="89" t="s">
        <v>84</v>
      </c>
      <c r="AA5" s="89" t="s">
        <v>82</v>
      </c>
      <c r="AB5" s="89" t="s">
        <v>83</v>
      </c>
    </row>
    <row r="6" spans="1:32" ht="44.25" customHeight="1">
      <c r="A6" s="8" t="s">
        <v>24</v>
      </c>
      <c r="B6" s="6" t="s">
        <v>45</v>
      </c>
      <c r="C6" s="20">
        <v>900</v>
      </c>
      <c r="D6" s="4">
        <v>1</v>
      </c>
      <c r="E6" s="51" t="s">
        <v>61</v>
      </c>
      <c r="F6" s="120">
        <v>1450000000</v>
      </c>
      <c r="G6" s="121">
        <f>4016000+67335762+680918500</f>
        <v>752270262</v>
      </c>
      <c r="H6" s="33">
        <f>+F6+G6</f>
        <v>2202270262</v>
      </c>
      <c r="I6" s="30"/>
      <c r="J6" s="32"/>
      <c r="K6" s="30"/>
      <c r="L6" s="30"/>
      <c r="M6" s="30"/>
      <c r="N6" s="30">
        <v>377425593</v>
      </c>
      <c r="O6" s="30"/>
      <c r="P6" s="31"/>
      <c r="Q6" s="30"/>
      <c r="R6" s="30">
        <f aca="true" t="shared" si="0" ref="R6:R20">+N6-S6-T6</f>
        <v>71522290.954</v>
      </c>
      <c r="S6" s="30">
        <f>+'[2]2010'!$F$50+'[2]2010'!$F$57+'[2]2010'!$F$58</f>
        <v>3797761</v>
      </c>
      <c r="T6" s="30">
        <f>+'[1]RESERVAS 2012'!$G$149</f>
        <v>302105541.046</v>
      </c>
      <c r="U6" s="31">
        <f aca="true" t="shared" si="1" ref="U6:U20">+H6-N6</f>
        <v>1824844669</v>
      </c>
      <c r="V6" s="30"/>
      <c r="W6" s="33">
        <f aca="true" t="shared" si="2" ref="W6:W20">+N6/H6*100</f>
        <v>17.138023407592108</v>
      </c>
      <c r="X6" s="46">
        <f>+'[3]01-900-01'!$J$143-68332056-30232850</f>
        <v>2073631950.96</v>
      </c>
      <c r="Y6" s="46">
        <f>2013954023-42579110</f>
        <v>1971374913</v>
      </c>
      <c r="Z6" s="46">
        <f>+H6-X6</f>
        <v>128638311.03999996</v>
      </c>
      <c r="AA6" s="41">
        <f>+X6/H6*100</f>
        <v>94.15883176285654</v>
      </c>
      <c r="AB6" s="41">
        <f>+Y6/H6*100</f>
        <v>89.51557613140943</v>
      </c>
      <c r="AE6" s="1"/>
      <c r="AF6" s="34" t="s">
        <v>1</v>
      </c>
    </row>
    <row r="7" spans="1:32" ht="31.5" customHeight="1">
      <c r="A7" s="8" t="s">
        <v>24</v>
      </c>
      <c r="B7" s="6" t="s">
        <v>45</v>
      </c>
      <c r="C7" s="20">
        <f>+C6</f>
        <v>900</v>
      </c>
      <c r="D7" s="4">
        <v>2</v>
      </c>
      <c r="E7" s="51" t="s">
        <v>62</v>
      </c>
      <c r="F7" s="120">
        <v>250000000</v>
      </c>
      <c r="G7" s="121">
        <v>0</v>
      </c>
      <c r="H7" s="33">
        <f aca="true" t="shared" si="3" ref="H7:H20">+F7+G7</f>
        <v>250000000</v>
      </c>
      <c r="I7" s="30"/>
      <c r="J7" s="32"/>
      <c r="K7" s="30"/>
      <c r="L7" s="30"/>
      <c r="M7" s="30"/>
      <c r="N7" s="30">
        <v>36231197</v>
      </c>
      <c r="O7" s="30"/>
      <c r="P7" s="31"/>
      <c r="Q7" s="30"/>
      <c r="R7" s="30">
        <f t="shared" si="0"/>
        <v>18115598.3</v>
      </c>
      <c r="S7" s="30">
        <v>0</v>
      </c>
      <c r="T7" s="30">
        <f>+'[1]RESERVAS 2012'!$G$159</f>
        <v>18115598.7</v>
      </c>
      <c r="U7" s="31">
        <f t="shared" si="1"/>
        <v>213768803</v>
      </c>
      <c r="V7" s="30"/>
      <c r="W7" s="33">
        <f t="shared" si="2"/>
        <v>14.4924788</v>
      </c>
      <c r="X7" s="46">
        <f>+'[3]01-900-02'!$H$36</f>
        <v>240246611</v>
      </c>
      <c r="Y7" s="46">
        <v>239775769</v>
      </c>
      <c r="Z7" s="46">
        <f aca="true" t="shared" si="4" ref="Z7:Z20">+H7-X7</f>
        <v>9753389</v>
      </c>
      <c r="AA7" s="41">
        <f aca="true" t="shared" si="5" ref="AA7:AA22">+X7/H7*100</f>
        <v>96.0986444</v>
      </c>
      <c r="AB7" s="41">
        <f aca="true" t="shared" si="6" ref="AB7:AB22">+Y7/H7*100</f>
        <v>95.9103076</v>
      </c>
      <c r="AE7" s="1"/>
      <c r="AF7" s="34" t="s">
        <v>1</v>
      </c>
    </row>
    <row r="8" spans="1:31" ht="26.25" customHeight="1" hidden="1">
      <c r="A8" s="8" t="s">
        <v>24</v>
      </c>
      <c r="B8" s="6" t="s">
        <v>45</v>
      </c>
      <c r="C8" s="20">
        <f>+C7</f>
        <v>900</v>
      </c>
      <c r="D8" s="4">
        <v>3</v>
      </c>
      <c r="E8" s="51" t="s">
        <v>44</v>
      </c>
      <c r="F8" s="120">
        <v>0</v>
      </c>
      <c r="G8" s="121">
        <v>0</v>
      </c>
      <c r="H8" s="33">
        <f t="shared" si="3"/>
        <v>0</v>
      </c>
      <c r="I8" s="30"/>
      <c r="J8" s="32"/>
      <c r="K8" s="30"/>
      <c r="L8" s="30"/>
      <c r="M8" s="30"/>
      <c r="N8" s="30">
        <v>0</v>
      </c>
      <c r="O8" s="30"/>
      <c r="P8" s="31"/>
      <c r="Q8" s="30"/>
      <c r="R8" s="30">
        <f t="shared" si="0"/>
        <v>0</v>
      </c>
      <c r="S8" s="30"/>
      <c r="T8" s="30"/>
      <c r="U8" s="31">
        <f t="shared" si="1"/>
        <v>0</v>
      </c>
      <c r="V8" s="30"/>
      <c r="W8" s="33">
        <v>0</v>
      </c>
      <c r="X8" s="46"/>
      <c r="Y8" s="46"/>
      <c r="Z8" s="46">
        <f t="shared" si="4"/>
        <v>0</v>
      </c>
      <c r="AA8" s="41" t="e">
        <f t="shared" si="5"/>
        <v>#DIV/0!</v>
      </c>
      <c r="AB8" s="41" t="e">
        <f t="shared" si="6"/>
        <v>#DIV/0!</v>
      </c>
      <c r="AE8" s="1"/>
    </row>
    <row r="9" spans="1:32" ht="26.25" customHeight="1">
      <c r="A9" s="8" t="s">
        <v>24</v>
      </c>
      <c r="B9" s="6" t="s">
        <v>45</v>
      </c>
      <c r="C9" s="20">
        <v>900</v>
      </c>
      <c r="D9" s="4">
        <v>3</v>
      </c>
      <c r="E9" s="51" t="s">
        <v>76</v>
      </c>
      <c r="F9" s="120">
        <v>75000000</v>
      </c>
      <c r="G9" s="121"/>
      <c r="H9" s="33">
        <f>+F9+G9</f>
        <v>75000000</v>
      </c>
      <c r="I9" s="30"/>
      <c r="J9" s="32"/>
      <c r="K9" s="30"/>
      <c r="L9" s="30"/>
      <c r="M9" s="30"/>
      <c r="N9" s="30"/>
      <c r="O9" s="30"/>
      <c r="P9" s="31"/>
      <c r="Q9" s="30"/>
      <c r="R9" s="30"/>
      <c r="S9" s="30"/>
      <c r="T9" s="30"/>
      <c r="U9" s="31"/>
      <c r="V9" s="30"/>
      <c r="W9" s="33"/>
      <c r="X9" s="46">
        <f>+'[3]01-900-03'!$H$35-15732471</f>
        <v>59030207</v>
      </c>
      <c r="Y9" s="46">
        <v>53009780</v>
      </c>
      <c r="Z9" s="46">
        <f t="shared" si="4"/>
        <v>15969793</v>
      </c>
      <c r="AA9" s="41">
        <f t="shared" si="5"/>
        <v>78.70694266666666</v>
      </c>
      <c r="AB9" s="41">
        <f t="shared" si="6"/>
        <v>70.67970666666666</v>
      </c>
      <c r="AE9" s="1"/>
      <c r="AF9" t="s">
        <v>1</v>
      </c>
    </row>
    <row r="10" spans="1:31" ht="30" customHeight="1">
      <c r="A10" s="8" t="s">
        <v>24</v>
      </c>
      <c r="B10" s="6" t="s">
        <v>46</v>
      </c>
      <c r="C10" s="20">
        <f>+C8</f>
        <v>900</v>
      </c>
      <c r="D10" s="4">
        <v>1</v>
      </c>
      <c r="E10" s="51" t="s">
        <v>63</v>
      </c>
      <c r="F10" s="120">
        <v>1968364062</v>
      </c>
      <c r="G10" s="121">
        <v>0</v>
      </c>
      <c r="H10" s="33">
        <f t="shared" si="3"/>
        <v>1968364062</v>
      </c>
      <c r="I10" s="30"/>
      <c r="J10" s="32"/>
      <c r="K10" s="30"/>
      <c r="L10" s="30"/>
      <c r="M10" s="30"/>
      <c r="N10" s="30">
        <f>672188453-15546821</f>
        <v>656641632</v>
      </c>
      <c r="O10" s="30"/>
      <c r="P10" s="31"/>
      <c r="Q10" s="30"/>
      <c r="R10" s="30">
        <f t="shared" si="0"/>
        <v>656641632</v>
      </c>
      <c r="S10" s="30">
        <v>0</v>
      </c>
      <c r="T10" s="30">
        <v>0</v>
      </c>
      <c r="U10" s="31">
        <f t="shared" si="1"/>
        <v>1311722430</v>
      </c>
      <c r="V10" s="30"/>
      <c r="W10" s="33">
        <f t="shared" si="2"/>
        <v>33.35976533389889</v>
      </c>
      <c r="X10" s="46">
        <f>+'[3]02-0900-01'!$H$28</f>
        <v>1867301538.748</v>
      </c>
      <c r="Y10" s="46">
        <v>1867301539</v>
      </c>
      <c r="Z10" s="46">
        <f t="shared" si="4"/>
        <v>101062523.2520001</v>
      </c>
      <c r="AA10" s="41">
        <f t="shared" si="5"/>
        <v>94.86565899047591</v>
      </c>
      <c r="AB10" s="41">
        <f t="shared" si="6"/>
        <v>94.86565900327842</v>
      </c>
      <c r="AE10" s="1"/>
    </row>
    <row r="11" spans="1:31" ht="22.5" customHeight="1">
      <c r="A11" s="8" t="s">
        <v>24</v>
      </c>
      <c r="B11" s="6" t="s">
        <v>46</v>
      </c>
      <c r="C11" s="20">
        <f aca="true" t="shared" si="7" ref="C11:C20">+C10</f>
        <v>900</v>
      </c>
      <c r="D11" s="4">
        <v>2</v>
      </c>
      <c r="E11" s="51" t="s">
        <v>64</v>
      </c>
      <c r="F11" s="120">
        <v>1365150170</v>
      </c>
      <c r="G11" s="121">
        <f>17546630+845027777+383654999</f>
        <v>1246229406</v>
      </c>
      <c r="H11" s="33">
        <f t="shared" si="3"/>
        <v>2611379576</v>
      </c>
      <c r="I11" s="30"/>
      <c r="J11" s="32"/>
      <c r="K11" s="30"/>
      <c r="L11" s="30"/>
      <c r="M11" s="30"/>
      <c r="N11" s="30">
        <v>830912529</v>
      </c>
      <c r="O11" s="30"/>
      <c r="P11" s="31"/>
      <c r="Q11" s="30"/>
      <c r="R11" s="30">
        <f t="shared" si="0"/>
        <v>291465571.8239999</v>
      </c>
      <c r="S11" s="30">
        <v>0</v>
      </c>
      <c r="T11" s="30">
        <f>+'[1]RESERVAS 2012'!$G$176</f>
        <v>539446957.1760001</v>
      </c>
      <c r="U11" s="31">
        <f t="shared" si="1"/>
        <v>1780467047</v>
      </c>
      <c r="V11" s="30"/>
      <c r="W11" s="33">
        <f t="shared" si="2"/>
        <v>31.81891045777253</v>
      </c>
      <c r="X11" s="46">
        <f>+'[3]02-900-02'!$H$142-15918651</f>
        <v>2516564821.4040008</v>
      </c>
      <c r="Y11" s="46">
        <v>2382050132</v>
      </c>
      <c r="Z11" s="46">
        <f t="shared" si="4"/>
        <v>94814754.59599924</v>
      </c>
      <c r="AA11" s="41">
        <f t="shared" si="5"/>
        <v>96.369169941153</v>
      </c>
      <c r="AB11" s="41">
        <f t="shared" si="6"/>
        <v>91.21807315536728</v>
      </c>
      <c r="AE11" s="1"/>
    </row>
    <row r="12" spans="1:31" ht="34.5" customHeight="1">
      <c r="A12" s="8" t="s">
        <v>24</v>
      </c>
      <c r="B12" s="6" t="s">
        <v>46</v>
      </c>
      <c r="C12" s="20">
        <f t="shared" si="7"/>
        <v>900</v>
      </c>
      <c r="D12" s="4">
        <v>3</v>
      </c>
      <c r="E12" s="51" t="s">
        <v>65</v>
      </c>
      <c r="F12" s="120">
        <v>1075911500</v>
      </c>
      <c r="G12" s="121">
        <f>15920613+6584961+48702519-383654999</f>
        <v>-312446906</v>
      </c>
      <c r="H12" s="33">
        <f t="shared" si="3"/>
        <v>763464594</v>
      </c>
      <c r="I12" s="30"/>
      <c r="J12" s="32"/>
      <c r="K12" s="30"/>
      <c r="L12" s="30"/>
      <c r="M12" s="30"/>
      <c r="N12" s="36">
        <v>133402374</v>
      </c>
      <c r="O12" s="36"/>
      <c r="P12" s="36"/>
      <c r="Q12" s="36"/>
      <c r="R12" s="30">
        <f t="shared" si="0"/>
        <v>6838000</v>
      </c>
      <c r="S12" s="36">
        <f>+'[2]2010'!$F$154</f>
        <v>43687200</v>
      </c>
      <c r="T12" s="36">
        <f>+'[1]RESERVAS 2012'!$G$212</f>
        <v>82877174</v>
      </c>
      <c r="U12" s="36">
        <f t="shared" si="1"/>
        <v>630062220</v>
      </c>
      <c r="V12" s="30"/>
      <c r="W12" s="33">
        <f>+N12/H12*100</f>
        <v>17.473288879195884</v>
      </c>
      <c r="X12" s="16">
        <f>+'[3]02-900-03'!$H$73-278558312-33433200</f>
        <v>407991972.232</v>
      </c>
      <c r="Y12" s="5">
        <f>442897860-30830758-39801776</f>
        <v>372265326</v>
      </c>
      <c r="Z12" s="46">
        <f t="shared" si="4"/>
        <v>355472621.768</v>
      </c>
      <c r="AA12" s="41">
        <f t="shared" si="5"/>
        <v>53.4395406726615</v>
      </c>
      <c r="AB12" s="41">
        <f t="shared" si="6"/>
        <v>48.75999868567579</v>
      </c>
      <c r="AE12" s="1"/>
    </row>
    <row r="13" spans="1:31" ht="38.25" customHeight="1">
      <c r="A13" s="8" t="s">
        <v>24</v>
      </c>
      <c r="B13" s="6" t="s">
        <v>46</v>
      </c>
      <c r="C13" s="20">
        <f t="shared" si="7"/>
        <v>900</v>
      </c>
      <c r="D13" s="4">
        <v>4</v>
      </c>
      <c r="E13" s="51" t="s">
        <v>66</v>
      </c>
      <c r="F13" s="120">
        <v>2124103500</v>
      </c>
      <c r="G13" s="121">
        <f>59264648+2405876685</f>
        <v>2465141333</v>
      </c>
      <c r="H13" s="33">
        <f t="shared" si="3"/>
        <v>4589244833</v>
      </c>
      <c r="I13" s="30"/>
      <c r="J13" s="32"/>
      <c r="K13" s="30"/>
      <c r="L13" s="30"/>
      <c r="M13" s="30"/>
      <c r="N13" s="30">
        <f>26881152+1471477790</f>
        <v>1498358942</v>
      </c>
      <c r="O13" s="30"/>
      <c r="P13" s="31"/>
      <c r="Q13" s="30"/>
      <c r="R13" s="30">
        <f t="shared" si="0"/>
        <v>-0.31599998474121094</v>
      </c>
      <c r="S13" s="30">
        <v>0</v>
      </c>
      <c r="T13" s="30">
        <f>+'[1]RESERVAS 2012'!$G$217</f>
        <v>1498358942.316</v>
      </c>
      <c r="U13" s="31">
        <f t="shared" si="1"/>
        <v>3090885891</v>
      </c>
      <c r="V13" s="30"/>
      <c r="W13" s="33">
        <f t="shared" si="2"/>
        <v>32.649357280433414</v>
      </c>
      <c r="X13" s="46">
        <f>+'[3]02-900-04'!$H$23</f>
        <v>4589240857.672</v>
      </c>
      <c r="Y13" s="46">
        <f>4589240858-24286136</f>
        <v>4564954722</v>
      </c>
      <c r="Z13" s="46">
        <f t="shared" si="4"/>
        <v>3975.3280000686646</v>
      </c>
      <c r="AA13" s="41">
        <f t="shared" si="5"/>
        <v>99.99991337729529</v>
      </c>
      <c r="AB13" s="41">
        <f t="shared" si="6"/>
        <v>99.47071660188325</v>
      </c>
      <c r="AE13" s="1"/>
    </row>
    <row r="14" spans="1:31" ht="22.5" customHeight="1">
      <c r="A14" s="8" t="s">
        <v>24</v>
      </c>
      <c r="B14" s="6" t="s">
        <v>47</v>
      </c>
      <c r="C14" s="20">
        <f t="shared" si="7"/>
        <v>900</v>
      </c>
      <c r="D14" s="4">
        <v>1</v>
      </c>
      <c r="E14" s="51" t="s">
        <v>67</v>
      </c>
      <c r="F14" s="120">
        <v>250000000</v>
      </c>
      <c r="G14" s="121">
        <v>0</v>
      </c>
      <c r="H14" s="33">
        <f t="shared" si="3"/>
        <v>250000000</v>
      </c>
      <c r="I14" s="30"/>
      <c r="J14" s="32"/>
      <c r="K14" s="30"/>
      <c r="L14" s="30"/>
      <c r="M14" s="30"/>
      <c r="N14" s="30">
        <f>-38654000+83580624-44926624</f>
        <v>0</v>
      </c>
      <c r="O14" s="30"/>
      <c r="P14" s="31"/>
      <c r="Q14" s="30"/>
      <c r="R14" s="30">
        <f t="shared" si="0"/>
        <v>0</v>
      </c>
      <c r="S14" s="30">
        <v>0</v>
      </c>
      <c r="T14" s="30">
        <v>0</v>
      </c>
      <c r="U14" s="31">
        <f t="shared" si="1"/>
        <v>250000000</v>
      </c>
      <c r="V14" s="30"/>
      <c r="W14" s="33">
        <f t="shared" si="2"/>
        <v>0</v>
      </c>
      <c r="X14" s="46">
        <f>+'[3]03-900-01'!$H$41</f>
        <v>248968257</v>
      </c>
      <c r="Y14" s="46">
        <v>242587320</v>
      </c>
      <c r="Z14" s="46">
        <f t="shared" si="4"/>
        <v>1031743</v>
      </c>
      <c r="AA14" s="41">
        <f t="shared" si="5"/>
        <v>99.5873028</v>
      </c>
      <c r="AB14" s="41">
        <f t="shared" si="6"/>
        <v>97.034928</v>
      </c>
      <c r="AC14" s="50" t="s">
        <v>1</v>
      </c>
      <c r="AE14" s="1"/>
    </row>
    <row r="15" spans="1:31" ht="22.5" customHeight="1">
      <c r="A15" s="8" t="s">
        <v>24</v>
      </c>
      <c r="B15" s="6" t="s">
        <v>47</v>
      </c>
      <c r="C15" s="20">
        <f t="shared" si="7"/>
        <v>900</v>
      </c>
      <c r="D15" s="4">
        <v>2</v>
      </c>
      <c r="E15" s="51" t="s">
        <v>68</v>
      </c>
      <c r="F15" s="120">
        <v>819230081</v>
      </c>
      <c r="G15" s="121">
        <f>337074647+2053555469.71+1068088000+249055054+7405664+500000000+976902810.26+500000000</f>
        <v>5692081644.97</v>
      </c>
      <c r="H15" s="33">
        <f t="shared" si="3"/>
        <v>6511311725.97</v>
      </c>
      <c r="I15" s="30"/>
      <c r="J15" s="32"/>
      <c r="K15" s="30"/>
      <c r="L15" s="30"/>
      <c r="M15" s="30"/>
      <c r="N15" s="30">
        <v>76488483</v>
      </c>
      <c r="O15" s="30"/>
      <c r="P15" s="31"/>
      <c r="Q15" s="30"/>
      <c r="R15" s="30">
        <f t="shared" si="0"/>
        <v>0</v>
      </c>
      <c r="S15" s="30">
        <v>0</v>
      </c>
      <c r="T15" s="30">
        <f>+'[1]RESERVAS 2012'!$G$227</f>
        <v>76488483</v>
      </c>
      <c r="U15" s="31">
        <f t="shared" si="1"/>
        <v>6434823242.97</v>
      </c>
      <c r="V15" s="30"/>
      <c r="W15" s="33">
        <f t="shared" si="2"/>
        <v>1.1747015996013521</v>
      </c>
      <c r="X15" s="5">
        <f>+'[3]03-900-02'!$H$96-8090232</f>
        <v>6491107301.863999</v>
      </c>
      <c r="Y15" s="46">
        <v>5993999030</v>
      </c>
      <c r="Z15" s="46">
        <f t="shared" si="4"/>
        <v>20204424.1060009</v>
      </c>
      <c r="AA15" s="41">
        <f t="shared" si="5"/>
        <v>99.68970270574796</v>
      </c>
      <c r="AB15" s="41">
        <f t="shared" si="6"/>
        <v>92.0551692540425</v>
      </c>
      <c r="AE15" s="1"/>
    </row>
    <row r="16" spans="1:31" ht="22.5" customHeight="1">
      <c r="A16" s="8" t="s">
        <v>24</v>
      </c>
      <c r="B16" s="6" t="s">
        <v>48</v>
      </c>
      <c r="C16" s="20">
        <f t="shared" si="7"/>
        <v>900</v>
      </c>
      <c r="D16" s="4">
        <v>1</v>
      </c>
      <c r="E16" s="51" t="s">
        <v>69</v>
      </c>
      <c r="F16" s="120">
        <v>714824827</v>
      </c>
      <c r="G16" s="121">
        <f>105000000+172594336</f>
        <v>277594336</v>
      </c>
      <c r="H16" s="33">
        <f t="shared" si="3"/>
        <v>992419163</v>
      </c>
      <c r="I16" s="30"/>
      <c r="J16" s="32"/>
      <c r="K16" s="30"/>
      <c r="L16" s="30"/>
      <c r="M16" s="30"/>
      <c r="N16" s="30">
        <v>152849484</v>
      </c>
      <c r="O16" s="30"/>
      <c r="P16" s="31"/>
      <c r="Q16" s="30"/>
      <c r="R16" s="30">
        <f t="shared" si="0"/>
        <v>36427954</v>
      </c>
      <c r="S16" s="30">
        <f>+'[2]2010'!$F$163</f>
        <v>75867</v>
      </c>
      <c r="T16" s="30">
        <f>+'[1]RESERVAS 2012'!$G$246</f>
        <v>116345663</v>
      </c>
      <c r="U16" s="31">
        <f t="shared" si="1"/>
        <v>839569679</v>
      </c>
      <c r="V16" s="30"/>
      <c r="W16" s="33">
        <f t="shared" si="2"/>
        <v>15.401706224409132</v>
      </c>
      <c r="X16" s="14">
        <f>+'[3]04-0900-1'!$H$605-16620445</f>
        <v>886324576.9959999</v>
      </c>
      <c r="Y16" s="46">
        <f>805033574-62497032</f>
        <v>742536542</v>
      </c>
      <c r="Z16" s="46">
        <f t="shared" si="4"/>
        <v>106094586.00400007</v>
      </c>
      <c r="AA16" s="41">
        <f t="shared" si="5"/>
        <v>89.30949844990043</v>
      </c>
      <c r="AB16" s="41">
        <f t="shared" si="6"/>
        <v>74.82085893579223</v>
      </c>
      <c r="AC16" t="s">
        <v>1</v>
      </c>
      <c r="AD16" t="s">
        <v>1</v>
      </c>
      <c r="AE16" s="1" t="s">
        <v>1</v>
      </c>
    </row>
    <row r="17" spans="1:28" ht="36" customHeight="1">
      <c r="A17" s="8" t="s">
        <v>24</v>
      </c>
      <c r="B17" s="6" t="s">
        <v>48</v>
      </c>
      <c r="C17" s="20">
        <f t="shared" si="7"/>
        <v>900</v>
      </c>
      <c r="D17" s="4">
        <v>2</v>
      </c>
      <c r="E17" s="51" t="s">
        <v>70</v>
      </c>
      <c r="F17" s="120">
        <v>350000000</v>
      </c>
      <c r="G17" s="121">
        <v>0</v>
      </c>
      <c r="H17" s="33">
        <f t="shared" si="3"/>
        <v>350000000</v>
      </c>
      <c r="I17" s="30"/>
      <c r="J17" s="32"/>
      <c r="K17" s="30"/>
      <c r="L17" s="30"/>
      <c r="M17" s="30"/>
      <c r="N17" s="30">
        <v>19467520</v>
      </c>
      <c r="O17" s="30"/>
      <c r="P17" s="31"/>
      <c r="Q17" s="30"/>
      <c r="R17" s="30">
        <f t="shared" si="0"/>
        <v>1534972</v>
      </c>
      <c r="S17" s="30">
        <f>+'[2]2010'!$F$195</f>
        <v>198000</v>
      </c>
      <c r="T17" s="30">
        <f>+'[1]RESERVAS 2012'!$G$306</f>
        <v>17734548</v>
      </c>
      <c r="U17" s="31">
        <f t="shared" si="1"/>
        <v>330532480</v>
      </c>
      <c r="V17" s="30"/>
      <c r="W17" s="33">
        <f t="shared" si="2"/>
        <v>5.562148571428571</v>
      </c>
      <c r="X17" s="46">
        <f>+'[3]04-0900-02'!$H$119</f>
        <v>348579833.988</v>
      </c>
      <c r="Y17" s="14">
        <f>203826491+6053757+7290000+2801000+24765334-418334+870000-10961000</f>
        <v>234227248</v>
      </c>
      <c r="Z17" s="46">
        <f t="shared" si="4"/>
        <v>1420166.0120000243</v>
      </c>
      <c r="AA17" s="41">
        <f t="shared" si="5"/>
        <v>99.5942382822857</v>
      </c>
      <c r="AB17" s="41">
        <f t="shared" si="6"/>
        <v>66.92207085714286</v>
      </c>
    </row>
    <row r="18" spans="1:28" ht="38.25" customHeight="1">
      <c r="A18" s="8" t="s">
        <v>24</v>
      </c>
      <c r="B18" s="6" t="s">
        <v>49</v>
      </c>
      <c r="C18" s="20">
        <f t="shared" si="7"/>
        <v>900</v>
      </c>
      <c r="D18" s="4">
        <v>1</v>
      </c>
      <c r="E18" s="51" t="s">
        <v>71</v>
      </c>
      <c r="F18" s="120">
        <v>200000000</v>
      </c>
      <c r="G18" s="121">
        <f>434867400+80449473+44550527</f>
        <v>559867400</v>
      </c>
      <c r="H18" s="33">
        <f t="shared" si="3"/>
        <v>759867400</v>
      </c>
      <c r="I18" s="30"/>
      <c r="J18" s="32"/>
      <c r="K18" s="30"/>
      <c r="L18" s="30"/>
      <c r="M18" s="30"/>
      <c r="N18" s="30">
        <v>203974258</v>
      </c>
      <c r="O18" s="30"/>
      <c r="P18" s="31"/>
      <c r="Q18" s="30"/>
      <c r="R18" s="30">
        <f t="shared" si="0"/>
        <v>42361514.95999999</v>
      </c>
      <c r="S18" s="30">
        <f>+'[2]2010'!$F$203</f>
        <v>50523840</v>
      </c>
      <c r="T18" s="30">
        <f>+'[1]RESERVAS 2012'!$G$336</f>
        <v>111088903.04</v>
      </c>
      <c r="U18" s="31">
        <f t="shared" si="1"/>
        <v>555893142</v>
      </c>
      <c r="V18" s="30"/>
      <c r="W18" s="33">
        <f t="shared" si="2"/>
        <v>26.843401625073003</v>
      </c>
      <c r="X18" s="14">
        <f>+'[3]05-900-01'!$I$131-126822079</f>
        <v>618740832.0080001</v>
      </c>
      <c r="Y18" s="5">
        <f>562166238-21000000</f>
        <v>541166238</v>
      </c>
      <c r="Z18" s="46">
        <f t="shared" si="4"/>
        <v>141126567.99199986</v>
      </c>
      <c r="AA18" s="41">
        <f t="shared" si="5"/>
        <v>81.42747432091443</v>
      </c>
      <c r="AB18" s="41">
        <f t="shared" si="6"/>
        <v>71.21850970314031</v>
      </c>
    </row>
    <row r="19" spans="1:28" ht="41.25" customHeight="1">
      <c r="A19" s="8" t="s">
        <v>24</v>
      </c>
      <c r="B19" s="6" t="s">
        <v>50</v>
      </c>
      <c r="C19" s="20">
        <f t="shared" si="7"/>
        <v>900</v>
      </c>
      <c r="D19" s="4">
        <v>1</v>
      </c>
      <c r="E19" s="77" t="s">
        <v>72</v>
      </c>
      <c r="F19" s="120">
        <v>171617855</v>
      </c>
      <c r="G19" s="121">
        <f>130000000+300000000-40000000</f>
        <v>390000000</v>
      </c>
      <c r="H19" s="33">
        <f t="shared" si="3"/>
        <v>561617855</v>
      </c>
      <c r="I19" s="30"/>
      <c r="J19" s="32"/>
      <c r="K19" s="30"/>
      <c r="L19" s="30"/>
      <c r="M19" s="30"/>
      <c r="N19" s="30">
        <v>145590431</v>
      </c>
      <c r="O19" s="30"/>
      <c r="P19" s="31"/>
      <c r="Q19" s="30"/>
      <c r="R19" s="30">
        <f t="shared" si="0"/>
        <v>72795215.22</v>
      </c>
      <c r="S19" s="30">
        <v>0</v>
      </c>
      <c r="T19" s="30">
        <f>+'[1]RESERVAS 2012'!$G$342</f>
        <v>72795215.78</v>
      </c>
      <c r="U19" s="31">
        <f t="shared" si="1"/>
        <v>416027424</v>
      </c>
      <c r="V19" s="30"/>
      <c r="W19" s="33">
        <f t="shared" si="2"/>
        <v>25.92339785920802</v>
      </c>
      <c r="X19" s="46">
        <f>+'[3]06-0900-01'!$H$66-48733267</f>
        <v>512033061.9560002</v>
      </c>
      <c r="Y19" s="5">
        <f>510799997-390876026</f>
        <v>119923971</v>
      </c>
      <c r="Z19" s="46">
        <f t="shared" si="4"/>
        <v>49584793.04399979</v>
      </c>
      <c r="AA19" s="41">
        <f t="shared" si="5"/>
        <v>91.1710796580711</v>
      </c>
      <c r="AB19" s="41">
        <f t="shared" si="6"/>
        <v>21.35330455261256</v>
      </c>
    </row>
    <row r="20" spans="1:28" ht="22.5" customHeight="1">
      <c r="A20" s="8" t="s">
        <v>24</v>
      </c>
      <c r="B20" s="6" t="s">
        <v>50</v>
      </c>
      <c r="C20" s="20">
        <f t="shared" si="7"/>
        <v>900</v>
      </c>
      <c r="D20" s="4">
        <v>2</v>
      </c>
      <c r="E20" s="77" t="s">
        <v>73</v>
      </c>
      <c r="F20" s="120">
        <v>80000000</v>
      </c>
      <c r="G20" s="121">
        <f>200000000+40000000</f>
        <v>240000000</v>
      </c>
      <c r="H20" s="33">
        <f t="shared" si="3"/>
        <v>320000000</v>
      </c>
      <c r="I20" s="30"/>
      <c r="J20" s="32"/>
      <c r="K20" s="30"/>
      <c r="L20" s="30"/>
      <c r="M20" s="30"/>
      <c r="N20" s="30">
        <v>15121222</v>
      </c>
      <c r="O20" s="30"/>
      <c r="P20" s="31"/>
      <c r="Q20" s="30"/>
      <c r="R20" s="30">
        <f t="shared" si="0"/>
        <v>15121222</v>
      </c>
      <c r="S20" s="30">
        <v>0</v>
      </c>
      <c r="T20" s="30">
        <v>0</v>
      </c>
      <c r="U20" s="31">
        <f t="shared" si="1"/>
        <v>304878778</v>
      </c>
      <c r="V20" s="30"/>
      <c r="W20" s="33">
        <f t="shared" si="2"/>
        <v>4.725381875</v>
      </c>
      <c r="X20" s="46">
        <f>+'[3]06-0900-02'!$H$39-64126983</f>
        <v>254768425.77999997</v>
      </c>
      <c r="Y20" s="5">
        <v>246536657</v>
      </c>
      <c r="Z20" s="46">
        <f t="shared" si="4"/>
        <v>65231574.22000003</v>
      </c>
      <c r="AA20" s="41">
        <f t="shared" si="5"/>
        <v>79.61513305624999</v>
      </c>
      <c r="AB20" s="41">
        <f t="shared" si="6"/>
        <v>77.0427053125</v>
      </c>
    </row>
    <row r="21" spans="1:28" ht="22.5" customHeight="1">
      <c r="A21" s="8" t="s">
        <v>1</v>
      </c>
      <c r="B21" s="6"/>
      <c r="C21" s="20"/>
      <c r="D21" s="4"/>
      <c r="E21" s="7"/>
      <c r="F21" s="120"/>
      <c r="G21" s="121"/>
      <c r="H21" s="33"/>
      <c r="I21" s="30"/>
      <c r="J21" s="32"/>
      <c r="K21" s="30"/>
      <c r="L21" s="30"/>
      <c r="M21" s="30"/>
      <c r="N21" s="30"/>
      <c r="O21" s="30"/>
      <c r="P21" s="31"/>
      <c r="Q21" s="30"/>
      <c r="R21" s="30"/>
      <c r="S21" s="30"/>
      <c r="T21" s="30"/>
      <c r="U21" s="30"/>
      <c r="V21" s="30"/>
      <c r="W21" s="33"/>
      <c r="X21" s="46"/>
      <c r="Y21" s="46"/>
      <c r="Z21" s="46"/>
      <c r="AA21" s="11" t="s">
        <v>1</v>
      </c>
      <c r="AB21" s="11" t="s">
        <v>1</v>
      </c>
    </row>
    <row r="22" spans="1:28" ht="22.5" customHeight="1">
      <c r="A22" s="8"/>
      <c r="B22" s="6"/>
      <c r="C22" s="20"/>
      <c r="D22" s="4"/>
      <c r="E22" s="7" t="s">
        <v>77</v>
      </c>
      <c r="F22" s="120">
        <f>SUM(F6:F21)</f>
        <v>10894201995</v>
      </c>
      <c r="G22" s="120">
        <f>SUM(G6:G21)</f>
        <v>11310737475.970001</v>
      </c>
      <c r="H22" s="120">
        <f>SUM(H6:H21)</f>
        <v>22204939470.97</v>
      </c>
      <c r="I22" s="30"/>
      <c r="J22" s="32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3"/>
      <c r="X22" s="48">
        <f>SUM(X6:X21)</f>
        <v>21114530248.607998</v>
      </c>
      <c r="Y22" s="48">
        <f>SUM(Y6:Y21)</f>
        <v>19571709187</v>
      </c>
      <c r="Z22" s="48">
        <f>SUM(Z6:Z21)</f>
        <v>1090409222.362</v>
      </c>
      <c r="AA22" s="41">
        <f t="shared" si="5"/>
        <v>95.08933936168766</v>
      </c>
      <c r="AB22" s="41">
        <f t="shared" si="6"/>
        <v>88.14124088285583</v>
      </c>
    </row>
    <row r="23" spans="6:28" ht="12.75">
      <c r="F23" s="50" t="s">
        <v>1</v>
      </c>
      <c r="G23" s="50" t="s">
        <v>1</v>
      </c>
      <c r="H23" s="9" t="s">
        <v>1</v>
      </c>
      <c r="Y23" t="s">
        <v>1</v>
      </c>
      <c r="Z23" s="34" t="s">
        <v>1</v>
      </c>
      <c r="AA23" s="95"/>
      <c r="AB23" s="95" t="s">
        <v>1</v>
      </c>
    </row>
    <row r="24" spans="6:25" ht="12.75">
      <c r="F24" s="50" t="s">
        <v>26</v>
      </c>
      <c r="G24" s="9" t="s">
        <v>1</v>
      </c>
      <c r="H24" s="50" t="s">
        <v>1</v>
      </c>
      <c r="X24" s="34"/>
      <c r="Y24" t="s">
        <v>1</v>
      </c>
    </row>
    <row r="25" spans="6:25" ht="12.75">
      <c r="F25" s="34"/>
      <c r="G25" s="50" t="s">
        <v>1</v>
      </c>
      <c r="H25" s="34"/>
      <c r="Y25" s="34"/>
    </row>
    <row r="26" spans="6:28" ht="12.75">
      <c r="F26" s="34"/>
      <c r="G26" s="50" t="s">
        <v>1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2.75">
      <c r="G27" s="9" t="s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2.75">
      <c r="G28" s="9" t="s">
        <v>1</v>
      </c>
      <c r="H28" s="9" t="s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9"/>
      <c r="Y28" s="1"/>
      <c r="Z28" s="1"/>
      <c r="AA28" s="1"/>
      <c r="AB28" s="1"/>
    </row>
    <row r="29" spans="7:28" ht="12.75">
      <c r="G29" s="9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"/>
      <c r="Y29" s="1"/>
      <c r="Z29" s="1"/>
      <c r="AA29" s="1"/>
      <c r="AB29" s="1"/>
    </row>
    <row r="30" spans="7:28" ht="12.75">
      <c r="G30" s="9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28" ht="12.75">
      <c r="G31" s="9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2.75">
      <c r="G32" s="9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2.75">
      <c r="G33" s="9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2.75">
      <c r="G34" s="9" t="s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2.75">
      <c r="G35" s="9" t="s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2.75">
      <c r="G36" s="9" t="s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2.75">
      <c r="G37" s="9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2.75">
      <c r="G38" s="9" t="s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2.75">
      <c r="G39" s="9" t="s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7:28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7:2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7:2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7:2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7:2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7:2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7:2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7:2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7:2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7:2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7:2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7:2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7:2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7:2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7:2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7:2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7:2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7:2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7:2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7:2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7:2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7:2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7:2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7:2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7:2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7:2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7:2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7:2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/>
  <mergeCells count="2">
    <mergeCell ref="E1:AA1"/>
    <mergeCell ref="E2:AA2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2">
      <selection activeCell="E48" sqref="E48"/>
    </sheetView>
  </sheetViews>
  <sheetFormatPr defaultColWidth="11.421875" defaultRowHeight="12.75"/>
  <cols>
    <col min="1" max="1" width="11.8515625" style="0" customWidth="1"/>
    <col min="2" max="2" width="25.00390625" style="0" customWidth="1"/>
    <col min="3" max="3" width="17.7109375" style="0" customWidth="1"/>
    <col min="4" max="4" width="17.28125" style="0" customWidth="1"/>
    <col min="5" max="5" width="18.28125" style="0" customWidth="1"/>
    <col min="6" max="6" width="17.140625" style="0" customWidth="1"/>
    <col min="7" max="7" width="37.140625" style="0" customWidth="1"/>
  </cols>
  <sheetData>
    <row r="1" spans="1:7" ht="15">
      <c r="A1" s="128" t="s">
        <v>0</v>
      </c>
      <c r="B1" s="129"/>
      <c r="C1" s="129"/>
      <c r="D1" s="129"/>
      <c r="E1" s="129"/>
      <c r="F1" s="129"/>
      <c r="G1" s="130"/>
    </row>
    <row r="2" spans="1:7" ht="15">
      <c r="A2" s="128" t="s">
        <v>85</v>
      </c>
      <c r="B2" s="129"/>
      <c r="C2" s="129"/>
      <c r="D2" s="129"/>
      <c r="E2" s="129"/>
      <c r="F2" s="129"/>
      <c r="G2" s="130"/>
    </row>
    <row r="3" spans="1:7" ht="12.75">
      <c r="A3" s="2"/>
      <c r="B3" s="2"/>
      <c r="C3" s="2"/>
      <c r="D3" s="2"/>
      <c r="E3" s="2"/>
      <c r="F3" s="2"/>
      <c r="G3" s="2"/>
    </row>
    <row r="4" spans="1:7" ht="15">
      <c r="A4" s="112" t="s">
        <v>86</v>
      </c>
      <c r="B4" s="112" t="s">
        <v>87</v>
      </c>
      <c r="C4" s="113" t="s">
        <v>88</v>
      </c>
      <c r="D4" s="131" t="s">
        <v>89</v>
      </c>
      <c r="E4" s="131"/>
      <c r="F4" s="114" t="s">
        <v>90</v>
      </c>
      <c r="G4" s="114" t="s">
        <v>91</v>
      </c>
    </row>
    <row r="5" spans="1:7" ht="12.75">
      <c r="A5" s="2"/>
      <c r="B5" s="2"/>
      <c r="C5" s="41" t="s">
        <v>1</v>
      </c>
      <c r="D5" s="41" t="s">
        <v>92</v>
      </c>
      <c r="E5" s="41" t="s">
        <v>93</v>
      </c>
      <c r="F5" s="41"/>
      <c r="G5" s="41"/>
    </row>
    <row r="6" spans="1:7" ht="12.75">
      <c r="A6" s="115">
        <v>41640</v>
      </c>
      <c r="B6" s="2" t="s">
        <v>94</v>
      </c>
      <c r="C6" s="41">
        <v>434867400</v>
      </c>
      <c r="D6" s="41" t="s">
        <v>1</v>
      </c>
      <c r="E6" s="41">
        <f>+C6</f>
        <v>434867400</v>
      </c>
      <c r="F6" s="41" t="s">
        <v>95</v>
      </c>
      <c r="G6" s="41" t="s">
        <v>96</v>
      </c>
    </row>
    <row r="7" spans="1:7" ht="12.75">
      <c r="A7" s="115">
        <v>44927</v>
      </c>
      <c r="B7" s="2" t="s">
        <v>97</v>
      </c>
      <c r="C7" s="41">
        <v>21562630</v>
      </c>
      <c r="D7" s="41"/>
      <c r="E7" s="41">
        <v>4016000</v>
      </c>
      <c r="F7" s="41" t="s">
        <v>98</v>
      </c>
      <c r="G7" s="41" t="s">
        <v>99</v>
      </c>
    </row>
    <row r="8" spans="1:7" ht="12.75">
      <c r="A8" s="115" t="s">
        <v>1</v>
      </c>
      <c r="B8" s="2" t="s">
        <v>1</v>
      </c>
      <c r="C8" s="41" t="s">
        <v>1</v>
      </c>
      <c r="D8" s="41"/>
      <c r="E8" s="41">
        <v>17546630</v>
      </c>
      <c r="F8" s="41" t="s">
        <v>100</v>
      </c>
      <c r="G8" s="41" t="str">
        <f>+G7</f>
        <v>MPIOS</v>
      </c>
    </row>
    <row r="9" spans="1:7" ht="12.75">
      <c r="A9" s="115">
        <v>44927</v>
      </c>
      <c r="B9" s="2" t="s">
        <v>101</v>
      </c>
      <c r="C9" s="41">
        <v>845027777</v>
      </c>
      <c r="D9" s="41"/>
      <c r="E9" s="41">
        <f aca="true" t="shared" si="0" ref="E9:E14">+C9</f>
        <v>845027777</v>
      </c>
      <c r="F9" s="41" t="str">
        <f>+F8</f>
        <v>02-0900-02</v>
      </c>
      <c r="G9" s="41" t="s">
        <v>102</v>
      </c>
    </row>
    <row r="10" spans="1:7" ht="12.75">
      <c r="A10" s="115">
        <v>44927</v>
      </c>
      <c r="B10" s="2" t="s">
        <v>103</v>
      </c>
      <c r="C10" s="41">
        <v>337074647</v>
      </c>
      <c r="D10" s="41"/>
      <c r="E10" s="41">
        <f t="shared" si="0"/>
        <v>337074647</v>
      </c>
      <c r="F10" s="41" t="s">
        <v>104</v>
      </c>
      <c r="G10" s="41" t="s">
        <v>105</v>
      </c>
    </row>
    <row r="11" spans="1:7" ht="12.75">
      <c r="A11" s="115">
        <v>44927</v>
      </c>
      <c r="B11" s="2" t="s">
        <v>106</v>
      </c>
      <c r="C11" s="41">
        <v>67335762</v>
      </c>
      <c r="D11" s="41"/>
      <c r="E11" s="41">
        <f t="shared" si="0"/>
        <v>67335762</v>
      </c>
      <c r="F11" s="41" t="s">
        <v>98</v>
      </c>
      <c r="G11" s="41" t="s">
        <v>107</v>
      </c>
    </row>
    <row r="12" spans="1:7" ht="12.75">
      <c r="A12" s="115">
        <v>44927</v>
      </c>
      <c r="B12" s="2" t="s">
        <v>108</v>
      </c>
      <c r="C12" s="41">
        <v>2053555469.71</v>
      </c>
      <c r="D12" s="41"/>
      <c r="E12" s="41">
        <f t="shared" si="0"/>
        <v>2053555469.71</v>
      </c>
      <c r="F12" s="41" t="s">
        <v>104</v>
      </c>
      <c r="G12" s="41" t="str">
        <f>+G10</f>
        <v>DEPARTAMENTO DEL HUILA</v>
      </c>
    </row>
    <row r="13" spans="1:7" ht="12.75">
      <c r="A13" s="115">
        <v>38047</v>
      </c>
      <c r="B13" s="2" t="s">
        <v>109</v>
      </c>
      <c r="C13" s="41">
        <v>680918500</v>
      </c>
      <c r="D13" s="41"/>
      <c r="E13" s="41">
        <f t="shared" si="0"/>
        <v>680918500</v>
      </c>
      <c r="F13" s="41" t="s">
        <v>98</v>
      </c>
      <c r="G13" s="41" t="s">
        <v>107</v>
      </c>
    </row>
    <row r="14" spans="1:7" ht="12.75">
      <c r="A14" s="115">
        <v>42064</v>
      </c>
      <c r="B14" s="2" t="s">
        <v>110</v>
      </c>
      <c r="C14" s="41">
        <v>1068088000</v>
      </c>
      <c r="D14" s="41"/>
      <c r="E14" s="41">
        <f t="shared" si="0"/>
        <v>1068088000</v>
      </c>
      <c r="F14" s="116" t="s">
        <v>104</v>
      </c>
      <c r="G14" s="41" t="str">
        <f>+G12</f>
        <v>DEPARTAMENTO DEL HUILA</v>
      </c>
    </row>
    <row r="15" spans="1:8" ht="25.5">
      <c r="A15" s="115">
        <v>43160</v>
      </c>
      <c r="B15" s="2" t="s">
        <v>111</v>
      </c>
      <c r="C15" s="41">
        <v>2193627677</v>
      </c>
      <c r="D15" s="41">
        <v>500000000</v>
      </c>
      <c r="E15" s="41" t="s">
        <v>1</v>
      </c>
      <c r="F15" s="116" t="s">
        <v>112</v>
      </c>
      <c r="G15" s="41" t="s">
        <v>113</v>
      </c>
      <c r="H15" s="117" t="s">
        <v>129</v>
      </c>
    </row>
    <row r="16" spans="1:7" ht="12.75">
      <c r="A16" s="2"/>
      <c r="B16" s="2"/>
      <c r="C16" s="41" t="s">
        <v>1</v>
      </c>
      <c r="D16" s="41">
        <v>420000000</v>
      </c>
      <c r="E16" s="41"/>
      <c r="F16" s="41" t="s">
        <v>114</v>
      </c>
      <c r="G16" s="41" t="str">
        <f>+G15</f>
        <v>MULTAS</v>
      </c>
    </row>
    <row r="17" spans="1:7" ht="12.75">
      <c r="A17" s="2"/>
      <c r="B17" s="2"/>
      <c r="C17" s="41" t="s">
        <v>1</v>
      </c>
      <c r="D17" s="41">
        <v>154099882</v>
      </c>
      <c r="E17" s="41" t="str">
        <f>+C17</f>
        <v> </v>
      </c>
      <c r="F17" s="41" t="s">
        <v>115</v>
      </c>
      <c r="G17" s="41" t="s">
        <v>116</v>
      </c>
    </row>
    <row r="18" spans="1:7" ht="12.75">
      <c r="A18" s="2"/>
      <c r="B18" s="2"/>
      <c r="C18" s="41" t="s">
        <v>1</v>
      </c>
      <c r="D18" s="41" t="s">
        <v>1</v>
      </c>
      <c r="E18" s="41">
        <v>15920613</v>
      </c>
      <c r="F18" s="41" t="s">
        <v>117</v>
      </c>
      <c r="G18" s="41" t="s">
        <v>118</v>
      </c>
    </row>
    <row r="19" spans="1:7" ht="12.75">
      <c r="A19" s="2"/>
      <c r="B19" s="2"/>
      <c r="C19" s="41" t="s">
        <v>1</v>
      </c>
      <c r="D19" s="11" t="s">
        <v>1</v>
      </c>
      <c r="E19" s="41">
        <v>6584961</v>
      </c>
      <c r="F19" s="41" t="str">
        <f>+F18</f>
        <v>02-0900-03</v>
      </c>
      <c r="G19" s="41" t="s">
        <v>119</v>
      </c>
    </row>
    <row r="20" spans="1:7" ht="12.75">
      <c r="A20" s="2"/>
      <c r="B20" s="2"/>
      <c r="C20" s="41" t="s">
        <v>1</v>
      </c>
      <c r="D20" s="11" t="s">
        <v>1</v>
      </c>
      <c r="E20" s="41">
        <v>48702519</v>
      </c>
      <c r="F20" s="41" t="str">
        <f>+F19</f>
        <v>02-0900-03</v>
      </c>
      <c r="G20" s="41" t="s">
        <v>120</v>
      </c>
    </row>
    <row r="21" spans="1:7" ht="12.75">
      <c r="A21" s="2"/>
      <c r="B21" s="2"/>
      <c r="C21" s="41"/>
      <c r="D21" s="11" t="s">
        <v>1</v>
      </c>
      <c r="E21" s="41">
        <v>59264648</v>
      </c>
      <c r="F21" s="41" t="s">
        <v>121</v>
      </c>
      <c r="G21" s="41" t="s">
        <v>119</v>
      </c>
    </row>
    <row r="22" spans="1:7" ht="12.75">
      <c r="A22" s="2"/>
      <c r="B22" s="2"/>
      <c r="C22" s="41"/>
      <c r="D22" s="41" t="s">
        <v>1</v>
      </c>
      <c r="E22" s="41">
        <v>249055054</v>
      </c>
      <c r="F22" s="41" t="s">
        <v>104</v>
      </c>
      <c r="G22" s="41" t="s">
        <v>122</v>
      </c>
    </row>
    <row r="23" spans="1:7" ht="12.75">
      <c r="A23" s="2"/>
      <c r="B23" s="2"/>
      <c r="C23" s="41"/>
      <c r="D23" s="41" t="s">
        <v>1</v>
      </c>
      <c r="E23" s="41">
        <v>7405664</v>
      </c>
      <c r="F23" s="41" t="str">
        <f>+F22</f>
        <v>03-0900-02</v>
      </c>
      <c r="G23" s="41" t="s">
        <v>113</v>
      </c>
    </row>
    <row r="24" spans="1:7" ht="12.75">
      <c r="A24" s="2"/>
      <c r="B24" s="2"/>
      <c r="C24" s="41"/>
      <c r="D24" s="41" t="s">
        <v>1</v>
      </c>
      <c r="E24" s="41">
        <v>105000000</v>
      </c>
      <c r="F24" s="41" t="s">
        <v>123</v>
      </c>
      <c r="G24" s="41" t="str">
        <f aca="true" t="shared" si="1" ref="G24:G30">+G22</f>
        <v>PORCENTAJE AMBIENTAL</v>
      </c>
    </row>
    <row r="25" spans="1:7" ht="12.75">
      <c r="A25" s="2"/>
      <c r="B25" s="2"/>
      <c r="C25" s="41"/>
      <c r="D25" s="41" t="s">
        <v>1</v>
      </c>
      <c r="E25" s="41">
        <v>172594336</v>
      </c>
      <c r="F25" s="41" t="str">
        <f>+F24</f>
        <v>04-0900-01</v>
      </c>
      <c r="G25" s="41" t="str">
        <f t="shared" si="1"/>
        <v>MULTAS</v>
      </c>
    </row>
    <row r="26" spans="1:7" ht="12.75">
      <c r="A26" s="2"/>
      <c r="B26" s="2"/>
      <c r="C26" s="41"/>
      <c r="D26" s="41" t="s">
        <v>1</v>
      </c>
      <c r="E26" s="41">
        <v>80449473</v>
      </c>
      <c r="F26" s="41" t="s">
        <v>95</v>
      </c>
      <c r="G26" s="41" t="str">
        <f t="shared" si="1"/>
        <v>PORCENTAJE AMBIENTAL</v>
      </c>
    </row>
    <row r="27" spans="1:7" ht="12.75">
      <c r="A27" s="2"/>
      <c r="B27" s="2"/>
      <c r="C27" s="41"/>
      <c r="D27" s="41" t="s">
        <v>1</v>
      </c>
      <c r="E27" s="41">
        <v>44550527</v>
      </c>
      <c r="F27" s="41" t="str">
        <f>+F26</f>
        <v>05-0900-01</v>
      </c>
      <c r="G27" s="41" t="str">
        <f t="shared" si="1"/>
        <v>MULTAS</v>
      </c>
    </row>
    <row r="28" spans="1:7" ht="12.75">
      <c r="A28" s="2"/>
      <c r="B28" s="2"/>
      <c r="C28" s="41"/>
      <c r="D28" s="41" t="s">
        <v>1</v>
      </c>
      <c r="E28" s="41">
        <v>100000000</v>
      </c>
      <c r="F28" s="41" t="s">
        <v>124</v>
      </c>
      <c r="G28" s="41" t="str">
        <f t="shared" si="1"/>
        <v>PORCENTAJE AMBIENTAL</v>
      </c>
    </row>
    <row r="29" spans="1:7" ht="12.75">
      <c r="A29" s="2"/>
      <c r="B29" s="2"/>
      <c r="C29" s="41"/>
      <c r="D29" s="41"/>
      <c r="E29" s="41">
        <v>30000000</v>
      </c>
      <c r="F29" s="41" t="str">
        <f>+F28</f>
        <v>06-0900-01</v>
      </c>
      <c r="G29" s="41" t="str">
        <f t="shared" si="1"/>
        <v>MULTAS</v>
      </c>
    </row>
    <row r="30" spans="1:7" ht="12.75">
      <c r="A30" s="2"/>
      <c r="B30" s="2"/>
      <c r="C30" s="41"/>
      <c r="D30" s="41"/>
      <c r="E30" s="41">
        <v>200000000</v>
      </c>
      <c r="F30" s="41" t="s">
        <v>125</v>
      </c>
      <c r="G30" s="41" t="str">
        <f t="shared" si="1"/>
        <v>PORCENTAJE AMBIENTAL</v>
      </c>
    </row>
    <row r="31" spans="1:8" ht="12.75">
      <c r="A31" s="115">
        <v>43160</v>
      </c>
      <c r="B31" s="2" t="s">
        <v>126</v>
      </c>
      <c r="C31" s="41">
        <v>2405876685</v>
      </c>
      <c r="D31" s="41"/>
      <c r="E31" s="41">
        <f>+C31</f>
        <v>2405876685</v>
      </c>
      <c r="F31" s="41" t="s">
        <v>121</v>
      </c>
      <c r="G31" s="41" t="s">
        <v>119</v>
      </c>
      <c r="H31" s="117" t="s">
        <v>1</v>
      </c>
    </row>
    <row r="32" spans="1:7" ht="12.75">
      <c r="A32" s="115">
        <v>45413</v>
      </c>
      <c r="B32" s="2" t="s">
        <v>127</v>
      </c>
      <c r="C32" s="41">
        <v>500000000</v>
      </c>
      <c r="D32" s="41"/>
      <c r="E32" s="41">
        <f>+C32</f>
        <v>500000000</v>
      </c>
      <c r="F32" s="41" t="s">
        <v>104</v>
      </c>
      <c r="G32" s="41" t="str">
        <f>+G10</f>
        <v>DEPARTAMENTO DEL HUILA</v>
      </c>
    </row>
    <row r="33" spans="1:7" ht="12.75">
      <c r="A33" s="115">
        <v>11505</v>
      </c>
      <c r="B33" s="2" t="s">
        <v>130</v>
      </c>
      <c r="C33" s="41">
        <v>976902810.26</v>
      </c>
      <c r="D33" s="41"/>
      <c r="E33" s="41">
        <f>+C33</f>
        <v>976902810.26</v>
      </c>
      <c r="F33" s="118" t="str">
        <f>+F32</f>
        <v>03-0900-02</v>
      </c>
      <c r="G33" s="41" t="s">
        <v>131</v>
      </c>
    </row>
    <row r="34" spans="1:7" ht="12.75">
      <c r="A34" s="122">
        <v>41153</v>
      </c>
      <c r="B34" s="10" t="s">
        <v>134</v>
      </c>
      <c r="C34" s="41">
        <v>500000000</v>
      </c>
      <c r="D34" s="41"/>
      <c r="E34" s="41">
        <f>+C34</f>
        <v>500000000</v>
      </c>
      <c r="F34" s="41" t="str">
        <f>+F33</f>
        <v>03-0900-02</v>
      </c>
      <c r="G34" s="11" t="s">
        <v>135</v>
      </c>
    </row>
    <row r="35" spans="1:7" ht="12.75">
      <c r="A35" s="115">
        <f>+A34</f>
        <v>41153</v>
      </c>
      <c r="B35" s="2" t="str">
        <f>+B34</f>
        <v>acuerdo 007</v>
      </c>
      <c r="C35" s="41">
        <v>-500000000</v>
      </c>
      <c r="D35" s="41">
        <v>-500000000</v>
      </c>
      <c r="E35" s="41">
        <v>0</v>
      </c>
      <c r="F35" s="11" t="s">
        <v>136</v>
      </c>
      <c r="G35" s="11" t="s">
        <v>113</v>
      </c>
    </row>
    <row r="36" spans="1:7" ht="12.75">
      <c r="A36" s="2"/>
      <c r="B36" s="2"/>
      <c r="C36" s="41"/>
      <c r="D36" s="41"/>
      <c r="E36" s="41"/>
      <c r="F36" s="41"/>
      <c r="G36" s="41"/>
    </row>
    <row r="37" spans="1:7" ht="12.75">
      <c r="A37" s="2"/>
      <c r="B37" s="2"/>
      <c r="C37" s="41">
        <f>SUM(C6:C35)</f>
        <v>11584837357.97</v>
      </c>
      <c r="D37" s="41">
        <f>SUM(D6:D35)</f>
        <v>574099882</v>
      </c>
      <c r="E37" s="41">
        <f>SUM(E6:E35)</f>
        <v>11010737475.97</v>
      </c>
      <c r="F37" s="41"/>
      <c r="G37" s="41"/>
    </row>
    <row r="38" ht="12.75">
      <c r="E38" s="9" t="s">
        <v>1</v>
      </c>
    </row>
    <row r="39" ht="12.75">
      <c r="E39" s="9">
        <f>+E12+E10+E14+H19+E32</f>
        <v>3958718116.71</v>
      </c>
    </row>
    <row r="40" spans="2:5" ht="12.75">
      <c r="B40" s="10" t="s">
        <v>98</v>
      </c>
      <c r="C40" s="41">
        <f>+E7+E11+E13</f>
        <v>752270262</v>
      </c>
      <c r="E40" s="1">
        <f>+E11+E13</f>
        <v>748254262</v>
      </c>
    </row>
    <row r="41" spans="2:5" ht="12.75">
      <c r="B41" s="10" t="s">
        <v>100</v>
      </c>
      <c r="C41" s="41">
        <f>+E8+E9</f>
        <v>862574407</v>
      </c>
      <c r="E41" s="34">
        <f>+E33+E31</f>
        <v>3382779495.26</v>
      </c>
    </row>
    <row r="42" spans="2:5" ht="12.75">
      <c r="B42" s="10" t="s">
        <v>117</v>
      </c>
      <c r="C42" s="41">
        <f>+E18+E19+E20</f>
        <v>71208093</v>
      </c>
      <c r="E42" s="34">
        <f>+'[5]Hoja2'!$D$28</f>
        <v>3115185173</v>
      </c>
    </row>
    <row r="43" spans="2:5" ht="12.75">
      <c r="B43" s="10" t="s">
        <v>121</v>
      </c>
      <c r="C43" s="41">
        <f>+E21+E31</f>
        <v>2465141333</v>
      </c>
      <c r="E43" s="34">
        <f>+E31+E33</f>
        <v>3382779495.26</v>
      </c>
    </row>
    <row r="44" spans="2:5" ht="12.75">
      <c r="B44" s="10" t="s">
        <v>104</v>
      </c>
      <c r="C44" s="41">
        <f>+E10+E12+E14+E22+E23+E32+E33+E34</f>
        <v>5692081644.97</v>
      </c>
      <c r="E44" s="34">
        <f>+'[5]Hoja2'!$D$28+'[5]Hoja2'!$D$29+'[5]Hoja2'!$D$26</f>
        <v>3382779495.26</v>
      </c>
    </row>
    <row r="45" spans="2:5" ht="12.75">
      <c r="B45" s="10" t="s">
        <v>123</v>
      </c>
      <c r="C45" s="41">
        <f>+E24+E25</f>
        <v>277594336</v>
      </c>
      <c r="E45" s="1">
        <f>+E43-E44</f>
        <v>0</v>
      </c>
    </row>
    <row r="46" spans="2:3" ht="12.75">
      <c r="B46" s="10" t="s">
        <v>95</v>
      </c>
      <c r="C46" s="41">
        <f>+E6+E26+E27</f>
        <v>559867400</v>
      </c>
    </row>
    <row r="47" spans="2:5" ht="12.75">
      <c r="B47" s="10" t="s">
        <v>125</v>
      </c>
      <c r="C47" s="41">
        <f>+E28+E29</f>
        <v>130000000</v>
      </c>
      <c r="E47">
        <v>976902836.26</v>
      </c>
    </row>
    <row r="48" spans="2:3" ht="12.75">
      <c r="B48" s="10" t="s">
        <v>125</v>
      </c>
      <c r="C48" s="41">
        <f>+E30</f>
        <v>200000000</v>
      </c>
    </row>
    <row r="49" spans="2:3" ht="12.75">
      <c r="B49" s="2"/>
      <c r="C49" s="2"/>
    </row>
    <row r="50" spans="2:3" ht="12.75">
      <c r="B50" s="10" t="s">
        <v>128</v>
      </c>
      <c r="C50" s="41">
        <f>SUM(C40:C49)</f>
        <v>11010737475.970001</v>
      </c>
    </row>
  </sheetData>
  <sheetProtection/>
  <mergeCells count="3">
    <mergeCell ref="A1:G1"/>
    <mergeCell ref="A2:G2"/>
    <mergeCell ref="D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2013-12-23T16:33:59Z</cp:lastPrinted>
  <dcterms:created xsi:type="dcterms:W3CDTF">2007-01-13T18:42:48Z</dcterms:created>
  <dcterms:modified xsi:type="dcterms:W3CDTF">2013-12-23T16:49:49Z</dcterms:modified>
  <cp:category/>
  <cp:version/>
  <cp:contentType/>
  <cp:contentStatus/>
</cp:coreProperties>
</file>