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FUNCIONAMIENTO " sheetId="1" r:id="rId1"/>
    <sheet name="Hoja1" sheetId="2" state="hidden" r:id="rId2"/>
    <sheet name="Hoja2" sheetId="3" state="hidden" r:id="rId3"/>
    <sheet name="Hoja3" sheetId="4" state="hidden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<sst xmlns="http://schemas.openxmlformats.org/spreadsheetml/2006/main" count="356" uniqueCount="184">
  <si>
    <t xml:space="preserve"> </t>
  </si>
  <si>
    <t>MODIFICACIONES</t>
  </si>
  <si>
    <t>PRESUPUESTO</t>
  </si>
  <si>
    <t>INICIAL</t>
  </si>
  <si>
    <t>DEFINITIVO</t>
  </si>
  <si>
    <t>CONCEPTO</t>
  </si>
  <si>
    <t>PRESUPUESTALES</t>
  </si>
  <si>
    <t>Gastos de personal</t>
  </si>
  <si>
    <t>C</t>
  </si>
  <si>
    <t xml:space="preserve">  </t>
  </si>
  <si>
    <t>COMPROMISOS</t>
  </si>
  <si>
    <t>SALDO</t>
  </si>
  <si>
    <t xml:space="preserve">POR EJECUTAR </t>
  </si>
  <si>
    <t>01</t>
  </si>
  <si>
    <t>02</t>
  </si>
  <si>
    <t>03</t>
  </si>
  <si>
    <t>04</t>
  </si>
  <si>
    <t>05</t>
  </si>
  <si>
    <t>06</t>
  </si>
  <si>
    <t>% DE EJECUCION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</si>
  <si>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</si>
  <si>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</si>
  <si>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</si>
  <si>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</si>
  <si>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</si>
  <si>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</si>
  <si>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</si>
  <si>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</si>
  <si>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</si>
  <si>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</si>
  <si>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</si>
  <si>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</si>
  <si>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</si>
  <si>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</si>
  <si>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</si>
  <si>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</si>
  <si>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</si>
  <si>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DEFINITIVO</t>
  </si>
  <si>
    <t>% DE EJEUCION</t>
  </si>
  <si>
    <t>CDPS</t>
  </si>
  <si>
    <t xml:space="preserve">% EJEUCION </t>
  </si>
  <si>
    <t>SALDO  POR</t>
  </si>
  <si>
    <t>EJECUTAR</t>
  </si>
  <si>
    <t>PAGOS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</si>
  <si>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</si>
  <si>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</si>
  <si>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</si>
  <si>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</si>
  <si>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</si>
  <si>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</si>
  <si>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</si>
  <si>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</si>
  <si>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</si>
  <si>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</si>
  <si>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</si>
  <si>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</si>
  <si>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</si>
  <si>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</si>
  <si>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</si>
  <si>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OTROS</t>
  </si>
  <si>
    <t>BONIFICACION SERVICIOS PRESTADOS</t>
  </si>
  <si>
    <t>BONIFICACION ESPECIAL POR RECREACION</t>
  </si>
  <si>
    <t>SUBSIDIO DE ALIMENTACION</t>
  </si>
  <si>
    <t>SUBSIDIO DE TRANSPORTE</t>
  </si>
  <si>
    <t>PRIMA DE SERVICIOS</t>
  </si>
  <si>
    <t>PRIMA DE VACACIONES</t>
  </si>
  <si>
    <t>PRIMA DE NAVIDAD</t>
  </si>
  <si>
    <t>BONIFICACION POR COORDINACION</t>
  </si>
  <si>
    <t>SERVICIOS PERSONALES INDIRECTOS</t>
  </si>
  <si>
    <t>GASTOS PERSONAL SUPERNUMERARIO</t>
  </si>
  <si>
    <t>HONORARIOS</t>
  </si>
  <si>
    <t>REMUNERACION SERVICIOS TECNICOS</t>
  </si>
  <si>
    <t>ADQUISICION DE BIENES</t>
  </si>
  <si>
    <t>COMPRA DE EQUIPO</t>
  </si>
  <si>
    <t>MATERIALES Y SUMINISTROS</t>
  </si>
  <si>
    <t>ADQUISICION DE SERVICIOS</t>
  </si>
  <si>
    <t>GASTOS GENERALES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</si>
  <si>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</si>
  <si>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</si>
  <si>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</si>
  <si>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</si>
  <si>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</si>
  <si>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</si>
  <si>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VIAJES</t>
  </si>
  <si>
    <t>IMPREVISTOS</t>
  </si>
  <si>
    <t>BIENESTAR SOCIAL Y CAPACITACION</t>
  </si>
  <si>
    <t>IMPUESTOS MULTAS Y TASAS</t>
  </si>
  <si>
    <t>RP</t>
  </si>
  <si>
    <t>Nacion</t>
  </si>
  <si>
    <t>APOPIACION INICIAL</t>
  </si>
  <si>
    <t>CONTRACREDITO</t>
  </si>
  <si>
    <t>ADICIONES</t>
  </si>
  <si>
    <t>CREDITOS</t>
  </si>
  <si>
    <t>23-01-01-03-07</t>
  </si>
  <si>
    <t>CUENCAS</t>
  </si>
  <si>
    <t>APOPIACION  INICIAL</t>
  </si>
  <si>
    <t>CONTRACREDITOS</t>
  </si>
  <si>
    <t>23-01-01-03-09</t>
  </si>
  <si>
    <t>REFORESTACION</t>
  </si>
  <si>
    <t>23-01-01-01-03-11</t>
  </si>
  <si>
    <t>SANEAMIENTO</t>
  </si>
  <si>
    <t>23-01-02-03</t>
  </si>
  <si>
    <t>FORTALECIMIENTO</t>
  </si>
  <si>
    <t>23-03-01-03</t>
  </si>
  <si>
    <t>EDUCACION AMNIENTAL</t>
  </si>
  <si>
    <t>23-04-03-02</t>
  </si>
  <si>
    <t>ASESORIAS</t>
  </si>
  <si>
    <t>23-02-01-01-98</t>
  </si>
  <si>
    <t>TOTALES</t>
  </si>
  <si>
    <t>EJECUCION</t>
  </si>
  <si>
    <t>SALDO POR</t>
  </si>
  <si>
    <t>OBLIGACIONES</t>
  </si>
  <si>
    <t>sueldo basico</t>
  </si>
  <si>
    <t>CORPORACION AUTONOMA REGIONAL DEL ALTO MAGDALENA CAM</t>
  </si>
  <si>
    <t>Planta de personal permanente</t>
  </si>
  <si>
    <t>Factores constitutivos de salario</t>
  </si>
  <si>
    <t>Factores salariales comunes</t>
  </si>
  <si>
    <t>Subsidio de Alimentaciòn</t>
  </si>
  <si>
    <t>Auxilio de Transporte</t>
  </si>
  <si>
    <t>Prima de Servicios</t>
  </si>
  <si>
    <t>Bonificacion por servicios prestados</t>
  </si>
  <si>
    <t>Prestaciones Sociales</t>
  </si>
  <si>
    <t>Prima de Navidad</t>
  </si>
  <si>
    <t>Prima de Vacaciones</t>
  </si>
  <si>
    <t>Contribuciones Inherentes a la nòmina</t>
  </si>
  <si>
    <t>Aportes a la seguridad social en pensiones</t>
  </si>
  <si>
    <t>Aportes a la seguridad social en salud</t>
  </si>
  <si>
    <t>Aportes a las Cesantias</t>
  </si>
  <si>
    <t>Aportes a Cajas de Compensaciòn Familiar</t>
  </si>
  <si>
    <t>Aportes generales al sistema de riesgos laborales</t>
  </si>
  <si>
    <t>Aportes al ICBF</t>
  </si>
  <si>
    <t>Aportes al Sena</t>
  </si>
  <si>
    <t>Remuneracion no constitutivos de factos salarial</t>
  </si>
  <si>
    <t>Vacaciones</t>
  </si>
  <si>
    <t>Indemnizacion por vacaciones</t>
  </si>
  <si>
    <t>Prima tècnica no salarial</t>
  </si>
  <si>
    <t>Adquisicion de Servicios</t>
  </si>
  <si>
    <t>Servicios de alojamiento-servicios de suministro</t>
  </si>
  <si>
    <t>Gastos por tributos, multas,sanciones e impuestos</t>
  </si>
  <si>
    <t>Impuestos</t>
  </si>
  <si>
    <t>Impuesto Predial Unificado</t>
  </si>
  <si>
    <t>Contribuciones</t>
  </si>
  <si>
    <t>Cuota de fiscalizaciòn y auditaje</t>
  </si>
  <si>
    <t>Prima de Coordinaciòn</t>
  </si>
  <si>
    <t>Apoyo aprendices SENA</t>
  </si>
  <si>
    <t>Personal supernumerario y planta temporal</t>
  </si>
  <si>
    <t>Aportes al SENA</t>
  </si>
  <si>
    <t>Remuneracion no constitutivos de factor salarial</t>
  </si>
  <si>
    <t>Bonificaciòn por recreacion</t>
  </si>
  <si>
    <t>Adquisicion de activos no financieros</t>
  </si>
  <si>
    <t>Activos fijos</t>
  </si>
  <si>
    <t>Maquinaria y Equipo</t>
  </si>
  <si>
    <t>Maquinaria de informatica y sus partes, piezas y accesorios</t>
  </si>
  <si>
    <t>Maquinaria de oficina, contabilidad e informatica</t>
  </si>
  <si>
    <t>Adquisiciones diferentes de Activos</t>
  </si>
  <si>
    <t>Materiales y suministros</t>
  </si>
  <si>
    <t xml:space="preserve">"Otros bienes transportables </t>
  </si>
  <si>
    <t>Productos metàlicos y paquetes de software</t>
  </si>
  <si>
    <t>Adquisiciòn de servicios</t>
  </si>
  <si>
    <t>Servicios financieros y servicios conexos, servicios inmobiliarios y servicios de leasing</t>
  </si>
  <si>
    <t>Servicios prestados a las empresas y servicios de producciòn</t>
  </si>
  <si>
    <t>Servicios para la comunidad, sociales y personales</t>
  </si>
  <si>
    <t>Vìaticos de los funcionarios en comisiòn</t>
  </si>
  <si>
    <t>Transferenica Corrientes</t>
  </si>
  <si>
    <t>A Organizaciones Nacionales</t>
  </si>
  <si>
    <t>Asociacion de Corporaciones Autònomas Regionales</t>
  </si>
  <si>
    <t>Membresias</t>
  </si>
  <si>
    <t>A entidades del gobierno</t>
  </si>
  <si>
    <t>A organos del PGN</t>
  </si>
  <si>
    <t>Fondo de Compensaciòn Ambiental</t>
  </si>
  <si>
    <t>Sentencias y Conciliaciones</t>
  </si>
  <si>
    <t>Fallos nacionales</t>
  </si>
  <si>
    <t>Adquisicion de Bienes y Servicios</t>
  </si>
  <si>
    <t>Prestaciones sociales</t>
  </si>
  <si>
    <t>Bonificacion especial de recreaciòn</t>
  </si>
  <si>
    <t>Multas, sanciones e intereses de mora</t>
  </si>
  <si>
    <t>Intereses de mora</t>
  </si>
  <si>
    <t>EJECUCION PRESUPUESTAL DE GASTOS DE FUNCIONAMIENTO RECURSOS PROPIOS A SEPTIEMBRE 30 DE 2021</t>
  </si>
  <si>
    <t>EJECUCION PRESUPUESTAL DE GASTOS DE FUNCIONAMIENTO RECURSOS DE LA NACION A SEPTIEMBRE 30 DE 2021</t>
  </si>
  <si>
    <t>Maquinaria y aparatos eléctricos</t>
  </si>
  <si>
    <t>Otros equipos eléctricos, sus partes y piezas</t>
  </si>
  <si>
    <t>Activos fijos no clasificados como maquinaria</t>
  </si>
  <si>
    <t>Muebles del tipo utilizado en la oficina</t>
  </si>
  <si>
    <t>Impuesto sobre delineación Urbana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</si>
</sst>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;[Red]0.00"/>
    <numFmt numFmtId="195" formatCode="#,##0.00;[Red]#,##0.00"/>
    <numFmt numFmtId="196" formatCode="#,##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"/>
    <numFmt numFmtId="202" formatCode="_(* #,##0_);_(* \(#,##0\);_(* &quot;-&quot;??_);_(@_)"/>
    <numFmt numFmtId="203" formatCode="[$$-240A]\ #,##0.00;\-[$$-240A]\ #,##0.00;[$$-240A]\ #,##0.00;@"/>
    <numFmt numFmtId="204" formatCode="[$$-240A]\ #,##0.00;\-[$$-240A]\ #,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wrapText="1"/>
      <protection locked="0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202" fontId="0" fillId="0" borderId="10" xfId="49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justify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ill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 wrapText="1"/>
    </xf>
    <xf numFmtId="3" fontId="0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1" fillId="0" borderId="1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1" fillId="34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0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5" xfId="0" applyNumberFormat="1" applyFill="1" applyBorder="1" applyAlignment="1">
      <alignment horizontal="right"/>
    </xf>
    <xf numFmtId="203" fontId="0" fillId="0" borderId="0" xfId="0" applyNumberFormat="1" applyFont="1" applyBorder="1" applyAlignment="1" applyProtection="1">
      <alignment vertical="center"/>
      <protection/>
    </xf>
    <xf numFmtId="3" fontId="0" fillId="35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6\ejeuciones\DIRECTOR\ANASIS%20DIRECTIVO%20CAM%20a%20ABRIL1%20consolidado%20SRCA-SGA-OPL%20%20ajust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ramos\Downloads\EJECUCION%20PRESUPUESTALGASTOSDEINVERSIONMARZO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INVERSION"/>
      <sheetName val="Hoja3"/>
    </sheetNames>
    <sheetDataSet>
      <sheetData sheetId="2">
        <row r="20">
          <cell r="D20">
            <v>26194673260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tabSelected="1" zoomScalePageLayoutView="0" workbookViewId="0" topLeftCell="A127">
      <selection activeCell="N149" sqref="N149"/>
    </sheetView>
  </sheetViews>
  <sheetFormatPr defaultColWidth="11.421875" defaultRowHeight="12.75"/>
  <cols>
    <col min="1" max="1" width="37.7109375" style="0" customWidth="1"/>
    <col min="2" max="2" width="16.28125" style="0" customWidth="1"/>
    <col min="3" max="3" width="20.57421875" style="26" customWidth="1"/>
    <col min="4" max="4" width="19.421875" style="65" customWidth="1"/>
    <col min="5" max="5" width="15.57421875" style="0" hidden="1" customWidth="1"/>
    <col min="6" max="6" width="18.140625" style="0" hidden="1" customWidth="1"/>
    <col min="7" max="7" width="25.7109375" style="0" hidden="1" customWidth="1"/>
    <col min="8" max="8" width="15.421875" style="0" hidden="1" customWidth="1"/>
    <col min="9" max="9" width="11.57421875" style="0" hidden="1" customWidth="1"/>
    <col min="10" max="11" width="11.8515625" style="0" hidden="1" customWidth="1"/>
    <col min="12" max="12" width="10.57421875" style="0" hidden="1" customWidth="1"/>
    <col min="13" max="13" width="0.13671875" style="0" customWidth="1"/>
    <col min="14" max="14" width="16.00390625" style="0" customWidth="1"/>
    <col min="15" max="15" width="16.00390625" style="26" customWidth="1"/>
    <col min="16" max="16" width="16.00390625" style="0" hidden="1" customWidth="1"/>
    <col min="17" max="17" width="16.00390625" style="0" customWidth="1"/>
    <col min="18" max="18" width="16.00390625" style="26" customWidth="1"/>
    <col min="19" max="19" width="12.7109375" style="0" bestFit="1" customWidth="1"/>
    <col min="20" max="20" width="14.7109375" style="0" customWidth="1"/>
    <col min="21" max="21" width="15.140625" style="0" bestFit="1" customWidth="1"/>
    <col min="22" max="22" width="17.00390625" style="0" bestFit="1" customWidth="1"/>
    <col min="23" max="23" width="0.2890625" style="0" customWidth="1"/>
    <col min="24" max="24" width="17.57421875" style="0" bestFit="1" customWidth="1"/>
    <col min="25" max="25" width="16.421875" style="0" customWidth="1"/>
    <col min="26" max="26" width="15.28125" style="0" bestFit="1" customWidth="1"/>
    <col min="27" max="27" width="12.7109375" style="0" bestFit="1" customWidth="1"/>
  </cols>
  <sheetData>
    <row r="1" spans="1:41" ht="12.75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</row>
    <row r="2" spans="1:41" ht="12.75">
      <c r="A2" s="112" t="s">
        <v>178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1" ht="12.7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 ht="12.75">
      <c r="A4" s="78"/>
      <c r="B4" s="2"/>
      <c r="C4" s="7"/>
      <c r="D4" s="58"/>
      <c r="E4" s="2"/>
      <c r="F4" s="2"/>
      <c r="G4" s="2"/>
      <c r="H4" s="17"/>
      <c r="I4" s="17"/>
      <c r="J4" s="2"/>
      <c r="K4" s="2"/>
      <c r="L4" s="2"/>
      <c r="M4" s="2"/>
      <c r="N4" s="2"/>
      <c r="O4" s="7"/>
      <c r="P4" s="2"/>
      <c r="Q4" s="2"/>
      <c r="R4" s="7"/>
      <c r="S4" s="2"/>
      <c r="T4" s="2"/>
      <c r="U4" s="79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ht="12.75">
      <c r="A5" s="80"/>
      <c r="B5" s="12" t="s">
        <v>2</v>
      </c>
      <c r="C5" s="5" t="s">
        <v>1</v>
      </c>
      <c r="D5" s="59" t="s">
        <v>2</v>
      </c>
      <c r="E5" s="32" t="s">
        <v>39</v>
      </c>
      <c r="F5" s="32" t="s">
        <v>10</v>
      </c>
      <c r="G5" s="9" t="s">
        <v>11</v>
      </c>
      <c r="H5" s="16" t="s">
        <v>19</v>
      </c>
      <c r="I5" s="28" t="s">
        <v>40</v>
      </c>
      <c r="J5" s="2"/>
      <c r="K5" s="2"/>
      <c r="L5" s="2"/>
      <c r="M5" s="2"/>
      <c r="N5" s="12" t="s">
        <v>39</v>
      </c>
      <c r="O5" s="5" t="s">
        <v>10</v>
      </c>
      <c r="P5" s="12" t="s">
        <v>43</v>
      </c>
      <c r="Q5" s="12" t="s">
        <v>111</v>
      </c>
      <c r="R5" s="5" t="s">
        <v>43</v>
      </c>
      <c r="S5" s="12" t="s">
        <v>41</v>
      </c>
      <c r="T5" s="12"/>
      <c r="U5" s="77" t="s">
        <v>38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ht="12.75">
      <c r="A6" s="76" t="s">
        <v>5</v>
      </c>
      <c r="B6" s="12" t="s">
        <v>3</v>
      </c>
      <c r="C6" s="5" t="s">
        <v>6</v>
      </c>
      <c r="D6" s="59" t="s">
        <v>4</v>
      </c>
      <c r="E6" s="5" t="s">
        <v>0</v>
      </c>
      <c r="F6" s="15"/>
      <c r="G6" s="9" t="s">
        <v>12</v>
      </c>
      <c r="H6" s="29" t="s">
        <v>39</v>
      </c>
      <c r="I6" s="28" t="s">
        <v>10</v>
      </c>
      <c r="J6" s="2"/>
      <c r="K6" s="2"/>
      <c r="L6" s="2"/>
      <c r="M6" s="2"/>
      <c r="N6" s="21">
        <v>0</v>
      </c>
      <c r="O6" s="9"/>
      <c r="P6" s="12"/>
      <c r="Q6" s="67"/>
      <c r="R6" s="9"/>
      <c r="S6" s="12" t="s">
        <v>42</v>
      </c>
      <c r="T6" s="12"/>
      <c r="U6" s="77"/>
      <c r="V6" s="14"/>
      <c r="W6" s="14">
        <f>+'[2]INVERSION'!$D$20</f>
        <v>26194673260</v>
      </c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ht="12.75">
      <c r="A7" s="80"/>
      <c r="B7" s="67" t="s">
        <v>0</v>
      </c>
      <c r="C7" s="9" t="s">
        <v>0</v>
      </c>
      <c r="D7" s="60" t="s">
        <v>0</v>
      </c>
      <c r="E7" s="16" t="s">
        <v>0</v>
      </c>
      <c r="F7" s="16"/>
      <c r="G7" s="10"/>
      <c r="H7" s="17"/>
      <c r="I7" s="17"/>
      <c r="J7" s="2"/>
      <c r="K7" s="2"/>
      <c r="L7" s="2"/>
      <c r="M7" s="2"/>
      <c r="N7" s="21" t="s">
        <v>0</v>
      </c>
      <c r="O7" s="8"/>
      <c r="P7" s="2"/>
      <c r="Q7" s="8"/>
      <c r="R7" s="8"/>
      <c r="S7" s="21"/>
      <c r="T7" s="2"/>
      <c r="U7" s="79"/>
      <c r="V7" s="57"/>
      <c r="W7" s="57">
        <f>+D9+D60</f>
        <v>9213276367</v>
      </c>
      <c r="X7" s="57"/>
      <c r="Y7" s="57"/>
      <c r="Z7" s="57"/>
      <c r="AA7" s="57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ht="12.75">
      <c r="A8" s="81"/>
      <c r="B8" s="3"/>
      <c r="C8" s="3"/>
      <c r="D8" s="3" t="s">
        <v>0</v>
      </c>
      <c r="E8" s="3"/>
      <c r="F8" s="3"/>
      <c r="G8" s="3"/>
      <c r="H8" s="3"/>
      <c r="I8" s="3"/>
      <c r="J8" s="3"/>
      <c r="K8" s="3"/>
      <c r="L8" s="3"/>
      <c r="M8" s="3"/>
      <c r="N8" s="3" t="s">
        <v>0</v>
      </c>
      <c r="O8" s="3"/>
      <c r="P8" s="3"/>
      <c r="Q8" s="3"/>
      <c r="R8" s="3"/>
      <c r="S8" s="3"/>
      <c r="T8" s="3"/>
      <c r="U8" s="82"/>
      <c r="V8" s="103">
        <f>+N10</f>
        <v>1422097689</v>
      </c>
      <c r="W8" s="103"/>
      <c r="X8" s="103">
        <v>1367000000</v>
      </c>
      <c r="Y8" s="103"/>
      <c r="Z8" s="103"/>
      <c r="AA8" s="57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ht="12.75">
      <c r="A9" s="83" t="s">
        <v>20</v>
      </c>
      <c r="B9" s="19">
        <f>+B10+B34+B36+B39</f>
        <v>2347454000</v>
      </c>
      <c r="C9" s="19">
        <f aca="true" t="shared" si="0" ref="C9:R9">+C10+C34+C36+C39</f>
        <v>0</v>
      </c>
      <c r="D9" s="19">
        <f t="shared" si="0"/>
        <v>2347454000</v>
      </c>
      <c r="E9" s="19" t="e">
        <f t="shared" si="0"/>
        <v>#VALUE!</v>
      </c>
      <c r="F9" s="19">
        <f t="shared" si="0"/>
        <v>1374710725</v>
      </c>
      <c r="G9" s="19">
        <f t="shared" si="0"/>
        <v>717018700</v>
      </c>
      <c r="H9" s="19" t="e">
        <f t="shared" si="0"/>
        <v>#VALUE!</v>
      </c>
      <c r="I9" s="19">
        <f t="shared" si="0"/>
        <v>1096.5900408635607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>+N10+N34+N36+N39</f>
        <v>1446978689</v>
      </c>
      <c r="O9" s="19">
        <f t="shared" si="0"/>
        <v>1446978689</v>
      </c>
      <c r="P9" s="19">
        <f t="shared" si="0"/>
        <v>1174189968</v>
      </c>
      <c r="Q9" s="19">
        <f t="shared" si="0"/>
        <v>1446978689</v>
      </c>
      <c r="R9" s="19">
        <f t="shared" si="0"/>
        <v>1286727635</v>
      </c>
      <c r="S9" s="19">
        <f>+S10+S34+S36+S39</f>
        <v>900475311</v>
      </c>
      <c r="T9" s="19">
        <f>+T10+T34+T36+T39</f>
        <v>0</v>
      </c>
      <c r="U9" s="84">
        <f aca="true" t="shared" si="1" ref="U9:U17">+O9/D9*100</f>
        <v>61.640342643561915</v>
      </c>
      <c r="V9" s="103"/>
      <c r="W9" s="103"/>
      <c r="X9" s="103">
        <f>+X8-V8</f>
        <v>-55097689</v>
      </c>
      <c r="Y9" s="103"/>
      <c r="Z9" s="103"/>
      <c r="AA9" s="57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ht="12.75">
      <c r="A10" s="83" t="s">
        <v>7</v>
      </c>
      <c r="B10" s="19">
        <f>+B11</f>
        <v>2311058000</v>
      </c>
      <c r="C10" s="19">
        <f aca="true" t="shared" si="2" ref="C10:T10">+C11</f>
        <v>0</v>
      </c>
      <c r="D10" s="19">
        <f t="shared" si="2"/>
        <v>2311058000</v>
      </c>
      <c r="E10" s="19" t="e">
        <f t="shared" si="2"/>
        <v>#VALUE!</v>
      </c>
      <c r="F10" s="19">
        <f t="shared" si="2"/>
        <v>1374710725</v>
      </c>
      <c r="G10" s="19">
        <f t="shared" si="2"/>
        <v>717018700</v>
      </c>
      <c r="H10" s="19" t="e">
        <f t="shared" si="2"/>
        <v>#VALUE!</v>
      </c>
      <c r="I10" s="19">
        <f t="shared" si="2"/>
        <v>1096.5900408635607</v>
      </c>
      <c r="J10" s="19">
        <f t="shared" si="2"/>
        <v>0</v>
      </c>
      <c r="K10" s="19">
        <f t="shared" si="2"/>
        <v>0</v>
      </c>
      <c r="L10" s="19">
        <f t="shared" si="2"/>
        <v>0</v>
      </c>
      <c r="M10" s="19">
        <f t="shared" si="2"/>
        <v>0</v>
      </c>
      <c r="N10" s="19">
        <f t="shared" si="2"/>
        <v>1422097689</v>
      </c>
      <c r="O10" s="19">
        <f t="shared" si="2"/>
        <v>1422097689</v>
      </c>
      <c r="P10" s="19">
        <f t="shared" si="2"/>
        <v>1174189968</v>
      </c>
      <c r="Q10" s="19">
        <f t="shared" si="2"/>
        <v>1422097689</v>
      </c>
      <c r="R10" s="19">
        <f t="shared" si="2"/>
        <v>1261846635</v>
      </c>
      <c r="S10" s="19">
        <f t="shared" si="2"/>
        <v>888960311</v>
      </c>
      <c r="T10" s="19">
        <f t="shared" si="2"/>
        <v>0</v>
      </c>
      <c r="U10" s="84">
        <f t="shared" si="1"/>
        <v>61.53448719158065</v>
      </c>
      <c r="V10" s="103"/>
      <c r="W10" s="103"/>
      <c r="X10" s="103"/>
      <c r="Y10" s="103"/>
      <c r="Z10" s="103"/>
      <c r="AA10" s="57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41" ht="12.75">
      <c r="A11" s="81" t="s">
        <v>114</v>
      </c>
      <c r="B11" s="21">
        <f>+B12+B23+B31</f>
        <v>2311058000</v>
      </c>
      <c r="C11" s="21">
        <f aca="true" t="shared" si="3" ref="C11:S11">+C12+C23+C31</f>
        <v>0</v>
      </c>
      <c r="D11" s="21">
        <f t="shared" si="3"/>
        <v>2311058000</v>
      </c>
      <c r="E11" s="21" t="e">
        <f t="shared" si="3"/>
        <v>#VALUE!</v>
      </c>
      <c r="F11" s="21">
        <f t="shared" si="3"/>
        <v>1374710725</v>
      </c>
      <c r="G11" s="21">
        <f t="shared" si="3"/>
        <v>717018700</v>
      </c>
      <c r="H11" s="21" t="e">
        <f t="shared" si="3"/>
        <v>#VALUE!</v>
      </c>
      <c r="I11" s="21">
        <f t="shared" si="3"/>
        <v>1096.5900408635607</v>
      </c>
      <c r="J11" s="21">
        <f t="shared" si="3"/>
        <v>0</v>
      </c>
      <c r="K11" s="21">
        <f t="shared" si="3"/>
        <v>0</v>
      </c>
      <c r="L11" s="21">
        <f t="shared" si="3"/>
        <v>0</v>
      </c>
      <c r="M11" s="21">
        <f t="shared" si="3"/>
        <v>0</v>
      </c>
      <c r="N11" s="21">
        <f t="shared" si="3"/>
        <v>1422097689</v>
      </c>
      <c r="O11" s="21">
        <f t="shared" si="3"/>
        <v>1422097689</v>
      </c>
      <c r="P11" s="21">
        <f t="shared" si="3"/>
        <v>1174189968</v>
      </c>
      <c r="Q11" s="21">
        <f t="shared" si="3"/>
        <v>1422097689</v>
      </c>
      <c r="R11" s="21">
        <f t="shared" si="3"/>
        <v>1261846635</v>
      </c>
      <c r="S11" s="21">
        <f t="shared" si="3"/>
        <v>888960311</v>
      </c>
      <c r="T11" s="21">
        <f>+T12+T23+T31</f>
        <v>0</v>
      </c>
      <c r="U11" s="84">
        <f t="shared" si="1"/>
        <v>61.53448719158065</v>
      </c>
      <c r="V11" s="103"/>
      <c r="W11" s="103"/>
      <c r="X11" s="103"/>
      <c r="Y11" s="103"/>
      <c r="Z11" s="103"/>
      <c r="AA11" s="57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12.75">
      <c r="A12" s="81" t="s">
        <v>115</v>
      </c>
      <c r="B12" s="21">
        <f>+B13</f>
        <v>1757208001</v>
      </c>
      <c r="C12" s="21">
        <f aca="true" t="shared" si="4" ref="C12:T12">+C13</f>
        <v>0</v>
      </c>
      <c r="D12" s="21">
        <f t="shared" si="4"/>
        <v>1757208001</v>
      </c>
      <c r="E12" s="21">
        <f t="shared" si="4"/>
        <v>1184836316</v>
      </c>
      <c r="F12" s="21">
        <f t="shared" si="4"/>
        <v>1184836316</v>
      </c>
      <c r="G12" s="21">
        <f t="shared" si="4"/>
        <v>569801908</v>
      </c>
      <c r="H12" s="21">
        <f t="shared" si="4"/>
        <v>896.5900408635606</v>
      </c>
      <c r="I12" s="21">
        <f t="shared" si="4"/>
        <v>896.5900408635606</v>
      </c>
      <c r="J12" s="21">
        <f t="shared" si="4"/>
        <v>0</v>
      </c>
      <c r="K12" s="21">
        <f t="shared" si="4"/>
        <v>0</v>
      </c>
      <c r="L12" s="21">
        <f t="shared" si="4"/>
        <v>0</v>
      </c>
      <c r="M12" s="21">
        <f t="shared" si="4"/>
        <v>0</v>
      </c>
      <c r="N12" s="21">
        <f t="shared" si="4"/>
        <v>1010816886</v>
      </c>
      <c r="O12" s="21">
        <f t="shared" si="4"/>
        <v>1010816886</v>
      </c>
      <c r="P12" s="21">
        <f t="shared" si="4"/>
        <v>1010255064</v>
      </c>
      <c r="Q12" s="21">
        <f t="shared" si="4"/>
        <v>1010816886</v>
      </c>
      <c r="R12" s="21">
        <f t="shared" si="4"/>
        <v>855063638</v>
      </c>
      <c r="S12" s="21">
        <f t="shared" si="4"/>
        <v>746391115</v>
      </c>
      <c r="T12" s="21">
        <f t="shared" si="4"/>
        <v>0</v>
      </c>
      <c r="U12" s="84">
        <f t="shared" si="1"/>
        <v>57.52403161292003</v>
      </c>
      <c r="V12" s="103"/>
      <c r="W12" s="103"/>
      <c r="X12" s="103"/>
      <c r="Y12" s="103"/>
      <c r="Z12" s="103"/>
      <c r="AA12" s="57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ht="12.75">
      <c r="A13" s="83" t="s">
        <v>116</v>
      </c>
      <c r="B13" s="19">
        <f>+B14+B15+B16+B17+B18+B19+B20</f>
        <v>1757208001</v>
      </c>
      <c r="C13" s="19">
        <f aca="true" t="shared" si="5" ref="C13:S13">+C14+C15+C16+C17+C18+C19+C20</f>
        <v>0</v>
      </c>
      <c r="D13" s="19">
        <f t="shared" si="5"/>
        <v>1757208001</v>
      </c>
      <c r="E13" s="19">
        <f t="shared" si="5"/>
        <v>1184836316</v>
      </c>
      <c r="F13" s="19">
        <f t="shared" si="5"/>
        <v>1184836316</v>
      </c>
      <c r="G13" s="19">
        <f t="shared" si="5"/>
        <v>569801908</v>
      </c>
      <c r="H13" s="19">
        <f t="shared" si="5"/>
        <v>896.5900408635606</v>
      </c>
      <c r="I13" s="19">
        <f t="shared" si="5"/>
        <v>896.5900408635606</v>
      </c>
      <c r="J13" s="19">
        <f t="shared" si="5"/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1010816886</v>
      </c>
      <c r="O13" s="19">
        <f t="shared" si="5"/>
        <v>1010816886</v>
      </c>
      <c r="P13" s="19">
        <f t="shared" si="5"/>
        <v>1010255064</v>
      </c>
      <c r="Q13" s="19">
        <f t="shared" si="5"/>
        <v>1010816886</v>
      </c>
      <c r="R13" s="19">
        <f t="shared" si="5"/>
        <v>855063638</v>
      </c>
      <c r="S13" s="19">
        <f t="shared" si="5"/>
        <v>746391115</v>
      </c>
      <c r="T13" s="19">
        <f>+T14+T15+T16+T17+T18+T19+T20</f>
        <v>0</v>
      </c>
      <c r="U13" s="84">
        <f t="shared" si="1"/>
        <v>57.52403161292003</v>
      </c>
      <c r="V13" s="103"/>
      <c r="W13" s="103"/>
      <c r="X13" s="103"/>
      <c r="Y13" s="103"/>
      <c r="Z13" s="103"/>
      <c r="AA13" s="57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ht="12.75">
      <c r="A14" s="81" t="s">
        <v>112</v>
      </c>
      <c r="B14" s="21">
        <v>1410695669</v>
      </c>
      <c r="C14" s="6">
        <v>0</v>
      </c>
      <c r="D14" s="63">
        <f aca="true" t="shared" si="6" ref="D14:D19">+B14+C14</f>
        <v>1410695669</v>
      </c>
      <c r="E14" s="20">
        <v>910042416</v>
      </c>
      <c r="F14" s="20">
        <v>910042416</v>
      </c>
      <c r="G14" s="6">
        <f>+D14-E14</f>
        <v>500653253</v>
      </c>
      <c r="H14" s="20">
        <f>+E14/D14*100</f>
        <v>64.51018713661337</v>
      </c>
      <c r="I14" s="20">
        <f>+F14/D14*100</f>
        <v>64.51018713661337</v>
      </c>
      <c r="J14" s="6"/>
      <c r="K14" s="21"/>
      <c r="L14" s="21"/>
      <c r="M14" s="21"/>
      <c r="N14" s="21">
        <v>873700777</v>
      </c>
      <c r="O14" s="6">
        <f>+N14</f>
        <v>873700777</v>
      </c>
      <c r="P14" s="21">
        <f>+O14</f>
        <v>873700777</v>
      </c>
      <c r="Q14" s="6">
        <f aca="true" t="shared" si="7" ref="Q14:Q19">+O14</f>
        <v>873700777</v>
      </c>
      <c r="R14" s="105">
        <v>723155967</v>
      </c>
      <c r="S14" s="21">
        <f aca="true" t="shared" si="8" ref="S14:S19">+D14-O14</f>
        <v>536994892</v>
      </c>
      <c r="T14" s="21"/>
      <c r="U14" s="84">
        <f t="shared" si="1"/>
        <v>61.93403695776144</v>
      </c>
      <c r="V14" s="103"/>
      <c r="W14" s="103"/>
      <c r="X14" s="103"/>
      <c r="Y14" s="103"/>
      <c r="Z14" s="103"/>
      <c r="AA14" s="57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ht="12.75">
      <c r="A15" s="85" t="s">
        <v>21</v>
      </c>
      <c r="B15" s="21">
        <v>2569777</v>
      </c>
      <c r="C15" s="6">
        <v>0</v>
      </c>
      <c r="D15" s="63">
        <f t="shared" si="6"/>
        <v>2569777</v>
      </c>
      <c r="E15" s="20"/>
      <c r="F15" s="20"/>
      <c r="G15" s="6"/>
      <c r="H15" s="20"/>
      <c r="I15" s="20"/>
      <c r="J15" s="6"/>
      <c r="K15" s="21"/>
      <c r="L15" s="21"/>
      <c r="M15" s="21"/>
      <c r="N15" s="21">
        <v>561822</v>
      </c>
      <c r="O15" s="6">
        <f>+N15</f>
        <v>561822</v>
      </c>
      <c r="P15" s="21"/>
      <c r="Q15" s="6">
        <f t="shared" si="7"/>
        <v>561822</v>
      </c>
      <c r="R15" s="105">
        <v>551139</v>
      </c>
      <c r="S15" s="21">
        <f t="shared" si="8"/>
        <v>2007955</v>
      </c>
      <c r="T15" s="21"/>
      <c r="U15" s="84">
        <f t="shared" si="1"/>
        <v>21.862675243805203</v>
      </c>
      <c r="V15" s="103"/>
      <c r="W15" s="103"/>
      <c r="X15" s="103"/>
      <c r="Y15" s="103"/>
      <c r="Z15" s="103"/>
      <c r="AA15" s="57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ht="12.75">
      <c r="A16" s="85" t="s">
        <v>117</v>
      </c>
      <c r="B16" s="21">
        <v>11437599</v>
      </c>
      <c r="C16" s="6">
        <v>0</v>
      </c>
      <c r="D16" s="63">
        <f t="shared" si="6"/>
        <v>11437599</v>
      </c>
      <c r="E16" s="20">
        <v>805455</v>
      </c>
      <c r="F16" s="20">
        <v>805455</v>
      </c>
      <c r="G16" s="6">
        <f>+D16-E16</f>
        <v>10632144</v>
      </c>
      <c r="H16" s="20">
        <f>+E16/D16*100</f>
        <v>7.042168553032853</v>
      </c>
      <c r="I16" s="20">
        <f>+F16/D16*100</f>
        <v>7.042168553032853</v>
      </c>
      <c r="J16" s="6"/>
      <c r="K16" s="21"/>
      <c r="L16" s="21"/>
      <c r="M16" s="21"/>
      <c r="N16" s="21">
        <v>7842016</v>
      </c>
      <c r="O16" s="6">
        <f>+N16</f>
        <v>7842016</v>
      </c>
      <c r="P16" s="21">
        <f>+O16</f>
        <v>7842016</v>
      </c>
      <c r="Q16" s="6">
        <f t="shared" si="7"/>
        <v>7842016</v>
      </c>
      <c r="R16" s="6">
        <v>6748533</v>
      </c>
      <c r="S16" s="21">
        <f t="shared" si="8"/>
        <v>3595583</v>
      </c>
      <c r="T16" s="21"/>
      <c r="U16" s="84">
        <f t="shared" si="1"/>
        <v>68.56348084943352</v>
      </c>
      <c r="V16" s="103"/>
      <c r="W16" s="103"/>
      <c r="X16" s="103"/>
      <c r="Y16" s="103"/>
      <c r="Z16" s="103"/>
      <c r="AA16" s="57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ht="12.75">
      <c r="A17" s="85" t="s">
        <v>118</v>
      </c>
      <c r="B17" s="21">
        <v>17797856</v>
      </c>
      <c r="C17" s="6">
        <v>0</v>
      </c>
      <c r="D17" s="63">
        <f t="shared" si="6"/>
        <v>17797856</v>
      </c>
      <c r="E17" s="20">
        <v>97076221</v>
      </c>
      <c r="F17" s="20">
        <v>97076221</v>
      </c>
      <c r="G17" s="6">
        <f>+D17-E17</f>
        <v>-79278365</v>
      </c>
      <c r="H17" s="20">
        <f>+E17/D17*100</f>
        <v>545.4377257575294</v>
      </c>
      <c r="I17" s="20">
        <f>+F17/D17*100</f>
        <v>545.4377257575294</v>
      </c>
      <c r="J17" s="6"/>
      <c r="K17" s="21"/>
      <c r="L17" s="21"/>
      <c r="M17" s="21"/>
      <c r="N17" s="21">
        <v>12320276</v>
      </c>
      <c r="O17" s="6">
        <f>+N17</f>
        <v>12320276</v>
      </c>
      <c r="P17" s="21">
        <f>+O17</f>
        <v>12320276</v>
      </c>
      <c r="Q17" s="6">
        <f t="shared" si="7"/>
        <v>12320276</v>
      </c>
      <c r="R17" s="6">
        <v>10829920</v>
      </c>
      <c r="S17" s="21">
        <f t="shared" si="8"/>
        <v>5477580</v>
      </c>
      <c r="T17" s="21"/>
      <c r="U17" s="84">
        <f t="shared" si="1"/>
        <v>69.22337162408776</v>
      </c>
      <c r="V17" s="103"/>
      <c r="W17" s="103"/>
      <c r="X17" s="103"/>
      <c r="Y17" s="103"/>
      <c r="Z17" s="103"/>
      <c r="AA17" s="57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ht="12.75">
      <c r="A18" s="85" t="s">
        <v>119</v>
      </c>
      <c r="B18" s="21">
        <v>66386142</v>
      </c>
      <c r="C18" s="6">
        <v>0</v>
      </c>
      <c r="D18" s="63">
        <f t="shared" si="6"/>
        <v>66386142</v>
      </c>
      <c r="E18" s="20">
        <f>11820000+57319500+18076500+2559658</f>
        <v>89775658</v>
      </c>
      <c r="F18" s="20">
        <f>11820000+57319500+18076500+2559658</f>
        <v>89775658</v>
      </c>
      <c r="G18" s="6">
        <f>+D18-E18</f>
        <v>-23389516</v>
      </c>
      <c r="H18" s="20">
        <f>+E18/D18*100</f>
        <v>135.2325278971626</v>
      </c>
      <c r="I18" s="20">
        <f>+F18/D18*100</f>
        <v>135.2325278971626</v>
      </c>
      <c r="J18" s="6"/>
      <c r="K18" s="21"/>
      <c r="L18" s="21"/>
      <c r="M18" s="21"/>
      <c r="N18" s="21">
        <v>66346087</v>
      </c>
      <c r="O18" s="6">
        <f>+N18</f>
        <v>66346087</v>
      </c>
      <c r="P18" s="21">
        <f>+O18</f>
        <v>66346087</v>
      </c>
      <c r="Q18" s="6">
        <f t="shared" si="7"/>
        <v>66346087</v>
      </c>
      <c r="R18" s="6">
        <v>65306610</v>
      </c>
      <c r="S18" s="21">
        <f t="shared" si="8"/>
        <v>40055</v>
      </c>
      <c r="T18" s="21"/>
      <c r="U18" s="84">
        <f aca="true" t="shared" si="9" ref="U18:U40">+O18/D18*100</f>
        <v>99.9396636123244</v>
      </c>
      <c r="V18" s="103"/>
      <c r="W18" s="103"/>
      <c r="X18" s="103"/>
      <c r="Y18" s="103"/>
      <c r="Z18" s="103"/>
      <c r="AA18" s="57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ht="12.75">
      <c r="A19" s="85" t="s">
        <v>120</v>
      </c>
      <c r="B19" s="21">
        <v>47302866</v>
      </c>
      <c r="C19" s="6">
        <v>0</v>
      </c>
      <c r="D19" s="63">
        <f t="shared" si="6"/>
        <v>47302866</v>
      </c>
      <c r="E19" s="20">
        <f>+D19</f>
        <v>47302866</v>
      </c>
      <c r="F19" s="20">
        <f>+E19</f>
        <v>47302866</v>
      </c>
      <c r="G19" s="6">
        <f>+D19-E19</f>
        <v>0</v>
      </c>
      <c r="H19" s="20">
        <f>+E19/D19*100</f>
        <v>100</v>
      </c>
      <c r="I19" s="20">
        <f>+F19/D19*100</f>
        <v>100</v>
      </c>
      <c r="J19" s="6"/>
      <c r="K19" s="21"/>
      <c r="L19" s="21"/>
      <c r="M19" s="21"/>
      <c r="N19" s="21">
        <v>29963378</v>
      </c>
      <c r="O19" s="6">
        <f>+N19</f>
        <v>29963378</v>
      </c>
      <c r="P19" s="21">
        <f>+O19</f>
        <v>29963378</v>
      </c>
      <c r="Q19" s="6">
        <f t="shared" si="7"/>
        <v>29963378</v>
      </c>
      <c r="R19" s="6">
        <v>28388939</v>
      </c>
      <c r="S19" s="21">
        <f t="shared" si="8"/>
        <v>17339488</v>
      </c>
      <c r="T19" s="21"/>
      <c r="U19" s="84">
        <f t="shared" si="9"/>
        <v>63.34368408036841</v>
      </c>
      <c r="V19" s="103"/>
      <c r="W19" s="103"/>
      <c r="X19" s="103"/>
      <c r="Y19" s="103"/>
      <c r="Z19" s="103"/>
      <c r="AA19" s="57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ht="12.75">
      <c r="A20" s="83" t="s">
        <v>121</v>
      </c>
      <c r="B20" s="19">
        <f>+B21+B22</f>
        <v>201018092</v>
      </c>
      <c r="C20" s="19">
        <f aca="true" t="shared" si="10" ref="C20:T20">+C21+C22</f>
        <v>0</v>
      </c>
      <c r="D20" s="19">
        <f t="shared" si="10"/>
        <v>201018092</v>
      </c>
      <c r="E20" s="19">
        <f t="shared" si="10"/>
        <v>39833700</v>
      </c>
      <c r="F20" s="19">
        <f t="shared" si="10"/>
        <v>39833700</v>
      </c>
      <c r="G20" s="19">
        <f t="shared" si="10"/>
        <v>161184392</v>
      </c>
      <c r="H20" s="19">
        <f t="shared" si="10"/>
        <v>44.367431519222336</v>
      </c>
      <c r="I20" s="19">
        <f t="shared" si="10"/>
        <v>44.367431519222336</v>
      </c>
      <c r="J20" s="19">
        <f t="shared" si="10"/>
        <v>0</v>
      </c>
      <c r="K20" s="19">
        <f t="shared" si="10"/>
        <v>0</v>
      </c>
      <c r="L20" s="19">
        <f t="shared" si="10"/>
        <v>0</v>
      </c>
      <c r="M20" s="19">
        <f t="shared" si="10"/>
        <v>0</v>
      </c>
      <c r="N20" s="19">
        <f t="shared" si="10"/>
        <v>20082530</v>
      </c>
      <c r="O20" s="19">
        <f t="shared" si="10"/>
        <v>20082530</v>
      </c>
      <c r="P20" s="19">
        <f t="shared" si="10"/>
        <v>20082530</v>
      </c>
      <c r="Q20" s="19">
        <f t="shared" si="10"/>
        <v>20082530</v>
      </c>
      <c r="R20" s="19">
        <f t="shared" si="10"/>
        <v>20082530</v>
      </c>
      <c r="S20" s="19">
        <f t="shared" si="10"/>
        <v>180935562</v>
      </c>
      <c r="T20" s="19">
        <f t="shared" si="10"/>
        <v>0</v>
      </c>
      <c r="U20" s="84">
        <f t="shared" si="9"/>
        <v>9.990409221474453</v>
      </c>
      <c r="V20" s="103"/>
      <c r="W20" s="103"/>
      <c r="X20" s="103"/>
      <c r="Y20" s="103"/>
      <c r="Z20" s="103"/>
      <c r="AA20" s="57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1:41" ht="12.75">
      <c r="A21" s="85" t="s">
        <v>122</v>
      </c>
      <c r="B21" s="21">
        <v>138760930</v>
      </c>
      <c r="C21" s="6">
        <v>0</v>
      </c>
      <c r="D21" s="63">
        <f>+B21+C21</f>
        <v>138760930</v>
      </c>
      <c r="E21" s="20">
        <v>22149500</v>
      </c>
      <c r="F21" s="20">
        <v>22149500</v>
      </c>
      <c r="G21" s="6">
        <f>+D21-E21</f>
        <v>116611430</v>
      </c>
      <c r="H21" s="20">
        <f>+E21/D21*100</f>
        <v>15.962346173378918</v>
      </c>
      <c r="I21" s="20">
        <f>+F21/D21*100</f>
        <v>15.962346173378918</v>
      </c>
      <c r="J21" s="6"/>
      <c r="K21" s="21"/>
      <c r="L21" s="21"/>
      <c r="M21" s="21"/>
      <c r="N21" s="21">
        <v>0</v>
      </c>
      <c r="O21" s="6">
        <v>0</v>
      </c>
      <c r="P21" s="21">
        <f>+O21</f>
        <v>0</v>
      </c>
      <c r="Q21" s="6">
        <v>0</v>
      </c>
      <c r="R21" s="6">
        <v>0</v>
      </c>
      <c r="S21" s="21">
        <f>+D21-O21</f>
        <v>138760930</v>
      </c>
      <c r="T21" s="21"/>
      <c r="U21" s="84">
        <f t="shared" si="9"/>
        <v>0</v>
      </c>
      <c r="V21" s="103"/>
      <c r="W21" s="103"/>
      <c r="X21" s="103"/>
      <c r="Y21" s="103"/>
      <c r="Z21" s="103"/>
      <c r="AA21" s="57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1:41" ht="12.75">
      <c r="A22" s="85" t="s">
        <v>123</v>
      </c>
      <c r="B22" s="21">
        <v>62257162</v>
      </c>
      <c r="C22" s="6">
        <v>0</v>
      </c>
      <c r="D22" s="63">
        <f>+B22+C22</f>
        <v>62257162</v>
      </c>
      <c r="E22" s="20">
        <v>17684200</v>
      </c>
      <c r="F22" s="20">
        <v>17684200</v>
      </c>
      <c r="G22" s="6">
        <f>+D22-E22</f>
        <v>44572962</v>
      </c>
      <c r="H22" s="20">
        <f>+E22/D22*100</f>
        <v>28.40508534584342</v>
      </c>
      <c r="I22" s="20">
        <f>+F22/D22*100</f>
        <v>28.40508534584342</v>
      </c>
      <c r="J22" s="6"/>
      <c r="K22" s="21"/>
      <c r="L22" s="21"/>
      <c r="M22" s="21"/>
      <c r="N22" s="21">
        <v>20082530</v>
      </c>
      <c r="O22" s="8">
        <f>+N22</f>
        <v>20082530</v>
      </c>
      <c r="P22" s="21">
        <f>+O22</f>
        <v>20082530</v>
      </c>
      <c r="Q22" s="6">
        <f>+O22</f>
        <v>20082530</v>
      </c>
      <c r="R22" s="6">
        <f>+Q22</f>
        <v>20082530</v>
      </c>
      <c r="S22" s="21">
        <f>+D22-O22</f>
        <v>42174632</v>
      </c>
      <c r="T22" s="21"/>
      <c r="U22" s="84">
        <f t="shared" si="9"/>
        <v>32.25738108653266</v>
      </c>
      <c r="V22" s="103"/>
      <c r="W22" s="103"/>
      <c r="X22" s="103"/>
      <c r="Y22" s="103"/>
      <c r="Z22" s="103"/>
      <c r="AA22" s="57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ht="12.75">
      <c r="A23" s="83" t="s">
        <v>124</v>
      </c>
      <c r="B23" s="19">
        <f>+B24+B25+B26+B27+B28+B29+B30</f>
        <v>383449999</v>
      </c>
      <c r="C23" s="19">
        <f aca="true" t="shared" si="11" ref="C23:T23">+C24+C25+C26+C27+C28+C29+C30</f>
        <v>0</v>
      </c>
      <c r="D23" s="19">
        <f t="shared" si="11"/>
        <v>383449999</v>
      </c>
      <c r="E23" s="19" t="e">
        <f t="shared" si="11"/>
        <v>#VALUE!</v>
      </c>
      <c r="F23" s="19">
        <f t="shared" si="11"/>
        <v>189874409</v>
      </c>
      <c r="G23" s="19">
        <f t="shared" si="11"/>
        <v>147216792</v>
      </c>
      <c r="H23" s="19" t="e">
        <f t="shared" si="11"/>
        <v>#VALUE!</v>
      </c>
      <c r="I23" s="19">
        <f t="shared" si="11"/>
        <v>200</v>
      </c>
      <c r="J23" s="19">
        <f t="shared" si="11"/>
        <v>0</v>
      </c>
      <c r="K23" s="19">
        <f t="shared" si="11"/>
        <v>0</v>
      </c>
      <c r="L23" s="19">
        <f t="shared" si="11"/>
        <v>0</v>
      </c>
      <c r="M23" s="19">
        <f t="shared" si="11"/>
        <v>0</v>
      </c>
      <c r="N23" s="19">
        <f t="shared" si="11"/>
        <v>293728867</v>
      </c>
      <c r="O23" s="19">
        <f t="shared" si="11"/>
        <v>293728867</v>
      </c>
      <c r="P23" s="19">
        <f t="shared" si="11"/>
        <v>163934904</v>
      </c>
      <c r="Q23" s="19">
        <f t="shared" si="11"/>
        <v>293728867</v>
      </c>
      <c r="R23" s="19">
        <f t="shared" si="11"/>
        <v>293740767</v>
      </c>
      <c r="S23" s="19">
        <f t="shared" si="11"/>
        <v>89721132</v>
      </c>
      <c r="T23" s="19">
        <f t="shared" si="11"/>
        <v>0</v>
      </c>
      <c r="U23" s="84">
        <f t="shared" si="9"/>
        <v>76.60160849289767</v>
      </c>
      <c r="V23" s="103"/>
      <c r="W23" s="103"/>
      <c r="X23" s="103"/>
      <c r="Y23" s="103"/>
      <c r="Z23" s="103"/>
      <c r="AA23" s="57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ht="12.75">
      <c r="A24" s="85" t="s">
        <v>125</v>
      </c>
      <c r="B24" s="21">
        <v>113742625</v>
      </c>
      <c r="C24" s="6">
        <v>0</v>
      </c>
      <c r="D24" s="15">
        <f aca="true" t="shared" si="12" ref="D24:D30">+B24+C24</f>
        <v>113742625</v>
      </c>
      <c r="E24" s="20">
        <f>+D24</f>
        <v>113742625</v>
      </c>
      <c r="F24" s="20">
        <f>+E24</f>
        <v>113742625</v>
      </c>
      <c r="G24" s="6">
        <f>+D24-E24</f>
        <v>0</v>
      </c>
      <c r="H24" s="20">
        <f>+E24/D24*100</f>
        <v>100</v>
      </c>
      <c r="I24" s="20">
        <f>+F24/D24*100</f>
        <v>100</v>
      </c>
      <c r="J24" s="6"/>
      <c r="K24" s="21"/>
      <c r="L24" s="21"/>
      <c r="M24" s="21"/>
      <c r="N24" s="21">
        <v>94997600</v>
      </c>
      <c r="O24" s="6">
        <f>+N24</f>
        <v>94997600</v>
      </c>
      <c r="P24" s="21">
        <f>+O24</f>
        <v>94997600</v>
      </c>
      <c r="Q24" s="6">
        <f>+O24</f>
        <v>94997600</v>
      </c>
      <c r="R24" s="6">
        <v>95005647</v>
      </c>
      <c r="S24" s="21">
        <f aca="true" t="shared" si="13" ref="S24:S30">+D24-O24</f>
        <v>18745025</v>
      </c>
      <c r="T24" s="21"/>
      <c r="U24" s="84">
        <f t="shared" si="9"/>
        <v>83.51978864563746</v>
      </c>
      <c r="V24" s="103"/>
      <c r="W24" s="103"/>
      <c r="X24" s="103"/>
      <c r="Y24" s="103"/>
      <c r="Z24" s="103"/>
      <c r="AA24" s="57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ht="12.75">
      <c r="A25" s="85" t="s">
        <v>126</v>
      </c>
      <c r="B25" s="21">
        <v>76131784</v>
      </c>
      <c r="C25" s="6">
        <v>0</v>
      </c>
      <c r="D25" s="63">
        <f t="shared" si="12"/>
        <v>76131784</v>
      </c>
      <c r="E25" s="20">
        <f>+D25</f>
        <v>76131784</v>
      </c>
      <c r="F25" s="20">
        <f>+E25</f>
        <v>76131784</v>
      </c>
      <c r="G25" s="6">
        <f>+D25-E25</f>
        <v>0</v>
      </c>
      <c r="H25" s="20">
        <f>+E25/D25*100</f>
        <v>100</v>
      </c>
      <c r="I25" s="20">
        <f>+F25/D25*100</f>
        <v>100</v>
      </c>
      <c r="J25" s="6"/>
      <c r="K25" s="21"/>
      <c r="L25" s="21"/>
      <c r="M25" s="21"/>
      <c r="N25" s="21">
        <v>68937304</v>
      </c>
      <c r="O25" s="6">
        <f>+N25</f>
        <v>68937304</v>
      </c>
      <c r="P25" s="21">
        <f>+O25</f>
        <v>68937304</v>
      </c>
      <c r="Q25" s="6">
        <f>+O25</f>
        <v>68937304</v>
      </c>
      <c r="R25" s="104">
        <v>68941157</v>
      </c>
      <c r="S25" s="21">
        <f t="shared" si="13"/>
        <v>7194480</v>
      </c>
      <c r="T25" s="21"/>
      <c r="U25" s="84">
        <f t="shared" si="9"/>
        <v>90.54996530752517</v>
      </c>
      <c r="V25" s="103"/>
      <c r="W25" s="103"/>
      <c r="X25" s="103"/>
      <c r="Y25" s="103"/>
      <c r="Z25" s="103"/>
      <c r="AA25" s="57"/>
      <c r="AB25" s="14"/>
      <c r="AC25" s="22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ht="12.75">
      <c r="A26" s="85" t="s">
        <v>127</v>
      </c>
      <c r="B26" s="21">
        <v>106490052</v>
      </c>
      <c r="C26" s="6">
        <f>+C27</f>
        <v>0</v>
      </c>
      <c r="D26" s="63">
        <f t="shared" si="12"/>
        <v>106490052</v>
      </c>
      <c r="E26" s="20">
        <f>+E27</f>
        <v>0</v>
      </c>
      <c r="F26" s="20">
        <f>+F27</f>
        <v>0</v>
      </c>
      <c r="G26" s="6">
        <f>+D26-E26</f>
        <v>106490052</v>
      </c>
      <c r="H26" s="20">
        <f>+E26/D26*100</f>
        <v>0</v>
      </c>
      <c r="I26" s="20">
        <f>+F26/D26*100</f>
        <v>0</v>
      </c>
      <c r="J26" s="6"/>
      <c r="K26" s="21"/>
      <c r="L26" s="21"/>
      <c r="M26" s="21"/>
      <c r="N26" s="21">
        <v>59000763</v>
      </c>
      <c r="O26" s="6">
        <f>+N26</f>
        <v>59000763</v>
      </c>
      <c r="P26" s="21">
        <f>+P27</f>
        <v>0</v>
      </c>
      <c r="Q26" s="6">
        <f>+O26</f>
        <v>59000763</v>
      </c>
      <c r="R26" s="6">
        <f>+Q26</f>
        <v>59000763</v>
      </c>
      <c r="S26" s="21">
        <f t="shared" si="13"/>
        <v>47489289</v>
      </c>
      <c r="T26" s="21"/>
      <c r="U26" s="84">
        <f t="shared" si="9"/>
        <v>55.404952755586976</v>
      </c>
      <c r="V26" s="103"/>
      <c r="W26" s="103"/>
      <c r="X26" s="103"/>
      <c r="Y26" s="103"/>
      <c r="Z26" s="103"/>
      <c r="AA26" s="57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ht="12.75">
      <c r="A27" s="85" t="s">
        <v>128</v>
      </c>
      <c r="B27" s="21">
        <v>40726740</v>
      </c>
      <c r="C27" s="6">
        <v>0</v>
      </c>
      <c r="D27" s="63">
        <f t="shared" si="12"/>
        <v>40726740</v>
      </c>
      <c r="E27" s="20">
        <v>0</v>
      </c>
      <c r="F27" s="20">
        <v>0</v>
      </c>
      <c r="G27" s="6">
        <f>+D27-E27</f>
        <v>40726740</v>
      </c>
      <c r="H27" s="20">
        <f>+E27/D27*100</f>
        <v>0</v>
      </c>
      <c r="I27" s="20">
        <f>+F27/D27*100</f>
        <v>0</v>
      </c>
      <c r="J27" s="6"/>
      <c r="K27" s="21"/>
      <c r="L27" s="21"/>
      <c r="M27" s="21"/>
      <c r="N27" s="21">
        <v>29917800</v>
      </c>
      <c r="O27" s="6">
        <f>+N27</f>
        <v>29917800</v>
      </c>
      <c r="P27" s="21">
        <v>0</v>
      </c>
      <c r="Q27" s="6">
        <f>+O27</f>
        <v>29917800</v>
      </c>
      <c r="R27" s="6">
        <f>+Q27</f>
        <v>29917800</v>
      </c>
      <c r="S27" s="21">
        <f t="shared" si="13"/>
        <v>10808940</v>
      </c>
      <c r="T27" s="21"/>
      <c r="U27" s="84">
        <f t="shared" si="9"/>
        <v>73.4598448095772</v>
      </c>
      <c r="V27" s="103"/>
      <c r="W27" s="103"/>
      <c r="X27" s="103"/>
      <c r="Y27" s="103"/>
      <c r="Z27" s="103"/>
      <c r="AA27" s="57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ht="25.5">
      <c r="A28" s="86" t="s">
        <v>129</v>
      </c>
      <c r="B28" s="3">
        <v>313795</v>
      </c>
      <c r="C28" s="8">
        <v>0</v>
      </c>
      <c r="D28" s="63">
        <f t="shared" si="12"/>
        <v>313795</v>
      </c>
      <c r="E28" s="20" t="s">
        <v>0</v>
      </c>
      <c r="F28" s="20"/>
      <c r="G28" s="6"/>
      <c r="H28" s="20" t="s">
        <v>0</v>
      </c>
      <c r="I28" s="6"/>
      <c r="J28" s="6"/>
      <c r="K28" s="21"/>
      <c r="L28" s="21"/>
      <c r="M28" s="21"/>
      <c r="N28" s="21"/>
      <c r="O28" s="6">
        <v>0</v>
      </c>
      <c r="P28" s="21"/>
      <c r="Q28" s="21">
        <v>0</v>
      </c>
      <c r="R28" s="6">
        <v>0</v>
      </c>
      <c r="S28" s="21">
        <f t="shared" si="13"/>
        <v>313795</v>
      </c>
      <c r="T28" s="21"/>
      <c r="U28" s="84">
        <f t="shared" si="9"/>
        <v>0</v>
      </c>
      <c r="V28" s="57"/>
      <c r="W28" s="57"/>
      <c r="X28" s="57"/>
      <c r="Y28" s="57"/>
      <c r="Z28" s="57"/>
      <c r="AA28" s="57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ht="12.75">
      <c r="A29" s="85" t="s">
        <v>130</v>
      </c>
      <c r="B29" s="3">
        <v>28923915</v>
      </c>
      <c r="C29" s="8">
        <v>0</v>
      </c>
      <c r="D29" s="63">
        <f t="shared" si="12"/>
        <v>28923915</v>
      </c>
      <c r="E29" s="21"/>
      <c r="F29" s="21"/>
      <c r="G29" s="21"/>
      <c r="H29" s="21"/>
      <c r="I29" s="21"/>
      <c r="J29" s="21"/>
      <c r="K29" s="21"/>
      <c r="L29" s="21"/>
      <c r="M29" s="21"/>
      <c r="N29" s="21">
        <v>24521900</v>
      </c>
      <c r="O29" s="8">
        <v>24521900</v>
      </c>
      <c r="P29" s="21"/>
      <c r="Q29" s="21">
        <v>24521900</v>
      </c>
      <c r="R29" s="6">
        <f>+Q29</f>
        <v>24521900</v>
      </c>
      <c r="S29" s="21">
        <f t="shared" si="13"/>
        <v>4402015</v>
      </c>
      <c r="T29" s="21"/>
      <c r="U29" s="84">
        <f t="shared" si="9"/>
        <v>84.7807082824023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ht="12.75">
      <c r="A30" s="85" t="s">
        <v>131</v>
      </c>
      <c r="B30" s="3">
        <v>17121088</v>
      </c>
      <c r="C30" s="8">
        <v>0</v>
      </c>
      <c r="D30" s="63">
        <f t="shared" si="12"/>
        <v>17121088</v>
      </c>
      <c r="E30" s="21"/>
      <c r="F30" s="21"/>
      <c r="G30" s="21"/>
      <c r="H30" s="21"/>
      <c r="I30" s="21"/>
      <c r="J30" s="21"/>
      <c r="K30" s="21"/>
      <c r="L30" s="21"/>
      <c r="M30" s="21"/>
      <c r="N30" s="21">
        <v>16353500</v>
      </c>
      <c r="O30" s="8">
        <f>+N30</f>
        <v>16353500</v>
      </c>
      <c r="P30" s="3"/>
      <c r="Q30" s="3">
        <f>+O30</f>
        <v>16353500</v>
      </c>
      <c r="R30" s="8">
        <v>16353500</v>
      </c>
      <c r="S30" s="21">
        <f t="shared" si="13"/>
        <v>767588</v>
      </c>
      <c r="T30" s="21"/>
      <c r="U30" s="84">
        <f t="shared" si="9"/>
        <v>95.51671015299962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ht="12.75">
      <c r="A31" s="83" t="s">
        <v>132</v>
      </c>
      <c r="B31" s="19">
        <f>+B32+B33</f>
        <v>170400000</v>
      </c>
      <c r="C31" s="19">
        <f aca="true" t="shared" si="14" ref="C31:T31">+C32+C33</f>
        <v>0</v>
      </c>
      <c r="D31" s="19">
        <f t="shared" si="14"/>
        <v>170400000</v>
      </c>
      <c r="E31" s="19">
        <f t="shared" si="14"/>
        <v>0</v>
      </c>
      <c r="F31" s="19">
        <f t="shared" si="14"/>
        <v>0</v>
      </c>
      <c r="G31" s="19">
        <f t="shared" si="14"/>
        <v>0</v>
      </c>
      <c r="H31" s="19">
        <f t="shared" si="14"/>
        <v>0</v>
      </c>
      <c r="I31" s="19">
        <f t="shared" si="14"/>
        <v>0</v>
      </c>
      <c r="J31" s="19">
        <f t="shared" si="14"/>
        <v>0</v>
      </c>
      <c r="K31" s="19">
        <f t="shared" si="14"/>
        <v>0</v>
      </c>
      <c r="L31" s="19">
        <f t="shared" si="14"/>
        <v>0</v>
      </c>
      <c r="M31" s="19">
        <f t="shared" si="14"/>
        <v>0</v>
      </c>
      <c r="N31" s="19">
        <f t="shared" si="14"/>
        <v>117551936</v>
      </c>
      <c r="O31" s="19">
        <f t="shared" si="14"/>
        <v>117551936</v>
      </c>
      <c r="P31" s="19">
        <f t="shared" si="14"/>
        <v>0</v>
      </c>
      <c r="Q31" s="19">
        <f t="shared" si="14"/>
        <v>117551936</v>
      </c>
      <c r="R31" s="19">
        <f t="shared" si="14"/>
        <v>113042230</v>
      </c>
      <c r="S31" s="19">
        <f t="shared" si="14"/>
        <v>52848064</v>
      </c>
      <c r="T31" s="19">
        <f t="shared" si="14"/>
        <v>0</v>
      </c>
      <c r="U31" s="84">
        <f t="shared" si="9"/>
        <v>68.9858779342723</v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ht="12.75">
      <c r="A32" s="85" t="s">
        <v>133</v>
      </c>
      <c r="B32" s="3">
        <v>43194474</v>
      </c>
      <c r="C32" s="6">
        <v>0</v>
      </c>
      <c r="D32" s="15">
        <f>+B32+C32</f>
        <v>43194474</v>
      </c>
      <c r="E32" s="21"/>
      <c r="F32" s="21"/>
      <c r="G32" s="21"/>
      <c r="H32" s="21"/>
      <c r="I32" s="21"/>
      <c r="J32" s="21"/>
      <c r="K32" s="21"/>
      <c r="L32" s="21"/>
      <c r="M32" s="21"/>
      <c r="N32" s="21">
        <v>33149631</v>
      </c>
      <c r="O32" s="6">
        <f>+N32</f>
        <v>33149631</v>
      </c>
      <c r="P32" s="21"/>
      <c r="Q32" s="3">
        <f>+O32</f>
        <v>33149631</v>
      </c>
      <c r="R32" s="6">
        <v>28639925</v>
      </c>
      <c r="S32" s="21">
        <f>+D32-O32</f>
        <v>10044843</v>
      </c>
      <c r="T32" s="21"/>
      <c r="U32" s="84">
        <f t="shared" si="9"/>
        <v>76.74507391848319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ht="12.75">
      <c r="A33" s="85" t="s">
        <v>135</v>
      </c>
      <c r="B33" s="21">
        <v>127205526</v>
      </c>
      <c r="C33" s="6">
        <v>0</v>
      </c>
      <c r="D33" s="63">
        <f>+B33+C33</f>
        <v>127205526</v>
      </c>
      <c r="E33" s="21"/>
      <c r="F33" s="21"/>
      <c r="G33" s="21"/>
      <c r="H33" s="21"/>
      <c r="I33" s="21"/>
      <c r="J33" s="21"/>
      <c r="K33" s="21"/>
      <c r="L33" s="21"/>
      <c r="M33" s="21"/>
      <c r="N33" s="21">
        <v>84402305</v>
      </c>
      <c r="O33" s="6">
        <f>+N33</f>
        <v>84402305</v>
      </c>
      <c r="P33" s="21"/>
      <c r="Q33" s="3">
        <f>+O33</f>
        <v>84402305</v>
      </c>
      <c r="R33" s="6">
        <v>84402305</v>
      </c>
      <c r="S33" s="21">
        <f>+D33-O33</f>
        <v>42803221</v>
      </c>
      <c r="T33" s="21"/>
      <c r="U33" s="84">
        <f t="shared" si="9"/>
        <v>66.35113084631244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ht="12.75">
      <c r="A34" s="83" t="s">
        <v>136</v>
      </c>
      <c r="B34" s="19">
        <f>+B35</f>
        <v>23279000</v>
      </c>
      <c r="C34" s="19">
        <f aca="true" t="shared" si="15" ref="C34:T34">+C35</f>
        <v>0</v>
      </c>
      <c r="D34" s="19">
        <f t="shared" si="15"/>
        <v>23279000</v>
      </c>
      <c r="E34" s="19">
        <f t="shared" si="15"/>
        <v>0</v>
      </c>
      <c r="F34" s="19">
        <f t="shared" si="15"/>
        <v>0</v>
      </c>
      <c r="G34" s="19">
        <f t="shared" si="15"/>
        <v>0</v>
      </c>
      <c r="H34" s="19">
        <f t="shared" si="15"/>
        <v>0</v>
      </c>
      <c r="I34" s="19">
        <f t="shared" si="15"/>
        <v>0</v>
      </c>
      <c r="J34" s="19">
        <f t="shared" si="15"/>
        <v>0</v>
      </c>
      <c r="K34" s="19">
        <f t="shared" si="15"/>
        <v>0</v>
      </c>
      <c r="L34" s="19">
        <f t="shared" si="15"/>
        <v>0</v>
      </c>
      <c r="M34" s="19">
        <f t="shared" si="15"/>
        <v>0</v>
      </c>
      <c r="N34" s="19">
        <f t="shared" si="15"/>
        <v>23279000</v>
      </c>
      <c r="O34" s="19">
        <f t="shared" si="15"/>
        <v>23279000</v>
      </c>
      <c r="P34" s="19">
        <f t="shared" si="15"/>
        <v>0</v>
      </c>
      <c r="Q34" s="19">
        <f t="shared" si="15"/>
        <v>23279000</v>
      </c>
      <c r="R34" s="19">
        <f t="shared" si="15"/>
        <v>23279000</v>
      </c>
      <c r="S34" s="19">
        <f t="shared" si="15"/>
        <v>0</v>
      </c>
      <c r="T34" s="19">
        <f t="shared" si="15"/>
        <v>0</v>
      </c>
      <c r="U34" s="84">
        <f t="shared" si="9"/>
        <v>100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ht="25.5">
      <c r="A35" s="86" t="s">
        <v>137</v>
      </c>
      <c r="B35" s="21">
        <v>23279000</v>
      </c>
      <c r="C35" s="6">
        <v>0</v>
      </c>
      <c r="D35" s="63">
        <f>+B35+C35</f>
        <v>23279000</v>
      </c>
      <c r="E35" s="21"/>
      <c r="F35" s="21"/>
      <c r="G35" s="21"/>
      <c r="H35" s="21"/>
      <c r="I35" s="21"/>
      <c r="J35" s="21"/>
      <c r="K35" s="21"/>
      <c r="L35" s="21"/>
      <c r="M35" s="21"/>
      <c r="N35" s="21">
        <v>23279000</v>
      </c>
      <c r="O35" s="6">
        <v>23279000</v>
      </c>
      <c r="P35" s="6"/>
      <c r="Q35" s="6">
        <v>23279000</v>
      </c>
      <c r="R35" s="6">
        <v>23279000</v>
      </c>
      <c r="S35" s="21">
        <f>+D35-O35</f>
        <v>0</v>
      </c>
      <c r="T35" s="21"/>
      <c r="U35" s="84">
        <f t="shared" si="9"/>
        <v>100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ht="25.5">
      <c r="A36" s="87" t="s">
        <v>138</v>
      </c>
      <c r="B36" s="19">
        <f>+B37</f>
        <v>1602000</v>
      </c>
      <c r="C36" s="19">
        <f aca="true" t="shared" si="16" ref="C36:T36">+C37</f>
        <v>0</v>
      </c>
      <c r="D36" s="19">
        <f t="shared" si="16"/>
        <v>1602000</v>
      </c>
      <c r="E36" s="19">
        <f t="shared" si="16"/>
        <v>0</v>
      </c>
      <c r="F36" s="19">
        <f t="shared" si="16"/>
        <v>0</v>
      </c>
      <c r="G36" s="19">
        <f t="shared" si="16"/>
        <v>0</v>
      </c>
      <c r="H36" s="19">
        <f t="shared" si="16"/>
        <v>0</v>
      </c>
      <c r="I36" s="19">
        <f t="shared" si="16"/>
        <v>0</v>
      </c>
      <c r="J36" s="19">
        <f t="shared" si="16"/>
        <v>0</v>
      </c>
      <c r="K36" s="19">
        <f t="shared" si="16"/>
        <v>0</v>
      </c>
      <c r="L36" s="19">
        <f t="shared" si="16"/>
        <v>0</v>
      </c>
      <c r="M36" s="19">
        <f t="shared" si="16"/>
        <v>0</v>
      </c>
      <c r="N36" s="19">
        <f t="shared" si="16"/>
        <v>1602000</v>
      </c>
      <c r="O36" s="19">
        <f t="shared" si="16"/>
        <v>1602000</v>
      </c>
      <c r="P36" s="19">
        <f t="shared" si="16"/>
        <v>0</v>
      </c>
      <c r="Q36" s="19">
        <f t="shared" si="16"/>
        <v>1602000</v>
      </c>
      <c r="R36" s="19">
        <f t="shared" si="16"/>
        <v>1602000</v>
      </c>
      <c r="S36" s="19">
        <f t="shared" si="16"/>
        <v>0</v>
      </c>
      <c r="T36" s="19">
        <f t="shared" si="16"/>
        <v>0</v>
      </c>
      <c r="U36" s="84">
        <f t="shared" si="9"/>
        <v>100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ht="12.75">
      <c r="A37" s="86" t="s">
        <v>139</v>
      </c>
      <c r="B37" s="21">
        <f>+B38</f>
        <v>1602000</v>
      </c>
      <c r="C37" s="21">
        <f aca="true" t="shared" si="17" ref="C37:S37">+C38</f>
        <v>0</v>
      </c>
      <c r="D37" s="21">
        <f t="shared" si="17"/>
        <v>1602000</v>
      </c>
      <c r="E37" s="21">
        <f t="shared" si="17"/>
        <v>0</v>
      </c>
      <c r="F37" s="21">
        <f t="shared" si="17"/>
        <v>0</v>
      </c>
      <c r="G37" s="21">
        <f t="shared" si="17"/>
        <v>0</v>
      </c>
      <c r="H37" s="21">
        <f t="shared" si="17"/>
        <v>0</v>
      </c>
      <c r="I37" s="21">
        <f t="shared" si="17"/>
        <v>0</v>
      </c>
      <c r="J37" s="21">
        <f t="shared" si="17"/>
        <v>0</v>
      </c>
      <c r="K37" s="21">
        <f t="shared" si="17"/>
        <v>0</v>
      </c>
      <c r="L37" s="21">
        <f t="shared" si="17"/>
        <v>0</v>
      </c>
      <c r="M37" s="21">
        <f t="shared" si="17"/>
        <v>0</v>
      </c>
      <c r="N37" s="21">
        <f t="shared" si="17"/>
        <v>1602000</v>
      </c>
      <c r="O37" s="21">
        <f t="shared" si="17"/>
        <v>1602000</v>
      </c>
      <c r="P37" s="21">
        <f t="shared" si="17"/>
        <v>0</v>
      </c>
      <c r="Q37" s="21">
        <f t="shared" si="17"/>
        <v>1602000</v>
      </c>
      <c r="R37" s="21">
        <f t="shared" si="17"/>
        <v>1602000</v>
      </c>
      <c r="S37" s="21">
        <f t="shared" si="17"/>
        <v>0</v>
      </c>
      <c r="T37" s="21"/>
      <c r="U37" s="84">
        <f t="shared" si="9"/>
        <v>100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ht="12.75">
      <c r="A38" s="86" t="s">
        <v>140</v>
      </c>
      <c r="B38" s="21">
        <v>1602000</v>
      </c>
      <c r="C38" s="6">
        <v>0</v>
      </c>
      <c r="D38" s="63">
        <f>+B38+C38</f>
        <v>1602000</v>
      </c>
      <c r="E38" s="21"/>
      <c r="F38" s="21"/>
      <c r="G38" s="21"/>
      <c r="H38" s="21"/>
      <c r="I38" s="21"/>
      <c r="J38" s="21"/>
      <c r="K38" s="21"/>
      <c r="L38" s="21"/>
      <c r="M38" s="21"/>
      <c r="N38" s="21">
        <v>1602000</v>
      </c>
      <c r="O38" s="6">
        <v>1602000</v>
      </c>
      <c r="P38" s="6"/>
      <c r="Q38" s="6">
        <v>1602000</v>
      </c>
      <c r="R38" s="6">
        <v>1602000</v>
      </c>
      <c r="S38" s="21">
        <f>+D38-O38</f>
        <v>0</v>
      </c>
      <c r="T38" s="21"/>
      <c r="U38" s="84">
        <f t="shared" si="9"/>
        <v>100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41" ht="12.75">
      <c r="A39" s="87" t="s">
        <v>141</v>
      </c>
      <c r="B39" s="19">
        <f>+B40</f>
        <v>11515000</v>
      </c>
      <c r="C39" s="19">
        <f aca="true" t="shared" si="18" ref="C39:T39">+C40</f>
        <v>0</v>
      </c>
      <c r="D39" s="19">
        <f t="shared" si="18"/>
        <v>11515000</v>
      </c>
      <c r="E39" s="19">
        <f t="shared" si="18"/>
        <v>0</v>
      </c>
      <c r="F39" s="19">
        <f t="shared" si="18"/>
        <v>0</v>
      </c>
      <c r="G39" s="19">
        <f t="shared" si="18"/>
        <v>0</v>
      </c>
      <c r="H39" s="19">
        <f t="shared" si="18"/>
        <v>0</v>
      </c>
      <c r="I39" s="19">
        <f t="shared" si="18"/>
        <v>0</v>
      </c>
      <c r="J39" s="19">
        <f t="shared" si="18"/>
        <v>0</v>
      </c>
      <c r="K39" s="19">
        <f t="shared" si="18"/>
        <v>0</v>
      </c>
      <c r="L39" s="19">
        <f t="shared" si="18"/>
        <v>0</v>
      </c>
      <c r="M39" s="19">
        <f t="shared" si="18"/>
        <v>0</v>
      </c>
      <c r="N39" s="19">
        <f t="shared" si="18"/>
        <v>0</v>
      </c>
      <c r="O39" s="19">
        <f t="shared" si="18"/>
        <v>0</v>
      </c>
      <c r="P39" s="19">
        <f t="shared" si="18"/>
        <v>0</v>
      </c>
      <c r="Q39" s="19">
        <f t="shared" si="18"/>
        <v>0</v>
      </c>
      <c r="R39" s="19">
        <f t="shared" si="18"/>
        <v>0</v>
      </c>
      <c r="S39" s="19">
        <f t="shared" si="18"/>
        <v>11515000</v>
      </c>
      <c r="T39" s="19">
        <f t="shared" si="18"/>
        <v>0</v>
      </c>
      <c r="U39" s="84">
        <f t="shared" si="9"/>
        <v>0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ht="13.5" thickBot="1">
      <c r="A40" s="88" t="s">
        <v>142</v>
      </c>
      <c r="B40" s="89">
        <v>11515000</v>
      </c>
      <c r="C40" s="90">
        <v>0</v>
      </c>
      <c r="D40" s="91">
        <f>+B40+C40</f>
        <v>11515000</v>
      </c>
      <c r="E40" s="89"/>
      <c r="F40" s="89"/>
      <c r="G40" s="89"/>
      <c r="H40" s="89"/>
      <c r="I40" s="89"/>
      <c r="J40" s="89"/>
      <c r="K40" s="89"/>
      <c r="L40" s="89"/>
      <c r="M40" s="89"/>
      <c r="N40" s="89">
        <v>0</v>
      </c>
      <c r="O40" s="90">
        <v>0</v>
      </c>
      <c r="P40" s="90"/>
      <c r="Q40" s="90">
        <v>0</v>
      </c>
      <c r="R40" s="90">
        <v>0</v>
      </c>
      <c r="S40" s="89">
        <f>+D40-O40</f>
        <v>11515000</v>
      </c>
      <c r="T40" s="89"/>
      <c r="U40" s="92">
        <f t="shared" si="9"/>
        <v>0</v>
      </c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ht="12.75">
      <c r="A41" s="37"/>
      <c r="B41" s="37"/>
      <c r="C41" s="31"/>
      <c r="D41" s="68"/>
      <c r="E41" s="56"/>
      <c r="F41" s="56"/>
      <c r="G41" s="56"/>
      <c r="H41" s="69"/>
      <c r="I41" s="57"/>
      <c r="J41" s="57"/>
      <c r="K41" s="57"/>
      <c r="L41" s="57"/>
      <c r="M41" s="57"/>
      <c r="N41" s="57"/>
      <c r="O41" s="56"/>
      <c r="P41" s="57"/>
      <c r="Q41" s="57"/>
      <c r="R41" s="66"/>
      <c r="S41" s="57"/>
      <c r="T41" s="57"/>
      <c r="U41" s="57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ht="12.75">
      <c r="A42" s="37"/>
      <c r="B42" s="37"/>
      <c r="C42" s="31"/>
      <c r="D42" s="68"/>
      <c r="E42" s="56"/>
      <c r="F42" s="56"/>
      <c r="G42" s="56"/>
      <c r="H42" s="69"/>
      <c r="I42" s="57"/>
      <c r="J42" s="57"/>
      <c r="K42" s="57"/>
      <c r="L42" s="57"/>
      <c r="M42" s="57"/>
      <c r="N42" s="57"/>
      <c r="O42" s="56"/>
      <c r="P42" s="57"/>
      <c r="Q42" s="57"/>
      <c r="R42" s="66"/>
      <c r="S42" s="57"/>
      <c r="T42" s="57"/>
      <c r="U42" s="57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ht="12.75">
      <c r="A43" s="37"/>
      <c r="B43" s="37"/>
      <c r="C43" s="31"/>
      <c r="D43" s="68"/>
      <c r="E43" s="56"/>
      <c r="F43" s="56"/>
      <c r="G43" s="56"/>
      <c r="H43" s="69"/>
      <c r="I43" s="57"/>
      <c r="J43" s="57"/>
      <c r="K43" s="57"/>
      <c r="L43" s="57"/>
      <c r="M43" s="57"/>
      <c r="N43" s="57"/>
      <c r="O43" s="56"/>
      <c r="P43" s="57"/>
      <c r="Q43" s="57"/>
      <c r="R43" s="66"/>
      <c r="S43" s="57"/>
      <c r="T43" s="57"/>
      <c r="U43" s="57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ht="12.75">
      <c r="A44" s="37"/>
      <c r="B44" s="37"/>
      <c r="C44" s="31"/>
      <c r="D44" s="68"/>
      <c r="E44" s="56"/>
      <c r="F44" s="56"/>
      <c r="G44" s="56"/>
      <c r="H44" s="69"/>
      <c r="I44" s="57"/>
      <c r="J44" s="57"/>
      <c r="K44" s="57"/>
      <c r="L44" s="57"/>
      <c r="M44" s="57"/>
      <c r="N44" s="57"/>
      <c r="O44" s="56"/>
      <c r="P44" s="57"/>
      <c r="Q44" s="57"/>
      <c r="R44" s="66"/>
      <c r="S44" s="57"/>
      <c r="T44" s="57"/>
      <c r="U44" s="57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ht="12.75">
      <c r="A45" s="37"/>
      <c r="B45" s="37"/>
      <c r="C45" s="31"/>
      <c r="D45" s="68"/>
      <c r="E45" s="56"/>
      <c r="F45" s="56"/>
      <c r="G45" s="56"/>
      <c r="H45" s="69"/>
      <c r="I45" s="57"/>
      <c r="J45" s="57"/>
      <c r="K45" s="57"/>
      <c r="L45" s="57"/>
      <c r="M45" s="57"/>
      <c r="N45" s="57"/>
      <c r="O45" s="56"/>
      <c r="P45" s="57"/>
      <c r="Q45" s="57"/>
      <c r="R45" s="66"/>
      <c r="S45" s="57"/>
      <c r="T45" s="57"/>
      <c r="U45" s="57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ht="12.75">
      <c r="A46" s="37"/>
      <c r="B46" s="37"/>
      <c r="C46" s="31"/>
      <c r="D46" s="68"/>
      <c r="E46" s="56"/>
      <c r="F46" s="56"/>
      <c r="G46" s="56"/>
      <c r="H46" s="69"/>
      <c r="I46" s="57"/>
      <c r="J46" s="57"/>
      <c r="K46" s="57"/>
      <c r="L46" s="57"/>
      <c r="M46" s="57"/>
      <c r="N46" s="57"/>
      <c r="O46" s="56"/>
      <c r="P46" s="57"/>
      <c r="Q46" s="57"/>
      <c r="R46" s="66"/>
      <c r="S46" s="57"/>
      <c r="T46" s="57"/>
      <c r="U46" s="57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ht="12.75">
      <c r="A47" s="37"/>
      <c r="B47" s="37"/>
      <c r="C47" s="31"/>
      <c r="D47" s="68"/>
      <c r="E47" s="56"/>
      <c r="F47" s="56"/>
      <c r="G47" s="56"/>
      <c r="H47" s="69"/>
      <c r="I47" s="57"/>
      <c r="J47" s="57"/>
      <c r="K47" s="57"/>
      <c r="L47" s="57"/>
      <c r="M47" s="57"/>
      <c r="N47" s="57"/>
      <c r="O47" s="56"/>
      <c r="P47" s="57"/>
      <c r="Q47" s="57"/>
      <c r="R47" s="66"/>
      <c r="S47" s="57"/>
      <c r="T47" s="57"/>
      <c r="U47" s="57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ht="12.75">
      <c r="A48" s="37"/>
      <c r="B48" s="37"/>
      <c r="C48" s="31"/>
      <c r="D48" s="68"/>
      <c r="E48" s="56"/>
      <c r="F48" s="56"/>
      <c r="G48" s="56"/>
      <c r="H48" s="69"/>
      <c r="I48" s="57"/>
      <c r="J48" s="57"/>
      <c r="K48" s="57"/>
      <c r="L48" s="57"/>
      <c r="M48" s="57"/>
      <c r="N48" s="57"/>
      <c r="O48" s="56"/>
      <c r="P48" s="57"/>
      <c r="Q48" s="57"/>
      <c r="R48" s="66"/>
      <c r="S48" s="57"/>
      <c r="T48" s="57"/>
      <c r="U48" s="57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ht="12.75">
      <c r="A49" s="37"/>
      <c r="B49" s="37" t="s">
        <v>0</v>
      </c>
      <c r="C49" s="31"/>
      <c r="D49" s="37"/>
      <c r="E49" s="56"/>
      <c r="F49" s="56"/>
      <c r="G49" s="56"/>
      <c r="H49" s="69"/>
      <c r="I49" s="57"/>
      <c r="J49" s="57"/>
      <c r="K49" s="57"/>
      <c r="L49" s="57"/>
      <c r="M49" s="57"/>
      <c r="N49" s="57"/>
      <c r="O49" s="31" t="s">
        <v>0</v>
      </c>
      <c r="P49" s="57"/>
      <c r="Q49" s="37" t="s">
        <v>0</v>
      </c>
      <c r="R49" s="66"/>
      <c r="S49" s="57" t="s">
        <v>9</v>
      </c>
      <c r="T49" s="57"/>
      <c r="U49" s="57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ht="13.5" thickBot="1">
      <c r="A50" s="14"/>
      <c r="B50" s="22" t="s">
        <v>0</v>
      </c>
      <c r="C50" s="35" t="s">
        <v>0</v>
      </c>
      <c r="D50" s="61"/>
      <c r="E50" s="14"/>
      <c r="F50" s="14"/>
      <c r="G50" s="14"/>
      <c r="H50" s="70"/>
      <c r="I50" s="14"/>
      <c r="J50" s="14"/>
      <c r="K50" s="14"/>
      <c r="L50" s="14"/>
      <c r="M50" s="14"/>
      <c r="N50" s="22"/>
      <c r="O50" s="30" t="s">
        <v>0</v>
      </c>
      <c r="P50" s="14"/>
      <c r="Q50" s="22" t="s">
        <v>0</v>
      </c>
      <c r="R50" s="35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ht="12.75">
      <c r="A51" s="11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7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ht="12.75">
      <c r="A52" s="106" t="s">
        <v>113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8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ht="12.75">
      <c r="A53" s="106" t="s">
        <v>177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8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ht="12.75">
      <c r="A54" s="83"/>
      <c r="B54" s="21"/>
      <c r="C54" s="6"/>
      <c r="D54" s="63" t="s">
        <v>0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6"/>
      <c r="P54" s="21"/>
      <c r="Q54" s="21"/>
      <c r="R54" s="6"/>
      <c r="S54" s="21"/>
      <c r="T54" s="21"/>
      <c r="U54" s="8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ht="12.75">
      <c r="A55" s="85"/>
      <c r="B55" s="21"/>
      <c r="C55" s="20" t="s">
        <v>0</v>
      </c>
      <c r="D55" s="63"/>
      <c r="E55" s="67" t="s">
        <v>0</v>
      </c>
      <c r="F55" s="67"/>
      <c r="G55" s="9" t="s">
        <v>11</v>
      </c>
      <c r="H55" s="9" t="s">
        <v>19</v>
      </c>
      <c r="I55" s="19" t="s">
        <v>40</v>
      </c>
      <c r="J55" s="21"/>
      <c r="K55" s="21"/>
      <c r="L55" s="21"/>
      <c r="M55" s="21"/>
      <c r="N55" s="21"/>
      <c r="O55" s="6"/>
      <c r="P55" s="21"/>
      <c r="Q55" s="21"/>
      <c r="R55" s="6"/>
      <c r="S55" s="21"/>
      <c r="T55" s="21"/>
      <c r="U55" s="8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ht="12.75">
      <c r="A56" s="85"/>
      <c r="B56" s="67" t="s">
        <v>2</v>
      </c>
      <c r="C56" s="9" t="s">
        <v>1</v>
      </c>
      <c r="D56" s="62" t="s">
        <v>2</v>
      </c>
      <c r="E56" s="9" t="s">
        <v>39</v>
      </c>
      <c r="F56" s="71" t="s">
        <v>10</v>
      </c>
      <c r="G56" s="9" t="s">
        <v>12</v>
      </c>
      <c r="H56" s="67" t="s">
        <v>39</v>
      </c>
      <c r="I56" s="19" t="s">
        <v>10</v>
      </c>
      <c r="J56" s="71"/>
      <c r="K56" s="21"/>
      <c r="L56" s="21"/>
      <c r="M56" s="21"/>
      <c r="N56" s="67" t="s">
        <v>39</v>
      </c>
      <c r="O56" s="9" t="s">
        <v>10</v>
      </c>
      <c r="P56" s="67" t="s">
        <v>43</v>
      </c>
      <c r="Q56" s="67" t="s">
        <v>111</v>
      </c>
      <c r="R56" s="9" t="s">
        <v>43</v>
      </c>
      <c r="S56" s="67" t="s">
        <v>110</v>
      </c>
      <c r="T56" s="67"/>
      <c r="U56" s="94" t="s">
        <v>38</v>
      </c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ht="12.75">
      <c r="A57" s="93" t="s">
        <v>5</v>
      </c>
      <c r="B57" s="67" t="s">
        <v>3</v>
      </c>
      <c r="C57" s="9" t="s">
        <v>6</v>
      </c>
      <c r="D57" s="62" t="s">
        <v>4</v>
      </c>
      <c r="E57" s="9" t="s">
        <v>0</v>
      </c>
      <c r="F57" s="15"/>
      <c r="G57" s="6"/>
      <c r="H57" s="6"/>
      <c r="I57" s="8"/>
      <c r="J57" s="8"/>
      <c r="K57" s="21"/>
      <c r="L57" s="21"/>
      <c r="M57" s="21"/>
      <c r="N57" s="21"/>
      <c r="O57" s="9"/>
      <c r="P57" s="67"/>
      <c r="Q57" s="67"/>
      <c r="R57" s="9"/>
      <c r="S57" s="67" t="s">
        <v>42</v>
      </c>
      <c r="T57" s="67"/>
      <c r="U57" s="9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ht="12.75">
      <c r="A58" s="85"/>
      <c r="B58" s="67"/>
      <c r="C58" s="9" t="s">
        <v>0</v>
      </c>
      <c r="D58" s="62"/>
      <c r="E58" s="9" t="s">
        <v>0</v>
      </c>
      <c r="F58" s="9" t="s">
        <v>0</v>
      </c>
      <c r="G58" s="6"/>
      <c r="H58" s="8"/>
      <c r="I58" s="8"/>
      <c r="J58" s="8"/>
      <c r="K58" s="21"/>
      <c r="L58" s="21"/>
      <c r="M58" s="21"/>
      <c r="N58" s="21"/>
      <c r="O58" s="8" t="s">
        <v>0</v>
      </c>
      <c r="P58" s="21"/>
      <c r="Q58" s="21"/>
      <c r="R58" s="6"/>
      <c r="S58" s="21"/>
      <c r="T58" s="21"/>
      <c r="U58" s="8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12.75">
      <c r="A59" s="85"/>
      <c r="B59" s="3"/>
      <c r="C59" s="8" t="s">
        <v>0</v>
      </c>
      <c r="D59" s="15"/>
      <c r="E59" s="6" t="s">
        <v>0</v>
      </c>
      <c r="F59" s="8" t="s">
        <v>0</v>
      </c>
      <c r="G59" s="6"/>
      <c r="H59" s="8"/>
      <c r="I59" s="8"/>
      <c r="J59" s="6"/>
      <c r="K59" s="21"/>
      <c r="L59" s="21"/>
      <c r="M59" s="21"/>
      <c r="N59" s="21"/>
      <c r="O59" s="8" t="s">
        <v>0</v>
      </c>
      <c r="P59" s="21"/>
      <c r="Q59" s="21"/>
      <c r="R59" s="8"/>
      <c r="S59" s="21"/>
      <c r="T59" s="21"/>
      <c r="U59" s="8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ht="12.75">
      <c r="A60" s="83" t="s">
        <v>20</v>
      </c>
      <c r="B60" s="19">
        <f>+B61+B108+B128+B138</f>
        <v>6219268811</v>
      </c>
      <c r="C60" s="19">
        <f aca="true" t="shared" si="19" ref="C60:Q60">+C61+C108+C128+C138</f>
        <v>656593556</v>
      </c>
      <c r="D60" s="19">
        <f>+D61+D108+D128+D138</f>
        <v>6865822367</v>
      </c>
      <c r="E60" s="19" t="e">
        <f t="shared" si="19"/>
        <v>#VALUE!</v>
      </c>
      <c r="F60" s="19">
        <f t="shared" si="19"/>
        <v>236541033</v>
      </c>
      <c r="G60" s="19">
        <f t="shared" si="19"/>
        <v>34153307</v>
      </c>
      <c r="H60" s="19" t="e">
        <f t="shared" si="19"/>
        <v>#VALUE!</v>
      </c>
      <c r="I60" s="19">
        <f t="shared" si="19"/>
        <v>2864.27689334737</v>
      </c>
      <c r="J60" s="19">
        <f t="shared" si="19"/>
        <v>0</v>
      </c>
      <c r="K60" s="19">
        <f t="shared" si="19"/>
        <v>0</v>
      </c>
      <c r="L60" s="19">
        <f t="shared" si="19"/>
        <v>0</v>
      </c>
      <c r="M60" s="19">
        <f t="shared" si="19"/>
        <v>0</v>
      </c>
      <c r="N60" s="19">
        <f t="shared" si="19"/>
        <v>4484758578</v>
      </c>
      <c r="O60" s="75">
        <f t="shared" si="19"/>
        <v>4258584520</v>
      </c>
      <c r="P60" s="19">
        <f t="shared" si="19"/>
        <v>12162527</v>
      </c>
      <c r="Q60" s="19">
        <f t="shared" si="19"/>
        <v>3430005028</v>
      </c>
      <c r="R60" s="19">
        <f>+R61+R108+R128+R138</f>
        <v>3372403694</v>
      </c>
      <c r="S60" s="19">
        <f>+S61+S108+S128+S138+S142</f>
        <v>2569696486</v>
      </c>
      <c r="T60" s="19">
        <f>+T61+T108+T128+T138+T142</f>
        <v>14648</v>
      </c>
      <c r="U60" s="84">
        <f aca="true" t="shared" si="20" ref="U60:U129">+O60/D60*100</f>
        <v>62.02584763142912</v>
      </c>
      <c r="V60" s="14">
        <f>+Q60-R60</f>
        <v>57601334</v>
      </c>
      <c r="W60" s="1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ht="12.75">
      <c r="A61" s="83" t="s">
        <v>7</v>
      </c>
      <c r="B61" s="19">
        <f>+B62+B84</f>
        <v>509780883</v>
      </c>
      <c r="C61" s="19">
        <f aca="true" t="shared" si="21" ref="C61:T61">+C62+C84</f>
        <v>21600000</v>
      </c>
      <c r="D61" s="19">
        <f t="shared" si="21"/>
        <v>531380883</v>
      </c>
      <c r="E61" s="19" t="e">
        <f t="shared" si="21"/>
        <v>#VALUE!</v>
      </c>
      <c r="F61" s="19">
        <f t="shared" si="21"/>
        <v>236541033</v>
      </c>
      <c r="G61" s="19">
        <f t="shared" si="21"/>
        <v>34153307</v>
      </c>
      <c r="H61" s="19" t="e">
        <f t="shared" si="21"/>
        <v>#VALUE!</v>
      </c>
      <c r="I61" s="19">
        <f t="shared" si="21"/>
        <v>2864.27689334737</v>
      </c>
      <c r="J61" s="19">
        <f t="shared" si="21"/>
        <v>0</v>
      </c>
      <c r="K61" s="19">
        <f t="shared" si="21"/>
        <v>0</v>
      </c>
      <c r="L61" s="19">
        <f t="shared" si="21"/>
        <v>0</v>
      </c>
      <c r="M61" s="19">
        <f t="shared" si="21"/>
        <v>0</v>
      </c>
      <c r="N61" s="19">
        <f>+N62+N84</f>
        <v>124617719</v>
      </c>
      <c r="O61" s="19">
        <f t="shared" si="21"/>
        <v>124530781</v>
      </c>
      <c r="P61" s="19">
        <f t="shared" si="21"/>
        <v>12162527</v>
      </c>
      <c r="Q61" s="19">
        <f t="shared" si="21"/>
        <v>124530781</v>
      </c>
      <c r="R61" s="19">
        <f t="shared" si="21"/>
        <v>99694203</v>
      </c>
      <c r="S61" s="19">
        <f t="shared" si="21"/>
        <v>407079156</v>
      </c>
      <c r="T61" s="19">
        <f t="shared" si="21"/>
        <v>14648</v>
      </c>
      <c r="U61" s="84">
        <f t="shared" si="20"/>
        <v>23.435314476678304</v>
      </c>
      <c r="V61" s="14">
        <f aca="true" t="shared" si="22" ref="V61:V75">+Q61-R61</f>
        <v>24836578</v>
      </c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ht="12.75">
      <c r="A62" s="81" t="s">
        <v>114</v>
      </c>
      <c r="B62" s="21">
        <f>+B63+B68+B76</f>
        <v>484704292</v>
      </c>
      <c r="C62" s="21">
        <f aca="true" t="shared" si="23" ref="C62:T62">+C63+C68+C76</f>
        <v>0</v>
      </c>
      <c r="D62" s="21">
        <f>+D63+D68+D76</f>
        <v>484704292</v>
      </c>
      <c r="E62" s="21" t="e">
        <f t="shared" si="23"/>
        <v>#VALUE!</v>
      </c>
      <c r="F62" s="21">
        <f t="shared" si="23"/>
        <v>190648202</v>
      </c>
      <c r="G62" s="21">
        <f t="shared" si="23"/>
        <v>66089272</v>
      </c>
      <c r="H62" s="21" t="e">
        <f t="shared" si="23"/>
        <v>#VALUE!</v>
      </c>
      <c r="I62" s="21">
        <f t="shared" si="23"/>
        <v>508.81709771876433</v>
      </c>
      <c r="J62" s="21">
        <f t="shared" si="23"/>
        <v>0</v>
      </c>
      <c r="K62" s="21">
        <f t="shared" si="23"/>
        <v>0</v>
      </c>
      <c r="L62" s="21">
        <f t="shared" si="23"/>
        <v>0</v>
      </c>
      <c r="M62" s="21">
        <f t="shared" si="23"/>
        <v>0</v>
      </c>
      <c r="N62" s="21">
        <f t="shared" si="23"/>
        <v>89730474</v>
      </c>
      <c r="O62" s="21">
        <f t="shared" si="23"/>
        <v>89657523</v>
      </c>
      <c r="P62" s="21">
        <f t="shared" si="23"/>
        <v>5592768</v>
      </c>
      <c r="Q62" s="21">
        <f t="shared" si="23"/>
        <v>89657523</v>
      </c>
      <c r="R62" s="21">
        <f t="shared" si="23"/>
        <v>68517653</v>
      </c>
      <c r="S62" s="21">
        <f t="shared" si="23"/>
        <v>395046769</v>
      </c>
      <c r="T62" s="21">
        <f t="shared" si="23"/>
        <v>0</v>
      </c>
      <c r="U62" s="84">
        <f t="shared" si="20"/>
        <v>18.497365193539487</v>
      </c>
      <c r="V62" s="14">
        <f t="shared" si="22"/>
        <v>21139870</v>
      </c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ht="12.75">
      <c r="A63" s="81" t="s">
        <v>115</v>
      </c>
      <c r="B63" s="21">
        <f>+B64</f>
        <v>28324238</v>
      </c>
      <c r="C63" s="21">
        <f aca="true" t="shared" si="24" ref="C63:T64">+C64</f>
        <v>0</v>
      </c>
      <c r="D63" s="21">
        <f t="shared" si="24"/>
        <v>28324238</v>
      </c>
      <c r="E63" s="21">
        <f t="shared" si="24"/>
        <v>39833700</v>
      </c>
      <c r="F63" s="21">
        <f t="shared" si="24"/>
        <v>39833700</v>
      </c>
      <c r="G63" s="21">
        <f t="shared" si="24"/>
        <v>-11509462</v>
      </c>
      <c r="H63" s="21">
        <f t="shared" si="24"/>
        <v>308.81709771876433</v>
      </c>
      <c r="I63" s="21">
        <f t="shared" si="24"/>
        <v>308.81709771876433</v>
      </c>
      <c r="J63" s="21">
        <f t="shared" si="24"/>
        <v>0</v>
      </c>
      <c r="K63" s="21">
        <f t="shared" si="24"/>
        <v>0</v>
      </c>
      <c r="L63" s="21">
        <f t="shared" si="24"/>
        <v>0</v>
      </c>
      <c r="M63" s="21">
        <f t="shared" si="24"/>
        <v>0</v>
      </c>
      <c r="N63" s="21">
        <f t="shared" si="24"/>
        <v>5603364</v>
      </c>
      <c r="O63" s="21">
        <f t="shared" si="24"/>
        <v>5592768</v>
      </c>
      <c r="P63" s="21">
        <f t="shared" si="24"/>
        <v>5592768</v>
      </c>
      <c r="Q63" s="21">
        <f t="shared" si="24"/>
        <v>5592768</v>
      </c>
      <c r="R63" s="21">
        <f t="shared" si="24"/>
        <v>5222862</v>
      </c>
      <c r="S63" s="21">
        <f t="shared" si="24"/>
        <v>22731470</v>
      </c>
      <c r="T63" s="21">
        <f t="shared" si="24"/>
        <v>0</v>
      </c>
      <c r="U63" s="84">
        <f t="shared" si="20"/>
        <v>19.745519720601134</v>
      </c>
      <c r="V63" s="14">
        <f t="shared" si="22"/>
        <v>369906</v>
      </c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ht="12.75">
      <c r="A64" s="83" t="s">
        <v>116</v>
      </c>
      <c r="B64" s="75">
        <f>+B65</f>
        <v>28324238</v>
      </c>
      <c r="C64" s="75">
        <f t="shared" si="24"/>
        <v>0</v>
      </c>
      <c r="D64" s="75">
        <f t="shared" si="24"/>
        <v>28324238</v>
      </c>
      <c r="E64" s="75">
        <f t="shared" si="24"/>
        <v>39833700</v>
      </c>
      <c r="F64" s="75">
        <f t="shared" si="24"/>
        <v>39833700</v>
      </c>
      <c r="G64" s="75">
        <f t="shared" si="24"/>
        <v>-11509462</v>
      </c>
      <c r="H64" s="75">
        <f t="shared" si="24"/>
        <v>308.81709771876433</v>
      </c>
      <c r="I64" s="75">
        <f t="shared" si="24"/>
        <v>308.81709771876433</v>
      </c>
      <c r="J64" s="75">
        <f t="shared" si="24"/>
        <v>0</v>
      </c>
      <c r="K64" s="75">
        <f t="shared" si="24"/>
        <v>0</v>
      </c>
      <c r="L64" s="75">
        <f t="shared" si="24"/>
        <v>0</v>
      </c>
      <c r="M64" s="75">
        <f t="shared" si="24"/>
        <v>0</v>
      </c>
      <c r="N64" s="75">
        <f t="shared" si="24"/>
        <v>5603364</v>
      </c>
      <c r="O64" s="75">
        <f t="shared" si="24"/>
        <v>5592768</v>
      </c>
      <c r="P64" s="75">
        <f t="shared" si="24"/>
        <v>5592768</v>
      </c>
      <c r="Q64" s="75">
        <f t="shared" si="24"/>
        <v>5592768</v>
      </c>
      <c r="R64" s="75">
        <f t="shared" si="24"/>
        <v>5222862</v>
      </c>
      <c r="S64" s="75">
        <f t="shared" si="24"/>
        <v>22731470</v>
      </c>
      <c r="T64" s="75">
        <f t="shared" si="24"/>
        <v>0</v>
      </c>
      <c r="U64" s="84">
        <f t="shared" si="20"/>
        <v>19.745519720601134</v>
      </c>
      <c r="V64" s="14">
        <f t="shared" si="22"/>
        <v>369906</v>
      </c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ht="12.75">
      <c r="A65" s="83" t="s">
        <v>121</v>
      </c>
      <c r="B65" s="19">
        <f>+B66+B67</f>
        <v>28324238</v>
      </c>
      <c r="C65" s="19">
        <f aca="true" t="shared" si="25" ref="C65:T65">+C66+C67</f>
        <v>0</v>
      </c>
      <c r="D65" s="19">
        <f t="shared" si="25"/>
        <v>28324238</v>
      </c>
      <c r="E65" s="19">
        <f t="shared" si="25"/>
        <v>39833700</v>
      </c>
      <c r="F65" s="19">
        <f t="shared" si="25"/>
        <v>39833700</v>
      </c>
      <c r="G65" s="19">
        <f t="shared" si="25"/>
        <v>-11509462</v>
      </c>
      <c r="H65" s="19">
        <f t="shared" si="25"/>
        <v>308.81709771876433</v>
      </c>
      <c r="I65" s="19">
        <f t="shared" si="25"/>
        <v>308.81709771876433</v>
      </c>
      <c r="J65" s="19">
        <f t="shared" si="25"/>
        <v>0</v>
      </c>
      <c r="K65" s="19">
        <f t="shared" si="25"/>
        <v>0</v>
      </c>
      <c r="L65" s="19">
        <f t="shared" si="25"/>
        <v>0</v>
      </c>
      <c r="M65" s="19">
        <f t="shared" si="25"/>
        <v>0</v>
      </c>
      <c r="N65" s="19">
        <f>+N66+N67</f>
        <v>5603364</v>
      </c>
      <c r="O65" s="19">
        <f t="shared" si="25"/>
        <v>5592768</v>
      </c>
      <c r="P65" s="19">
        <f t="shared" si="25"/>
        <v>5592768</v>
      </c>
      <c r="Q65" s="19">
        <f t="shared" si="25"/>
        <v>5592768</v>
      </c>
      <c r="R65" s="19">
        <f t="shared" si="25"/>
        <v>5222862</v>
      </c>
      <c r="S65" s="19">
        <f t="shared" si="25"/>
        <v>22731470</v>
      </c>
      <c r="T65" s="19">
        <f t="shared" si="25"/>
        <v>0</v>
      </c>
      <c r="U65" s="84">
        <f t="shared" si="20"/>
        <v>19.745519720601134</v>
      </c>
      <c r="V65" s="14">
        <f t="shared" si="22"/>
        <v>369906</v>
      </c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ht="12.75">
      <c r="A66" s="85" t="s">
        <v>122</v>
      </c>
      <c r="B66" s="21">
        <v>19176236</v>
      </c>
      <c r="C66" s="6">
        <v>0</v>
      </c>
      <c r="D66" s="63">
        <f>+B66+C66</f>
        <v>19176236</v>
      </c>
      <c r="E66" s="20">
        <v>22149500</v>
      </c>
      <c r="F66" s="20">
        <v>22149500</v>
      </c>
      <c r="G66" s="6">
        <f aca="true" t="shared" si="26" ref="G66:G72">+D66-E66</f>
        <v>-2973264</v>
      </c>
      <c r="H66" s="20">
        <f aca="true" t="shared" si="27" ref="H66:H72">+E66/D66*100</f>
        <v>115.50494059418126</v>
      </c>
      <c r="I66" s="20">
        <f aca="true" t="shared" si="28" ref="I66:I72">+F66/D66*100</f>
        <v>115.50494059418126</v>
      </c>
      <c r="J66" s="6"/>
      <c r="K66" s="21"/>
      <c r="L66" s="21"/>
      <c r="M66" s="21"/>
      <c r="N66" s="21">
        <v>2279714</v>
      </c>
      <c r="O66" s="6">
        <v>2279714</v>
      </c>
      <c r="P66" s="21">
        <f>+O66</f>
        <v>2279714</v>
      </c>
      <c r="Q66" s="6">
        <v>2279714</v>
      </c>
      <c r="R66" s="6">
        <f>+Q66</f>
        <v>2279714</v>
      </c>
      <c r="S66" s="21">
        <f>+D66-O66</f>
        <v>16896522</v>
      </c>
      <c r="T66" s="21"/>
      <c r="U66" s="84">
        <f t="shared" si="20"/>
        <v>11.888224571287086</v>
      </c>
      <c r="V66" s="14">
        <f t="shared" si="22"/>
        <v>0</v>
      </c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ht="12.75">
      <c r="A67" s="85" t="s">
        <v>123</v>
      </c>
      <c r="B67" s="21">
        <f>6922650+2225352</f>
        <v>9148002</v>
      </c>
      <c r="C67" s="6">
        <v>0</v>
      </c>
      <c r="D67" s="63">
        <f>+B67+C67</f>
        <v>9148002</v>
      </c>
      <c r="E67" s="20">
        <v>17684200</v>
      </c>
      <c r="F67" s="20">
        <v>17684200</v>
      </c>
      <c r="G67" s="6">
        <f t="shared" si="26"/>
        <v>-8536198</v>
      </c>
      <c r="H67" s="20">
        <f t="shared" si="27"/>
        <v>193.31215712458305</v>
      </c>
      <c r="I67" s="20">
        <f t="shared" si="28"/>
        <v>193.31215712458305</v>
      </c>
      <c r="J67" s="6"/>
      <c r="K67" s="21"/>
      <c r="L67" s="21"/>
      <c r="M67" s="21"/>
      <c r="N67" s="21">
        <f>3314534+9116</f>
        <v>3323650</v>
      </c>
      <c r="O67" s="8">
        <v>3313054</v>
      </c>
      <c r="P67" s="21">
        <f>+O67</f>
        <v>3313054</v>
      </c>
      <c r="Q67" s="6">
        <f>+O67</f>
        <v>3313054</v>
      </c>
      <c r="R67" s="6">
        <v>2943148</v>
      </c>
      <c r="S67" s="21">
        <f>+D67-O67</f>
        <v>5834948</v>
      </c>
      <c r="T67" s="21"/>
      <c r="U67" s="84">
        <f t="shared" si="20"/>
        <v>36.21614861911924</v>
      </c>
      <c r="V67" s="14">
        <f t="shared" si="22"/>
        <v>369906</v>
      </c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ht="12.75">
      <c r="A68" s="83" t="s">
        <v>124</v>
      </c>
      <c r="B68" s="75">
        <f>+B69+B70+B71+B72+B73+B74+B75</f>
        <v>288640472</v>
      </c>
      <c r="C68" s="75">
        <f aca="true" t="shared" si="29" ref="C68:S68">+C69+C70+C71+C72+C73+C74+C75</f>
        <v>0</v>
      </c>
      <c r="D68" s="75">
        <f t="shared" si="29"/>
        <v>288640472</v>
      </c>
      <c r="E68" s="75" t="e">
        <f t="shared" si="29"/>
        <v>#VALUE!</v>
      </c>
      <c r="F68" s="75">
        <f t="shared" si="29"/>
        <v>150814502</v>
      </c>
      <c r="G68" s="75">
        <f t="shared" si="29"/>
        <v>77598734</v>
      </c>
      <c r="H68" s="75" t="e">
        <f t="shared" si="29"/>
        <v>#VALUE!</v>
      </c>
      <c r="I68" s="75">
        <f t="shared" si="29"/>
        <v>200</v>
      </c>
      <c r="J68" s="75">
        <f t="shared" si="29"/>
        <v>0</v>
      </c>
      <c r="K68" s="75">
        <f t="shared" si="29"/>
        <v>0</v>
      </c>
      <c r="L68" s="75">
        <f t="shared" si="29"/>
        <v>0</v>
      </c>
      <c r="M68" s="75">
        <f t="shared" si="29"/>
        <v>0</v>
      </c>
      <c r="N68" s="75">
        <f>+N69+N70+N71+N72+N73+N74+N75</f>
        <v>17161343</v>
      </c>
      <c r="O68" s="75">
        <f t="shared" si="29"/>
        <v>17117304</v>
      </c>
      <c r="P68" s="75">
        <f t="shared" si="29"/>
        <v>0</v>
      </c>
      <c r="Q68" s="75">
        <f t="shared" si="29"/>
        <v>17117304</v>
      </c>
      <c r="R68" s="75">
        <f t="shared" si="29"/>
        <v>17079223</v>
      </c>
      <c r="S68" s="75">
        <f t="shared" si="29"/>
        <v>271523168</v>
      </c>
      <c r="T68" s="75">
        <f>+T69+T70+T71+T72+T73+T74+T75</f>
        <v>0</v>
      </c>
      <c r="U68" s="84">
        <f t="shared" si="20"/>
        <v>5.930320125030838</v>
      </c>
      <c r="V68" s="14">
        <f t="shared" si="22"/>
        <v>38081</v>
      </c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ht="12.75">
      <c r="A69" s="85" t="s">
        <v>125</v>
      </c>
      <c r="B69" s="21">
        <f>1152210+59746942</f>
        <v>60899152</v>
      </c>
      <c r="C69" s="6">
        <v>0</v>
      </c>
      <c r="D69" s="15">
        <f aca="true" t="shared" si="30" ref="D69:D75">+B69+C69</f>
        <v>60899152</v>
      </c>
      <c r="E69" s="20">
        <f>+D69</f>
        <v>60899152</v>
      </c>
      <c r="F69" s="20">
        <f>+E69</f>
        <v>60899152</v>
      </c>
      <c r="G69" s="6">
        <f t="shared" si="26"/>
        <v>0</v>
      </c>
      <c r="H69" s="20">
        <f t="shared" si="27"/>
        <v>100</v>
      </c>
      <c r="I69" s="20">
        <f t="shared" si="28"/>
        <v>100</v>
      </c>
      <c r="J69" s="6"/>
      <c r="K69" s="21"/>
      <c r="L69" s="21"/>
      <c r="M69" s="21"/>
      <c r="N69" s="21">
        <f>17636+8036</f>
        <v>25672</v>
      </c>
      <c r="O69" s="6">
        <v>0</v>
      </c>
      <c r="P69" s="21">
        <f>+O69</f>
        <v>0</v>
      </c>
      <c r="Q69" s="6">
        <v>0</v>
      </c>
      <c r="R69" s="6">
        <f>+Q69</f>
        <v>0</v>
      </c>
      <c r="S69" s="21">
        <f aca="true" t="shared" si="31" ref="S69:S75">+D69-O69</f>
        <v>60899152</v>
      </c>
      <c r="T69" s="21"/>
      <c r="U69" s="84">
        <f t="shared" si="20"/>
        <v>0</v>
      </c>
      <c r="V69" s="14">
        <f t="shared" si="22"/>
        <v>0</v>
      </c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ht="12.75">
      <c r="A70" s="85" t="s">
        <v>126</v>
      </c>
      <c r="B70" s="21">
        <f>88531834+1383516</f>
        <v>89915350</v>
      </c>
      <c r="C70" s="6">
        <v>0</v>
      </c>
      <c r="D70" s="63">
        <f t="shared" si="30"/>
        <v>89915350</v>
      </c>
      <c r="E70" s="20">
        <f>+D70</f>
        <v>89915350</v>
      </c>
      <c r="F70" s="20">
        <f>+E70</f>
        <v>89915350</v>
      </c>
      <c r="G70" s="6">
        <f t="shared" si="26"/>
        <v>0</v>
      </c>
      <c r="H70" s="20">
        <f t="shared" si="27"/>
        <v>100</v>
      </c>
      <c r="I70" s="20">
        <f t="shared" si="28"/>
        <v>100</v>
      </c>
      <c r="J70" s="6"/>
      <c r="K70" s="21"/>
      <c r="L70" s="21"/>
      <c r="M70" s="21"/>
      <c r="N70" s="21">
        <v>0</v>
      </c>
      <c r="O70" s="6">
        <v>0</v>
      </c>
      <c r="P70" s="21">
        <f>+O70</f>
        <v>0</v>
      </c>
      <c r="Q70" s="6">
        <f>+O70</f>
        <v>0</v>
      </c>
      <c r="R70" s="6">
        <f>+P70</f>
        <v>0</v>
      </c>
      <c r="S70" s="21">
        <f t="shared" si="31"/>
        <v>89915350</v>
      </c>
      <c r="T70" s="21"/>
      <c r="U70" s="84">
        <f t="shared" si="20"/>
        <v>0</v>
      </c>
      <c r="V70" s="14">
        <f t="shared" si="22"/>
        <v>0</v>
      </c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ht="12.75">
      <c r="A71" s="85" t="s">
        <v>127</v>
      </c>
      <c r="B71" s="21">
        <v>44447900</v>
      </c>
      <c r="C71" s="6">
        <v>0</v>
      </c>
      <c r="D71" s="63">
        <f t="shared" si="30"/>
        <v>44447900</v>
      </c>
      <c r="E71" s="20">
        <f>+E72</f>
        <v>0</v>
      </c>
      <c r="F71" s="20">
        <f>+F72</f>
        <v>0</v>
      </c>
      <c r="G71" s="6">
        <f t="shared" si="26"/>
        <v>44447900</v>
      </c>
      <c r="H71" s="20">
        <f t="shared" si="27"/>
        <v>0</v>
      </c>
      <c r="I71" s="20">
        <f t="shared" si="28"/>
        <v>0</v>
      </c>
      <c r="J71" s="6"/>
      <c r="K71" s="21"/>
      <c r="L71" s="21"/>
      <c r="M71" s="21"/>
      <c r="N71" s="21">
        <v>9558218</v>
      </c>
      <c r="O71" s="6">
        <f>+N71</f>
        <v>9558218</v>
      </c>
      <c r="P71" s="21">
        <f>+P72</f>
        <v>0</v>
      </c>
      <c r="Q71" s="6">
        <f>+O71</f>
        <v>9558218</v>
      </c>
      <c r="R71" s="6">
        <v>9520137</v>
      </c>
      <c r="S71" s="21">
        <f t="shared" si="31"/>
        <v>34889682</v>
      </c>
      <c r="T71" s="21"/>
      <c r="U71" s="84">
        <f t="shared" si="20"/>
        <v>21.504318539233573</v>
      </c>
      <c r="V71" s="14">
        <f t="shared" si="22"/>
        <v>38081</v>
      </c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ht="12.75">
      <c r="A72" s="85" t="s">
        <v>128</v>
      </c>
      <c r="B72" s="21">
        <v>33150834</v>
      </c>
      <c r="C72" s="6">
        <v>0</v>
      </c>
      <c r="D72" s="63">
        <f t="shared" si="30"/>
        <v>33150834</v>
      </c>
      <c r="E72" s="20">
        <v>0</v>
      </c>
      <c r="F72" s="20">
        <v>0</v>
      </c>
      <c r="G72" s="6">
        <f t="shared" si="26"/>
        <v>33150834</v>
      </c>
      <c r="H72" s="20">
        <f t="shared" si="27"/>
        <v>0</v>
      </c>
      <c r="I72" s="20">
        <f t="shared" si="28"/>
        <v>0</v>
      </c>
      <c r="J72" s="6"/>
      <c r="K72" s="21"/>
      <c r="L72" s="21"/>
      <c r="M72" s="21"/>
      <c r="N72" s="21">
        <v>2783188</v>
      </c>
      <c r="O72" s="6">
        <v>2775710</v>
      </c>
      <c r="P72" s="21">
        <v>0</v>
      </c>
      <c r="Q72" s="6">
        <v>2775710</v>
      </c>
      <c r="R72" s="6">
        <f>+Q72</f>
        <v>2775710</v>
      </c>
      <c r="S72" s="21">
        <f t="shared" si="31"/>
        <v>30375124</v>
      </c>
      <c r="T72" s="21"/>
      <c r="U72" s="84">
        <f t="shared" si="20"/>
        <v>8.372971853438136</v>
      </c>
      <c r="V72" s="14">
        <f t="shared" si="22"/>
        <v>0</v>
      </c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ht="25.5">
      <c r="A73" s="86" t="s">
        <v>129</v>
      </c>
      <c r="B73" s="3">
        <f>9670380+4235438</f>
        <v>13905818</v>
      </c>
      <c r="C73" s="6">
        <v>0</v>
      </c>
      <c r="D73" s="63">
        <f>+B73+C73</f>
        <v>13905818</v>
      </c>
      <c r="E73" s="20" t="s">
        <v>0</v>
      </c>
      <c r="F73" s="20"/>
      <c r="G73" s="6"/>
      <c r="H73" s="20" t="s">
        <v>0</v>
      </c>
      <c r="I73" s="6"/>
      <c r="J73" s="6"/>
      <c r="K73" s="21"/>
      <c r="L73" s="21"/>
      <c r="M73" s="21"/>
      <c r="N73" s="21">
        <v>4794265</v>
      </c>
      <c r="O73" s="6">
        <v>4783376</v>
      </c>
      <c r="P73" s="21"/>
      <c r="Q73" s="21">
        <v>4783376</v>
      </c>
      <c r="R73" s="6">
        <f>+Q73</f>
        <v>4783376</v>
      </c>
      <c r="S73" s="21">
        <f t="shared" si="31"/>
        <v>9122442</v>
      </c>
      <c r="T73" s="21"/>
      <c r="U73" s="84">
        <f t="shared" si="20"/>
        <v>34.39837915324363</v>
      </c>
      <c r="V73" s="14">
        <f t="shared" si="22"/>
        <v>0</v>
      </c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ht="12.75">
      <c r="A74" s="85" t="s">
        <v>130</v>
      </c>
      <c r="B74" s="3">
        <v>26490750</v>
      </c>
      <c r="C74" s="6">
        <v>0</v>
      </c>
      <c r="D74" s="63">
        <f t="shared" si="30"/>
        <v>26490750</v>
      </c>
      <c r="E74" s="21"/>
      <c r="F74" s="21"/>
      <c r="G74" s="21"/>
      <c r="H74" s="21"/>
      <c r="I74" s="21"/>
      <c r="J74" s="21"/>
      <c r="K74" s="21"/>
      <c r="L74" s="21"/>
      <c r="M74" s="21"/>
      <c r="N74" s="21">
        <v>0</v>
      </c>
      <c r="O74" s="8">
        <v>0</v>
      </c>
      <c r="P74" s="21"/>
      <c r="Q74" s="21">
        <v>0</v>
      </c>
      <c r="R74" s="6">
        <v>0</v>
      </c>
      <c r="S74" s="21">
        <f t="shared" si="31"/>
        <v>26490750</v>
      </c>
      <c r="T74" s="21"/>
      <c r="U74" s="84">
        <f t="shared" si="20"/>
        <v>0</v>
      </c>
      <c r="V74" s="14">
        <f t="shared" si="22"/>
        <v>0</v>
      </c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ht="12.75">
      <c r="A75" s="85" t="s">
        <v>131</v>
      </c>
      <c r="B75" s="3">
        <v>19830668</v>
      </c>
      <c r="C75" s="6">
        <v>0</v>
      </c>
      <c r="D75" s="63">
        <f t="shared" si="30"/>
        <v>19830668</v>
      </c>
      <c r="E75" s="21"/>
      <c r="F75" s="21"/>
      <c r="G75" s="21"/>
      <c r="H75" s="21"/>
      <c r="I75" s="21"/>
      <c r="J75" s="21"/>
      <c r="K75" s="21"/>
      <c r="L75" s="21"/>
      <c r="M75" s="21"/>
      <c r="N75" s="21">
        <v>0</v>
      </c>
      <c r="O75" s="8">
        <v>0</v>
      </c>
      <c r="P75" s="3"/>
      <c r="Q75" s="3">
        <v>0</v>
      </c>
      <c r="R75" s="8">
        <v>0</v>
      </c>
      <c r="S75" s="21">
        <f t="shared" si="31"/>
        <v>19830668</v>
      </c>
      <c r="T75" s="21"/>
      <c r="U75" s="84">
        <f t="shared" si="20"/>
        <v>0</v>
      </c>
      <c r="V75" s="14">
        <f t="shared" si="22"/>
        <v>0</v>
      </c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ht="25.5">
      <c r="A76" s="87" t="s">
        <v>147</v>
      </c>
      <c r="B76" s="75">
        <f>+B77+B81+B82+B83</f>
        <v>167739582</v>
      </c>
      <c r="C76" s="75">
        <f aca="true" t="shared" si="32" ref="C76:S76">+C77+C81+C82+C83</f>
        <v>0</v>
      </c>
      <c r="D76" s="75">
        <f t="shared" si="32"/>
        <v>167739582</v>
      </c>
      <c r="E76" s="75">
        <f t="shared" si="32"/>
        <v>0</v>
      </c>
      <c r="F76" s="75">
        <f t="shared" si="32"/>
        <v>0</v>
      </c>
      <c r="G76" s="75">
        <f t="shared" si="32"/>
        <v>0</v>
      </c>
      <c r="H76" s="75">
        <f t="shared" si="32"/>
        <v>0</v>
      </c>
      <c r="I76" s="75">
        <f t="shared" si="32"/>
        <v>0</v>
      </c>
      <c r="J76" s="75">
        <f t="shared" si="32"/>
        <v>0</v>
      </c>
      <c r="K76" s="75">
        <f t="shared" si="32"/>
        <v>0</v>
      </c>
      <c r="L76" s="75">
        <f t="shared" si="32"/>
        <v>0</v>
      </c>
      <c r="M76" s="75">
        <f t="shared" si="32"/>
        <v>0</v>
      </c>
      <c r="N76" s="75">
        <f t="shared" si="32"/>
        <v>66965767</v>
      </c>
      <c r="O76" s="75">
        <f t="shared" si="32"/>
        <v>66947451</v>
      </c>
      <c r="P76" s="75">
        <f t="shared" si="32"/>
        <v>0</v>
      </c>
      <c r="Q76" s="75">
        <f t="shared" si="32"/>
        <v>66947451</v>
      </c>
      <c r="R76" s="75">
        <f t="shared" si="32"/>
        <v>46215568</v>
      </c>
      <c r="S76" s="75">
        <f t="shared" si="32"/>
        <v>100792131</v>
      </c>
      <c r="T76" s="75">
        <f>+T77+T81+T82+T83</f>
        <v>0</v>
      </c>
      <c r="U76" s="84">
        <f t="shared" si="20"/>
        <v>39.91154037810825</v>
      </c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ht="12.75">
      <c r="A77" s="87" t="s">
        <v>173</v>
      </c>
      <c r="B77" s="19">
        <f>+B78+B79+B80</f>
        <v>87123960</v>
      </c>
      <c r="C77" s="19">
        <f aca="true" t="shared" si="33" ref="C77:T77">+C78+C79+C80</f>
        <v>0</v>
      </c>
      <c r="D77" s="19">
        <f>+D78+D79+D80</f>
        <v>87123960</v>
      </c>
      <c r="E77" s="19">
        <f t="shared" si="33"/>
        <v>0</v>
      </c>
      <c r="F77" s="19">
        <f t="shared" si="33"/>
        <v>0</v>
      </c>
      <c r="G77" s="19">
        <f t="shared" si="33"/>
        <v>0</v>
      </c>
      <c r="H77" s="19">
        <f t="shared" si="33"/>
        <v>0</v>
      </c>
      <c r="I77" s="19">
        <f t="shared" si="33"/>
        <v>0</v>
      </c>
      <c r="J77" s="19">
        <f t="shared" si="33"/>
        <v>0</v>
      </c>
      <c r="K77" s="19">
        <f t="shared" si="33"/>
        <v>0</v>
      </c>
      <c r="L77" s="19">
        <f t="shared" si="33"/>
        <v>0</v>
      </c>
      <c r="M77" s="19">
        <f t="shared" si="33"/>
        <v>0</v>
      </c>
      <c r="N77" s="19">
        <f>+N78+N79+N80</f>
        <v>11369326</v>
      </c>
      <c r="O77" s="19">
        <f t="shared" si="33"/>
        <v>11367100</v>
      </c>
      <c r="P77" s="19">
        <f t="shared" si="33"/>
        <v>0</v>
      </c>
      <c r="Q77" s="19">
        <f t="shared" si="33"/>
        <v>11367100</v>
      </c>
      <c r="R77" s="19">
        <f t="shared" si="33"/>
        <v>11251847</v>
      </c>
      <c r="S77" s="19">
        <f t="shared" si="33"/>
        <v>75756860</v>
      </c>
      <c r="T77" s="19">
        <f t="shared" si="33"/>
        <v>0</v>
      </c>
      <c r="U77" s="84">
        <f t="shared" si="20"/>
        <v>13.047042397980993</v>
      </c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ht="12.75">
      <c r="A78" s="85" t="s">
        <v>133</v>
      </c>
      <c r="B78" s="3">
        <v>63090303</v>
      </c>
      <c r="C78" s="6">
        <v>0</v>
      </c>
      <c r="D78" s="15">
        <f aca="true" t="shared" si="34" ref="D78:D83">+B78+C78</f>
        <v>63090303</v>
      </c>
      <c r="E78" s="21"/>
      <c r="F78" s="21"/>
      <c r="G78" s="21"/>
      <c r="H78" s="21"/>
      <c r="I78" s="21"/>
      <c r="J78" s="21"/>
      <c r="K78" s="21"/>
      <c r="L78" s="21"/>
      <c r="M78" s="21"/>
      <c r="N78" s="21">
        <v>1477380</v>
      </c>
      <c r="O78" s="6">
        <f>+N78</f>
        <v>1477380</v>
      </c>
      <c r="P78" s="21"/>
      <c r="Q78" s="3">
        <f>+O78</f>
        <v>1477380</v>
      </c>
      <c r="R78" s="6">
        <f>+Q78</f>
        <v>1477380</v>
      </c>
      <c r="S78" s="21">
        <f aca="true" t="shared" si="35" ref="S78:S83">+D78-O78</f>
        <v>61612923</v>
      </c>
      <c r="T78" s="21"/>
      <c r="U78" s="84">
        <f t="shared" si="20"/>
        <v>2.341691083651952</v>
      </c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41" ht="12.75">
      <c r="A79" s="81" t="s">
        <v>134</v>
      </c>
      <c r="B79" s="3">
        <v>15080161</v>
      </c>
      <c r="C79" s="6">
        <v>0</v>
      </c>
      <c r="D79" s="15">
        <f>+B79</f>
        <v>15080161</v>
      </c>
      <c r="E79" s="21"/>
      <c r="F79" s="21"/>
      <c r="G79" s="21"/>
      <c r="H79" s="21"/>
      <c r="I79" s="21"/>
      <c r="J79" s="21"/>
      <c r="K79" s="21"/>
      <c r="L79" s="21"/>
      <c r="M79" s="21"/>
      <c r="N79" s="21">
        <v>6988193</v>
      </c>
      <c r="O79" s="6">
        <v>6987920</v>
      </c>
      <c r="P79" s="21"/>
      <c r="Q79" s="3">
        <f>+O79</f>
        <v>6987920</v>
      </c>
      <c r="R79" s="6">
        <v>6919680</v>
      </c>
      <c r="S79" s="21">
        <f t="shared" si="35"/>
        <v>8092241</v>
      </c>
      <c r="T79" s="21"/>
      <c r="U79" s="84">
        <f t="shared" si="20"/>
        <v>46.33849731445175</v>
      </c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</row>
    <row r="80" spans="1:41" ht="12.75">
      <c r="A80" s="81" t="s">
        <v>174</v>
      </c>
      <c r="B80" s="3">
        <f>8459978+493518</f>
        <v>8953496</v>
      </c>
      <c r="C80" s="6">
        <v>0</v>
      </c>
      <c r="D80" s="15">
        <f>+B80+C80</f>
        <v>8953496</v>
      </c>
      <c r="E80" s="21"/>
      <c r="F80" s="21"/>
      <c r="G80" s="21"/>
      <c r="H80" s="21"/>
      <c r="I80" s="21"/>
      <c r="J80" s="21"/>
      <c r="K80" s="21"/>
      <c r="L80" s="21"/>
      <c r="M80" s="21"/>
      <c r="N80" s="21">
        <v>2903753</v>
      </c>
      <c r="O80" s="6">
        <v>2901800</v>
      </c>
      <c r="P80" s="21"/>
      <c r="Q80" s="3">
        <v>2901800</v>
      </c>
      <c r="R80" s="6">
        <v>2854787</v>
      </c>
      <c r="S80" s="21">
        <f t="shared" si="35"/>
        <v>6051696</v>
      </c>
      <c r="T80" s="21"/>
      <c r="U80" s="84">
        <f t="shared" si="20"/>
        <v>32.40968667434486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</row>
    <row r="81" spans="1:41" ht="12.75">
      <c r="A81" s="85" t="s">
        <v>135</v>
      </c>
      <c r="B81" s="21">
        <v>57221107</v>
      </c>
      <c r="C81" s="6">
        <v>0</v>
      </c>
      <c r="D81" s="63">
        <f t="shared" si="34"/>
        <v>57221107</v>
      </c>
      <c r="E81" s="21"/>
      <c r="F81" s="21"/>
      <c r="G81" s="21"/>
      <c r="H81" s="21"/>
      <c r="I81" s="21"/>
      <c r="J81" s="21"/>
      <c r="K81" s="21"/>
      <c r="L81" s="21"/>
      <c r="M81" s="21"/>
      <c r="N81" s="21">
        <v>40571401</v>
      </c>
      <c r="O81" s="6">
        <v>40561128</v>
      </c>
      <c r="P81" s="21"/>
      <c r="Q81" s="3">
        <f>+O81</f>
        <v>40561128</v>
      </c>
      <c r="R81" s="6">
        <v>20883958</v>
      </c>
      <c r="S81" s="21">
        <f t="shared" si="35"/>
        <v>16659979</v>
      </c>
      <c r="T81" s="21"/>
      <c r="U81" s="84">
        <f t="shared" si="20"/>
        <v>70.884906158841</v>
      </c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</row>
    <row r="82" spans="1:41" ht="12.75">
      <c r="A82" s="81" t="s">
        <v>143</v>
      </c>
      <c r="B82" s="21">
        <v>1221018</v>
      </c>
      <c r="C82" s="6">
        <v>0</v>
      </c>
      <c r="D82" s="63">
        <f t="shared" si="34"/>
        <v>1221018</v>
      </c>
      <c r="E82" s="21"/>
      <c r="F82" s="21"/>
      <c r="G82" s="21"/>
      <c r="H82" s="21"/>
      <c r="I82" s="21"/>
      <c r="J82" s="21"/>
      <c r="K82" s="21"/>
      <c r="L82" s="21"/>
      <c r="M82" s="21"/>
      <c r="N82" s="21">
        <v>1221018</v>
      </c>
      <c r="O82" s="6">
        <v>1220894</v>
      </c>
      <c r="P82" s="21"/>
      <c r="Q82" s="3">
        <v>1220894</v>
      </c>
      <c r="R82" s="6">
        <v>1189960</v>
      </c>
      <c r="S82" s="21">
        <f t="shared" si="35"/>
        <v>124</v>
      </c>
      <c r="T82" s="21"/>
      <c r="U82" s="84">
        <f t="shared" si="20"/>
        <v>99.98984453955634</v>
      </c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</row>
    <row r="83" spans="1:41" ht="12.75">
      <c r="A83" s="81" t="s">
        <v>144</v>
      </c>
      <c r="B83" s="21">
        <v>22173497</v>
      </c>
      <c r="C83" s="6">
        <v>0</v>
      </c>
      <c r="D83" s="63">
        <f t="shared" si="34"/>
        <v>22173497</v>
      </c>
      <c r="E83" s="21"/>
      <c r="F83" s="21"/>
      <c r="G83" s="21"/>
      <c r="H83" s="21"/>
      <c r="I83" s="21"/>
      <c r="J83" s="21"/>
      <c r="K83" s="21"/>
      <c r="L83" s="21"/>
      <c r="M83" s="21"/>
      <c r="N83" s="21">
        <v>13804022</v>
      </c>
      <c r="O83" s="6">
        <v>13798329</v>
      </c>
      <c r="P83" s="21"/>
      <c r="Q83" s="3">
        <v>13798329</v>
      </c>
      <c r="R83" s="6">
        <v>12889803</v>
      </c>
      <c r="S83" s="21">
        <f t="shared" si="35"/>
        <v>8375168</v>
      </c>
      <c r="T83" s="21"/>
      <c r="U83" s="84">
        <f t="shared" si="20"/>
        <v>62.228925820767024</v>
      </c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</row>
    <row r="84" spans="1:41" ht="12.75">
      <c r="A84" s="83" t="s">
        <v>145</v>
      </c>
      <c r="B84" s="75">
        <f>+B85+B95+B103</f>
        <v>25076591</v>
      </c>
      <c r="C84" s="75">
        <f aca="true" t="shared" si="36" ref="C84:S84">+C85+C95+C103</f>
        <v>21600000</v>
      </c>
      <c r="D84" s="75">
        <f t="shared" si="36"/>
        <v>46676591</v>
      </c>
      <c r="E84" s="75" t="e">
        <f t="shared" si="36"/>
        <v>#VALUE!</v>
      </c>
      <c r="F84" s="75">
        <f t="shared" si="36"/>
        <v>45892831</v>
      </c>
      <c r="G84" s="75">
        <f t="shared" si="36"/>
        <v>-31935965</v>
      </c>
      <c r="H84" s="75" t="e">
        <f t="shared" si="36"/>
        <v>#VALUE!</v>
      </c>
      <c r="I84" s="75">
        <f t="shared" si="36"/>
        <v>2355.4597956286057</v>
      </c>
      <c r="J84" s="75">
        <f t="shared" si="36"/>
        <v>0</v>
      </c>
      <c r="K84" s="75">
        <f t="shared" si="36"/>
        <v>0</v>
      </c>
      <c r="L84" s="75">
        <f t="shared" si="36"/>
        <v>0</v>
      </c>
      <c r="M84" s="75">
        <f t="shared" si="36"/>
        <v>0</v>
      </c>
      <c r="N84" s="75">
        <f t="shared" si="36"/>
        <v>34887245</v>
      </c>
      <c r="O84" s="75">
        <f t="shared" si="36"/>
        <v>34873258</v>
      </c>
      <c r="P84" s="75">
        <f t="shared" si="36"/>
        <v>6569759</v>
      </c>
      <c r="Q84" s="75">
        <f t="shared" si="36"/>
        <v>34873258</v>
      </c>
      <c r="R84" s="75">
        <f t="shared" si="36"/>
        <v>31176550</v>
      </c>
      <c r="S84" s="75">
        <f t="shared" si="36"/>
        <v>12032387</v>
      </c>
      <c r="T84" s="75">
        <f>+T85+T95+T103</f>
        <v>14648</v>
      </c>
      <c r="U84" s="84">
        <f t="shared" si="20"/>
        <v>74.71252131502062</v>
      </c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</row>
    <row r="85" spans="1:41" ht="12.75">
      <c r="A85" s="81" t="s">
        <v>115</v>
      </c>
      <c r="B85" s="21">
        <f>+B86+B92</f>
        <v>16983130</v>
      </c>
      <c r="C85" s="21">
        <f>+C86+C92</f>
        <v>14839845</v>
      </c>
      <c r="D85" s="21">
        <f>+D86+D92</f>
        <v>31822975</v>
      </c>
      <c r="E85" s="21">
        <f aca="true" t="shared" si="37" ref="E85:S85">+E86+E92</f>
        <v>39833700</v>
      </c>
      <c r="F85" s="21">
        <f t="shared" si="37"/>
        <v>39833700</v>
      </c>
      <c r="G85" s="21">
        <f t="shared" si="37"/>
        <v>-35827468</v>
      </c>
      <c r="H85" s="21">
        <f t="shared" si="37"/>
        <v>2155.4597956286057</v>
      </c>
      <c r="I85" s="21">
        <f t="shared" si="37"/>
        <v>2155.4597956286057</v>
      </c>
      <c r="J85" s="21">
        <f t="shared" si="37"/>
        <v>0</v>
      </c>
      <c r="K85" s="21">
        <f t="shared" si="37"/>
        <v>0</v>
      </c>
      <c r="L85" s="21">
        <f t="shared" si="37"/>
        <v>0</v>
      </c>
      <c r="M85" s="21">
        <f t="shared" si="37"/>
        <v>0</v>
      </c>
      <c r="N85" s="21">
        <f t="shared" si="37"/>
        <v>25016962</v>
      </c>
      <c r="O85" s="21">
        <f t="shared" si="37"/>
        <v>25011076</v>
      </c>
      <c r="P85" s="21">
        <f t="shared" si="37"/>
        <v>2321016</v>
      </c>
      <c r="Q85" s="21">
        <f t="shared" si="37"/>
        <v>25011076</v>
      </c>
      <c r="R85" s="21">
        <f t="shared" si="37"/>
        <v>21314368</v>
      </c>
      <c r="S85" s="21">
        <f t="shared" si="37"/>
        <v>7040953</v>
      </c>
      <c r="T85" s="21">
        <f>+T86+T92</f>
        <v>0</v>
      </c>
      <c r="U85" s="84">
        <f t="shared" si="20"/>
        <v>78.59439917229611</v>
      </c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</row>
    <row r="86" spans="1:41" ht="12.75">
      <c r="A86" s="81" t="s">
        <v>116</v>
      </c>
      <c r="B86" s="21">
        <f>+B87+B88+B89+B90+B91</f>
        <v>14935792</v>
      </c>
      <c r="C86" s="21">
        <f aca="true" t="shared" si="38" ref="C86:S86">+C87+C88+C89+C90+C91</f>
        <v>12880951</v>
      </c>
      <c r="D86" s="21">
        <f t="shared" si="38"/>
        <v>27816743</v>
      </c>
      <c r="E86" s="21">
        <f t="shared" si="38"/>
        <v>0</v>
      </c>
      <c r="F86" s="21">
        <f t="shared" si="38"/>
        <v>0</v>
      </c>
      <c r="G86" s="21">
        <f t="shared" si="38"/>
        <v>0</v>
      </c>
      <c r="H86" s="21">
        <f t="shared" si="38"/>
        <v>0</v>
      </c>
      <c r="I86" s="21">
        <f t="shared" si="38"/>
        <v>0</v>
      </c>
      <c r="J86" s="21">
        <f t="shared" si="38"/>
        <v>0</v>
      </c>
      <c r="K86" s="21">
        <f t="shared" si="38"/>
        <v>0</v>
      </c>
      <c r="L86" s="21">
        <f t="shared" si="38"/>
        <v>0</v>
      </c>
      <c r="M86" s="21">
        <f t="shared" si="38"/>
        <v>0</v>
      </c>
      <c r="N86" s="21">
        <f t="shared" si="38"/>
        <v>22695946</v>
      </c>
      <c r="O86" s="21">
        <f t="shared" si="38"/>
        <v>22690060</v>
      </c>
      <c r="P86" s="21">
        <f t="shared" si="38"/>
        <v>0</v>
      </c>
      <c r="Q86" s="21">
        <f t="shared" si="38"/>
        <v>22690060</v>
      </c>
      <c r="R86" s="21">
        <f t="shared" si="38"/>
        <v>18993352</v>
      </c>
      <c r="S86" s="21">
        <f t="shared" si="38"/>
        <v>5355737</v>
      </c>
      <c r="T86" s="21">
        <f>+T87+T88+T89+T90+T91</f>
        <v>0</v>
      </c>
      <c r="U86" s="84">
        <f t="shared" si="20"/>
        <v>81.56979413441753</v>
      </c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</row>
    <row r="87" spans="1:41" ht="12.75">
      <c r="A87" s="81" t="s">
        <v>112</v>
      </c>
      <c r="B87" s="21">
        <v>13643498</v>
      </c>
      <c r="C87" s="6">
        <v>11175283</v>
      </c>
      <c r="D87" s="63">
        <f>+B87+C87</f>
        <v>24818781</v>
      </c>
      <c r="E87" s="21"/>
      <c r="F87" s="21"/>
      <c r="G87" s="21"/>
      <c r="H87" s="21"/>
      <c r="I87" s="21"/>
      <c r="J87" s="21"/>
      <c r="K87" s="21"/>
      <c r="L87" s="21"/>
      <c r="M87" s="21"/>
      <c r="N87" s="21">
        <v>20979480</v>
      </c>
      <c r="O87" s="6">
        <v>20973594</v>
      </c>
      <c r="P87" s="21"/>
      <c r="Q87" s="3">
        <v>20973594</v>
      </c>
      <c r="R87" s="6">
        <v>17276886</v>
      </c>
      <c r="S87" s="21">
        <f>+D87-O87</f>
        <v>3845187</v>
      </c>
      <c r="T87" s="21"/>
      <c r="U87" s="84">
        <f t="shared" si="20"/>
        <v>84.50694657404809</v>
      </c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</row>
    <row r="88" spans="1:41" ht="12.75">
      <c r="A88" s="81" t="s">
        <v>117</v>
      </c>
      <c r="B88" s="21">
        <v>50818</v>
      </c>
      <c r="C88" s="6">
        <v>229526</v>
      </c>
      <c r="D88" s="63">
        <f>+B88+C88</f>
        <v>280344</v>
      </c>
      <c r="E88" s="21"/>
      <c r="F88" s="21"/>
      <c r="G88" s="21"/>
      <c r="H88" s="21"/>
      <c r="I88" s="21"/>
      <c r="J88" s="21"/>
      <c r="K88" s="21"/>
      <c r="L88" s="21"/>
      <c r="M88" s="21"/>
      <c r="N88" s="21">
        <v>148210</v>
      </c>
      <c r="O88" s="6">
        <f>+N88</f>
        <v>148210</v>
      </c>
      <c r="P88" s="21"/>
      <c r="Q88" s="3">
        <v>148210</v>
      </c>
      <c r="R88" s="6">
        <f>+Q88</f>
        <v>148210</v>
      </c>
      <c r="S88" s="21">
        <f>+D88-O88</f>
        <v>132134</v>
      </c>
      <c r="T88" s="21"/>
      <c r="U88" s="84">
        <f t="shared" si="20"/>
        <v>52.86719173586736</v>
      </c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</row>
    <row r="89" spans="1:41" ht="12.75">
      <c r="A89" s="81" t="s">
        <v>118</v>
      </c>
      <c r="B89" s="21">
        <v>81842</v>
      </c>
      <c r="C89" s="6">
        <v>369664</v>
      </c>
      <c r="D89" s="63">
        <f>+B89+C89</f>
        <v>451506</v>
      </c>
      <c r="E89" s="21"/>
      <c r="F89" s="21"/>
      <c r="G89" s="21"/>
      <c r="H89" s="21"/>
      <c r="I89" s="21"/>
      <c r="J89" s="21"/>
      <c r="K89" s="21"/>
      <c r="L89" s="21"/>
      <c r="M89" s="21"/>
      <c r="N89" s="21">
        <v>238697</v>
      </c>
      <c r="O89" s="6">
        <f>+N89</f>
        <v>238697</v>
      </c>
      <c r="P89" s="21"/>
      <c r="Q89" s="3">
        <v>238697</v>
      </c>
      <c r="R89" s="6">
        <v>238697</v>
      </c>
      <c r="S89" s="21">
        <f>+D89-O89</f>
        <v>212809</v>
      </c>
      <c r="T89" s="21"/>
      <c r="U89" s="84">
        <f t="shared" si="20"/>
        <v>52.866850052933955</v>
      </c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</row>
    <row r="90" spans="1:41" ht="12.75">
      <c r="A90" s="81" t="s">
        <v>119</v>
      </c>
      <c r="B90" s="21">
        <v>679217</v>
      </c>
      <c r="C90" s="6">
        <v>631625</v>
      </c>
      <c r="D90" s="63">
        <f>+B90+C90</f>
        <v>1310842</v>
      </c>
      <c r="E90" s="21"/>
      <c r="F90" s="21"/>
      <c r="G90" s="21"/>
      <c r="H90" s="21"/>
      <c r="I90" s="21"/>
      <c r="J90" s="21"/>
      <c r="K90" s="21"/>
      <c r="L90" s="21"/>
      <c r="M90" s="21"/>
      <c r="N90" s="21">
        <v>769948</v>
      </c>
      <c r="O90" s="6">
        <f>+N90</f>
        <v>769948</v>
      </c>
      <c r="P90" s="21"/>
      <c r="Q90" s="3">
        <f>+O90</f>
        <v>769948</v>
      </c>
      <c r="R90" s="6">
        <f>+Q90</f>
        <v>769948</v>
      </c>
      <c r="S90" s="21">
        <f>+R90</f>
        <v>769948</v>
      </c>
      <c r="T90" s="21"/>
      <c r="U90" s="84">
        <f t="shared" si="20"/>
        <v>58.73690345594663</v>
      </c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</row>
    <row r="91" spans="1:41" ht="12.75">
      <c r="A91" s="81" t="s">
        <v>120</v>
      </c>
      <c r="B91" s="21">
        <v>480417</v>
      </c>
      <c r="C91" s="6">
        <v>474853</v>
      </c>
      <c r="D91" s="63">
        <f>+B91+C91</f>
        <v>955270</v>
      </c>
      <c r="E91" s="21"/>
      <c r="F91" s="21"/>
      <c r="G91" s="21"/>
      <c r="H91" s="21"/>
      <c r="I91" s="21"/>
      <c r="J91" s="21"/>
      <c r="K91" s="21"/>
      <c r="L91" s="21"/>
      <c r="M91" s="21"/>
      <c r="N91" s="21">
        <v>559611</v>
      </c>
      <c r="O91" s="6">
        <f>+N91</f>
        <v>559611</v>
      </c>
      <c r="P91" s="21"/>
      <c r="Q91" s="3">
        <f>+O91</f>
        <v>559611</v>
      </c>
      <c r="R91" s="6">
        <f>+Q91</f>
        <v>559611</v>
      </c>
      <c r="S91" s="21">
        <f>+D91-O91</f>
        <v>395659</v>
      </c>
      <c r="T91" s="21"/>
      <c r="U91" s="84">
        <f t="shared" si="20"/>
        <v>58.581448176955206</v>
      </c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</row>
    <row r="92" spans="1:41" ht="12.75">
      <c r="A92" s="83" t="s">
        <v>121</v>
      </c>
      <c r="B92" s="75">
        <f>+B93+B94</f>
        <v>2047338</v>
      </c>
      <c r="C92" s="75">
        <f aca="true" t="shared" si="39" ref="C92:S92">+C93+C94</f>
        <v>1958894</v>
      </c>
      <c r="D92" s="75">
        <f t="shared" si="39"/>
        <v>4006232</v>
      </c>
      <c r="E92" s="75">
        <f t="shared" si="39"/>
        <v>39833700</v>
      </c>
      <c r="F92" s="75">
        <f t="shared" si="39"/>
        <v>39833700</v>
      </c>
      <c r="G92" s="75">
        <f t="shared" si="39"/>
        <v>-35827468</v>
      </c>
      <c r="H92" s="75">
        <f t="shared" si="39"/>
        <v>2155.4597956286057</v>
      </c>
      <c r="I92" s="75">
        <f t="shared" si="39"/>
        <v>2155.4597956286057</v>
      </c>
      <c r="J92" s="75">
        <f t="shared" si="39"/>
        <v>0</v>
      </c>
      <c r="K92" s="75">
        <f t="shared" si="39"/>
        <v>0</v>
      </c>
      <c r="L92" s="75">
        <f t="shared" si="39"/>
        <v>0</v>
      </c>
      <c r="M92" s="75">
        <f t="shared" si="39"/>
        <v>0</v>
      </c>
      <c r="N92" s="75">
        <f t="shared" si="39"/>
        <v>2321016</v>
      </c>
      <c r="O92" s="75">
        <f t="shared" si="39"/>
        <v>2321016</v>
      </c>
      <c r="P92" s="75">
        <f t="shared" si="39"/>
        <v>2321016</v>
      </c>
      <c r="Q92" s="75">
        <f t="shared" si="39"/>
        <v>2321016</v>
      </c>
      <c r="R92" s="75">
        <f t="shared" si="39"/>
        <v>2321016</v>
      </c>
      <c r="S92" s="75">
        <f t="shared" si="39"/>
        <v>1685216</v>
      </c>
      <c r="T92" s="75">
        <f>+T93+T94</f>
        <v>0</v>
      </c>
      <c r="U92" s="84">
        <f t="shared" si="20"/>
        <v>57.935137056466026</v>
      </c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</row>
    <row r="93" spans="1:41" ht="12.75">
      <c r="A93" s="85" t="s">
        <v>122</v>
      </c>
      <c r="B93" s="21">
        <v>1366176</v>
      </c>
      <c r="C93" s="6">
        <v>1307416</v>
      </c>
      <c r="D93" s="63">
        <f>+B93+C93</f>
        <v>2673592</v>
      </c>
      <c r="E93" s="20">
        <v>22149500</v>
      </c>
      <c r="F93" s="20">
        <v>22149500</v>
      </c>
      <c r="G93" s="6">
        <f>+D93-E93</f>
        <v>-19475908</v>
      </c>
      <c r="H93" s="20">
        <f>+E93/D93*100</f>
        <v>828.4547530064423</v>
      </c>
      <c r="I93" s="20">
        <f>+F93/D93*100</f>
        <v>828.4547530064423</v>
      </c>
      <c r="J93" s="6"/>
      <c r="K93" s="21"/>
      <c r="L93" s="21"/>
      <c r="M93" s="21"/>
      <c r="N93" s="21">
        <v>1548569</v>
      </c>
      <c r="O93" s="6">
        <v>1548569</v>
      </c>
      <c r="P93" s="21">
        <f>+O93</f>
        <v>1548569</v>
      </c>
      <c r="Q93" s="6">
        <v>1548569</v>
      </c>
      <c r="R93" s="6">
        <f>+Q93</f>
        <v>1548569</v>
      </c>
      <c r="S93" s="21">
        <f>+D93-O93</f>
        <v>1125023</v>
      </c>
      <c r="T93" s="21"/>
      <c r="U93" s="84">
        <f t="shared" si="20"/>
        <v>57.92091687886559</v>
      </c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</row>
    <row r="94" spans="1:41" ht="12.75">
      <c r="A94" s="85" t="s">
        <v>123</v>
      </c>
      <c r="B94" s="21">
        <v>681162</v>
      </c>
      <c r="C94" s="6">
        <v>651478</v>
      </c>
      <c r="D94" s="63">
        <f>+B94+C94</f>
        <v>1332640</v>
      </c>
      <c r="E94" s="20">
        <v>17684200</v>
      </c>
      <c r="F94" s="20">
        <v>17684200</v>
      </c>
      <c r="G94" s="6">
        <f>+D94-E94</f>
        <v>-16351560</v>
      </c>
      <c r="H94" s="20">
        <f>+E94/D94*100</f>
        <v>1327.0050426221635</v>
      </c>
      <c r="I94" s="20">
        <f>+F94/D94*100</f>
        <v>1327.0050426221635</v>
      </c>
      <c r="J94" s="6"/>
      <c r="K94" s="21"/>
      <c r="L94" s="21"/>
      <c r="M94" s="21"/>
      <c r="N94" s="21">
        <v>772447</v>
      </c>
      <c r="O94" s="8">
        <f>+N94</f>
        <v>772447</v>
      </c>
      <c r="P94" s="21">
        <f>+O94</f>
        <v>772447</v>
      </c>
      <c r="Q94" s="6">
        <f>+O94</f>
        <v>772447</v>
      </c>
      <c r="R94" s="6">
        <f>+Q94</f>
        <v>772447</v>
      </c>
      <c r="S94" s="21">
        <f>+D94-O94</f>
        <v>560193</v>
      </c>
      <c r="T94" s="21"/>
      <c r="U94" s="84">
        <f t="shared" si="20"/>
        <v>57.963666106375314</v>
      </c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</row>
    <row r="95" spans="1:41" ht="12.75">
      <c r="A95" s="83" t="s">
        <v>124</v>
      </c>
      <c r="B95" s="75">
        <f>+B96+B97+B98+B99+B100+B101+B102</f>
        <v>6291232</v>
      </c>
      <c r="C95" s="75">
        <f aca="true" t="shared" si="40" ref="C95:S95">+C96+C97+C98+C99+C100+C101+C102</f>
        <v>5404994</v>
      </c>
      <c r="D95" s="75">
        <f t="shared" si="40"/>
        <v>11696226</v>
      </c>
      <c r="E95" s="75" t="e">
        <f t="shared" si="40"/>
        <v>#VALUE!</v>
      </c>
      <c r="F95" s="75">
        <f t="shared" si="40"/>
        <v>6059131</v>
      </c>
      <c r="G95" s="75">
        <f t="shared" si="40"/>
        <v>3891503</v>
      </c>
      <c r="H95" s="75" t="e">
        <f t="shared" si="40"/>
        <v>#VALUE!</v>
      </c>
      <c r="I95" s="75">
        <f t="shared" si="40"/>
        <v>200</v>
      </c>
      <c r="J95" s="75">
        <f t="shared" si="40"/>
        <v>0</v>
      </c>
      <c r="K95" s="75">
        <f t="shared" si="40"/>
        <v>0</v>
      </c>
      <c r="L95" s="75">
        <f t="shared" si="40"/>
        <v>0</v>
      </c>
      <c r="M95" s="75">
        <f t="shared" si="40"/>
        <v>0</v>
      </c>
      <c r="N95" s="75">
        <f t="shared" si="40"/>
        <v>7951173</v>
      </c>
      <c r="O95" s="75">
        <f t="shared" si="40"/>
        <v>7943072</v>
      </c>
      <c r="P95" s="75">
        <f t="shared" si="40"/>
        <v>4248743</v>
      </c>
      <c r="Q95" s="75">
        <f t="shared" si="40"/>
        <v>7943072</v>
      </c>
      <c r="R95" s="75">
        <f t="shared" si="40"/>
        <v>7943072</v>
      </c>
      <c r="S95" s="75">
        <f t="shared" si="40"/>
        <v>3753154</v>
      </c>
      <c r="T95" s="75">
        <f>+T96+T97+T98+T99+T100+T101+T102</f>
        <v>14648</v>
      </c>
      <c r="U95" s="84">
        <f t="shared" si="20"/>
        <v>67.91141005654302</v>
      </c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</row>
    <row r="96" spans="1:41" ht="12.75">
      <c r="A96" s="85" t="s">
        <v>125</v>
      </c>
      <c r="B96" s="21">
        <v>1930922</v>
      </c>
      <c r="C96" s="6">
        <v>1614025</v>
      </c>
      <c r="D96" s="15">
        <f aca="true" t="shared" si="41" ref="D96:D102">+B96+C96</f>
        <v>3544947</v>
      </c>
      <c r="E96" s="20">
        <f>+D96</f>
        <v>3544947</v>
      </c>
      <c r="F96" s="20">
        <f>+E96</f>
        <v>3544947</v>
      </c>
      <c r="G96" s="6">
        <f>+D96-E96</f>
        <v>0</v>
      </c>
      <c r="H96" s="20">
        <f>+E96/D96*100</f>
        <v>100</v>
      </c>
      <c r="I96" s="20">
        <f>+F96/D96*100</f>
        <v>100</v>
      </c>
      <c r="J96" s="6"/>
      <c r="K96" s="21"/>
      <c r="L96" s="21"/>
      <c r="M96" s="21"/>
      <c r="N96" s="21">
        <v>2490170</v>
      </c>
      <c r="O96" s="6">
        <v>2486947</v>
      </c>
      <c r="P96" s="21">
        <f>+O96</f>
        <v>2486947</v>
      </c>
      <c r="Q96" s="6">
        <v>2486947</v>
      </c>
      <c r="R96" s="6">
        <v>2486947</v>
      </c>
      <c r="S96" s="21">
        <f aca="true" t="shared" si="42" ref="S96:S102">+D96-O96</f>
        <v>1058000</v>
      </c>
      <c r="T96" s="21">
        <f>2501595-2486947</f>
        <v>14648</v>
      </c>
      <c r="U96" s="84">
        <f t="shared" si="20"/>
        <v>70.15470188976028</v>
      </c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</row>
    <row r="97" spans="1:41" ht="12.75">
      <c r="A97" s="85" t="s">
        <v>126</v>
      </c>
      <c r="B97" s="21">
        <v>1375726</v>
      </c>
      <c r="C97" s="6">
        <v>1138458</v>
      </c>
      <c r="D97" s="63">
        <f t="shared" si="41"/>
        <v>2514184</v>
      </c>
      <c r="E97" s="20">
        <f>+D97</f>
        <v>2514184</v>
      </c>
      <c r="F97" s="20">
        <f>+E97</f>
        <v>2514184</v>
      </c>
      <c r="G97" s="6">
        <f>+D97-E97</f>
        <v>0</v>
      </c>
      <c r="H97" s="20">
        <f>+E97/D97*100</f>
        <v>100</v>
      </c>
      <c r="I97" s="20">
        <f>+F97/D97*100</f>
        <v>100</v>
      </c>
      <c r="J97" s="6"/>
      <c r="K97" s="21"/>
      <c r="L97" s="21"/>
      <c r="M97" s="21"/>
      <c r="N97" s="21">
        <v>1764079</v>
      </c>
      <c r="O97" s="6">
        <v>1761796</v>
      </c>
      <c r="P97" s="21">
        <f>+O97</f>
        <v>1761796</v>
      </c>
      <c r="Q97" s="6">
        <v>1761796</v>
      </c>
      <c r="R97" s="104">
        <f>+Q97</f>
        <v>1761796</v>
      </c>
      <c r="S97" s="21">
        <f t="shared" si="42"/>
        <v>752388</v>
      </c>
      <c r="T97" s="21"/>
      <c r="U97" s="84">
        <f t="shared" si="20"/>
        <v>70.07426664078683</v>
      </c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</row>
    <row r="98" spans="1:41" ht="12.75">
      <c r="A98" s="85" t="s">
        <v>127</v>
      </c>
      <c r="B98" s="21">
        <v>1373796</v>
      </c>
      <c r="C98" s="6">
        <v>1314421</v>
      </c>
      <c r="D98" s="63">
        <f t="shared" si="41"/>
        <v>2688217</v>
      </c>
      <c r="E98" s="20">
        <f>+E99</f>
        <v>0</v>
      </c>
      <c r="F98" s="20">
        <f>+F99</f>
        <v>0</v>
      </c>
      <c r="G98" s="6">
        <f>+D98-E98</f>
        <v>2688217</v>
      </c>
      <c r="H98" s="20">
        <f>+E98/D98*100</f>
        <v>0</v>
      </c>
      <c r="I98" s="20">
        <f>+F98/D98*100</f>
        <v>0</v>
      </c>
      <c r="J98" s="6"/>
      <c r="K98" s="21"/>
      <c r="L98" s="21"/>
      <c r="M98" s="21"/>
      <c r="N98" s="21">
        <v>1553887</v>
      </c>
      <c r="O98" s="6">
        <f>+N98</f>
        <v>1553887</v>
      </c>
      <c r="P98" s="21">
        <f>+P99</f>
        <v>0</v>
      </c>
      <c r="Q98" s="6">
        <f>+O98</f>
        <v>1553887</v>
      </c>
      <c r="R98" s="6">
        <v>1553887</v>
      </c>
      <c r="S98" s="21">
        <f t="shared" si="42"/>
        <v>1134330</v>
      </c>
      <c r="T98" s="21"/>
      <c r="U98" s="84">
        <f t="shared" si="20"/>
        <v>57.803629692097026</v>
      </c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</row>
    <row r="99" spans="1:41" ht="12.75">
      <c r="A99" s="85" t="s">
        <v>128</v>
      </c>
      <c r="B99" s="21">
        <v>630237</v>
      </c>
      <c r="C99" s="6">
        <v>573049</v>
      </c>
      <c r="D99" s="63">
        <f t="shared" si="41"/>
        <v>1203286</v>
      </c>
      <c r="E99" s="20">
        <v>0</v>
      </c>
      <c r="F99" s="20">
        <v>0</v>
      </c>
      <c r="G99" s="6">
        <f>+D99-E99</f>
        <v>1203286</v>
      </c>
      <c r="H99" s="20">
        <f>+E99/D99*100</f>
        <v>0</v>
      </c>
      <c r="I99" s="20">
        <f>+F99/D99*100</f>
        <v>0</v>
      </c>
      <c r="J99" s="6"/>
      <c r="K99" s="21"/>
      <c r="L99" s="21"/>
      <c r="M99" s="21"/>
      <c r="N99" s="21">
        <v>871170</v>
      </c>
      <c r="O99" s="6">
        <v>870080</v>
      </c>
      <c r="P99" s="21">
        <v>0</v>
      </c>
      <c r="Q99" s="6">
        <f>+O99</f>
        <v>870080</v>
      </c>
      <c r="R99" s="6">
        <f>+Q99</f>
        <v>870080</v>
      </c>
      <c r="S99" s="21">
        <f t="shared" si="42"/>
        <v>333206</v>
      </c>
      <c r="T99" s="21"/>
      <c r="U99" s="84">
        <f t="shared" si="20"/>
        <v>72.30866144873289</v>
      </c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</row>
    <row r="100" spans="1:41" ht="25.5">
      <c r="A100" s="86" t="s">
        <v>129</v>
      </c>
      <c r="B100" s="3">
        <v>186242</v>
      </c>
      <c r="C100" s="6">
        <v>91142</v>
      </c>
      <c r="D100" s="63">
        <f t="shared" si="41"/>
        <v>277384</v>
      </c>
      <c r="E100" s="20" t="s">
        <v>0</v>
      </c>
      <c r="F100" s="20"/>
      <c r="G100" s="6"/>
      <c r="H100" s="20" t="s">
        <v>0</v>
      </c>
      <c r="I100" s="6"/>
      <c r="J100" s="6"/>
      <c r="K100" s="21"/>
      <c r="L100" s="21"/>
      <c r="M100" s="21"/>
      <c r="N100" s="21">
        <v>182326</v>
      </c>
      <c r="O100" s="6">
        <v>182185</v>
      </c>
      <c r="P100" s="21"/>
      <c r="Q100" s="21">
        <f>+O100</f>
        <v>182185</v>
      </c>
      <c r="R100" s="6">
        <f>+Q100</f>
        <v>182185</v>
      </c>
      <c r="S100" s="21">
        <f t="shared" si="42"/>
        <v>95199</v>
      </c>
      <c r="T100" s="21"/>
      <c r="U100" s="84">
        <f t="shared" si="20"/>
        <v>65.67970755342773</v>
      </c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</row>
    <row r="101" spans="1:41" ht="12.75">
      <c r="A101" s="85" t="s">
        <v>130</v>
      </c>
      <c r="B101" s="3">
        <v>476425</v>
      </c>
      <c r="C101" s="6">
        <v>426140</v>
      </c>
      <c r="D101" s="63">
        <f t="shared" si="41"/>
        <v>902565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>
        <v>653504</v>
      </c>
      <c r="O101" s="8">
        <v>652686</v>
      </c>
      <c r="P101" s="21"/>
      <c r="Q101" s="21">
        <f>+O101</f>
        <v>652686</v>
      </c>
      <c r="R101" s="6">
        <f>+Q101</f>
        <v>652686</v>
      </c>
      <c r="S101" s="21">
        <f t="shared" si="42"/>
        <v>249879</v>
      </c>
      <c r="T101" s="21"/>
      <c r="U101" s="84">
        <f t="shared" si="20"/>
        <v>72.31457014176264</v>
      </c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</row>
    <row r="102" spans="1:41" ht="12.75">
      <c r="A102" s="81" t="s">
        <v>146</v>
      </c>
      <c r="B102" s="3">
        <v>317884</v>
      </c>
      <c r="C102" s="6">
        <v>247759</v>
      </c>
      <c r="D102" s="63">
        <f t="shared" si="41"/>
        <v>565643</v>
      </c>
      <c r="E102" s="21"/>
      <c r="F102" s="21"/>
      <c r="G102" s="21"/>
      <c r="H102" s="21"/>
      <c r="I102" s="21"/>
      <c r="J102" s="21"/>
      <c r="K102" s="21"/>
      <c r="L102" s="21"/>
      <c r="M102" s="21"/>
      <c r="N102" s="21">
        <v>436037</v>
      </c>
      <c r="O102" s="8">
        <v>435491</v>
      </c>
      <c r="P102" s="3"/>
      <c r="Q102" s="3">
        <v>435491</v>
      </c>
      <c r="R102" s="8">
        <f>+Q102</f>
        <v>435491</v>
      </c>
      <c r="S102" s="21">
        <f t="shared" si="42"/>
        <v>130152</v>
      </c>
      <c r="T102" s="21"/>
      <c r="U102" s="84">
        <f t="shared" si="20"/>
        <v>76.99043389558432</v>
      </c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</row>
    <row r="103" spans="1:41" ht="25.5">
      <c r="A103" s="87" t="s">
        <v>147</v>
      </c>
      <c r="B103" s="75">
        <f>+B104</f>
        <v>1802229</v>
      </c>
      <c r="C103" s="75">
        <f>+C104</f>
        <v>1355161</v>
      </c>
      <c r="D103" s="75">
        <f aca="true" t="shared" si="43" ref="D103:R103">+D104</f>
        <v>3157390</v>
      </c>
      <c r="E103" s="75">
        <f t="shared" si="43"/>
        <v>0</v>
      </c>
      <c r="F103" s="75">
        <f t="shared" si="43"/>
        <v>0</v>
      </c>
      <c r="G103" s="75">
        <f t="shared" si="43"/>
        <v>0</v>
      </c>
      <c r="H103" s="75">
        <f t="shared" si="43"/>
        <v>0</v>
      </c>
      <c r="I103" s="75">
        <f t="shared" si="43"/>
        <v>0</v>
      </c>
      <c r="J103" s="75">
        <f t="shared" si="43"/>
        <v>0</v>
      </c>
      <c r="K103" s="75">
        <f t="shared" si="43"/>
        <v>0</v>
      </c>
      <c r="L103" s="75">
        <f t="shared" si="43"/>
        <v>0</v>
      </c>
      <c r="M103" s="75">
        <f t="shared" si="43"/>
        <v>0</v>
      </c>
      <c r="N103" s="75">
        <f t="shared" si="43"/>
        <v>1919110</v>
      </c>
      <c r="O103" s="75">
        <f t="shared" si="43"/>
        <v>1919110</v>
      </c>
      <c r="P103" s="75">
        <f t="shared" si="43"/>
        <v>0</v>
      </c>
      <c r="Q103" s="75">
        <f t="shared" si="43"/>
        <v>1919110</v>
      </c>
      <c r="R103" s="75">
        <f t="shared" si="43"/>
        <v>1919110</v>
      </c>
      <c r="S103" s="75">
        <f>+S106+S107</f>
        <v>1238280</v>
      </c>
      <c r="T103" s="75">
        <f>+T106+T107</f>
        <v>0</v>
      </c>
      <c r="U103" s="84">
        <f t="shared" si="20"/>
        <v>60.781531581464435</v>
      </c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</row>
    <row r="104" spans="1:41" ht="12.75">
      <c r="A104" s="87" t="s">
        <v>121</v>
      </c>
      <c r="B104" s="75">
        <f>+B105+B106+B107</f>
        <v>1802229</v>
      </c>
      <c r="C104" s="75">
        <f>+C105+C106+C107</f>
        <v>1355161</v>
      </c>
      <c r="D104" s="75">
        <f aca="true" t="shared" si="44" ref="D104:R104">+D105+D106+D107</f>
        <v>3157390</v>
      </c>
      <c r="E104" s="75">
        <f t="shared" si="44"/>
        <v>0</v>
      </c>
      <c r="F104" s="75">
        <f t="shared" si="44"/>
        <v>0</v>
      </c>
      <c r="G104" s="75">
        <f t="shared" si="44"/>
        <v>0</v>
      </c>
      <c r="H104" s="75">
        <f t="shared" si="44"/>
        <v>0</v>
      </c>
      <c r="I104" s="75">
        <f t="shared" si="44"/>
        <v>0</v>
      </c>
      <c r="J104" s="75">
        <f t="shared" si="44"/>
        <v>0</v>
      </c>
      <c r="K104" s="75">
        <f t="shared" si="44"/>
        <v>0</v>
      </c>
      <c r="L104" s="75">
        <f t="shared" si="44"/>
        <v>0</v>
      </c>
      <c r="M104" s="75">
        <f t="shared" si="44"/>
        <v>0</v>
      </c>
      <c r="N104" s="75">
        <f t="shared" si="44"/>
        <v>1919110</v>
      </c>
      <c r="O104" s="75">
        <f t="shared" si="44"/>
        <v>1919110</v>
      </c>
      <c r="P104" s="75">
        <f t="shared" si="44"/>
        <v>0</v>
      </c>
      <c r="Q104" s="75">
        <f t="shared" si="44"/>
        <v>1919110</v>
      </c>
      <c r="R104" s="75">
        <f t="shared" si="44"/>
        <v>1919110</v>
      </c>
      <c r="S104" s="75"/>
      <c r="T104" s="75"/>
      <c r="U104" s="8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</row>
    <row r="105" spans="1:41" ht="12.75">
      <c r="A105" s="87" t="s">
        <v>133</v>
      </c>
      <c r="B105" s="75"/>
      <c r="C105" s="75">
        <v>0</v>
      </c>
      <c r="D105" s="75">
        <f>+C105</f>
        <v>0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8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</row>
    <row r="106" spans="1:41" ht="12.75">
      <c r="A106" s="85" t="s">
        <v>134</v>
      </c>
      <c r="B106" s="3">
        <v>1712570</v>
      </c>
      <c r="C106" s="6">
        <v>933995</v>
      </c>
      <c r="D106" s="15">
        <f>+B106+C106</f>
        <v>2646565</v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>
        <v>1815680</v>
      </c>
      <c r="O106" s="6">
        <v>1815680</v>
      </c>
      <c r="P106" s="21"/>
      <c r="Q106" s="3">
        <f>+O106</f>
        <v>1815680</v>
      </c>
      <c r="R106" s="6">
        <f>+Q106</f>
        <v>1815680</v>
      </c>
      <c r="S106" s="21">
        <f>+D106-O106</f>
        <v>830885</v>
      </c>
      <c r="T106" s="21"/>
      <c r="U106" s="84">
        <f t="shared" si="20"/>
        <v>68.60515422821658</v>
      </c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</row>
    <row r="107" spans="1:41" ht="12.75">
      <c r="A107" s="81" t="s">
        <v>148</v>
      </c>
      <c r="B107" s="3">
        <v>89659</v>
      </c>
      <c r="C107" s="6">
        <v>421166</v>
      </c>
      <c r="D107" s="15">
        <f>+B107+C107</f>
        <v>510825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>
        <v>103430</v>
      </c>
      <c r="O107" s="6">
        <f>+N107</f>
        <v>103430</v>
      </c>
      <c r="P107" s="21"/>
      <c r="Q107" s="3">
        <f>+O107</f>
        <v>103430</v>
      </c>
      <c r="R107" s="6">
        <f>+Q107</f>
        <v>103430</v>
      </c>
      <c r="S107" s="21">
        <f>+D107-O107</f>
        <v>407395</v>
      </c>
      <c r="T107" s="21"/>
      <c r="U107" s="84">
        <f t="shared" si="20"/>
        <v>20.247638623794842</v>
      </c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</row>
    <row r="108" spans="1:41" ht="12.75">
      <c r="A108" s="83" t="s">
        <v>172</v>
      </c>
      <c r="B108" s="19">
        <f>+B109+B118</f>
        <v>2107874200</v>
      </c>
      <c r="C108" s="19">
        <f>+C109+C118</f>
        <v>404164000</v>
      </c>
      <c r="D108" s="19">
        <f>+D109+D118</f>
        <v>2501998200</v>
      </c>
      <c r="E108" s="19">
        <f aca="true" t="shared" si="45" ref="E108:T108">+E109+E118</f>
        <v>0</v>
      </c>
      <c r="F108" s="19">
        <f t="shared" si="45"/>
        <v>0</v>
      </c>
      <c r="G108" s="19">
        <f t="shared" si="45"/>
        <v>0</v>
      </c>
      <c r="H108" s="19">
        <f t="shared" si="45"/>
        <v>0</v>
      </c>
      <c r="I108" s="19">
        <f t="shared" si="45"/>
        <v>0</v>
      </c>
      <c r="J108" s="19">
        <f t="shared" si="45"/>
        <v>0</v>
      </c>
      <c r="K108" s="19">
        <f t="shared" si="45"/>
        <v>0</v>
      </c>
      <c r="L108" s="19">
        <f t="shared" si="45"/>
        <v>0</v>
      </c>
      <c r="M108" s="19">
        <f t="shared" si="45"/>
        <v>0</v>
      </c>
      <c r="N108" s="19">
        <f t="shared" si="45"/>
        <v>1995201997</v>
      </c>
      <c r="O108" s="19">
        <f t="shared" si="45"/>
        <v>1769114877</v>
      </c>
      <c r="P108" s="19">
        <f t="shared" si="45"/>
        <v>0</v>
      </c>
      <c r="Q108" s="19">
        <f t="shared" si="45"/>
        <v>941804895</v>
      </c>
      <c r="R108" s="19">
        <f t="shared" si="45"/>
        <v>909041445</v>
      </c>
      <c r="S108" s="19">
        <f t="shared" si="45"/>
        <v>629441734</v>
      </c>
      <c r="T108" s="19">
        <f t="shared" si="45"/>
        <v>0</v>
      </c>
      <c r="U108" s="84">
        <f t="shared" si="20"/>
        <v>70.7080795261963</v>
      </c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</row>
    <row r="109" spans="1:41" ht="12.75">
      <c r="A109" s="83" t="s">
        <v>149</v>
      </c>
      <c r="B109" s="19">
        <f>+B110</f>
        <v>10040000</v>
      </c>
      <c r="C109" s="19">
        <f aca="true" t="shared" si="46" ref="C109:T110">+C110</f>
        <v>50620000</v>
      </c>
      <c r="D109" s="19">
        <f>+D110</f>
        <v>50620000</v>
      </c>
      <c r="E109" s="19">
        <f t="shared" si="46"/>
        <v>0</v>
      </c>
      <c r="F109" s="19">
        <f t="shared" si="46"/>
        <v>0</v>
      </c>
      <c r="G109" s="19">
        <f t="shared" si="46"/>
        <v>0</v>
      </c>
      <c r="H109" s="19">
        <f t="shared" si="46"/>
        <v>0</v>
      </c>
      <c r="I109" s="19">
        <f t="shared" si="46"/>
        <v>0</v>
      </c>
      <c r="J109" s="19">
        <f t="shared" si="46"/>
        <v>0</v>
      </c>
      <c r="K109" s="19">
        <f t="shared" si="46"/>
        <v>0</v>
      </c>
      <c r="L109" s="19">
        <f t="shared" si="46"/>
        <v>0</v>
      </c>
      <c r="M109" s="19">
        <f t="shared" si="46"/>
        <v>0</v>
      </c>
      <c r="N109" s="19">
        <f>+N110</f>
        <v>45646026</v>
      </c>
      <c r="O109" s="19">
        <f t="shared" si="46"/>
        <v>15526026</v>
      </c>
      <c r="P109" s="19">
        <f t="shared" si="46"/>
        <v>0</v>
      </c>
      <c r="Q109" s="19">
        <f t="shared" si="46"/>
        <v>15252513</v>
      </c>
      <c r="R109" s="19">
        <f t="shared" si="46"/>
        <v>15252513</v>
      </c>
      <c r="S109" s="19">
        <f t="shared" si="46"/>
        <v>15252513</v>
      </c>
      <c r="T109" s="19">
        <f t="shared" si="46"/>
        <v>0</v>
      </c>
      <c r="U109" s="84">
        <f t="shared" si="20"/>
        <v>30.671722639273014</v>
      </c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</row>
    <row r="110" spans="1:41" ht="12.75">
      <c r="A110" s="83" t="s">
        <v>150</v>
      </c>
      <c r="B110" s="21">
        <f>+B111</f>
        <v>10040000</v>
      </c>
      <c r="C110" s="21">
        <f>+C111</f>
        <v>50620000</v>
      </c>
      <c r="D110" s="21">
        <f>+D111</f>
        <v>50620000</v>
      </c>
      <c r="E110" s="21">
        <f t="shared" si="46"/>
        <v>0</v>
      </c>
      <c r="F110" s="21">
        <f t="shared" si="46"/>
        <v>0</v>
      </c>
      <c r="G110" s="21">
        <f t="shared" si="46"/>
        <v>0</v>
      </c>
      <c r="H110" s="21">
        <f t="shared" si="46"/>
        <v>0</v>
      </c>
      <c r="I110" s="21">
        <f t="shared" si="46"/>
        <v>0</v>
      </c>
      <c r="J110" s="21">
        <f t="shared" si="46"/>
        <v>0</v>
      </c>
      <c r="K110" s="21">
        <f t="shared" si="46"/>
        <v>0</v>
      </c>
      <c r="L110" s="21">
        <f t="shared" si="46"/>
        <v>0</v>
      </c>
      <c r="M110" s="21">
        <f t="shared" si="46"/>
        <v>0</v>
      </c>
      <c r="N110" s="21">
        <f>+N111</f>
        <v>45646026</v>
      </c>
      <c r="O110" s="21">
        <f t="shared" si="46"/>
        <v>15526026</v>
      </c>
      <c r="P110" s="21">
        <f t="shared" si="46"/>
        <v>0</v>
      </c>
      <c r="Q110" s="21">
        <f t="shared" si="46"/>
        <v>15252513</v>
      </c>
      <c r="R110" s="21">
        <f t="shared" si="46"/>
        <v>15252513</v>
      </c>
      <c r="S110" s="21">
        <f t="shared" si="46"/>
        <v>15252513</v>
      </c>
      <c r="T110" s="21">
        <v>0</v>
      </c>
      <c r="U110" s="84">
        <f t="shared" si="20"/>
        <v>30.671722639273014</v>
      </c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</row>
    <row r="111" spans="1:41" ht="12.75">
      <c r="A111" s="81" t="s">
        <v>151</v>
      </c>
      <c r="B111" s="3">
        <f>+B113+B114+B116</f>
        <v>10040000</v>
      </c>
      <c r="C111" s="6">
        <f>+C115+C116</f>
        <v>50620000</v>
      </c>
      <c r="D111" s="6">
        <f>+D115+D116</f>
        <v>50620000</v>
      </c>
      <c r="E111" s="6">
        <f aca="true" t="shared" si="47" ref="E111:S111">+E115+E116</f>
        <v>0</v>
      </c>
      <c r="F111" s="6">
        <f t="shared" si="47"/>
        <v>0</v>
      </c>
      <c r="G111" s="6">
        <f t="shared" si="47"/>
        <v>0</v>
      </c>
      <c r="H111" s="6">
        <f t="shared" si="47"/>
        <v>0</v>
      </c>
      <c r="I111" s="6">
        <f t="shared" si="47"/>
        <v>0</v>
      </c>
      <c r="J111" s="6">
        <f t="shared" si="47"/>
        <v>0</v>
      </c>
      <c r="K111" s="6">
        <f t="shared" si="47"/>
        <v>0</v>
      </c>
      <c r="L111" s="6">
        <f t="shared" si="47"/>
        <v>0</v>
      </c>
      <c r="M111" s="6">
        <f t="shared" si="47"/>
        <v>0</v>
      </c>
      <c r="N111" s="6">
        <f>+N115+N116</f>
        <v>45646026</v>
      </c>
      <c r="O111" s="6">
        <f t="shared" si="47"/>
        <v>15526026</v>
      </c>
      <c r="P111" s="6">
        <f t="shared" si="47"/>
        <v>0</v>
      </c>
      <c r="Q111" s="6">
        <f t="shared" si="47"/>
        <v>15252513</v>
      </c>
      <c r="R111" s="6">
        <f t="shared" si="47"/>
        <v>15252513</v>
      </c>
      <c r="S111" s="6">
        <f t="shared" si="47"/>
        <v>15252513</v>
      </c>
      <c r="T111" s="3">
        <f>5044029+10481997</f>
        <v>15526026</v>
      </c>
      <c r="U111" s="84">
        <f t="shared" si="20"/>
        <v>30.671722639273014</v>
      </c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</row>
    <row r="112" spans="1:41" ht="25.5">
      <c r="A112" s="86" t="s">
        <v>153</v>
      </c>
      <c r="B112" s="21">
        <f>+B113</f>
        <v>10040000</v>
      </c>
      <c r="C112" s="6">
        <f>+C113</f>
        <v>-10040000</v>
      </c>
      <c r="D112" s="21">
        <f>+D113</f>
        <v>0</v>
      </c>
      <c r="E112" s="21">
        <f aca="true" t="shared" si="48" ref="E112:M112">+E113</f>
        <v>0</v>
      </c>
      <c r="F112" s="21">
        <f t="shared" si="48"/>
        <v>0</v>
      </c>
      <c r="G112" s="21">
        <f t="shared" si="48"/>
        <v>0</v>
      </c>
      <c r="H112" s="21">
        <f t="shared" si="48"/>
        <v>0</v>
      </c>
      <c r="I112" s="21">
        <f t="shared" si="48"/>
        <v>0</v>
      </c>
      <c r="J112" s="21">
        <f t="shared" si="48"/>
        <v>0</v>
      </c>
      <c r="K112" s="21">
        <f t="shared" si="48"/>
        <v>0</v>
      </c>
      <c r="L112" s="21">
        <f t="shared" si="48"/>
        <v>0</v>
      </c>
      <c r="M112" s="21">
        <f t="shared" si="48"/>
        <v>0</v>
      </c>
      <c r="N112" s="21">
        <f>+N113</f>
        <v>0</v>
      </c>
      <c r="O112" s="21">
        <f aca="true" t="shared" si="49" ref="O112:T112">+O113</f>
        <v>0</v>
      </c>
      <c r="P112" s="21">
        <f t="shared" si="49"/>
        <v>0</v>
      </c>
      <c r="Q112" s="21">
        <f t="shared" si="49"/>
        <v>0</v>
      </c>
      <c r="R112" s="21">
        <f t="shared" si="49"/>
        <v>0</v>
      </c>
      <c r="S112" s="21">
        <f t="shared" si="49"/>
        <v>0</v>
      </c>
      <c r="T112" s="21">
        <f t="shared" si="49"/>
        <v>0</v>
      </c>
      <c r="U112" s="84" t="e">
        <f t="shared" si="20"/>
        <v>#DIV/0!</v>
      </c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</row>
    <row r="113" spans="1:41" ht="25.5">
      <c r="A113" s="86" t="s">
        <v>152</v>
      </c>
      <c r="B113" s="21">
        <v>10040000</v>
      </c>
      <c r="C113" s="6">
        <v>-10040000</v>
      </c>
      <c r="D113" s="63">
        <f>+B113+C113</f>
        <v>0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>
        <v>0</v>
      </c>
      <c r="O113" s="6">
        <v>0</v>
      </c>
      <c r="P113" s="6"/>
      <c r="Q113" s="6">
        <v>0</v>
      </c>
      <c r="R113" s="6">
        <v>0</v>
      </c>
      <c r="S113" s="21">
        <f>+D113-O113</f>
        <v>0</v>
      </c>
      <c r="T113" s="21"/>
      <c r="U113" s="84" t="e">
        <f t="shared" si="20"/>
        <v>#DIV/0!</v>
      </c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</row>
    <row r="114" spans="1:41" ht="12.75">
      <c r="A114" s="86" t="s">
        <v>179</v>
      </c>
      <c r="B114" s="21">
        <f>+B115</f>
        <v>0</v>
      </c>
      <c r="C114" s="6">
        <f>+C115</f>
        <v>30120000</v>
      </c>
      <c r="D114" s="63">
        <f>+D115</f>
        <v>30120000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63">
        <f aca="true" t="shared" si="50" ref="N114:U114">+N115</f>
        <v>30120000</v>
      </c>
      <c r="O114" s="63">
        <f t="shared" si="50"/>
        <v>0</v>
      </c>
      <c r="P114" s="63">
        <f t="shared" si="50"/>
        <v>0</v>
      </c>
      <c r="Q114" s="63">
        <f t="shared" si="50"/>
        <v>0</v>
      </c>
      <c r="R114" s="63">
        <f t="shared" si="50"/>
        <v>0</v>
      </c>
      <c r="S114" s="63">
        <f t="shared" si="50"/>
        <v>0</v>
      </c>
      <c r="T114" s="63">
        <f t="shared" si="50"/>
        <v>0</v>
      </c>
      <c r="U114" s="63">
        <f t="shared" si="50"/>
        <v>0</v>
      </c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</row>
    <row r="115" spans="1:41" ht="25.5">
      <c r="A115" s="86" t="s">
        <v>180</v>
      </c>
      <c r="B115" s="21"/>
      <c r="C115" s="6">
        <v>30120000</v>
      </c>
      <c r="D115" s="63">
        <f>+B115+C115</f>
        <v>30120000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>
        <v>30120000</v>
      </c>
      <c r="O115" s="6"/>
      <c r="P115" s="6"/>
      <c r="Q115" s="6"/>
      <c r="R115" s="6"/>
      <c r="S115" s="21"/>
      <c r="T115" s="21"/>
      <c r="U115" s="8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</row>
    <row r="116" spans="1:41" ht="25.5">
      <c r="A116" s="86" t="s">
        <v>181</v>
      </c>
      <c r="B116" s="21">
        <f>+B117</f>
        <v>0</v>
      </c>
      <c r="C116" s="6">
        <f>+C117</f>
        <v>20500000</v>
      </c>
      <c r="D116" s="63">
        <f>+D117</f>
        <v>20500000</v>
      </c>
      <c r="E116" s="21"/>
      <c r="F116" s="21"/>
      <c r="G116" s="21"/>
      <c r="H116" s="21"/>
      <c r="I116" s="21"/>
      <c r="J116" s="21"/>
      <c r="K116" s="21"/>
      <c r="L116" s="21"/>
      <c r="M116" s="21"/>
      <c r="N116" s="21">
        <f aca="true" t="shared" si="51" ref="N116:T116">+N117</f>
        <v>15526026</v>
      </c>
      <c r="O116" s="21">
        <f t="shared" si="51"/>
        <v>15526026</v>
      </c>
      <c r="P116" s="21">
        <f t="shared" si="51"/>
        <v>0</v>
      </c>
      <c r="Q116" s="21">
        <f t="shared" si="51"/>
        <v>15252513</v>
      </c>
      <c r="R116" s="21">
        <f t="shared" si="51"/>
        <v>15252513</v>
      </c>
      <c r="S116" s="21">
        <f t="shared" si="51"/>
        <v>15252513</v>
      </c>
      <c r="T116" s="21">
        <f t="shared" si="51"/>
        <v>0</v>
      </c>
      <c r="U116" s="8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</row>
    <row r="117" spans="1:41" ht="12.75">
      <c r="A117" s="86" t="s">
        <v>182</v>
      </c>
      <c r="B117" s="21"/>
      <c r="C117" s="6">
        <f>29000000-8500000</f>
        <v>20500000</v>
      </c>
      <c r="D117" s="63">
        <f>+C117</f>
        <v>20500000</v>
      </c>
      <c r="E117" s="21"/>
      <c r="F117" s="21"/>
      <c r="G117" s="21"/>
      <c r="H117" s="21"/>
      <c r="I117" s="21"/>
      <c r="J117" s="21"/>
      <c r="K117" s="21"/>
      <c r="L117" s="21"/>
      <c r="M117" s="21"/>
      <c r="N117" s="21">
        <v>15526026</v>
      </c>
      <c r="O117" s="6">
        <f>+N117</f>
        <v>15526026</v>
      </c>
      <c r="P117" s="6"/>
      <c r="Q117" s="6">
        <v>15252513</v>
      </c>
      <c r="R117" s="6">
        <f>+Q117</f>
        <v>15252513</v>
      </c>
      <c r="S117" s="21">
        <f>10440236+4812277</f>
        <v>15252513</v>
      </c>
      <c r="T117" s="21"/>
      <c r="U117" s="8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</row>
    <row r="118" spans="1:41" ht="12.75">
      <c r="A118" s="87" t="s">
        <v>154</v>
      </c>
      <c r="B118" s="19">
        <f>+B119+B122</f>
        <v>2097834200</v>
      </c>
      <c r="C118" s="19">
        <f aca="true" t="shared" si="52" ref="C118:S118">+C119+C122</f>
        <v>353544000</v>
      </c>
      <c r="D118" s="19">
        <f>+D119+D122</f>
        <v>2451378200</v>
      </c>
      <c r="E118" s="19">
        <f t="shared" si="52"/>
        <v>0</v>
      </c>
      <c r="F118" s="19">
        <f t="shared" si="52"/>
        <v>0</v>
      </c>
      <c r="G118" s="19">
        <f t="shared" si="52"/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19">
        <f t="shared" si="52"/>
        <v>0</v>
      </c>
      <c r="L118" s="19">
        <f t="shared" si="52"/>
        <v>0</v>
      </c>
      <c r="M118" s="19">
        <f t="shared" si="52"/>
        <v>0</v>
      </c>
      <c r="N118" s="19">
        <f t="shared" si="52"/>
        <v>1949555971</v>
      </c>
      <c r="O118" s="19">
        <f t="shared" si="52"/>
        <v>1753588851</v>
      </c>
      <c r="P118" s="19">
        <f t="shared" si="52"/>
        <v>0</v>
      </c>
      <c r="Q118" s="19">
        <f t="shared" si="52"/>
        <v>926552382</v>
      </c>
      <c r="R118" s="19">
        <f t="shared" si="52"/>
        <v>893788932</v>
      </c>
      <c r="S118" s="19">
        <f t="shared" si="52"/>
        <v>614189221</v>
      </c>
      <c r="T118" s="19"/>
      <c r="U118" s="84">
        <f t="shared" si="20"/>
        <v>71.53481461979224</v>
      </c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</row>
    <row r="119" spans="1:41" ht="12.75">
      <c r="A119" s="86" t="s">
        <v>155</v>
      </c>
      <c r="B119" s="21">
        <f>+B120+B121</f>
        <v>310739446</v>
      </c>
      <c r="C119" s="6">
        <v>-60000000</v>
      </c>
      <c r="D119" s="21">
        <f>+D120+D121</f>
        <v>250739446</v>
      </c>
      <c r="E119" s="21">
        <f aca="true" t="shared" si="53" ref="E119:T119">+E120+E121</f>
        <v>0</v>
      </c>
      <c r="F119" s="21">
        <f t="shared" si="53"/>
        <v>0</v>
      </c>
      <c r="G119" s="21">
        <f t="shared" si="53"/>
        <v>0</v>
      </c>
      <c r="H119" s="21">
        <f t="shared" si="53"/>
        <v>0</v>
      </c>
      <c r="I119" s="21">
        <f t="shared" si="53"/>
        <v>0</v>
      </c>
      <c r="J119" s="21">
        <f t="shared" si="53"/>
        <v>0</v>
      </c>
      <c r="K119" s="21">
        <f t="shared" si="53"/>
        <v>0</v>
      </c>
      <c r="L119" s="21">
        <f t="shared" si="53"/>
        <v>0</v>
      </c>
      <c r="M119" s="21">
        <f t="shared" si="53"/>
        <v>0</v>
      </c>
      <c r="N119" s="21">
        <f t="shared" si="53"/>
        <v>138642584</v>
      </c>
      <c r="O119" s="21">
        <f t="shared" si="53"/>
        <v>133968360</v>
      </c>
      <c r="P119" s="21">
        <f t="shared" si="53"/>
        <v>0</v>
      </c>
      <c r="Q119" s="21">
        <f t="shared" si="53"/>
        <v>69436766</v>
      </c>
      <c r="R119" s="21">
        <f t="shared" si="53"/>
        <v>59246767</v>
      </c>
      <c r="S119" s="21">
        <f t="shared" si="53"/>
        <v>116771086</v>
      </c>
      <c r="T119" s="21">
        <f t="shared" si="53"/>
        <v>0</v>
      </c>
      <c r="U119" s="84">
        <f t="shared" si="20"/>
        <v>53.42931163690934</v>
      </c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</row>
    <row r="120" spans="1:41" ht="12.75">
      <c r="A120" s="86" t="s">
        <v>156</v>
      </c>
      <c r="B120" s="21">
        <v>182609976</v>
      </c>
      <c r="C120" s="6">
        <v>-17000000</v>
      </c>
      <c r="D120" s="63">
        <f>+B120+C120</f>
        <v>165609976</v>
      </c>
      <c r="E120" s="21"/>
      <c r="F120" s="21"/>
      <c r="G120" s="21"/>
      <c r="H120" s="21"/>
      <c r="I120" s="21"/>
      <c r="J120" s="21"/>
      <c r="K120" s="21"/>
      <c r="L120" s="21"/>
      <c r="M120" s="21"/>
      <c r="N120" s="21">
        <v>76860066</v>
      </c>
      <c r="O120" s="6">
        <v>76860066</v>
      </c>
      <c r="P120" s="6"/>
      <c r="Q120" s="6">
        <v>45954957</v>
      </c>
      <c r="R120" s="6">
        <v>45954957</v>
      </c>
      <c r="S120" s="21">
        <f>+D120-O120</f>
        <v>88749910</v>
      </c>
      <c r="T120" s="21">
        <v>0</v>
      </c>
      <c r="U120" s="84">
        <f t="shared" si="20"/>
        <v>46.41028750586861</v>
      </c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</row>
    <row r="121" spans="1:41" ht="25.5">
      <c r="A121" s="86" t="s">
        <v>157</v>
      </c>
      <c r="B121" s="21">
        <f>124113470+4016000</f>
        <v>128129470</v>
      </c>
      <c r="C121" s="6">
        <v>-43000000</v>
      </c>
      <c r="D121" s="63">
        <f>+B121+C121</f>
        <v>85129470</v>
      </c>
      <c r="E121" s="21"/>
      <c r="F121" s="21"/>
      <c r="G121" s="21"/>
      <c r="H121" s="21"/>
      <c r="I121" s="21"/>
      <c r="J121" s="21"/>
      <c r="K121" s="21"/>
      <c r="L121" s="21"/>
      <c r="M121" s="21"/>
      <c r="N121" s="21">
        <v>61782518</v>
      </c>
      <c r="O121" s="6">
        <v>57108294</v>
      </c>
      <c r="P121" s="6"/>
      <c r="Q121" s="6">
        <v>23481809</v>
      </c>
      <c r="R121" s="6">
        <v>13291810</v>
      </c>
      <c r="S121" s="21">
        <f>+D121-O121</f>
        <v>28021176</v>
      </c>
      <c r="T121" s="21"/>
      <c r="U121" s="84">
        <f t="shared" si="20"/>
        <v>67.08404739275366</v>
      </c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</row>
    <row r="122" spans="1:41" ht="12.75">
      <c r="A122" s="87" t="s">
        <v>158</v>
      </c>
      <c r="B122" s="19">
        <f>+B123+B124+B125+B126+B127</f>
        <v>1787094754</v>
      </c>
      <c r="C122" s="19">
        <f>+C123+C124+C125+C126+C127</f>
        <v>413544000</v>
      </c>
      <c r="D122" s="19">
        <f>+D123+D124+D125+D126+D127</f>
        <v>2200638754</v>
      </c>
      <c r="E122" s="19">
        <f aca="true" t="shared" si="54" ref="E122:T122">+E123+E124+E125+E126+E127</f>
        <v>0</v>
      </c>
      <c r="F122" s="19">
        <f t="shared" si="54"/>
        <v>0</v>
      </c>
      <c r="G122" s="19">
        <f t="shared" si="54"/>
        <v>0</v>
      </c>
      <c r="H122" s="19">
        <f t="shared" si="54"/>
        <v>0</v>
      </c>
      <c r="I122" s="19">
        <f t="shared" si="54"/>
        <v>0</v>
      </c>
      <c r="J122" s="19">
        <f t="shared" si="54"/>
        <v>0</v>
      </c>
      <c r="K122" s="19">
        <f t="shared" si="54"/>
        <v>0</v>
      </c>
      <c r="L122" s="19">
        <f t="shared" si="54"/>
        <v>0</v>
      </c>
      <c r="M122" s="19">
        <f t="shared" si="54"/>
        <v>0</v>
      </c>
      <c r="N122" s="19">
        <f t="shared" si="54"/>
        <v>1810913387</v>
      </c>
      <c r="O122" s="19">
        <f t="shared" si="54"/>
        <v>1619620491</v>
      </c>
      <c r="P122" s="19">
        <f t="shared" si="54"/>
        <v>0</v>
      </c>
      <c r="Q122" s="19">
        <f t="shared" si="54"/>
        <v>857115616</v>
      </c>
      <c r="R122" s="19">
        <f t="shared" si="54"/>
        <v>834542165</v>
      </c>
      <c r="S122" s="19">
        <f t="shared" si="54"/>
        <v>497418135</v>
      </c>
      <c r="T122" s="19">
        <f t="shared" si="54"/>
        <v>0</v>
      </c>
      <c r="U122" s="84">
        <f t="shared" si="20"/>
        <v>73.59774465736778</v>
      </c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</row>
    <row r="123" spans="1:41" ht="25.5">
      <c r="A123" s="86" t="s">
        <v>137</v>
      </c>
      <c r="B123" s="21">
        <v>333299234</v>
      </c>
      <c r="C123" s="6">
        <f>21540000-1500000</f>
        <v>20040000</v>
      </c>
      <c r="D123" s="63">
        <f>+B123+C123</f>
        <v>353339234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>
        <v>327167890</v>
      </c>
      <c r="O123" s="6">
        <v>269739106</v>
      </c>
      <c r="P123" s="6"/>
      <c r="Q123" s="6">
        <v>157371447</v>
      </c>
      <c r="R123" s="6">
        <v>156810455</v>
      </c>
      <c r="S123" s="21"/>
      <c r="T123" s="21"/>
      <c r="U123" s="84">
        <f t="shared" si="20"/>
        <v>76.33998153740266</v>
      </c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</row>
    <row r="124" spans="1:41" ht="38.25">
      <c r="A124" s="86" t="s">
        <v>159</v>
      </c>
      <c r="B124" s="21">
        <f>180720000+70280000</f>
        <v>251000000</v>
      </c>
      <c r="C124" s="6">
        <v>0</v>
      </c>
      <c r="D124" s="63">
        <f>+B124+C124</f>
        <v>251000000</v>
      </c>
      <c r="E124" s="21"/>
      <c r="F124" s="21"/>
      <c r="G124" s="21"/>
      <c r="H124" s="21"/>
      <c r="I124" s="21"/>
      <c r="J124" s="21"/>
      <c r="K124" s="21"/>
      <c r="L124" s="21"/>
      <c r="M124" s="21"/>
      <c r="N124" s="21">
        <f>8909090+69761936</f>
        <v>78671026</v>
      </c>
      <c r="O124" s="6">
        <f>8876804+69761936</f>
        <v>78638740</v>
      </c>
      <c r="P124" s="6"/>
      <c r="Q124" s="6">
        <f>6206736+44041590</f>
        <v>50248326</v>
      </c>
      <c r="R124" s="6">
        <f>6206736+43890990</f>
        <v>50097726</v>
      </c>
      <c r="S124" s="21">
        <f>+D124-O124</f>
        <v>172361260</v>
      </c>
      <c r="T124" s="21"/>
      <c r="U124" s="84">
        <f t="shared" si="20"/>
        <v>31.33017529880478</v>
      </c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</row>
    <row r="125" spans="1:41" ht="25.5">
      <c r="A125" s="86" t="s">
        <v>160</v>
      </c>
      <c r="B125" s="21">
        <f>119732970+159993277+295777+753967812+11267473</f>
        <v>1045257309</v>
      </c>
      <c r="C125" s="6">
        <f>40445606+3020063+15000000+48246335+197791996+1500000-12500000</f>
        <v>293504000</v>
      </c>
      <c r="D125" s="63">
        <f>+B125+C125</f>
        <v>1338761309</v>
      </c>
      <c r="E125" s="21"/>
      <c r="F125" s="21"/>
      <c r="G125" s="21"/>
      <c r="H125" s="21"/>
      <c r="I125" s="21"/>
      <c r="J125" s="21"/>
      <c r="K125" s="21"/>
      <c r="L125" s="21"/>
      <c r="M125" s="21"/>
      <c r="N125" s="21">
        <v>1214720768</v>
      </c>
      <c r="O125" s="6">
        <v>1128864394</v>
      </c>
      <c r="P125" s="6"/>
      <c r="Q125" s="6">
        <v>516710988</v>
      </c>
      <c r="R125" s="6">
        <v>508665366</v>
      </c>
      <c r="S125" s="21">
        <f aca="true" t="shared" si="55" ref="S125:S142">+D125-O125</f>
        <v>209896915</v>
      </c>
      <c r="T125" s="21"/>
      <c r="U125" s="84">
        <f t="shared" si="20"/>
        <v>84.321558026144</v>
      </c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</row>
    <row r="126" spans="1:41" ht="25.5">
      <c r="A126" s="86" t="s">
        <v>161</v>
      </c>
      <c r="B126" s="21">
        <v>66314000</v>
      </c>
      <c r="C126" s="6">
        <v>10000000</v>
      </c>
      <c r="D126" s="63">
        <f>+B126+C126</f>
        <v>76314000</v>
      </c>
      <c r="E126" s="21"/>
      <c r="F126" s="21"/>
      <c r="G126" s="21"/>
      <c r="H126" s="21"/>
      <c r="I126" s="21"/>
      <c r="J126" s="21"/>
      <c r="K126" s="21"/>
      <c r="L126" s="21"/>
      <c r="M126" s="21"/>
      <c r="N126" s="21">
        <v>43149802</v>
      </c>
      <c r="O126" s="6">
        <v>34722015</v>
      </c>
      <c r="P126" s="6"/>
      <c r="Q126" s="6">
        <v>25767734</v>
      </c>
      <c r="R126" s="6">
        <v>22575734</v>
      </c>
      <c r="S126" s="21">
        <f t="shared" si="55"/>
        <v>41591985</v>
      </c>
      <c r="T126" s="21"/>
      <c r="U126" s="84">
        <f t="shared" si="20"/>
        <v>45.49887962890165</v>
      </c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</row>
    <row r="127" spans="1:41" ht="12.75">
      <c r="A127" s="86" t="s">
        <v>162</v>
      </c>
      <c r="B127" s="21">
        <v>91224211</v>
      </c>
      <c r="C127" s="6">
        <f>50000000+40000000</f>
        <v>90000000</v>
      </c>
      <c r="D127" s="63">
        <f>+B127+C127</f>
        <v>181224211</v>
      </c>
      <c r="E127" s="21"/>
      <c r="F127" s="21"/>
      <c r="G127" s="21"/>
      <c r="H127" s="21"/>
      <c r="I127" s="21"/>
      <c r="J127" s="21"/>
      <c r="K127" s="21"/>
      <c r="L127" s="21"/>
      <c r="M127" s="21"/>
      <c r="N127" s="21">
        <f>55984347+91219554</f>
        <v>147203901</v>
      </c>
      <c r="O127" s="6">
        <v>107656236</v>
      </c>
      <c r="P127" s="6"/>
      <c r="Q127" s="6">
        <v>107017121</v>
      </c>
      <c r="R127" s="6">
        <v>96392884</v>
      </c>
      <c r="S127" s="21">
        <f t="shared" si="55"/>
        <v>73567975</v>
      </c>
      <c r="T127" s="21"/>
      <c r="U127" s="84">
        <f t="shared" si="20"/>
        <v>59.404996388699956</v>
      </c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</row>
    <row r="128" spans="1:41" ht="12.75">
      <c r="A128" s="87" t="s">
        <v>163</v>
      </c>
      <c r="B128" s="19">
        <f>+B129+B132+B135</f>
        <v>3473764554</v>
      </c>
      <c r="C128" s="19">
        <f>+C129+C132+C135</f>
        <v>201329556</v>
      </c>
      <c r="D128" s="19">
        <f>+D129+D132+D135</f>
        <v>3675094110</v>
      </c>
      <c r="E128" s="19">
        <f aca="true" t="shared" si="56" ref="E128:T128">+E129+E132+E135</f>
        <v>0</v>
      </c>
      <c r="F128" s="19">
        <f t="shared" si="56"/>
        <v>0</v>
      </c>
      <c r="G128" s="19">
        <f t="shared" si="56"/>
        <v>0</v>
      </c>
      <c r="H128" s="19">
        <f t="shared" si="56"/>
        <v>0</v>
      </c>
      <c r="I128" s="19">
        <f t="shared" si="56"/>
        <v>0</v>
      </c>
      <c r="J128" s="19">
        <f t="shared" si="56"/>
        <v>0</v>
      </c>
      <c r="K128" s="19">
        <f t="shared" si="56"/>
        <v>0</v>
      </c>
      <c r="L128" s="19">
        <f t="shared" si="56"/>
        <v>0</v>
      </c>
      <c r="M128" s="19">
        <f t="shared" si="56"/>
        <v>0</v>
      </c>
      <c r="N128" s="19">
        <f>+N129+N132+N135</f>
        <v>2299285165</v>
      </c>
      <c r="O128" s="19">
        <f t="shared" si="56"/>
        <v>2299285165</v>
      </c>
      <c r="P128" s="19">
        <f t="shared" si="56"/>
        <v>0</v>
      </c>
      <c r="Q128" s="19">
        <f t="shared" si="56"/>
        <v>2298053253</v>
      </c>
      <c r="R128" s="19">
        <f t="shared" si="56"/>
        <v>2298053253</v>
      </c>
      <c r="S128" s="19">
        <f t="shared" si="56"/>
        <v>1375808945</v>
      </c>
      <c r="T128" s="19">
        <f t="shared" si="56"/>
        <v>0</v>
      </c>
      <c r="U128" s="84">
        <f t="shared" si="20"/>
        <v>62.56398057245941</v>
      </c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</row>
    <row r="129" spans="1:41" ht="12.75">
      <c r="A129" s="87" t="s">
        <v>164</v>
      </c>
      <c r="B129" s="19">
        <f>+B130</f>
        <v>34313826</v>
      </c>
      <c r="C129" s="19">
        <f aca="true" t="shared" si="57" ref="C129:T129">+C130</f>
        <v>0</v>
      </c>
      <c r="D129" s="19">
        <f t="shared" si="57"/>
        <v>34313826</v>
      </c>
      <c r="E129" s="19">
        <f t="shared" si="57"/>
        <v>0</v>
      </c>
      <c r="F129" s="19">
        <f t="shared" si="57"/>
        <v>0</v>
      </c>
      <c r="G129" s="19">
        <f t="shared" si="57"/>
        <v>0</v>
      </c>
      <c r="H129" s="19">
        <f t="shared" si="57"/>
        <v>0</v>
      </c>
      <c r="I129" s="19">
        <f t="shared" si="57"/>
        <v>0</v>
      </c>
      <c r="J129" s="19">
        <f t="shared" si="57"/>
        <v>0</v>
      </c>
      <c r="K129" s="19">
        <f t="shared" si="57"/>
        <v>0</v>
      </c>
      <c r="L129" s="19">
        <f t="shared" si="57"/>
        <v>0</v>
      </c>
      <c r="M129" s="19">
        <f t="shared" si="57"/>
        <v>0</v>
      </c>
      <c r="N129" s="19">
        <f t="shared" si="57"/>
        <v>34313825</v>
      </c>
      <c r="O129" s="19">
        <f t="shared" si="57"/>
        <v>34313825</v>
      </c>
      <c r="P129" s="19">
        <f t="shared" si="57"/>
        <v>0</v>
      </c>
      <c r="Q129" s="19">
        <f t="shared" si="57"/>
        <v>34313825</v>
      </c>
      <c r="R129" s="19">
        <f t="shared" si="57"/>
        <v>34313825</v>
      </c>
      <c r="S129" s="19">
        <f t="shared" si="57"/>
        <v>1</v>
      </c>
      <c r="T129" s="19">
        <f t="shared" si="57"/>
        <v>0</v>
      </c>
      <c r="U129" s="84">
        <f t="shared" si="20"/>
        <v>99.99999708572282</v>
      </c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</row>
    <row r="130" spans="1:41" ht="25.5">
      <c r="A130" s="86" t="s">
        <v>165</v>
      </c>
      <c r="B130" s="21">
        <f>+B131</f>
        <v>34313826</v>
      </c>
      <c r="C130" s="6">
        <v>0</v>
      </c>
      <c r="D130" s="21">
        <f aca="true" t="shared" si="58" ref="D130:S130">+D131</f>
        <v>34313826</v>
      </c>
      <c r="E130" s="21">
        <f t="shared" si="58"/>
        <v>0</v>
      </c>
      <c r="F130" s="21">
        <f t="shared" si="58"/>
        <v>0</v>
      </c>
      <c r="G130" s="21">
        <f t="shared" si="58"/>
        <v>0</v>
      </c>
      <c r="H130" s="21">
        <f t="shared" si="58"/>
        <v>0</v>
      </c>
      <c r="I130" s="21">
        <f t="shared" si="58"/>
        <v>0</v>
      </c>
      <c r="J130" s="21">
        <f t="shared" si="58"/>
        <v>0</v>
      </c>
      <c r="K130" s="21">
        <f t="shared" si="58"/>
        <v>0</v>
      </c>
      <c r="L130" s="21">
        <f t="shared" si="58"/>
        <v>0</v>
      </c>
      <c r="M130" s="21">
        <f t="shared" si="58"/>
        <v>0</v>
      </c>
      <c r="N130" s="21">
        <f t="shared" si="58"/>
        <v>34313825</v>
      </c>
      <c r="O130" s="21">
        <f t="shared" si="58"/>
        <v>34313825</v>
      </c>
      <c r="P130" s="21">
        <f t="shared" si="58"/>
        <v>0</v>
      </c>
      <c r="Q130" s="21">
        <f t="shared" si="58"/>
        <v>34313825</v>
      </c>
      <c r="R130" s="21">
        <f t="shared" si="58"/>
        <v>34313825</v>
      </c>
      <c r="S130" s="21">
        <f t="shared" si="58"/>
        <v>1</v>
      </c>
      <c r="T130" s="21"/>
      <c r="U130" s="84">
        <f aca="true" t="shared" si="59" ref="U130:U143">+O130/D130*100</f>
        <v>99.99999708572282</v>
      </c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</row>
    <row r="131" spans="1:41" ht="12.75">
      <c r="A131" s="86" t="s">
        <v>166</v>
      </c>
      <c r="B131" s="21">
        <v>34313826</v>
      </c>
      <c r="C131" s="6">
        <v>0</v>
      </c>
      <c r="D131" s="63">
        <f>+B131+C131</f>
        <v>34313826</v>
      </c>
      <c r="E131" s="21"/>
      <c r="F131" s="21"/>
      <c r="G131" s="21"/>
      <c r="H131" s="21"/>
      <c r="I131" s="21"/>
      <c r="J131" s="21"/>
      <c r="K131" s="21"/>
      <c r="L131" s="21"/>
      <c r="M131" s="21"/>
      <c r="N131" s="21">
        <v>34313825</v>
      </c>
      <c r="O131" s="6">
        <v>34313825</v>
      </c>
      <c r="P131" s="6"/>
      <c r="Q131" s="6">
        <v>34313825</v>
      </c>
      <c r="R131" s="6">
        <v>34313825</v>
      </c>
      <c r="S131" s="21">
        <f t="shared" si="55"/>
        <v>1</v>
      </c>
      <c r="T131" s="21"/>
      <c r="U131" s="84">
        <f t="shared" si="59"/>
        <v>99.99999708572282</v>
      </c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</row>
    <row r="132" spans="1:41" ht="12.75">
      <c r="A132" s="87" t="s">
        <v>167</v>
      </c>
      <c r="B132" s="19">
        <f>+B133</f>
        <v>3338450728</v>
      </c>
      <c r="C132" s="19">
        <f aca="true" t="shared" si="60" ref="C132:T133">+C133</f>
        <v>201329556</v>
      </c>
      <c r="D132" s="19">
        <f>+D133</f>
        <v>3539780284</v>
      </c>
      <c r="E132" s="19">
        <f t="shared" si="60"/>
        <v>0</v>
      </c>
      <c r="F132" s="19">
        <f t="shared" si="60"/>
        <v>0</v>
      </c>
      <c r="G132" s="19">
        <f t="shared" si="60"/>
        <v>0</v>
      </c>
      <c r="H132" s="19">
        <f t="shared" si="60"/>
        <v>0</v>
      </c>
      <c r="I132" s="19">
        <f t="shared" si="60"/>
        <v>0</v>
      </c>
      <c r="J132" s="19">
        <f t="shared" si="60"/>
        <v>0</v>
      </c>
      <c r="K132" s="19">
        <f t="shared" si="60"/>
        <v>0</v>
      </c>
      <c r="L132" s="19">
        <f t="shared" si="60"/>
        <v>0</v>
      </c>
      <c r="M132" s="19">
        <f t="shared" si="60"/>
        <v>0</v>
      </c>
      <c r="N132" s="19">
        <f t="shared" si="60"/>
        <v>2253136409</v>
      </c>
      <c r="O132" s="19">
        <f t="shared" si="60"/>
        <v>2253136409</v>
      </c>
      <c r="P132" s="19">
        <f t="shared" si="60"/>
        <v>0</v>
      </c>
      <c r="Q132" s="19">
        <f t="shared" si="60"/>
        <v>2251904497</v>
      </c>
      <c r="R132" s="19">
        <f t="shared" si="60"/>
        <v>2251904497</v>
      </c>
      <c r="S132" s="19">
        <f t="shared" si="60"/>
        <v>1286643875</v>
      </c>
      <c r="T132" s="19">
        <f t="shared" si="60"/>
        <v>0</v>
      </c>
      <c r="U132" s="84">
        <f t="shared" si="59"/>
        <v>63.65187181770291</v>
      </c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</row>
    <row r="133" spans="1:41" ht="12.75">
      <c r="A133" s="86" t="s">
        <v>168</v>
      </c>
      <c r="B133" s="21">
        <f>+B134</f>
        <v>3338450728</v>
      </c>
      <c r="C133" s="21">
        <f t="shared" si="60"/>
        <v>201329556</v>
      </c>
      <c r="D133" s="21">
        <f t="shared" si="60"/>
        <v>3539780284</v>
      </c>
      <c r="E133" s="21">
        <f t="shared" si="60"/>
        <v>0</v>
      </c>
      <c r="F133" s="21">
        <f t="shared" si="60"/>
        <v>0</v>
      </c>
      <c r="G133" s="21">
        <f t="shared" si="60"/>
        <v>0</v>
      </c>
      <c r="H133" s="21">
        <f t="shared" si="60"/>
        <v>0</v>
      </c>
      <c r="I133" s="21">
        <f t="shared" si="60"/>
        <v>0</v>
      </c>
      <c r="J133" s="21">
        <f t="shared" si="60"/>
        <v>0</v>
      </c>
      <c r="K133" s="21">
        <f t="shared" si="60"/>
        <v>0</v>
      </c>
      <c r="L133" s="21">
        <f t="shared" si="60"/>
        <v>0</v>
      </c>
      <c r="M133" s="21">
        <f t="shared" si="60"/>
        <v>0</v>
      </c>
      <c r="N133" s="21">
        <f t="shared" si="60"/>
        <v>2253136409</v>
      </c>
      <c r="O133" s="21">
        <f t="shared" si="60"/>
        <v>2253136409</v>
      </c>
      <c r="P133" s="21">
        <f t="shared" si="60"/>
        <v>0</v>
      </c>
      <c r="Q133" s="21">
        <f t="shared" si="60"/>
        <v>2251904497</v>
      </c>
      <c r="R133" s="21">
        <f t="shared" si="60"/>
        <v>2251904497</v>
      </c>
      <c r="S133" s="21">
        <f t="shared" si="60"/>
        <v>1286643875</v>
      </c>
      <c r="T133" s="21">
        <f t="shared" si="60"/>
        <v>0</v>
      </c>
      <c r="U133" s="84">
        <f t="shared" si="59"/>
        <v>63.65187181770291</v>
      </c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</row>
    <row r="134" spans="1:41" ht="12.75">
      <c r="A134" s="86" t="s">
        <v>169</v>
      </c>
      <c r="B134" s="21">
        <v>3338450728</v>
      </c>
      <c r="C134" s="6">
        <v>201329556</v>
      </c>
      <c r="D134" s="63">
        <f>+B134+C134</f>
        <v>3539780284</v>
      </c>
      <c r="E134" s="21"/>
      <c r="F134" s="21"/>
      <c r="G134" s="21"/>
      <c r="H134" s="21"/>
      <c r="I134" s="21"/>
      <c r="J134" s="21"/>
      <c r="K134" s="21"/>
      <c r="L134" s="21"/>
      <c r="M134" s="21"/>
      <c r="N134" s="21">
        <v>2253136409</v>
      </c>
      <c r="O134" s="6">
        <v>2253136409</v>
      </c>
      <c r="P134" s="6"/>
      <c r="Q134" s="6">
        <v>2251904497</v>
      </c>
      <c r="R134" s="6">
        <v>2251904497</v>
      </c>
      <c r="S134" s="21">
        <f t="shared" si="55"/>
        <v>1286643875</v>
      </c>
      <c r="T134" s="21"/>
      <c r="U134" s="84">
        <f t="shared" si="59"/>
        <v>63.65187181770291</v>
      </c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</row>
    <row r="135" spans="1:41" ht="12.75">
      <c r="A135" s="87" t="s">
        <v>170</v>
      </c>
      <c r="B135" s="19">
        <f>+B136</f>
        <v>101000000</v>
      </c>
      <c r="C135" s="6">
        <v>0</v>
      </c>
      <c r="D135" s="19">
        <f aca="true" t="shared" si="61" ref="D135:S136">+D136</f>
        <v>101000000</v>
      </c>
      <c r="E135" s="19">
        <f t="shared" si="61"/>
        <v>0</v>
      </c>
      <c r="F135" s="19">
        <f t="shared" si="61"/>
        <v>0</v>
      </c>
      <c r="G135" s="19">
        <f t="shared" si="61"/>
        <v>0</v>
      </c>
      <c r="H135" s="19">
        <f t="shared" si="61"/>
        <v>0</v>
      </c>
      <c r="I135" s="19">
        <f t="shared" si="61"/>
        <v>0</v>
      </c>
      <c r="J135" s="19">
        <f t="shared" si="61"/>
        <v>0</v>
      </c>
      <c r="K135" s="19">
        <f t="shared" si="61"/>
        <v>0</v>
      </c>
      <c r="L135" s="19">
        <f t="shared" si="61"/>
        <v>0</v>
      </c>
      <c r="M135" s="19">
        <f t="shared" si="61"/>
        <v>0</v>
      </c>
      <c r="N135" s="19">
        <f t="shared" si="61"/>
        <v>11834931</v>
      </c>
      <c r="O135" s="19">
        <f t="shared" si="61"/>
        <v>11834931</v>
      </c>
      <c r="P135" s="19">
        <f t="shared" si="61"/>
        <v>0</v>
      </c>
      <c r="Q135" s="19">
        <f t="shared" si="61"/>
        <v>11834931</v>
      </c>
      <c r="R135" s="19">
        <f t="shared" si="61"/>
        <v>11834931</v>
      </c>
      <c r="S135" s="19">
        <f t="shared" si="61"/>
        <v>89165069</v>
      </c>
      <c r="T135" s="19"/>
      <c r="U135" s="84">
        <f t="shared" si="59"/>
        <v>11.717753465346535</v>
      </c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</row>
    <row r="136" spans="1:41" ht="12.75">
      <c r="A136" s="86" t="s">
        <v>171</v>
      </c>
      <c r="B136" s="21">
        <f>+B137</f>
        <v>101000000</v>
      </c>
      <c r="C136" s="6">
        <v>0</v>
      </c>
      <c r="D136" s="21">
        <f t="shared" si="61"/>
        <v>101000000</v>
      </c>
      <c r="E136" s="21">
        <f t="shared" si="61"/>
        <v>0</v>
      </c>
      <c r="F136" s="21">
        <f t="shared" si="61"/>
        <v>0</v>
      </c>
      <c r="G136" s="21">
        <f t="shared" si="61"/>
        <v>0</v>
      </c>
      <c r="H136" s="21">
        <f t="shared" si="61"/>
        <v>0</v>
      </c>
      <c r="I136" s="21">
        <f t="shared" si="61"/>
        <v>0</v>
      </c>
      <c r="J136" s="21">
        <f t="shared" si="61"/>
        <v>0</v>
      </c>
      <c r="K136" s="21">
        <f t="shared" si="61"/>
        <v>0</v>
      </c>
      <c r="L136" s="21">
        <f t="shared" si="61"/>
        <v>0</v>
      </c>
      <c r="M136" s="21">
        <f t="shared" si="61"/>
        <v>0</v>
      </c>
      <c r="N136" s="21">
        <f t="shared" si="61"/>
        <v>11834931</v>
      </c>
      <c r="O136" s="21">
        <f t="shared" si="61"/>
        <v>11834931</v>
      </c>
      <c r="P136" s="21">
        <f t="shared" si="61"/>
        <v>0</v>
      </c>
      <c r="Q136" s="21">
        <f t="shared" si="61"/>
        <v>11834931</v>
      </c>
      <c r="R136" s="21">
        <f t="shared" si="61"/>
        <v>11834931</v>
      </c>
      <c r="S136" s="21">
        <f t="shared" si="61"/>
        <v>89165069</v>
      </c>
      <c r="T136" s="21"/>
      <c r="U136" s="84">
        <f t="shared" si="59"/>
        <v>11.717753465346535</v>
      </c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</row>
    <row r="137" spans="1:41" ht="12.75">
      <c r="A137" s="86" t="s">
        <v>170</v>
      </c>
      <c r="B137" s="21">
        <v>101000000</v>
      </c>
      <c r="C137" s="6">
        <v>0</v>
      </c>
      <c r="D137" s="63">
        <f>+B137+C137</f>
        <v>101000000</v>
      </c>
      <c r="E137" s="21"/>
      <c r="F137" s="21"/>
      <c r="G137" s="21"/>
      <c r="H137" s="21"/>
      <c r="I137" s="21"/>
      <c r="J137" s="21"/>
      <c r="K137" s="21"/>
      <c r="L137" s="21"/>
      <c r="M137" s="21"/>
      <c r="N137" s="21">
        <v>11834931</v>
      </c>
      <c r="O137" s="6">
        <v>11834931</v>
      </c>
      <c r="P137" s="6"/>
      <c r="Q137" s="6">
        <v>11834931</v>
      </c>
      <c r="R137" s="6">
        <v>11834931</v>
      </c>
      <c r="S137" s="21">
        <f t="shared" si="55"/>
        <v>89165069</v>
      </c>
      <c r="T137" s="21"/>
      <c r="U137" s="84">
        <f t="shared" si="59"/>
        <v>11.717753465346535</v>
      </c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</row>
    <row r="138" spans="1:41" ht="25.5">
      <c r="A138" s="87" t="s">
        <v>138</v>
      </c>
      <c r="B138" s="19">
        <f>+B139+B142+B144</f>
        <v>127849174</v>
      </c>
      <c r="C138" s="19">
        <f>+C139+C142+C144</f>
        <v>29500000</v>
      </c>
      <c r="D138" s="19">
        <f>+D139+D142+D144</f>
        <v>157349174</v>
      </c>
      <c r="E138" s="19">
        <f aca="true" t="shared" si="62" ref="E138:S138">+E139+E142+E144</f>
        <v>0</v>
      </c>
      <c r="F138" s="19">
        <f t="shared" si="62"/>
        <v>0</v>
      </c>
      <c r="G138" s="19">
        <f t="shared" si="62"/>
        <v>0</v>
      </c>
      <c r="H138" s="19">
        <f t="shared" si="62"/>
        <v>0</v>
      </c>
      <c r="I138" s="19">
        <f t="shared" si="62"/>
        <v>0</v>
      </c>
      <c r="J138" s="19">
        <f t="shared" si="62"/>
        <v>0</v>
      </c>
      <c r="K138" s="19">
        <f t="shared" si="62"/>
        <v>0</v>
      </c>
      <c r="L138" s="19">
        <f t="shared" si="62"/>
        <v>0</v>
      </c>
      <c r="M138" s="19">
        <f t="shared" si="62"/>
        <v>0</v>
      </c>
      <c r="N138" s="19">
        <f t="shared" si="62"/>
        <v>65653697</v>
      </c>
      <c r="O138" s="19">
        <f t="shared" si="62"/>
        <v>65653697</v>
      </c>
      <c r="P138" s="19">
        <f t="shared" si="62"/>
        <v>0</v>
      </c>
      <c r="Q138" s="19">
        <f t="shared" si="62"/>
        <v>65616099</v>
      </c>
      <c r="R138" s="19">
        <f t="shared" si="62"/>
        <v>65614793</v>
      </c>
      <c r="S138" s="19">
        <f t="shared" si="62"/>
        <v>91695477</v>
      </c>
      <c r="T138" s="19"/>
      <c r="U138" s="84">
        <f t="shared" si="59"/>
        <v>41.72484375418456</v>
      </c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</row>
    <row r="139" spans="1:41" ht="12.75">
      <c r="A139" s="87" t="s">
        <v>139</v>
      </c>
      <c r="B139" s="19">
        <f>+B140+B141</f>
        <v>56000000</v>
      </c>
      <c r="C139" s="19">
        <f aca="true" t="shared" si="63" ref="C139:R139">+C140+C141</f>
        <v>23000000</v>
      </c>
      <c r="D139" s="19">
        <f t="shared" si="63"/>
        <v>79000000</v>
      </c>
      <c r="E139" s="19">
        <f t="shared" si="63"/>
        <v>0</v>
      </c>
      <c r="F139" s="19">
        <f t="shared" si="63"/>
        <v>0</v>
      </c>
      <c r="G139" s="19">
        <f t="shared" si="63"/>
        <v>0</v>
      </c>
      <c r="H139" s="19">
        <f t="shared" si="63"/>
        <v>0</v>
      </c>
      <c r="I139" s="19">
        <f t="shared" si="63"/>
        <v>0</v>
      </c>
      <c r="J139" s="19">
        <f t="shared" si="63"/>
        <v>0</v>
      </c>
      <c r="K139" s="19">
        <f t="shared" si="63"/>
        <v>0</v>
      </c>
      <c r="L139" s="19">
        <f t="shared" si="63"/>
        <v>0</v>
      </c>
      <c r="M139" s="19">
        <f t="shared" si="63"/>
        <v>0</v>
      </c>
      <c r="N139" s="19">
        <f t="shared" si="63"/>
        <v>65276131</v>
      </c>
      <c r="O139" s="19">
        <f t="shared" si="63"/>
        <v>65276131</v>
      </c>
      <c r="P139" s="19">
        <f t="shared" si="63"/>
        <v>0</v>
      </c>
      <c r="Q139" s="19">
        <f t="shared" si="63"/>
        <v>65238533</v>
      </c>
      <c r="R139" s="19">
        <f t="shared" si="63"/>
        <v>65237227</v>
      </c>
      <c r="S139" s="19">
        <f>+S140+S141</f>
        <v>13723869</v>
      </c>
      <c r="T139" s="21"/>
      <c r="U139" s="84">
        <f t="shared" si="59"/>
        <v>82.62801392405063</v>
      </c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</row>
    <row r="140" spans="1:41" ht="12.75">
      <c r="A140" s="86" t="s">
        <v>140</v>
      </c>
      <c r="B140" s="3">
        <v>56000000</v>
      </c>
      <c r="C140" s="6">
        <v>0</v>
      </c>
      <c r="D140" s="3">
        <f>+B140+C140</f>
        <v>56000000</v>
      </c>
      <c r="E140" s="3">
        <f aca="true" t="shared" si="64" ref="E140:P140">+E142</f>
        <v>0</v>
      </c>
      <c r="F140" s="3">
        <f t="shared" si="64"/>
        <v>0</v>
      </c>
      <c r="G140" s="3">
        <f t="shared" si="64"/>
        <v>0</v>
      </c>
      <c r="H140" s="3">
        <f t="shared" si="64"/>
        <v>0</v>
      </c>
      <c r="I140" s="3">
        <f t="shared" si="64"/>
        <v>0</v>
      </c>
      <c r="J140" s="3">
        <f t="shared" si="64"/>
        <v>0</v>
      </c>
      <c r="K140" s="3">
        <f t="shared" si="64"/>
        <v>0</v>
      </c>
      <c r="L140" s="3">
        <f t="shared" si="64"/>
        <v>0</v>
      </c>
      <c r="M140" s="3">
        <f t="shared" si="64"/>
        <v>0</v>
      </c>
      <c r="N140" s="3">
        <v>55839133</v>
      </c>
      <c r="O140" s="3">
        <v>55839133</v>
      </c>
      <c r="P140" s="3">
        <f t="shared" si="64"/>
        <v>0</v>
      </c>
      <c r="Q140" s="3">
        <v>55839133</v>
      </c>
      <c r="R140" s="3">
        <v>55837827</v>
      </c>
      <c r="S140" s="3">
        <f t="shared" si="55"/>
        <v>160867</v>
      </c>
      <c r="T140" s="21">
        <v>0</v>
      </c>
      <c r="U140" s="84">
        <f t="shared" si="59"/>
        <v>99.7127375</v>
      </c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</row>
    <row r="141" spans="1:41" ht="12.75">
      <c r="A141" s="86" t="s">
        <v>183</v>
      </c>
      <c r="B141" s="3"/>
      <c r="C141" s="6">
        <f>10000000+13000000</f>
        <v>23000000</v>
      </c>
      <c r="D141" s="3">
        <f>+C141</f>
        <v>23000000</v>
      </c>
      <c r="E141" s="3"/>
      <c r="F141" s="3"/>
      <c r="G141" s="3"/>
      <c r="H141" s="3"/>
      <c r="I141" s="3"/>
      <c r="J141" s="3"/>
      <c r="K141" s="3"/>
      <c r="L141" s="3"/>
      <c r="M141" s="3"/>
      <c r="N141" s="3">
        <v>9436998</v>
      </c>
      <c r="O141" s="3">
        <f>+N141</f>
        <v>9436998</v>
      </c>
      <c r="P141" s="3"/>
      <c r="Q141" s="3">
        <v>9399400</v>
      </c>
      <c r="R141" s="3">
        <v>9399400</v>
      </c>
      <c r="S141" s="3">
        <f t="shared" si="55"/>
        <v>13563002</v>
      </c>
      <c r="T141" s="21"/>
      <c r="U141" s="8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</row>
    <row r="142" spans="1:41" ht="12.75">
      <c r="A142" s="87" t="s">
        <v>141</v>
      </c>
      <c r="B142" s="19">
        <f>+B143</f>
        <v>59171174</v>
      </c>
      <c r="C142" s="6">
        <f>+C143</f>
        <v>6500000</v>
      </c>
      <c r="D142" s="62">
        <f>+B142+C142</f>
        <v>65671174</v>
      </c>
      <c r="E142" s="19"/>
      <c r="F142" s="19"/>
      <c r="G142" s="19"/>
      <c r="H142" s="19"/>
      <c r="I142" s="19"/>
      <c r="J142" s="19"/>
      <c r="K142" s="19"/>
      <c r="L142" s="19"/>
      <c r="M142" s="19"/>
      <c r="N142" s="19">
        <v>0</v>
      </c>
      <c r="O142" s="20">
        <v>0</v>
      </c>
      <c r="P142" s="20"/>
      <c r="Q142" s="20">
        <v>0</v>
      </c>
      <c r="R142" s="20">
        <v>0</v>
      </c>
      <c r="S142" s="19">
        <f t="shared" si="55"/>
        <v>65671174</v>
      </c>
      <c r="T142" s="19"/>
      <c r="U142" s="84">
        <f t="shared" si="59"/>
        <v>0</v>
      </c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</row>
    <row r="143" spans="1:41" ht="13.5" thickBot="1">
      <c r="A143" s="88" t="s">
        <v>142</v>
      </c>
      <c r="B143" s="89">
        <v>59171174</v>
      </c>
      <c r="C143" s="90">
        <v>6500000</v>
      </c>
      <c r="D143" s="91">
        <f>+B143+C143</f>
        <v>65671174</v>
      </c>
      <c r="E143" s="89"/>
      <c r="F143" s="89"/>
      <c r="G143" s="89"/>
      <c r="H143" s="89"/>
      <c r="I143" s="89"/>
      <c r="J143" s="89"/>
      <c r="K143" s="89"/>
      <c r="L143" s="89"/>
      <c r="M143" s="89"/>
      <c r="N143" s="89">
        <v>0</v>
      </c>
      <c r="O143" s="90">
        <v>0</v>
      </c>
      <c r="P143" s="90"/>
      <c r="Q143" s="90">
        <v>0</v>
      </c>
      <c r="R143" s="90">
        <v>0</v>
      </c>
      <c r="S143" s="89">
        <f>+D143-O143</f>
        <v>65671174</v>
      </c>
      <c r="T143" s="89"/>
      <c r="U143" s="92">
        <f t="shared" si="59"/>
        <v>0</v>
      </c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</row>
    <row r="144" spans="1:41" ht="13.5" thickBot="1">
      <c r="A144" s="95" t="s">
        <v>175</v>
      </c>
      <c r="B144" s="96">
        <f aca="true" t="shared" si="65" ref="B144:Q144">+B145</f>
        <v>12678000</v>
      </c>
      <c r="C144" s="96">
        <f t="shared" si="65"/>
        <v>0</v>
      </c>
      <c r="D144" s="96">
        <f t="shared" si="65"/>
        <v>12678000</v>
      </c>
      <c r="E144" s="96">
        <f t="shared" si="65"/>
        <v>0</v>
      </c>
      <c r="F144" s="96">
        <f t="shared" si="65"/>
        <v>0</v>
      </c>
      <c r="G144" s="96">
        <f t="shared" si="65"/>
        <v>0</v>
      </c>
      <c r="H144" s="96">
        <f t="shared" si="65"/>
        <v>0</v>
      </c>
      <c r="I144" s="96">
        <f t="shared" si="65"/>
        <v>0</v>
      </c>
      <c r="J144" s="96">
        <f t="shared" si="65"/>
        <v>0</v>
      </c>
      <c r="K144" s="96">
        <f t="shared" si="65"/>
        <v>0</v>
      </c>
      <c r="L144" s="96">
        <f t="shared" si="65"/>
        <v>0</v>
      </c>
      <c r="M144" s="96">
        <f t="shared" si="65"/>
        <v>0</v>
      </c>
      <c r="N144" s="96">
        <f t="shared" si="65"/>
        <v>377566</v>
      </c>
      <c r="O144" s="96">
        <f t="shared" si="65"/>
        <v>377566</v>
      </c>
      <c r="P144" s="96">
        <f t="shared" si="65"/>
        <v>0</v>
      </c>
      <c r="Q144" s="96">
        <f t="shared" si="65"/>
        <v>377566</v>
      </c>
      <c r="R144" s="96">
        <f>+R145</f>
        <v>377566</v>
      </c>
      <c r="S144" s="97">
        <f>+D144-O144</f>
        <v>12300434</v>
      </c>
      <c r="T144" s="97"/>
      <c r="U144" s="98">
        <f>+O144/D144*100</f>
        <v>2.9781195772203817</v>
      </c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</row>
    <row r="145" spans="1:41" ht="13.5" thickBot="1">
      <c r="A145" s="99" t="s">
        <v>176</v>
      </c>
      <c r="B145" s="100">
        <v>12678000</v>
      </c>
      <c r="C145" s="101">
        <v>0</v>
      </c>
      <c r="D145" s="102">
        <f>+B145+C145</f>
        <v>12678000</v>
      </c>
      <c r="E145" s="100"/>
      <c r="F145" s="100"/>
      <c r="G145" s="100"/>
      <c r="H145" s="100"/>
      <c r="I145" s="100"/>
      <c r="J145" s="100"/>
      <c r="K145" s="100"/>
      <c r="L145" s="100"/>
      <c r="M145" s="100"/>
      <c r="N145" s="100">
        <v>377566</v>
      </c>
      <c r="O145" s="101">
        <f>+N145</f>
        <v>377566</v>
      </c>
      <c r="P145" s="101"/>
      <c r="Q145" s="101">
        <f>+O145</f>
        <v>377566</v>
      </c>
      <c r="R145" s="101">
        <f>+Q145</f>
        <v>377566</v>
      </c>
      <c r="S145" s="89">
        <f>+D145-O145</f>
        <v>12300434</v>
      </c>
      <c r="T145" s="89"/>
      <c r="U145" s="92">
        <f>+O145/D145*100</f>
        <v>2.9781195772203817</v>
      </c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</row>
    <row r="146" spans="1:41" ht="12.75">
      <c r="A146" s="14"/>
      <c r="B146" s="14"/>
      <c r="C146" s="66"/>
      <c r="D146" s="73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31"/>
      <c r="P146" s="31"/>
      <c r="Q146" s="31"/>
      <c r="R146" s="31"/>
      <c r="S146" s="57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</row>
    <row r="147" spans="1:41" ht="12.75">
      <c r="A147" s="14"/>
      <c r="B147" s="14"/>
      <c r="C147" s="66"/>
      <c r="D147" s="73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66"/>
      <c r="P147" s="57"/>
      <c r="Q147" s="57"/>
      <c r="R147" s="66"/>
      <c r="S147" s="57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</row>
    <row r="148" spans="1:41" ht="12.75">
      <c r="A148" s="14"/>
      <c r="B148" s="73"/>
      <c r="C148" s="66"/>
      <c r="D148" s="73"/>
      <c r="E148" s="57"/>
      <c r="F148" s="57"/>
      <c r="G148" s="57"/>
      <c r="H148" s="57"/>
      <c r="I148" s="57"/>
      <c r="J148" s="57"/>
      <c r="K148" s="57"/>
      <c r="L148" s="57"/>
      <c r="M148" s="57"/>
      <c r="N148" s="73"/>
      <c r="O148" s="73"/>
      <c r="P148" s="73"/>
      <c r="Q148" s="73"/>
      <c r="R148" s="73"/>
      <c r="S148" s="57"/>
      <c r="T148" s="14"/>
      <c r="U148" s="8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</row>
    <row r="149" spans="1:41" ht="12.75">
      <c r="A149" s="14"/>
      <c r="B149" s="73"/>
      <c r="C149" s="66"/>
      <c r="D149" s="73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66"/>
      <c r="P149" s="57"/>
      <c r="Q149" s="57"/>
      <c r="R149" s="66"/>
      <c r="S149" s="57"/>
      <c r="T149" s="14"/>
      <c r="U149" s="8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</row>
    <row r="150" spans="1:41" ht="12.75">
      <c r="A150" s="14"/>
      <c r="B150" s="72"/>
      <c r="C150" s="66"/>
      <c r="D150" s="72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31"/>
      <c r="P150" s="57"/>
      <c r="Q150" s="57"/>
      <c r="R150" s="66"/>
      <c r="S150" s="57"/>
      <c r="T150" s="14"/>
      <c r="U150" s="8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</row>
    <row r="151" spans="1:41" ht="12.75">
      <c r="A151" s="14"/>
      <c r="B151" s="14"/>
      <c r="C151" s="66"/>
      <c r="D151" s="73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66"/>
      <c r="P151" s="57"/>
      <c r="Q151" s="57"/>
      <c r="R151" s="66"/>
      <c r="S151" s="57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</row>
    <row r="152" spans="1:41" ht="12.75">
      <c r="A152" s="14"/>
      <c r="B152" s="14"/>
      <c r="C152" s="35"/>
      <c r="D152" s="74"/>
      <c r="E152" s="14"/>
      <c r="F152" s="14"/>
      <c r="G152" s="14"/>
      <c r="H152" s="14"/>
      <c r="I152" s="14"/>
      <c r="J152" s="14"/>
      <c r="K152" s="14"/>
      <c r="L152" s="14"/>
      <c r="M152" s="14"/>
      <c r="N152" s="74"/>
      <c r="O152" s="74"/>
      <c r="P152" s="74"/>
      <c r="Q152" s="74"/>
      <c r="R152" s="7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</row>
    <row r="153" spans="1:41" ht="12.75">
      <c r="A153" s="14"/>
      <c r="B153" s="14"/>
      <c r="C153" s="35"/>
      <c r="D153" s="7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35"/>
      <c r="P153" s="14"/>
      <c r="Q153" s="22"/>
      <c r="R153" s="35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</row>
    <row r="154" spans="1:41" ht="12.75">
      <c r="A154" s="14"/>
      <c r="B154" s="14"/>
      <c r="C154" s="35"/>
      <c r="D154" s="7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35"/>
      <c r="P154" s="14"/>
      <c r="Q154" s="14"/>
      <c r="R154" s="35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</row>
    <row r="155" spans="1:41" ht="12.75">
      <c r="A155" s="14"/>
      <c r="B155" s="14"/>
      <c r="C155" s="35"/>
      <c r="D155" s="7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35"/>
      <c r="P155" s="14"/>
      <c r="Q155" s="14"/>
      <c r="R155" s="35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</row>
    <row r="156" spans="1:41" ht="12.75">
      <c r="A156" s="14"/>
      <c r="B156" s="14"/>
      <c r="C156" s="35"/>
      <c r="D156" s="7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35"/>
      <c r="P156" s="14"/>
      <c r="Q156" s="14"/>
      <c r="R156" s="35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</row>
    <row r="157" spans="1:41" ht="12.75">
      <c r="A157" s="14"/>
      <c r="B157" s="14"/>
      <c r="C157" s="35"/>
      <c r="D157" s="7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35"/>
      <c r="P157" s="14"/>
      <c r="Q157" s="14"/>
      <c r="R157" s="35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</row>
    <row r="158" spans="1:41" ht="12.75">
      <c r="A158" s="14"/>
      <c r="B158" s="14"/>
      <c r="C158" s="35"/>
      <c r="D158" s="7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35"/>
      <c r="P158" s="14"/>
      <c r="Q158" s="14"/>
      <c r="R158" s="35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</row>
    <row r="159" spans="1:41" ht="12.75">
      <c r="A159" s="14"/>
      <c r="B159" s="14"/>
      <c r="C159" s="35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35"/>
      <c r="P159" s="14"/>
      <c r="Q159" s="14"/>
      <c r="R159" s="35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</row>
    <row r="160" spans="1:41" ht="12.75">
      <c r="A160" s="14"/>
      <c r="B160" s="14"/>
      <c r="C160" s="35"/>
      <c r="D160" s="7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35"/>
      <c r="P160" s="14"/>
      <c r="Q160" s="14"/>
      <c r="R160" s="35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</row>
    <row r="161" spans="1:41" ht="12.75">
      <c r="A161" s="14"/>
      <c r="B161" s="14"/>
      <c r="C161" s="35"/>
      <c r="D161" s="7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35"/>
      <c r="P161" s="14"/>
      <c r="Q161" s="14"/>
      <c r="R161" s="35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</row>
    <row r="162" spans="1:41" ht="12.75">
      <c r="A162" s="14"/>
      <c r="B162" s="14"/>
      <c r="C162" s="35"/>
      <c r="D162" s="7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35"/>
      <c r="P162" s="14"/>
      <c r="Q162" s="14"/>
      <c r="R162" s="35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</row>
    <row r="163" spans="1:41" ht="12.75">
      <c r="A163" s="14"/>
      <c r="B163" s="14"/>
      <c r="C163" s="35"/>
      <c r="D163" s="7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35"/>
      <c r="P163" s="14"/>
      <c r="Q163" s="14"/>
      <c r="R163" s="35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</row>
    <row r="164" spans="1:41" ht="12.75">
      <c r="A164" s="14"/>
      <c r="B164" s="14"/>
      <c r="C164" s="35"/>
      <c r="D164" s="7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35"/>
      <c r="P164" s="14"/>
      <c r="Q164" s="14"/>
      <c r="R164" s="35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</row>
    <row r="165" spans="1:41" ht="12.75">
      <c r="A165" s="14"/>
      <c r="B165" s="14"/>
      <c r="C165" s="35"/>
      <c r="D165" s="7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35"/>
      <c r="P165" s="14"/>
      <c r="Q165" s="14"/>
      <c r="R165" s="35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</row>
    <row r="166" spans="1:41" ht="12.75">
      <c r="A166" s="14"/>
      <c r="B166" s="14"/>
      <c r="C166" s="35"/>
      <c r="D166" s="7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35"/>
      <c r="P166" s="14"/>
      <c r="Q166" s="14"/>
      <c r="R166" s="35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</row>
    <row r="167" spans="1:41" ht="12.75">
      <c r="A167" s="14"/>
      <c r="B167" s="14"/>
      <c r="C167" s="35"/>
      <c r="D167" s="7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35"/>
      <c r="P167" s="14"/>
      <c r="Q167" s="14"/>
      <c r="R167" s="35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</row>
    <row r="168" spans="1:41" ht="12.75">
      <c r="A168" s="14"/>
      <c r="B168" s="14"/>
      <c r="C168" s="35"/>
      <c r="D168" s="7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35"/>
      <c r="P168" s="14"/>
      <c r="Q168" s="14"/>
      <c r="R168" s="35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</row>
    <row r="169" spans="1:41" ht="12.75">
      <c r="A169" s="14"/>
      <c r="B169" s="14"/>
      <c r="C169" s="35"/>
      <c r="D169" s="7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35"/>
      <c r="P169" s="14"/>
      <c r="Q169" s="14"/>
      <c r="R169" s="35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</row>
    <row r="170" spans="1:41" ht="12.75">
      <c r="A170" s="14"/>
      <c r="B170" s="14"/>
      <c r="C170" s="35"/>
      <c r="D170" s="7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35"/>
      <c r="P170" s="14"/>
      <c r="Q170" s="14"/>
      <c r="R170" s="35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</row>
    <row r="171" spans="1:41" ht="12.75">
      <c r="A171" s="14"/>
      <c r="B171" s="14"/>
      <c r="C171" s="35"/>
      <c r="D171" s="7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35"/>
      <c r="P171" s="14"/>
      <c r="Q171" s="14"/>
      <c r="R171" s="35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</row>
    <row r="172" spans="1:41" ht="12.75">
      <c r="A172" s="14"/>
      <c r="B172" s="14"/>
      <c r="C172" s="35"/>
      <c r="D172" s="7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35"/>
      <c r="P172" s="14"/>
      <c r="Q172" s="14"/>
      <c r="R172" s="35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</row>
    <row r="173" spans="1:41" ht="12.75">
      <c r="A173" s="14"/>
      <c r="B173" s="14"/>
      <c r="C173" s="35"/>
      <c r="D173" s="7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35"/>
      <c r="P173" s="14"/>
      <c r="Q173" s="14"/>
      <c r="R173" s="35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</row>
    <row r="174" spans="1:41" ht="12.75">
      <c r="A174" s="14"/>
      <c r="B174" s="14"/>
      <c r="C174" s="35"/>
      <c r="D174" s="7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35"/>
      <c r="P174" s="14"/>
      <c r="Q174" s="14"/>
      <c r="R174" s="35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</row>
    <row r="175" spans="1:41" ht="12.75">
      <c r="A175" s="14"/>
      <c r="B175" s="14"/>
      <c r="C175" s="35"/>
      <c r="D175" s="7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35"/>
      <c r="P175" s="14"/>
      <c r="Q175" s="14"/>
      <c r="R175" s="35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</row>
    <row r="176" spans="1:41" ht="12.75">
      <c r="A176" s="14"/>
      <c r="B176" s="14"/>
      <c r="C176" s="35"/>
      <c r="D176" s="7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35"/>
      <c r="P176" s="14"/>
      <c r="Q176" s="14"/>
      <c r="R176" s="35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</row>
    <row r="177" spans="1:41" ht="12.75">
      <c r="A177" s="14"/>
      <c r="B177" s="14"/>
      <c r="C177" s="35"/>
      <c r="D177" s="7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35"/>
      <c r="P177" s="14"/>
      <c r="Q177" s="14"/>
      <c r="R177" s="35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</row>
    <row r="178" spans="1:41" ht="12.75">
      <c r="A178" s="14"/>
      <c r="B178" s="14"/>
      <c r="C178" s="35"/>
      <c r="D178" s="7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35"/>
      <c r="P178" s="14"/>
      <c r="Q178" s="14"/>
      <c r="R178" s="35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</row>
    <row r="179" spans="1:41" ht="12.75">
      <c r="A179" s="14"/>
      <c r="B179" s="14"/>
      <c r="C179" s="35"/>
      <c r="D179" s="7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35"/>
      <c r="P179" s="14"/>
      <c r="Q179" s="14"/>
      <c r="R179" s="35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</row>
    <row r="180" spans="1:21" ht="12.75">
      <c r="A180" s="14"/>
      <c r="B180" s="14"/>
      <c r="C180" s="35"/>
      <c r="D180" s="7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35"/>
      <c r="P180" s="14"/>
      <c r="Q180" s="14"/>
      <c r="R180" s="35"/>
      <c r="S180" s="14"/>
      <c r="T180" s="14"/>
      <c r="U180" s="14"/>
    </row>
    <row r="181" spans="1:21" ht="12.75">
      <c r="A181" s="14"/>
      <c r="B181" s="14"/>
      <c r="C181" s="35"/>
      <c r="D181" s="7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35"/>
      <c r="P181" s="14"/>
      <c r="Q181" s="14"/>
      <c r="R181" s="35"/>
      <c r="S181" s="14"/>
      <c r="T181" s="14"/>
      <c r="U181" s="14"/>
    </row>
    <row r="182" spans="1:21" ht="12.75">
      <c r="A182" s="14"/>
      <c r="B182" s="14"/>
      <c r="C182" s="35"/>
      <c r="D182" s="7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35"/>
      <c r="P182" s="14"/>
      <c r="Q182" s="14"/>
      <c r="R182" s="35"/>
      <c r="S182" s="14"/>
      <c r="T182" s="14"/>
      <c r="U182" s="14"/>
    </row>
    <row r="183" spans="1:21" ht="12.75">
      <c r="A183" s="14"/>
      <c r="B183" s="14"/>
      <c r="C183" s="35"/>
      <c r="D183" s="7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35"/>
      <c r="P183" s="14"/>
      <c r="Q183" s="14"/>
      <c r="R183" s="35"/>
      <c r="S183" s="14"/>
      <c r="T183" s="14"/>
      <c r="U183" s="14"/>
    </row>
    <row r="184" spans="1:21" ht="12.75">
      <c r="A184" s="14"/>
      <c r="B184" s="14"/>
      <c r="C184" s="35"/>
      <c r="D184" s="7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35"/>
      <c r="P184" s="14"/>
      <c r="Q184" s="14"/>
      <c r="R184" s="35"/>
      <c r="S184" s="14"/>
      <c r="T184" s="14"/>
      <c r="U184" s="14"/>
    </row>
    <row r="185" spans="1:21" ht="12.75">
      <c r="A185" s="14"/>
      <c r="B185" s="14"/>
      <c r="C185" s="35"/>
      <c r="D185" s="7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35"/>
      <c r="P185" s="14"/>
      <c r="Q185" s="14"/>
      <c r="R185" s="35"/>
      <c r="S185" s="14"/>
      <c r="T185" s="14"/>
      <c r="U185" s="14"/>
    </row>
    <row r="186" spans="1:21" ht="12.75">
      <c r="A186" s="14"/>
      <c r="B186" s="1"/>
      <c r="C186" s="38"/>
      <c r="D186" s="6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38"/>
      <c r="P186" s="1"/>
      <c r="Q186" s="1"/>
      <c r="R186" s="38"/>
      <c r="S186" s="1"/>
      <c r="T186" s="1"/>
      <c r="U186" s="1"/>
    </row>
    <row r="187" spans="2:21" ht="12.75">
      <c r="B187" s="1"/>
      <c r="C187" s="38"/>
      <c r="D187" s="6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38"/>
      <c r="P187" s="1"/>
      <c r="Q187" s="1"/>
      <c r="R187" s="38"/>
      <c r="S187" s="1"/>
      <c r="T187" s="1"/>
      <c r="U187" s="1"/>
    </row>
    <row r="188" spans="2:21" ht="12.75">
      <c r="B188" s="1"/>
      <c r="C188" s="38"/>
      <c r="D188" s="6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38"/>
      <c r="P188" s="1"/>
      <c r="Q188" s="1"/>
      <c r="R188" s="38"/>
      <c r="S188" s="1"/>
      <c r="T188" s="1"/>
      <c r="U188" s="1"/>
    </row>
    <row r="189" spans="2:21" ht="12.75">
      <c r="B189" s="1"/>
      <c r="C189" s="38"/>
      <c r="D189" s="6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38"/>
      <c r="P189" s="1"/>
      <c r="Q189" s="1"/>
      <c r="R189" s="38"/>
      <c r="S189" s="1"/>
      <c r="T189" s="1"/>
      <c r="U189" s="1"/>
    </row>
  </sheetData>
  <sheetProtection/>
  <mergeCells count="6">
    <mergeCell ref="A53:U53"/>
    <mergeCell ref="A1:U1"/>
    <mergeCell ref="A2:U2"/>
    <mergeCell ref="A3:U3"/>
    <mergeCell ref="A52:U52"/>
    <mergeCell ref="A51:U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54.7109375" style="0" customWidth="1"/>
    <col min="2" max="2" width="19.8515625" style="0" customWidth="1"/>
    <col min="3" max="3" width="22.00390625" style="0" customWidth="1"/>
    <col min="4" max="4" width="17.7109375" style="0" customWidth="1"/>
    <col min="5" max="5" width="22.57421875" style="0" customWidth="1"/>
    <col min="6" max="6" width="15.28125" style="0" customWidth="1"/>
    <col min="8" max="8" width="13.7109375" style="0" bestFit="1" customWidth="1"/>
    <col min="9" max="9" width="13.28125" style="0" bestFit="1" customWidth="1"/>
    <col min="10" max="10" width="13.7109375" style="0" bestFit="1" customWidth="1"/>
    <col min="11" max="11" width="16.57421875" style="0" customWidth="1"/>
  </cols>
  <sheetData>
    <row r="2" spans="2:8" ht="12.75">
      <c r="B2" s="23" t="s">
        <v>87</v>
      </c>
      <c r="H2" s="23" t="s">
        <v>88</v>
      </c>
    </row>
    <row r="3" spans="1:12" ht="12.75">
      <c r="A3" t="s">
        <v>59</v>
      </c>
      <c r="B3" s="1">
        <f>SUM(B6:B13)</f>
        <v>203784164</v>
      </c>
      <c r="C3" s="1">
        <f>SUM(C6:C13)</f>
        <v>43500000</v>
      </c>
      <c r="D3" s="1">
        <f>+B3+C3</f>
        <v>247284164</v>
      </c>
      <c r="E3" s="1">
        <f>SUM(E6:E13)</f>
        <v>245322873</v>
      </c>
      <c r="F3" s="1">
        <f>+D3-E3</f>
        <v>1961291</v>
      </c>
      <c r="G3" s="1"/>
      <c r="H3" s="1">
        <f>SUM(H6:H12)</f>
        <v>219078000</v>
      </c>
      <c r="I3" s="1">
        <f>SUM(I6:I12)</f>
        <v>-22867271</v>
      </c>
      <c r="J3" s="1">
        <f>SUM(J6:J12)</f>
        <v>196210729</v>
      </c>
      <c r="K3" s="1">
        <f>SUM(K6:K12)</f>
        <v>196210729</v>
      </c>
      <c r="L3" s="1"/>
    </row>
    <row r="4" spans="2:12" ht="12.75">
      <c r="B4" s="1"/>
      <c r="C4" s="1"/>
      <c r="D4" s="4" t="s">
        <v>0</v>
      </c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4" t="s">
        <v>0</v>
      </c>
      <c r="E5" s="1"/>
      <c r="F5" s="1"/>
      <c r="G5" s="1"/>
      <c r="H5" s="1"/>
      <c r="I5" s="1"/>
      <c r="J5" s="1"/>
      <c r="K5" s="1"/>
      <c r="L5" s="1"/>
    </row>
    <row r="6" spans="1:12" ht="12.75">
      <c r="A6" t="s">
        <v>60</v>
      </c>
      <c r="B6" s="1">
        <v>43434833</v>
      </c>
      <c r="C6" s="1">
        <v>100000</v>
      </c>
      <c r="D6" s="1">
        <f aca="true" t="shared" si="0" ref="D6:D69">+B6+C6</f>
        <v>43534833</v>
      </c>
      <c r="E6" s="1">
        <v>43491295</v>
      </c>
      <c r="F6" s="1">
        <f aca="true" t="shared" si="1" ref="F6:F49">+D6-E6</f>
        <v>43538</v>
      </c>
      <c r="G6" s="1"/>
      <c r="H6" s="1">
        <v>13000000</v>
      </c>
      <c r="I6" s="1"/>
      <c r="J6" s="1">
        <f aca="true" t="shared" si="2" ref="J6:J11">+H6-I6</f>
        <v>13000000</v>
      </c>
      <c r="K6" s="1">
        <f>+J6</f>
        <v>13000000</v>
      </c>
      <c r="L6" s="1"/>
    </row>
    <row r="7" spans="1:12" ht="12.75">
      <c r="A7" t="s">
        <v>61</v>
      </c>
      <c r="B7" s="1">
        <v>9196054</v>
      </c>
      <c r="C7" s="1">
        <v>2100000</v>
      </c>
      <c r="D7" s="1">
        <f t="shared" si="0"/>
        <v>11296054</v>
      </c>
      <c r="E7" s="1">
        <v>11239919</v>
      </c>
      <c r="F7" s="1">
        <f t="shared" si="1"/>
        <v>56135</v>
      </c>
      <c r="G7" s="1"/>
      <c r="H7" s="1"/>
      <c r="I7" s="1"/>
      <c r="J7" s="1">
        <f t="shared" si="2"/>
        <v>0</v>
      </c>
      <c r="K7" s="1"/>
      <c r="L7" s="1"/>
    </row>
    <row r="8" spans="1:12" ht="12.75">
      <c r="A8" t="s">
        <v>62</v>
      </c>
      <c r="B8" s="1">
        <v>6569244</v>
      </c>
      <c r="C8" s="1"/>
      <c r="D8" s="1">
        <f t="shared" si="0"/>
        <v>6569244</v>
      </c>
      <c r="E8" s="1">
        <v>6489558</v>
      </c>
      <c r="F8" s="1">
        <f t="shared" si="1"/>
        <v>79686</v>
      </c>
      <c r="G8" s="1"/>
      <c r="H8" s="1"/>
      <c r="I8" s="1"/>
      <c r="J8" s="1">
        <f t="shared" si="2"/>
        <v>0</v>
      </c>
      <c r="K8" s="1"/>
      <c r="L8" s="1"/>
    </row>
    <row r="9" spans="1:12" ht="12.75">
      <c r="A9" t="s">
        <v>63</v>
      </c>
      <c r="B9" s="1">
        <v>6216000</v>
      </c>
      <c r="C9" s="1"/>
      <c r="D9" s="1">
        <f t="shared" si="0"/>
        <v>6216000</v>
      </c>
      <c r="E9" s="1">
        <v>5873557</v>
      </c>
      <c r="F9" s="1">
        <f t="shared" si="1"/>
        <v>342443</v>
      </c>
      <c r="G9" s="1"/>
      <c r="H9" s="1"/>
      <c r="I9" s="1"/>
      <c r="J9" s="1">
        <f t="shared" si="2"/>
        <v>0</v>
      </c>
      <c r="K9" s="1"/>
      <c r="L9" s="1"/>
    </row>
    <row r="10" spans="1:12" ht="12.75">
      <c r="A10" t="s">
        <v>64</v>
      </c>
      <c r="B10" s="1">
        <v>19078981</v>
      </c>
      <c r="C10" s="1">
        <v>-4400000</v>
      </c>
      <c r="D10" s="1">
        <f t="shared" si="0"/>
        <v>14678981</v>
      </c>
      <c r="E10" s="1">
        <v>14654699</v>
      </c>
      <c r="F10" s="1">
        <f t="shared" si="1"/>
        <v>24282</v>
      </c>
      <c r="G10" s="1"/>
      <c r="H10" s="1">
        <v>62000000</v>
      </c>
      <c r="I10" s="1"/>
      <c r="J10" s="1">
        <f t="shared" si="2"/>
        <v>62000000</v>
      </c>
      <c r="K10" s="1">
        <f>+J10</f>
        <v>62000000</v>
      </c>
      <c r="L10" s="1"/>
    </row>
    <row r="11" spans="1:12" ht="12.75">
      <c r="A11" t="s">
        <v>65</v>
      </c>
      <c r="B11" s="1">
        <v>63379272</v>
      </c>
      <c r="C11" s="1">
        <f>76379272-B11</f>
        <v>13000000</v>
      </c>
      <c r="D11" s="1">
        <f t="shared" si="0"/>
        <v>76379272</v>
      </c>
      <c r="E11" s="1">
        <v>76316713</v>
      </c>
      <c r="F11" s="1">
        <f t="shared" si="1"/>
        <v>62559</v>
      </c>
      <c r="G11" s="1"/>
      <c r="H11" s="1">
        <v>21078000</v>
      </c>
      <c r="I11" s="1"/>
      <c r="J11" s="1">
        <f t="shared" si="2"/>
        <v>21078000</v>
      </c>
      <c r="K11" s="1">
        <f>+J11</f>
        <v>21078000</v>
      </c>
      <c r="L11" s="1"/>
    </row>
    <row r="12" spans="1:12" ht="12.75">
      <c r="A12" t="s">
        <v>66</v>
      </c>
      <c r="B12" s="1">
        <v>45505525</v>
      </c>
      <c r="C12" s="1">
        <f>23000000+6000000</f>
        <v>29000000</v>
      </c>
      <c r="D12" s="1">
        <f t="shared" si="0"/>
        <v>74505525</v>
      </c>
      <c r="E12" s="1">
        <v>74399452</v>
      </c>
      <c r="F12" s="1">
        <f t="shared" si="1"/>
        <v>106073</v>
      </c>
      <c r="G12" s="1"/>
      <c r="H12" s="1">
        <f>100132729+22867271</f>
        <v>123000000</v>
      </c>
      <c r="I12" s="1">
        <v>-22867271</v>
      </c>
      <c r="J12" s="1">
        <f>+H12+I12</f>
        <v>100132729</v>
      </c>
      <c r="K12" s="1">
        <f>+J12</f>
        <v>100132729</v>
      </c>
      <c r="L12" s="1"/>
    </row>
    <row r="13" spans="1:12" ht="12.75">
      <c r="A13" t="s">
        <v>67</v>
      </c>
      <c r="B13" s="1">
        <v>10404255</v>
      </c>
      <c r="C13" s="1">
        <v>3700000</v>
      </c>
      <c r="D13" s="1">
        <f t="shared" si="0"/>
        <v>14104255</v>
      </c>
      <c r="E13" s="1">
        <v>12857680</v>
      </c>
      <c r="F13" s="1">
        <f t="shared" si="1"/>
        <v>1246575</v>
      </c>
      <c r="G13" s="1"/>
      <c r="H13" s="1"/>
      <c r="I13" s="1"/>
      <c r="J13" s="1"/>
      <c r="K13" s="1"/>
      <c r="L13" s="1"/>
    </row>
    <row r="14" spans="2:12" ht="12.75">
      <c r="B14" s="1"/>
      <c r="C14" s="1"/>
      <c r="D14" s="1">
        <f t="shared" si="0"/>
        <v>0</v>
      </c>
      <c r="E14" s="1"/>
      <c r="F14" s="1">
        <f t="shared" si="1"/>
        <v>0</v>
      </c>
      <c r="G14" s="1"/>
      <c r="H14" s="1"/>
      <c r="I14" s="1"/>
      <c r="J14" s="1"/>
      <c r="K14" s="1"/>
      <c r="L14" s="1"/>
    </row>
    <row r="15" spans="1:12" ht="12.75">
      <c r="A15" s="23" t="s">
        <v>68</v>
      </c>
      <c r="B15" s="1">
        <f>SUM(B17:B19)</f>
        <v>517824251</v>
      </c>
      <c r="C15" s="1">
        <f>SUM(C17:C19)</f>
        <v>329196000</v>
      </c>
      <c r="D15" s="1">
        <f t="shared" si="0"/>
        <v>847020251</v>
      </c>
      <c r="E15" s="1">
        <f>SUM(E17:E19)</f>
        <v>730893787</v>
      </c>
      <c r="F15" s="1">
        <f t="shared" si="1"/>
        <v>116126464</v>
      </c>
      <c r="G15" s="1"/>
      <c r="H15" s="1"/>
      <c r="I15" s="1"/>
      <c r="J15" s="1"/>
      <c r="K15" s="1"/>
      <c r="L15" s="1"/>
    </row>
    <row r="16" spans="2:12" ht="12.75">
      <c r="B16" s="1"/>
      <c r="C16" s="1"/>
      <c r="D16" s="1">
        <f t="shared" si="0"/>
        <v>0</v>
      </c>
      <c r="E16" s="1"/>
      <c r="F16" s="1">
        <f t="shared" si="1"/>
        <v>0</v>
      </c>
      <c r="G16" s="1"/>
      <c r="H16" s="1"/>
      <c r="I16" s="1"/>
      <c r="J16" s="1"/>
      <c r="K16" s="1"/>
      <c r="L16" s="1"/>
    </row>
    <row r="17" spans="1:12" ht="12.75">
      <c r="A17" s="23" t="s">
        <v>69</v>
      </c>
      <c r="B17" s="1">
        <v>95268751</v>
      </c>
      <c r="C17" s="1"/>
      <c r="D17" s="1">
        <f t="shared" si="0"/>
        <v>95268751</v>
      </c>
      <c r="E17" s="1">
        <v>61089546</v>
      </c>
      <c r="F17" s="1">
        <f t="shared" si="1"/>
        <v>34179205</v>
      </c>
      <c r="G17" s="1"/>
      <c r="H17" s="1"/>
      <c r="I17" s="1"/>
      <c r="J17" s="1"/>
      <c r="K17" s="1"/>
      <c r="L17" s="1"/>
    </row>
    <row r="18" spans="1:12" ht="12.75">
      <c r="A18" s="23" t="s">
        <v>70</v>
      </c>
      <c r="B18" s="1">
        <v>19076000</v>
      </c>
      <c r="C18" s="1"/>
      <c r="D18" s="1">
        <f t="shared" si="0"/>
        <v>19076000</v>
      </c>
      <c r="E18" s="1">
        <v>17038572</v>
      </c>
      <c r="F18" s="1">
        <f t="shared" si="1"/>
        <v>2037428</v>
      </c>
      <c r="G18" s="1"/>
      <c r="H18" s="1"/>
      <c r="I18" s="1"/>
      <c r="J18" s="1"/>
      <c r="K18" s="1"/>
      <c r="L18" s="1"/>
    </row>
    <row r="19" spans="1:12" ht="12.75">
      <c r="A19" s="23" t="s">
        <v>71</v>
      </c>
      <c r="B19" s="1">
        <v>403479500</v>
      </c>
      <c r="C19" s="1">
        <f>545696000-159000000-57500000</f>
        <v>329196000</v>
      </c>
      <c r="D19" s="1">
        <f t="shared" si="0"/>
        <v>732675500</v>
      </c>
      <c r="E19" s="1">
        <v>652765669</v>
      </c>
      <c r="F19" s="1">
        <f t="shared" si="1"/>
        <v>79909831</v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">
        <f t="shared" si="0"/>
        <v>0</v>
      </c>
      <c r="E20" s="1"/>
      <c r="F20" s="4" t="s">
        <v>0</v>
      </c>
      <c r="G20" s="1"/>
      <c r="H20" s="1"/>
      <c r="I20" s="1"/>
      <c r="J20" s="1"/>
      <c r="K20" s="1"/>
      <c r="L20" s="1"/>
    </row>
    <row r="21" spans="2:12" ht="12.75">
      <c r="B21" s="1"/>
      <c r="C21" s="1"/>
      <c r="D21" s="1">
        <f t="shared" si="0"/>
        <v>0</v>
      </c>
      <c r="E21" s="1"/>
      <c r="F21" s="4" t="s">
        <v>0</v>
      </c>
      <c r="G21" s="1"/>
      <c r="H21" s="1"/>
      <c r="I21" s="1"/>
      <c r="J21" s="1"/>
      <c r="K21" s="1"/>
      <c r="L21" s="1"/>
    </row>
    <row r="22" spans="1:12" ht="12.75">
      <c r="A22" s="23" t="s">
        <v>76</v>
      </c>
      <c r="B22" s="1">
        <f>+B24+B29+B41</f>
        <v>1097571531</v>
      </c>
      <c r="C22" s="1">
        <f>+C24+C29+C41</f>
        <v>111800000</v>
      </c>
      <c r="D22" s="1">
        <f>+D24+D29+D41</f>
        <v>1209371531</v>
      </c>
      <c r="E22" s="1">
        <f>+E24+E29+E41</f>
        <v>1036440588</v>
      </c>
      <c r="F22" s="1">
        <f t="shared" si="1"/>
        <v>172930943</v>
      </c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</row>
    <row r="24" spans="1:12" ht="12.75">
      <c r="A24" s="23" t="s">
        <v>72</v>
      </c>
      <c r="B24" s="1">
        <f>+B26+B27</f>
        <v>210512500</v>
      </c>
      <c r="C24" s="1">
        <f>+C26+C27</f>
        <v>167800000</v>
      </c>
      <c r="D24" s="1">
        <f>+D26+D27</f>
        <v>378312500</v>
      </c>
      <c r="E24" s="1">
        <f>+E26+E27</f>
        <v>231490846</v>
      </c>
      <c r="F24" s="1">
        <f t="shared" si="1"/>
        <v>146821654</v>
      </c>
      <c r="G24" s="1"/>
      <c r="H24" s="1"/>
      <c r="I24" s="1"/>
      <c r="J24" s="1"/>
      <c r="K24" s="1"/>
      <c r="L24" s="1"/>
    </row>
    <row r="25" spans="2:12" ht="12.75">
      <c r="B25" s="1"/>
      <c r="C25" s="1"/>
      <c r="D25" s="4" t="s">
        <v>0</v>
      </c>
      <c r="E25" s="1"/>
      <c r="F25" s="4" t="s">
        <v>0</v>
      </c>
      <c r="G25" s="1"/>
      <c r="H25" s="1"/>
      <c r="I25" s="1"/>
      <c r="J25" s="1"/>
      <c r="K25" s="1"/>
      <c r="L25" s="1"/>
    </row>
    <row r="26" spans="1:12" ht="12.75">
      <c r="A26" s="23" t="s">
        <v>73</v>
      </c>
      <c r="B26" s="1">
        <v>60240000</v>
      </c>
      <c r="C26" s="1">
        <f>415000000-139000000-84000000</f>
        <v>192000000</v>
      </c>
      <c r="D26" s="1">
        <f t="shared" si="0"/>
        <v>252240000</v>
      </c>
      <c r="E26" s="1">
        <v>111422744</v>
      </c>
      <c r="F26" s="1">
        <f t="shared" si="1"/>
        <v>140817256</v>
      </c>
      <c r="G26" s="1"/>
      <c r="H26" s="1">
        <f>475240000-223000000</f>
        <v>252240000</v>
      </c>
      <c r="I26" s="1"/>
      <c r="J26" s="1"/>
      <c r="K26" s="1"/>
      <c r="L26" s="1"/>
    </row>
    <row r="27" spans="1:12" ht="12.75">
      <c r="A27" s="23" t="s">
        <v>74</v>
      </c>
      <c r="B27" s="1">
        <v>150272500</v>
      </c>
      <c r="C27" s="1">
        <f>-52500000+32000000-3700000</f>
        <v>-24200000</v>
      </c>
      <c r="D27" s="1">
        <f t="shared" si="0"/>
        <v>126072500</v>
      </c>
      <c r="E27" s="1">
        <v>120068102</v>
      </c>
      <c r="F27" s="1">
        <f t="shared" si="1"/>
        <v>6004398</v>
      </c>
      <c r="G27" s="1"/>
      <c r="H27" s="1">
        <f>182272500-56200000</f>
        <v>126072500</v>
      </c>
      <c r="I27" s="1"/>
      <c r="J27" s="1"/>
      <c r="K27" s="1"/>
      <c r="L27" s="1"/>
    </row>
    <row r="28" spans="2:12" ht="12.75">
      <c r="B28" s="1"/>
      <c r="C28" s="1"/>
      <c r="D28" s="4" t="s">
        <v>0</v>
      </c>
      <c r="E28" s="1"/>
      <c r="F28" s="4" t="s">
        <v>0</v>
      </c>
      <c r="G28" s="1"/>
      <c r="H28" s="1">
        <f>+H26+H27</f>
        <v>378312500</v>
      </c>
      <c r="I28" s="1"/>
      <c r="J28" s="1"/>
      <c r="K28" s="1"/>
      <c r="L28" s="1"/>
    </row>
    <row r="29" spans="1:12" ht="12.75">
      <c r="A29" s="23" t="s">
        <v>75</v>
      </c>
      <c r="B29" s="1">
        <f>SUM(B31:B39)</f>
        <v>838339281</v>
      </c>
      <c r="C29" s="1">
        <f>SUM(C31:C39)</f>
        <v>-66000000</v>
      </c>
      <c r="D29" s="1">
        <f>SUM(D31:D39)</f>
        <v>772339281</v>
      </c>
      <c r="E29" s="1">
        <f>SUM(E31:E39)</f>
        <v>747797131</v>
      </c>
      <c r="F29" s="1">
        <f t="shared" si="1"/>
        <v>24542150</v>
      </c>
      <c r="G29" s="1"/>
      <c r="H29" s="1"/>
      <c r="I29" s="1"/>
      <c r="J29" s="1"/>
      <c r="K29" s="1"/>
      <c r="L29" s="1"/>
    </row>
    <row r="30" spans="2:12" ht="12.75">
      <c r="B30" s="1"/>
      <c r="C30" s="1"/>
      <c r="D30" s="1">
        <f t="shared" si="0"/>
        <v>0</v>
      </c>
      <c r="E30" s="1"/>
      <c r="F30" s="1">
        <f t="shared" si="1"/>
        <v>0</v>
      </c>
      <c r="G30" s="1"/>
      <c r="H30" s="1"/>
      <c r="I30" s="1"/>
      <c r="J30" s="1"/>
      <c r="K30" s="1"/>
      <c r="L30" s="1"/>
    </row>
    <row r="31" spans="1:12" ht="12.75">
      <c r="A31" s="23" t="s">
        <v>77</v>
      </c>
      <c r="B31" s="1">
        <v>186815351</v>
      </c>
      <c r="C31" s="1">
        <f>10000000+6000000</f>
        <v>16000000</v>
      </c>
      <c r="D31" s="1">
        <f t="shared" si="0"/>
        <v>202815351</v>
      </c>
      <c r="E31" s="1">
        <v>201812201</v>
      </c>
      <c r="F31" s="1">
        <f t="shared" si="1"/>
        <v>1003150</v>
      </c>
      <c r="G31" s="1"/>
      <c r="H31" s="1"/>
      <c r="I31" s="1"/>
      <c r="J31" s="1"/>
      <c r="K31" s="1"/>
      <c r="L31" s="1"/>
    </row>
    <row r="32" spans="1:12" ht="12.75">
      <c r="A32" s="23" t="s">
        <v>78</v>
      </c>
      <c r="B32" s="1">
        <v>87605500</v>
      </c>
      <c r="C32" s="1"/>
      <c r="D32" s="1">
        <f t="shared" si="0"/>
        <v>87605500</v>
      </c>
      <c r="E32" s="1">
        <v>86974952</v>
      </c>
      <c r="F32" s="1">
        <f t="shared" si="1"/>
        <v>630548</v>
      </c>
      <c r="G32" s="1"/>
      <c r="H32" s="1"/>
      <c r="I32" s="1"/>
      <c r="J32" s="1"/>
      <c r="K32" s="1"/>
      <c r="L32" s="1"/>
    </row>
    <row r="33" spans="1:12" ht="12.75">
      <c r="A33" s="23" t="s">
        <v>79</v>
      </c>
      <c r="B33" s="1">
        <v>57123000</v>
      </c>
      <c r="C33" s="1">
        <f>20000000-60000000</f>
        <v>-40000000</v>
      </c>
      <c r="D33" s="1">
        <f t="shared" si="0"/>
        <v>17123000</v>
      </c>
      <c r="E33" s="1">
        <v>16093678</v>
      </c>
      <c r="F33" s="1">
        <f t="shared" si="1"/>
        <v>1029322</v>
      </c>
      <c r="G33" s="1"/>
      <c r="H33" s="1"/>
      <c r="I33" s="1"/>
      <c r="J33" s="1"/>
      <c r="K33" s="1"/>
      <c r="L33" s="1"/>
    </row>
    <row r="34" spans="1:12" ht="12.75">
      <c r="A34" s="23" t="s">
        <v>80</v>
      </c>
      <c r="B34" s="1">
        <v>174659780</v>
      </c>
      <c r="C34" s="1"/>
      <c r="D34" s="1">
        <f t="shared" si="0"/>
        <v>174659780</v>
      </c>
      <c r="E34" s="1">
        <v>162483117</v>
      </c>
      <c r="F34" s="1">
        <f t="shared" si="1"/>
        <v>12176663</v>
      </c>
      <c r="G34" s="1"/>
      <c r="H34" s="1">
        <f>+D34-199736779</f>
        <v>-25076999</v>
      </c>
      <c r="I34" s="1"/>
      <c r="J34" s="1"/>
      <c r="K34" s="1"/>
      <c r="L34" s="1"/>
    </row>
    <row r="35" spans="1:12" ht="12.75">
      <c r="A35" s="23" t="s">
        <v>81</v>
      </c>
      <c r="B35" s="1">
        <v>73500000</v>
      </c>
      <c r="C35" s="1">
        <v>-22000000</v>
      </c>
      <c r="D35" s="1">
        <f t="shared" si="0"/>
        <v>51500000</v>
      </c>
      <c r="E35" s="1">
        <v>50929093</v>
      </c>
      <c r="F35" s="1">
        <f t="shared" si="1"/>
        <v>570907</v>
      </c>
      <c r="G35" s="1"/>
      <c r="H35" s="1">
        <v>23790220</v>
      </c>
      <c r="I35" s="1"/>
      <c r="J35" s="1">
        <f>+H35</f>
        <v>23790220</v>
      </c>
      <c r="K35" s="1">
        <f>+J35</f>
        <v>23790220</v>
      </c>
      <c r="L35" s="1"/>
    </row>
    <row r="36" spans="1:12" ht="12.75">
      <c r="A36" s="23" t="s">
        <v>82</v>
      </c>
      <c r="B36" s="1">
        <v>37700000</v>
      </c>
      <c r="C36" s="1">
        <v>-2000000</v>
      </c>
      <c r="D36" s="1">
        <f t="shared" si="0"/>
        <v>35700000</v>
      </c>
      <c r="E36" s="1">
        <v>34887478</v>
      </c>
      <c r="F36" s="1">
        <f t="shared" si="1"/>
        <v>812522</v>
      </c>
      <c r="G36" s="1"/>
      <c r="H36" s="1"/>
      <c r="I36" s="1"/>
      <c r="J36" s="1"/>
      <c r="K36" s="1"/>
      <c r="L36" s="1"/>
    </row>
    <row r="37" spans="1:12" ht="12.75">
      <c r="A37" s="23" t="s">
        <v>83</v>
      </c>
      <c r="B37" s="1">
        <v>126000000</v>
      </c>
      <c r="C37" s="1">
        <v>24000000</v>
      </c>
      <c r="D37" s="1">
        <f t="shared" si="0"/>
        <v>150000000</v>
      </c>
      <c r="E37" s="1">
        <v>142971368</v>
      </c>
      <c r="F37" s="1">
        <f t="shared" si="1"/>
        <v>7028632</v>
      </c>
      <c r="G37" s="1"/>
      <c r="H37" s="1"/>
      <c r="I37" s="1"/>
      <c r="J37" s="1"/>
      <c r="K37" s="1"/>
      <c r="L37" s="1"/>
    </row>
    <row r="38" spans="1:12" ht="12.75">
      <c r="A38" s="23" t="s">
        <v>84</v>
      </c>
      <c r="B38" s="1">
        <v>5000000</v>
      </c>
      <c r="C38" s="1">
        <v>-4000000</v>
      </c>
      <c r="D38" s="1">
        <f t="shared" si="0"/>
        <v>1000000</v>
      </c>
      <c r="E38" s="1">
        <v>602400</v>
      </c>
      <c r="F38" s="1">
        <f t="shared" si="1"/>
        <v>397600</v>
      </c>
      <c r="G38" s="1"/>
      <c r="H38" s="1"/>
      <c r="I38" s="1"/>
      <c r="J38" s="1"/>
      <c r="K38" s="1"/>
      <c r="L38" s="1"/>
    </row>
    <row r="39" spans="1:12" ht="12.75">
      <c r="A39" s="23" t="s">
        <v>85</v>
      </c>
      <c r="B39" s="1">
        <f>28350000+61585650</f>
        <v>89935650</v>
      </c>
      <c r="C39" s="1">
        <v>-38000000</v>
      </c>
      <c r="D39" s="1">
        <f t="shared" si="0"/>
        <v>51935650</v>
      </c>
      <c r="E39" s="1">
        <v>51042844</v>
      </c>
      <c r="F39" s="1">
        <f t="shared" si="1"/>
        <v>892806</v>
      </c>
      <c r="G39" s="1"/>
      <c r="H39" s="1"/>
      <c r="I39" s="1"/>
      <c r="J39" s="1"/>
      <c r="K39" s="1"/>
      <c r="L39" s="1"/>
    </row>
    <row r="40" spans="2:12" ht="12.75">
      <c r="B40" s="1"/>
      <c r="C40" s="1"/>
      <c r="D40" s="1">
        <f t="shared" si="0"/>
        <v>0</v>
      </c>
      <c r="E40" s="1"/>
      <c r="F40" s="1">
        <f t="shared" si="1"/>
        <v>0</v>
      </c>
      <c r="G40" s="1"/>
      <c r="H40" s="1"/>
      <c r="I40" s="1"/>
      <c r="J40" s="1"/>
      <c r="K40" s="1"/>
      <c r="L40" s="1"/>
    </row>
    <row r="41" spans="1:12" ht="12.75">
      <c r="A41" s="23" t="s">
        <v>86</v>
      </c>
      <c r="B41" s="1">
        <v>48719750</v>
      </c>
      <c r="C41" s="1">
        <v>10000000</v>
      </c>
      <c r="D41" s="1">
        <f t="shared" si="0"/>
        <v>58719750</v>
      </c>
      <c r="E41" s="1">
        <v>57152611</v>
      </c>
      <c r="F41" s="1">
        <f t="shared" si="1"/>
        <v>1567139</v>
      </c>
      <c r="G41" s="1"/>
      <c r="H41" s="1">
        <v>1423000</v>
      </c>
      <c r="I41" s="1"/>
      <c r="J41" s="1">
        <f>+H41+I41</f>
        <v>1423000</v>
      </c>
      <c r="K41" s="1">
        <f>+J41</f>
        <v>1423000</v>
      </c>
      <c r="L41" s="1"/>
    </row>
    <row r="42" spans="2:12" ht="12.75">
      <c r="B42" s="1"/>
      <c r="C42" s="1"/>
      <c r="D42" s="1">
        <f t="shared" si="0"/>
        <v>0</v>
      </c>
      <c r="E42" s="1"/>
      <c r="F42" s="1">
        <f t="shared" si="1"/>
        <v>0</v>
      </c>
      <c r="G42" s="1"/>
      <c r="H42" s="1"/>
      <c r="I42" s="1"/>
      <c r="J42" s="1"/>
      <c r="K42" s="1"/>
      <c r="L42" s="1"/>
    </row>
    <row r="43" spans="2:12" ht="12.75">
      <c r="B43" s="1"/>
      <c r="C43" s="1"/>
      <c r="D43" s="1">
        <f t="shared" si="0"/>
        <v>0</v>
      </c>
      <c r="E43" s="1"/>
      <c r="F43" s="1">
        <f t="shared" si="1"/>
        <v>0</v>
      </c>
      <c r="G43" s="1"/>
      <c r="H43" s="1"/>
      <c r="I43" s="1"/>
      <c r="J43" s="1"/>
      <c r="K43" s="1"/>
      <c r="L43" s="1"/>
    </row>
    <row r="44" spans="2:12" ht="12.75">
      <c r="B44" s="1"/>
      <c r="C44" s="1"/>
      <c r="D44" s="1">
        <f t="shared" si="0"/>
        <v>0</v>
      </c>
      <c r="E44" s="1"/>
      <c r="F44" s="1">
        <f t="shared" si="1"/>
        <v>0</v>
      </c>
      <c r="G44" s="1"/>
      <c r="H44" s="1"/>
      <c r="I44" s="1"/>
      <c r="J44" s="1"/>
      <c r="K44" s="1"/>
      <c r="L44" s="1"/>
    </row>
    <row r="45" spans="2:12" ht="12.75">
      <c r="B45" s="1"/>
      <c r="C45" s="1"/>
      <c r="D45" s="1">
        <f t="shared" si="0"/>
        <v>0</v>
      </c>
      <c r="E45" s="1"/>
      <c r="F45" s="1">
        <f t="shared" si="1"/>
        <v>0</v>
      </c>
      <c r="G45" s="1"/>
      <c r="H45" s="1"/>
      <c r="I45" s="1"/>
      <c r="J45" s="1"/>
      <c r="K45" s="1"/>
      <c r="L45" s="1"/>
    </row>
    <row r="46" spans="2:12" ht="12.75">
      <c r="B46" s="1"/>
      <c r="C46" s="1"/>
      <c r="D46" s="1">
        <f t="shared" si="0"/>
        <v>0</v>
      </c>
      <c r="E46" s="1"/>
      <c r="F46" s="1">
        <f t="shared" si="1"/>
        <v>0</v>
      </c>
      <c r="G46" s="1"/>
      <c r="H46" s="1"/>
      <c r="I46" s="1"/>
      <c r="J46" s="1"/>
      <c r="K46" s="1"/>
      <c r="L46" s="1"/>
    </row>
    <row r="47" spans="2:12" ht="12.75">
      <c r="B47" s="1"/>
      <c r="C47" s="1"/>
      <c r="D47" s="1">
        <f t="shared" si="0"/>
        <v>0</v>
      </c>
      <c r="E47" s="1"/>
      <c r="F47" s="1">
        <f t="shared" si="1"/>
        <v>0</v>
      </c>
      <c r="G47" s="1"/>
      <c r="H47" s="1"/>
      <c r="I47" s="1"/>
      <c r="J47" s="1"/>
      <c r="K47" s="1"/>
      <c r="L47" s="1"/>
    </row>
    <row r="48" spans="2:12" ht="12.75">
      <c r="B48" s="1"/>
      <c r="C48" s="1"/>
      <c r="D48" s="1">
        <f t="shared" si="0"/>
        <v>0</v>
      </c>
      <c r="E48" s="1"/>
      <c r="F48" s="1">
        <f t="shared" si="1"/>
        <v>0</v>
      </c>
      <c r="G48" s="1"/>
      <c r="H48" s="1"/>
      <c r="I48" s="1"/>
      <c r="J48" s="1"/>
      <c r="K48" s="1"/>
      <c r="L48" s="1"/>
    </row>
    <row r="49" spans="2:12" ht="12.75">
      <c r="B49" s="1"/>
      <c r="C49" s="1"/>
      <c r="D49" s="1">
        <f t="shared" si="0"/>
        <v>0</v>
      </c>
      <c r="E49" s="1"/>
      <c r="F49" s="1">
        <f t="shared" si="1"/>
        <v>0</v>
      </c>
      <c r="G49" s="1"/>
      <c r="H49" s="1"/>
      <c r="I49" s="1"/>
      <c r="J49" s="1"/>
      <c r="K49" s="1"/>
      <c r="L49" s="1"/>
    </row>
    <row r="50" spans="2:12" ht="12.75">
      <c r="B50" s="1"/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>
        <f aca="true" t="shared" si="3" ref="D70:D92">+B70+C70</f>
        <v>0</v>
      </c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>
        <f t="shared" si="3"/>
        <v>0</v>
      </c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>
        <f t="shared" si="3"/>
        <v>0</v>
      </c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>
        <f t="shared" si="3"/>
        <v>0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>
        <f t="shared" si="3"/>
        <v>0</v>
      </c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>
        <f t="shared" si="3"/>
        <v>0</v>
      </c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>
        <f t="shared" si="3"/>
        <v>0</v>
      </c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>
        <f t="shared" si="3"/>
        <v>0</v>
      </c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>
        <f t="shared" si="3"/>
        <v>0</v>
      </c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>
        <f t="shared" si="3"/>
        <v>0</v>
      </c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>
        <f t="shared" si="3"/>
        <v>0</v>
      </c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>
        <f t="shared" si="3"/>
        <v>0</v>
      </c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>
        <f t="shared" si="3"/>
        <v>0</v>
      </c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>
        <f t="shared" si="3"/>
        <v>0</v>
      </c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>
        <f t="shared" si="3"/>
        <v>0</v>
      </c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>
        <f t="shared" si="3"/>
        <v>0</v>
      </c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>
        <f t="shared" si="3"/>
        <v>0</v>
      </c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>
        <f t="shared" si="3"/>
        <v>0</v>
      </c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>
        <f t="shared" si="3"/>
        <v>0</v>
      </c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>
        <f t="shared" si="3"/>
        <v>0</v>
      </c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>
        <f t="shared" si="3"/>
        <v>0</v>
      </c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>
        <f t="shared" si="3"/>
        <v>0</v>
      </c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>
        <f t="shared" si="3"/>
        <v>0</v>
      </c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W181"/>
  <sheetViews>
    <sheetView zoomScalePageLayoutView="0" workbookViewId="0" topLeftCell="I1">
      <selection activeCell="W4" sqref="W4:W11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4.57421875" style="0" customWidth="1"/>
    <col min="4" max="4" width="3.7109375" style="0" customWidth="1"/>
    <col min="5" max="5" width="18.140625" style="0" customWidth="1"/>
    <col min="6" max="6" width="15.00390625" style="0" customWidth="1"/>
    <col min="7" max="7" width="17.140625" style="0" customWidth="1"/>
    <col min="8" max="8" width="16.28125" style="0" customWidth="1"/>
    <col min="9" max="9" width="14.28125" style="0" bestFit="1" customWidth="1"/>
    <col min="10" max="10" width="16.140625" style="0" customWidth="1"/>
    <col min="11" max="11" width="15.28125" style="0" customWidth="1"/>
    <col min="12" max="12" width="16.421875" style="0" bestFit="1" customWidth="1"/>
    <col min="13" max="14" width="15.28125" style="0" bestFit="1" customWidth="1"/>
    <col min="15" max="15" width="18.28125" style="0" customWidth="1"/>
    <col min="16" max="16" width="16.140625" style="0" customWidth="1"/>
    <col min="17" max="17" width="18.00390625" style="0" customWidth="1"/>
    <col min="18" max="18" width="22.140625" style="0" customWidth="1"/>
    <col min="19" max="19" width="15.28125" style="0" bestFit="1" customWidth="1"/>
    <col min="20" max="20" width="16.421875" style="0" bestFit="1" customWidth="1"/>
    <col min="21" max="21" width="17.00390625" style="0" bestFit="1" customWidth="1"/>
    <col min="22" max="22" width="13.7109375" style="0" bestFit="1" customWidth="1"/>
    <col min="23" max="23" width="17.421875" style="0" customWidth="1"/>
  </cols>
  <sheetData>
    <row r="3" spans="1:23" ht="25.5">
      <c r="A3" s="26"/>
      <c r="B3" s="7"/>
      <c r="C3" s="7"/>
      <c r="D3" s="7"/>
      <c r="E3" s="7"/>
      <c r="F3" s="18" t="s">
        <v>89</v>
      </c>
      <c r="G3" s="18" t="s">
        <v>90</v>
      </c>
      <c r="H3" s="18" t="str">
        <f>+G3</f>
        <v>CONTRACREDITO</v>
      </c>
      <c r="I3" s="18" t="str">
        <f>+H3</f>
        <v>CONTRACREDITO</v>
      </c>
      <c r="J3" s="18" t="s">
        <v>91</v>
      </c>
      <c r="K3" s="18" t="str">
        <f>+J3</f>
        <v>ADICIONES</v>
      </c>
      <c r="L3" s="18" t="s">
        <v>92</v>
      </c>
      <c r="M3" s="7" t="str">
        <f>+L3</f>
        <v>CREDITOS</v>
      </c>
      <c r="N3" s="7" t="str">
        <f>+M3</f>
        <v>CREDITOS</v>
      </c>
      <c r="O3" s="46" t="s">
        <v>37</v>
      </c>
      <c r="R3" t="s">
        <v>95</v>
      </c>
      <c r="S3" t="s">
        <v>91</v>
      </c>
      <c r="T3" t="s">
        <v>92</v>
      </c>
      <c r="U3" t="s">
        <v>96</v>
      </c>
      <c r="V3" t="s">
        <v>36</v>
      </c>
      <c r="W3" s="23" t="s">
        <v>109</v>
      </c>
    </row>
    <row r="4" spans="1:23" ht="63.75">
      <c r="A4" s="44" t="s">
        <v>8</v>
      </c>
      <c r="B4" s="39" t="s">
        <v>13</v>
      </c>
      <c r="C4" s="40">
        <v>900</v>
      </c>
      <c r="D4" s="41">
        <v>1</v>
      </c>
      <c r="E4" s="42" t="s">
        <v>22</v>
      </c>
      <c r="F4" s="33">
        <f>1350000000</f>
        <v>1350000000</v>
      </c>
      <c r="G4" s="53">
        <v>-2572702</v>
      </c>
      <c r="H4" s="54">
        <v>-920388624</v>
      </c>
      <c r="I4" s="10"/>
      <c r="J4" s="10"/>
      <c r="K4" s="10"/>
      <c r="L4" s="10"/>
      <c r="M4" s="10"/>
      <c r="N4" s="10"/>
      <c r="O4" s="10">
        <f aca="true" t="shared" si="0" ref="O4:O17">SUM(F4:N4)</f>
        <v>427038674</v>
      </c>
      <c r="P4" t="s">
        <v>93</v>
      </c>
      <c r="Q4" t="s">
        <v>94</v>
      </c>
      <c r="R4" s="14">
        <f>+F7+F8+F9+2680000000</f>
        <v>9085623768</v>
      </c>
      <c r="S4" s="1">
        <f>+J7+J8+J9</f>
        <v>3864980195</v>
      </c>
      <c r="T4" s="1">
        <f>+L21+M21+L22+M22</f>
        <v>10198470609</v>
      </c>
      <c r="U4" s="1">
        <f>+H7+H8+H9+I21</f>
        <v>-10262050165</v>
      </c>
      <c r="V4" s="14">
        <f aca="true" t="shared" si="1" ref="V4:V11">SUM(R4:U4)</f>
        <v>12887024407</v>
      </c>
      <c r="W4" s="1">
        <f>27107074+434026280+2635226410+4336277236+5130460222+10000</f>
        <v>12563107222</v>
      </c>
    </row>
    <row r="5" spans="1:23" ht="53.25">
      <c r="A5" s="44" t="s">
        <v>8</v>
      </c>
      <c r="B5" s="39" t="s">
        <v>13</v>
      </c>
      <c r="C5" s="40">
        <f>+C4</f>
        <v>900</v>
      </c>
      <c r="D5" s="41">
        <v>2</v>
      </c>
      <c r="E5" s="42" t="s">
        <v>23</v>
      </c>
      <c r="F5" s="25">
        <f>350000000</f>
        <v>350000000</v>
      </c>
      <c r="G5" s="55">
        <v>-23894914</v>
      </c>
      <c r="H5" s="52">
        <v>-169213677</v>
      </c>
      <c r="I5" s="10"/>
      <c r="J5" s="10"/>
      <c r="K5" s="10"/>
      <c r="L5" s="10"/>
      <c r="M5" s="10"/>
      <c r="N5" s="10"/>
      <c r="O5" s="10">
        <f t="shared" si="0"/>
        <v>156891409</v>
      </c>
      <c r="P5" t="s">
        <v>97</v>
      </c>
      <c r="Q5" t="s">
        <v>98</v>
      </c>
      <c r="R5" s="14">
        <f>+F4+F5+F6</f>
        <v>2000000000</v>
      </c>
      <c r="S5" s="1">
        <f>+J6</f>
        <v>500000000</v>
      </c>
      <c r="T5" s="1">
        <f>+L24+M24+N24+L25+M25+N25</f>
        <v>1401749473</v>
      </c>
      <c r="U5" s="1">
        <f>+G4+H4+G5+H5+H6+I6</f>
        <v>-1717495442</v>
      </c>
      <c r="V5" s="14">
        <f t="shared" si="1"/>
        <v>2184254031</v>
      </c>
      <c r="W5" s="1">
        <f>408966674+156891409+198574475+223543821+1135936327</f>
        <v>2123912706</v>
      </c>
    </row>
    <row r="6" spans="1:23" ht="42.75">
      <c r="A6" s="44" t="s">
        <v>8</v>
      </c>
      <c r="B6" s="39" t="s">
        <v>13</v>
      </c>
      <c r="C6" s="40">
        <v>900</v>
      </c>
      <c r="D6" s="41">
        <v>3</v>
      </c>
      <c r="E6" s="42" t="s">
        <v>35</v>
      </c>
      <c r="F6" s="25">
        <v>300000000</v>
      </c>
      <c r="G6" s="55">
        <v>0</v>
      </c>
      <c r="H6" s="52">
        <v>-600906843</v>
      </c>
      <c r="I6" s="10">
        <v>-518682</v>
      </c>
      <c r="J6" s="50">
        <v>500000000</v>
      </c>
      <c r="K6" s="10"/>
      <c r="L6" s="10"/>
      <c r="M6" s="10"/>
      <c r="N6" s="10"/>
      <c r="O6" s="10">
        <f t="shared" si="0"/>
        <v>198574475</v>
      </c>
      <c r="P6" t="s">
        <v>99</v>
      </c>
      <c r="Q6" t="s">
        <v>100</v>
      </c>
      <c r="R6" s="14">
        <f>+F10</f>
        <v>1073210483</v>
      </c>
      <c r="S6" s="1">
        <f>+J10</f>
        <v>804022886</v>
      </c>
      <c r="T6" s="1">
        <f>+L23</f>
        <v>1877233369</v>
      </c>
      <c r="U6" s="1">
        <f>+H10</f>
        <v>-1877233369</v>
      </c>
      <c r="V6" s="14">
        <f t="shared" si="1"/>
        <v>1877233369</v>
      </c>
      <c r="W6" s="1">
        <v>1877233207</v>
      </c>
    </row>
    <row r="7" spans="1:23" ht="32.25">
      <c r="A7" s="44" t="s">
        <v>8</v>
      </c>
      <c r="B7" s="39" t="s">
        <v>14</v>
      </c>
      <c r="C7" s="40">
        <v>900</v>
      </c>
      <c r="D7" s="41">
        <v>1</v>
      </c>
      <c r="E7" s="42" t="s">
        <v>24</v>
      </c>
      <c r="F7" s="25">
        <v>3677074400</v>
      </c>
      <c r="G7" s="24">
        <v>0</v>
      </c>
      <c r="H7" s="52">
        <v>-4595103399</v>
      </c>
      <c r="I7" s="10"/>
      <c r="J7" s="50">
        <v>918028999</v>
      </c>
      <c r="K7" s="10"/>
      <c r="L7" s="10"/>
      <c r="M7" s="10"/>
      <c r="N7" s="10"/>
      <c r="O7" s="10">
        <f t="shared" si="0"/>
        <v>0</v>
      </c>
      <c r="P7" t="s">
        <v>101</v>
      </c>
      <c r="Q7" t="s">
        <v>102</v>
      </c>
      <c r="R7" s="14">
        <f>+F14</f>
        <v>520000000</v>
      </c>
      <c r="S7" s="1">
        <f>+J14</f>
        <v>1914662737</v>
      </c>
      <c r="T7" s="1">
        <f>+L31+M31+N31</f>
        <v>2242564208</v>
      </c>
      <c r="U7" s="1">
        <f>+G14+H14</f>
        <v>-2114664208</v>
      </c>
      <c r="V7" s="14">
        <f t="shared" si="1"/>
        <v>2562562737</v>
      </c>
      <c r="W7" s="1">
        <f>319998529+2173142971</f>
        <v>2493141500</v>
      </c>
    </row>
    <row r="8" spans="1:23" ht="32.25">
      <c r="A8" s="44" t="s">
        <v>8</v>
      </c>
      <c r="B8" s="39" t="s">
        <v>14</v>
      </c>
      <c r="C8" s="40">
        <v>900</v>
      </c>
      <c r="D8" s="41">
        <v>2</v>
      </c>
      <c r="E8" s="42" t="s">
        <v>25</v>
      </c>
      <c r="F8" s="25">
        <v>1199818416</v>
      </c>
      <c r="G8" s="25">
        <v>0</v>
      </c>
      <c r="H8" s="52">
        <v>-2566309866</v>
      </c>
      <c r="I8" s="10"/>
      <c r="J8" s="50">
        <v>1393598524</v>
      </c>
      <c r="K8" s="10"/>
      <c r="L8" s="10"/>
      <c r="M8" s="10"/>
      <c r="N8" s="10"/>
      <c r="O8" s="10">
        <f t="shared" si="0"/>
        <v>27107074</v>
      </c>
      <c r="P8" t="s">
        <v>103</v>
      </c>
      <c r="Q8" t="s">
        <v>104</v>
      </c>
      <c r="R8" s="14">
        <f>+F15</f>
        <v>700000000</v>
      </c>
      <c r="S8" s="1">
        <f>+J15</f>
        <v>900000000</v>
      </c>
      <c r="T8" s="1">
        <f>+L32</f>
        <v>1445581568</v>
      </c>
      <c r="U8" s="14">
        <f>+G15</f>
        <v>-1435581568</v>
      </c>
      <c r="V8" s="14">
        <f t="shared" si="1"/>
        <v>1610000000</v>
      </c>
      <c r="W8" s="1">
        <f>164418432+1398378737</f>
        <v>1562797169</v>
      </c>
    </row>
    <row r="9" spans="1:23" ht="42.75">
      <c r="A9" s="44" t="s">
        <v>8</v>
      </c>
      <c r="B9" s="39" t="s">
        <v>14</v>
      </c>
      <c r="C9" s="40">
        <v>900</v>
      </c>
      <c r="D9" s="41">
        <v>3</v>
      </c>
      <c r="E9" s="42" t="s">
        <v>26</v>
      </c>
      <c r="F9" s="25">
        <v>1528730952</v>
      </c>
      <c r="G9" s="25">
        <v>0</v>
      </c>
      <c r="H9" s="52">
        <v>-2648057344</v>
      </c>
      <c r="I9" s="10"/>
      <c r="J9" s="50">
        <v>1553352672</v>
      </c>
      <c r="K9" s="10"/>
      <c r="L9" s="10"/>
      <c r="M9" s="10"/>
      <c r="N9" s="10"/>
      <c r="O9" s="10">
        <f t="shared" si="0"/>
        <v>434026280</v>
      </c>
      <c r="P9" t="s">
        <v>105</v>
      </c>
      <c r="Q9" t="s">
        <v>106</v>
      </c>
      <c r="R9" s="14">
        <f>+F11</f>
        <v>289000000</v>
      </c>
      <c r="S9" s="1">
        <f>+J11+A2</f>
        <v>100000000</v>
      </c>
      <c r="T9" s="1">
        <f>+L29+M29</f>
        <v>368114522</v>
      </c>
      <c r="U9" s="1">
        <f>+G11+H11</f>
        <v>-325075388</v>
      </c>
      <c r="V9" s="14">
        <f t="shared" si="1"/>
        <v>432039134</v>
      </c>
      <c r="W9" s="1">
        <f>63924612+321140379</f>
        <v>385064991</v>
      </c>
    </row>
    <row r="10" spans="1:23" ht="42.75">
      <c r="A10" s="44" t="s">
        <v>8</v>
      </c>
      <c r="B10" s="39" t="s">
        <v>14</v>
      </c>
      <c r="C10" s="40">
        <v>900</v>
      </c>
      <c r="D10" s="41">
        <v>4</v>
      </c>
      <c r="E10" s="42" t="s">
        <v>27</v>
      </c>
      <c r="F10" s="25">
        <v>1073210483</v>
      </c>
      <c r="G10" s="25">
        <v>0</v>
      </c>
      <c r="H10" s="52">
        <v>-1877233369</v>
      </c>
      <c r="I10" s="10"/>
      <c r="J10" s="50">
        <v>804022886</v>
      </c>
      <c r="K10" s="10"/>
      <c r="L10" s="10"/>
      <c r="M10" s="10"/>
      <c r="N10" s="10"/>
      <c r="O10" s="10">
        <f t="shared" si="0"/>
        <v>0</v>
      </c>
      <c r="P10" t="s">
        <v>107</v>
      </c>
      <c r="Q10" t="s">
        <v>59</v>
      </c>
      <c r="R10" s="14">
        <f>+F13+F16+F17+F12</f>
        <v>3582498061</v>
      </c>
      <c r="S10" s="1">
        <f>+J12+J13+J26+J17+K17</f>
        <v>6549602606</v>
      </c>
      <c r="T10" s="1">
        <f>+L26+M26+N26+L27+L30+M30+L28+M28</f>
        <v>7833537833</v>
      </c>
      <c r="U10" s="1">
        <f>+G12+H12+G16+H16+G17+H17+G30+G27+G13+H13</f>
        <v>-7635151442</v>
      </c>
      <c r="V10" s="14">
        <f t="shared" si="1"/>
        <v>10330487058</v>
      </c>
      <c r="W10" s="1">
        <f>48787123+1103588479+108301948+827206544+5080894612+123606170+946809218+1778682334</f>
        <v>10017876428</v>
      </c>
    </row>
    <row r="11" spans="1:23" ht="21.75">
      <c r="A11" s="44" t="s">
        <v>8</v>
      </c>
      <c r="B11" s="39" t="s">
        <v>15</v>
      </c>
      <c r="C11" s="40">
        <v>900</v>
      </c>
      <c r="D11" s="41">
        <v>1</v>
      </c>
      <c r="E11" s="42" t="s">
        <v>28</v>
      </c>
      <c r="F11" s="25">
        <v>289000000</v>
      </c>
      <c r="G11" s="55">
        <v>-320465303</v>
      </c>
      <c r="H11" s="52">
        <v>-4610085</v>
      </c>
      <c r="I11" s="10"/>
      <c r="J11" s="50">
        <v>100000000</v>
      </c>
      <c r="K11" s="10"/>
      <c r="L11" s="10"/>
      <c r="M11" s="10"/>
      <c r="N11" s="10"/>
      <c r="O11" s="10">
        <f t="shared" si="0"/>
        <v>63924612</v>
      </c>
      <c r="Q11" t="s">
        <v>108</v>
      </c>
      <c r="R11" s="14">
        <f>SUM(R4:R10)</f>
        <v>17250332312</v>
      </c>
      <c r="S11" s="14">
        <f>SUM(S4:S10)</f>
        <v>14633268424</v>
      </c>
      <c r="T11" s="14">
        <f>SUM(T4:T10)</f>
        <v>25367251582</v>
      </c>
      <c r="U11" s="14">
        <f>SUM(U4:U10)</f>
        <v>-25367251582</v>
      </c>
      <c r="V11" s="14">
        <f t="shared" si="1"/>
        <v>31883600736</v>
      </c>
      <c r="W11" s="14">
        <f>SUM(W4:W10)</f>
        <v>31023133223</v>
      </c>
    </row>
    <row r="12" spans="1:23" ht="21.75">
      <c r="A12" s="44" t="s">
        <v>8</v>
      </c>
      <c r="B12" s="39" t="s">
        <v>15</v>
      </c>
      <c r="C12" s="40">
        <v>900</v>
      </c>
      <c r="D12" s="41">
        <v>2</v>
      </c>
      <c r="E12" s="42" t="s">
        <v>29</v>
      </c>
      <c r="F12" s="25">
        <v>1000000000</v>
      </c>
      <c r="G12" s="25">
        <v>-1948357768</v>
      </c>
      <c r="H12" s="34">
        <v>-2855109</v>
      </c>
      <c r="I12" s="10"/>
      <c r="J12" s="50">
        <v>1000000000</v>
      </c>
      <c r="K12" s="10"/>
      <c r="L12" s="10"/>
      <c r="M12" s="10"/>
      <c r="N12" s="10"/>
      <c r="O12" s="10">
        <f t="shared" si="0"/>
        <v>48787123</v>
      </c>
      <c r="T12" s="1"/>
      <c r="U12" s="14"/>
      <c r="V12" s="14"/>
      <c r="W12" s="4" t="s">
        <v>0</v>
      </c>
    </row>
    <row r="13" spans="1:23" ht="32.25">
      <c r="A13" s="44" t="s">
        <v>8</v>
      </c>
      <c r="B13" s="39" t="s">
        <v>16</v>
      </c>
      <c r="C13" s="40">
        <v>900</v>
      </c>
      <c r="D13" s="41">
        <v>1</v>
      </c>
      <c r="E13" s="42" t="s">
        <v>30</v>
      </c>
      <c r="F13" s="25">
        <v>2132498061</v>
      </c>
      <c r="G13" s="25">
        <v>-1310392615</v>
      </c>
      <c r="H13" s="34">
        <v>-5190697</v>
      </c>
      <c r="I13" s="10"/>
      <c r="J13" s="50">
        <v>300000000</v>
      </c>
      <c r="K13" s="10"/>
      <c r="L13" s="10"/>
      <c r="M13" s="10"/>
      <c r="N13" s="10"/>
      <c r="O13" s="10">
        <f t="shared" si="0"/>
        <v>1116914749</v>
      </c>
      <c r="T13" s="14"/>
      <c r="V13" s="14"/>
      <c r="W13" s="1" t="e">
        <f>+W12-W11</f>
        <v>#VALUE!</v>
      </c>
    </row>
    <row r="14" spans="1:23" ht="53.25">
      <c r="A14" s="44" t="s">
        <v>8</v>
      </c>
      <c r="B14" s="39" t="s">
        <v>16</v>
      </c>
      <c r="C14" s="40">
        <v>900</v>
      </c>
      <c r="D14" s="41">
        <v>2</v>
      </c>
      <c r="E14" s="42" t="s">
        <v>31</v>
      </c>
      <c r="F14" s="25">
        <v>520000000</v>
      </c>
      <c r="G14" s="55">
        <v>-2114195091</v>
      </c>
      <c r="H14" s="52">
        <v>-469117</v>
      </c>
      <c r="I14" s="10"/>
      <c r="J14" s="50">
        <v>1914662737</v>
      </c>
      <c r="K14" s="10"/>
      <c r="L14" s="10"/>
      <c r="M14" s="10"/>
      <c r="N14" s="10"/>
      <c r="O14" s="10">
        <f t="shared" si="0"/>
        <v>319998529</v>
      </c>
      <c r="V14" s="14"/>
      <c r="W14" s="1"/>
    </row>
    <row r="15" spans="1:23" ht="42.75">
      <c r="A15" s="44" t="s">
        <v>8</v>
      </c>
      <c r="B15" s="39" t="s">
        <v>17</v>
      </c>
      <c r="C15" s="40">
        <v>900</v>
      </c>
      <c r="D15" s="41">
        <v>1</v>
      </c>
      <c r="E15" s="42" t="s">
        <v>32</v>
      </c>
      <c r="F15" s="25">
        <v>700000000</v>
      </c>
      <c r="G15" s="55">
        <v>-1435581568</v>
      </c>
      <c r="H15" s="34">
        <v>0</v>
      </c>
      <c r="I15" s="10"/>
      <c r="J15" s="50">
        <v>900000000</v>
      </c>
      <c r="K15" s="10"/>
      <c r="L15" s="10"/>
      <c r="M15" s="10"/>
      <c r="N15" s="10"/>
      <c r="O15" s="10">
        <f t="shared" si="0"/>
        <v>164418432</v>
      </c>
      <c r="V15" s="14"/>
      <c r="W15" s="1"/>
    </row>
    <row r="16" spans="1:23" ht="53.25">
      <c r="A16" s="44" t="s">
        <v>8</v>
      </c>
      <c r="B16" s="39" t="s">
        <v>18</v>
      </c>
      <c r="C16" s="40">
        <v>900</v>
      </c>
      <c r="D16" s="41">
        <v>1</v>
      </c>
      <c r="E16" s="43" t="s">
        <v>33</v>
      </c>
      <c r="F16" s="25">
        <f>+'[1]Gastos 2016'!$B$16</f>
        <v>250000000</v>
      </c>
      <c r="G16" s="25">
        <v>-573306</v>
      </c>
      <c r="H16" s="34">
        <v>-141124746</v>
      </c>
      <c r="I16" s="10"/>
      <c r="J16" s="10"/>
      <c r="K16" s="10"/>
      <c r="L16" s="10"/>
      <c r="M16" s="10"/>
      <c r="N16" s="10"/>
      <c r="O16" s="10">
        <f t="shared" si="0"/>
        <v>108301948</v>
      </c>
      <c r="V16" s="14"/>
      <c r="W16" s="1"/>
    </row>
    <row r="17" spans="1:23" ht="32.25">
      <c r="A17" s="44" t="s">
        <v>8</v>
      </c>
      <c r="B17" s="39" t="s">
        <v>18</v>
      </c>
      <c r="C17" s="40">
        <v>900</v>
      </c>
      <c r="D17" s="41">
        <v>2</v>
      </c>
      <c r="E17" s="43" t="s">
        <v>34</v>
      </c>
      <c r="F17" s="25">
        <v>200000000</v>
      </c>
      <c r="G17" s="25">
        <v>-3856237256</v>
      </c>
      <c r="H17" s="34">
        <v>-1050578</v>
      </c>
      <c r="I17" s="10"/>
      <c r="J17" s="50">
        <v>3728574777</v>
      </c>
      <c r="K17" s="10">
        <v>771935666</v>
      </c>
      <c r="L17" s="10"/>
      <c r="M17" s="10"/>
      <c r="N17" s="10"/>
      <c r="O17" s="10">
        <f t="shared" si="0"/>
        <v>843222609</v>
      </c>
      <c r="V17" s="14"/>
      <c r="W17" s="1"/>
    </row>
    <row r="18" spans="1:23" ht="21.75">
      <c r="A18" s="44"/>
      <c r="B18" s="39"/>
      <c r="C18" s="40"/>
      <c r="D18" s="41"/>
      <c r="E18" s="43" t="s">
        <v>58</v>
      </c>
      <c r="F18" s="25">
        <f aca="true" t="shared" si="2" ref="F18:O18">SUM(F4:F17)</f>
        <v>14570332312</v>
      </c>
      <c r="G18" s="25">
        <f t="shared" si="2"/>
        <v>-11012270523</v>
      </c>
      <c r="H18" s="25">
        <f t="shared" si="2"/>
        <v>-13532513454</v>
      </c>
      <c r="I18" s="25">
        <f t="shared" si="2"/>
        <v>-518682</v>
      </c>
      <c r="J18" s="25">
        <f t="shared" si="2"/>
        <v>13112240595</v>
      </c>
      <c r="K18" s="25">
        <f t="shared" si="2"/>
        <v>771935666</v>
      </c>
      <c r="L18" s="25">
        <f t="shared" si="2"/>
        <v>0</v>
      </c>
      <c r="M18" s="25">
        <f t="shared" si="2"/>
        <v>0</v>
      </c>
      <c r="N18" s="25">
        <f t="shared" si="2"/>
        <v>0</v>
      </c>
      <c r="O18" s="25">
        <f t="shared" si="2"/>
        <v>3909205914</v>
      </c>
      <c r="V18" s="14"/>
      <c r="W18" s="1"/>
    </row>
    <row r="19" spans="1:23" ht="12.75">
      <c r="A19" s="44"/>
      <c r="B19" s="39"/>
      <c r="C19" s="40"/>
      <c r="D19" s="41"/>
      <c r="E19" s="43"/>
      <c r="F19" s="25"/>
      <c r="G19" s="25"/>
      <c r="H19" s="13"/>
      <c r="I19" s="10"/>
      <c r="J19" s="10"/>
      <c r="K19" s="10"/>
      <c r="L19" s="10"/>
      <c r="M19" s="10"/>
      <c r="N19" s="10"/>
      <c r="O19" s="10">
        <f aca="true" t="shared" si="3" ref="O19:O33">SUM(F19:N19)</f>
        <v>0</v>
      </c>
      <c r="V19" s="14"/>
      <c r="W19" s="1"/>
    </row>
    <row r="20" spans="1:22" ht="22.5">
      <c r="A20" s="44"/>
      <c r="B20" s="39"/>
      <c r="C20" s="40"/>
      <c r="D20" s="41"/>
      <c r="E20" s="47" t="s">
        <v>54</v>
      </c>
      <c r="F20" s="48" t="s">
        <v>0</v>
      </c>
      <c r="G20" s="48" t="s">
        <v>0</v>
      </c>
      <c r="H20" s="48" t="s">
        <v>0</v>
      </c>
      <c r="I20" s="11" t="s">
        <v>0</v>
      </c>
      <c r="J20" s="10"/>
      <c r="K20" s="10"/>
      <c r="L20" s="10"/>
      <c r="M20" s="10"/>
      <c r="N20" s="10"/>
      <c r="O20" s="10">
        <f t="shared" si="3"/>
        <v>0</v>
      </c>
      <c r="V20" s="14"/>
    </row>
    <row r="21" spans="1:15" ht="33.75">
      <c r="A21" s="44" t="s">
        <v>8</v>
      </c>
      <c r="B21" s="39" t="s">
        <v>13</v>
      </c>
      <c r="C21" s="40">
        <v>1</v>
      </c>
      <c r="D21" s="41"/>
      <c r="E21" s="49" t="s">
        <v>44</v>
      </c>
      <c r="F21" s="25">
        <v>0</v>
      </c>
      <c r="G21" s="25">
        <v>0</v>
      </c>
      <c r="H21" s="13">
        <v>0</v>
      </c>
      <c r="I21" s="10">
        <v>-452579556</v>
      </c>
      <c r="J21" s="10"/>
      <c r="K21" s="10"/>
      <c r="L21" s="50">
        <v>4670486343</v>
      </c>
      <c r="M21" s="50">
        <v>350000000</v>
      </c>
      <c r="N21" s="10"/>
      <c r="O21" s="10">
        <f t="shared" si="3"/>
        <v>4567906787</v>
      </c>
    </row>
    <row r="22" spans="1:15" ht="22.5">
      <c r="A22" s="44" t="s">
        <v>8</v>
      </c>
      <c r="B22" s="39" t="s">
        <v>13</v>
      </c>
      <c r="C22" s="40">
        <v>2</v>
      </c>
      <c r="D22" s="41"/>
      <c r="E22" s="49" t="s">
        <v>45</v>
      </c>
      <c r="F22" s="25">
        <v>0</v>
      </c>
      <c r="G22" s="25">
        <v>0</v>
      </c>
      <c r="H22" s="13">
        <v>0</v>
      </c>
      <c r="I22" s="10"/>
      <c r="J22" s="10"/>
      <c r="K22" s="10"/>
      <c r="L22" s="50">
        <v>5138984266</v>
      </c>
      <c r="M22" s="50">
        <v>39000000</v>
      </c>
      <c r="N22" s="10"/>
      <c r="O22" s="10">
        <f t="shared" si="3"/>
        <v>5177984266</v>
      </c>
    </row>
    <row r="23" spans="1:15" ht="22.5">
      <c r="A23" s="44" t="s">
        <v>8</v>
      </c>
      <c r="B23" s="39" t="s">
        <v>13</v>
      </c>
      <c r="C23" s="40">
        <v>3</v>
      </c>
      <c r="D23" s="41"/>
      <c r="E23" s="49" t="s">
        <v>46</v>
      </c>
      <c r="F23" s="25">
        <v>0</v>
      </c>
      <c r="G23" s="25">
        <v>0</v>
      </c>
      <c r="H23" s="13">
        <v>0</v>
      </c>
      <c r="I23" s="10"/>
      <c r="J23" s="10"/>
      <c r="K23" s="10"/>
      <c r="L23" s="50">
        <v>1877233369</v>
      </c>
      <c r="M23" s="10"/>
      <c r="N23" s="10"/>
      <c r="O23" s="10">
        <f t="shared" si="3"/>
        <v>1877233369</v>
      </c>
    </row>
    <row r="24" spans="1:15" ht="45">
      <c r="A24" s="44" t="s">
        <v>8</v>
      </c>
      <c r="B24" s="39" t="s">
        <v>14</v>
      </c>
      <c r="C24" s="40">
        <v>1</v>
      </c>
      <c r="D24" s="41"/>
      <c r="E24" s="49" t="s">
        <v>47</v>
      </c>
      <c r="F24" s="25">
        <v>0</v>
      </c>
      <c r="G24" s="25">
        <v>0</v>
      </c>
      <c r="H24" s="13">
        <v>0</v>
      </c>
      <c r="I24" s="10">
        <v>0</v>
      </c>
      <c r="J24" s="10"/>
      <c r="K24" s="10"/>
      <c r="L24" s="50">
        <v>97010786</v>
      </c>
      <c r="M24" s="50">
        <v>128863196</v>
      </c>
      <c r="N24" s="50">
        <v>2572702</v>
      </c>
      <c r="O24" s="10">
        <f t="shared" si="3"/>
        <v>228446684</v>
      </c>
    </row>
    <row r="25" spans="1:15" ht="56.25">
      <c r="A25" s="44" t="s">
        <v>8</v>
      </c>
      <c r="B25" s="39" t="s">
        <v>14</v>
      </c>
      <c r="C25" s="40">
        <v>2</v>
      </c>
      <c r="D25" s="41"/>
      <c r="E25" s="49" t="s">
        <v>48</v>
      </c>
      <c r="F25" s="25">
        <v>0</v>
      </c>
      <c r="G25" s="25">
        <v>0</v>
      </c>
      <c r="H25" s="13">
        <v>0</v>
      </c>
      <c r="I25" s="10">
        <v>0</v>
      </c>
      <c r="J25" s="10"/>
      <c r="K25" s="10"/>
      <c r="L25" s="50">
        <v>960739105</v>
      </c>
      <c r="M25" s="50">
        <v>188668770</v>
      </c>
      <c r="N25" s="50">
        <v>23894914</v>
      </c>
      <c r="O25" s="10">
        <f t="shared" si="3"/>
        <v>1173302789</v>
      </c>
    </row>
    <row r="26" spans="1:15" ht="22.5">
      <c r="A26" s="44" t="s">
        <v>8</v>
      </c>
      <c r="B26" s="39" t="s">
        <v>15</v>
      </c>
      <c r="C26" s="40">
        <v>1</v>
      </c>
      <c r="D26" s="41"/>
      <c r="E26" s="49" t="s">
        <v>49</v>
      </c>
      <c r="F26" s="25">
        <v>0</v>
      </c>
      <c r="G26" s="36">
        <v>0</v>
      </c>
      <c r="H26" s="13">
        <v>0</v>
      </c>
      <c r="I26" s="10"/>
      <c r="J26" s="50">
        <v>749092163</v>
      </c>
      <c r="K26" s="10"/>
      <c r="L26" s="50">
        <v>4539266111</v>
      </c>
      <c r="M26" s="50">
        <v>2142566</v>
      </c>
      <c r="N26" s="50">
        <v>19369367</v>
      </c>
      <c r="O26" s="10">
        <f t="shared" si="3"/>
        <v>5309870207</v>
      </c>
    </row>
    <row r="27" spans="1:15" ht="33.75">
      <c r="A27" s="44" t="s">
        <v>8</v>
      </c>
      <c r="B27" s="39" t="s">
        <v>15</v>
      </c>
      <c r="C27" s="40">
        <v>2</v>
      </c>
      <c r="D27" s="41"/>
      <c r="E27" s="49" t="s">
        <v>50</v>
      </c>
      <c r="F27" s="25">
        <v>0</v>
      </c>
      <c r="G27" s="25">
        <v>-19369367</v>
      </c>
      <c r="H27" s="13">
        <v>0</v>
      </c>
      <c r="I27" s="10"/>
      <c r="J27" s="10"/>
      <c r="K27" s="10"/>
      <c r="L27" s="50">
        <v>166163600</v>
      </c>
      <c r="M27" s="50"/>
      <c r="N27" s="50"/>
      <c r="O27" s="10">
        <f t="shared" si="3"/>
        <v>146794233</v>
      </c>
    </row>
    <row r="28" spans="1:15" ht="22.5">
      <c r="A28" s="44" t="s">
        <v>8</v>
      </c>
      <c r="B28" s="39" t="s">
        <v>16</v>
      </c>
      <c r="C28" s="40">
        <v>1</v>
      </c>
      <c r="D28" s="41"/>
      <c r="E28" s="49" t="s">
        <v>51</v>
      </c>
      <c r="F28" s="25">
        <v>0</v>
      </c>
      <c r="G28" s="25">
        <v>0</v>
      </c>
      <c r="H28" s="13">
        <f>+F28+G28</f>
        <v>0</v>
      </c>
      <c r="I28" s="10"/>
      <c r="J28" s="10"/>
      <c r="K28" s="10"/>
      <c r="L28" s="50">
        <v>5190697</v>
      </c>
      <c r="M28" s="50">
        <v>963947415</v>
      </c>
      <c r="N28" s="50"/>
      <c r="O28" s="10">
        <f t="shared" si="3"/>
        <v>969138112</v>
      </c>
    </row>
    <row r="29" spans="1:15" ht="22.5">
      <c r="A29" s="44" t="s">
        <v>8</v>
      </c>
      <c r="B29" s="39" t="s">
        <v>17</v>
      </c>
      <c r="C29" s="40">
        <v>1</v>
      </c>
      <c r="D29" s="41"/>
      <c r="E29" s="49" t="s">
        <v>52</v>
      </c>
      <c r="F29" s="25">
        <v>0</v>
      </c>
      <c r="G29" s="25">
        <v>0</v>
      </c>
      <c r="H29" s="13">
        <v>0</v>
      </c>
      <c r="I29" s="10"/>
      <c r="J29" s="10"/>
      <c r="K29" s="10"/>
      <c r="L29" s="50">
        <v>4610085</v>
      </c>
      <c r="M29" s="50">
        <v>363504437</v>
      </c>
      <c r="N29" s="10"/>
      <c r="O29" s="10">
        <f t="shared" si="3"/>
        <v>368114522</v>
      </c>
    </row>
    <row r="30" spans="1:15" ht="22.5">
      <c r="A30" s="44" t="s">
        <v>8</v>
      </c>
      <c r="B30" s="39" t="s">
        <v>17</v>
      </c>
      <c r="C30" s="40">
        <v>2</v>
      </c>
      <c r="D30" s="41"/>
      <c r="E30" s="49" t="s">
        <v>56</v>
      </c>
      <c r="F30" s="25">
        <v>0</v>
      </c>
      <c r="G30" s="25">
        <v>-350000000</v>
      </c>
      <c r="H30" s="13">
        <v>0</v>
      </c>
      <c r="I30" s="10"/>
      <c r="J30" s="10"/>
      <c r="K30" s="10"/>
      <c r="L30" s="50">
        <v>2134602968</v>
      </c>
      <c r="M30" s="50">
        <v>2855109</v>
      </c>
      <c r="N30" s="10"/>
      <c r="O30" s="10">
        <f t="shared" si="3"/>
        <v>1787458077</v>
      </c>
    </row>
    <row r="31" spans="1:15" ht="22.5">
      <c r="A31" s="44" t="s">
        <v>8</v>
      </c>
      <c r="B31" s="39" t="s">
        <v>18</v>
      </c>
      <c r="C31" s="40">
        <v>1</v>
      </c>
      <c r="D31" s="41"/>
      <c r="E31" s="49" t="s">
        <v>53</v>
      </c>
      <c r="F31" s="25">
        <v>0</v>
      </c>
      <c r="G31" s="25">
        <v>0</v>
      </c>
      <c r="H31" s="13">
        <v>0</v>
      </c>
      <c r="I31" s="10"/>
      <c r="J31" s="10"/>
      <c r="K31" s="10"/>
      <c r="L31" s="51">
        <v>469117</v>
      </c>
      <c r="M31" s="50">
        <v>127900000</v>
      </c>
      <c r="N31" s="50">
        <v>2114195091</v>
      </c>
      <c r="O31" s="10">
        <f t="shared" si="3"/>
        <v>2242564208</v>
      </c>
    </row>
    <row r="32" spans="1:15" ht="22.5">
      <c r="A32" s="44" t="s">
        <v>8</v>
      </c>
      <c r="B32" s="39" t="s">
        <v>18</v>
      </c>
      <c r="C32" s="40">
        <v>2</v>
      </c>
      <c r="D32" s="41"/>
      <c r="E32" s="49" t="s">
        <v>55</v>
      </c>
      <c r="F32" s="25">
        <v>0</v>
      </c>
      <c r="G32" s="25">
        <v>0</v>
      </c>
      <c r="H32" s="13">
        <v>0</v>
      </c>
      <c r="I32" s="10"/>
      <c r="J32" s="10"/>
      <c r="K32" s="10"/>
      <c r="L32" s="50">
        <v>1445581568</v>
      </c>
      <c r="M32" s="10"/>
      <c r="N32" s="10"/>
      <c r="O32" s="10">
        <f t="shared" si="3"/>
        <v>1445581568</v>
      </c>
    </row>
    <row r="33" spans="1:15" ht="12.75">
      <c r="A33" s="44"/>
      <c r="B33" s="39"/>
      <c r="C33" s="40"/>
      <c r="D33" s="41"/>
      <c r="E33" s="43"/>
      <c r="F33" s="25"/>
      <c r="G33" s="25"/>
      <c r="H33" s="13"/>
      <c r="I33" s="10"/>
      <c r="J33" s="10"/>
      <c r="K33" s="10"/>
      <c r="L33" s="10"/>
      <c r="M33" s="10"/>
      <c r="N33" s="10"/>
      <c r="O33" s="10">
        <f t="shared" si="3"/>
        <v>0</v>
      </c>
    </row>
    <row r="34" spans="1:15" ht="21.75">
      <c r="A34" s="44"/>
      <c r="B34" s="39"/>
      <c r="C34" s="40"/>
      <c r="D34" s="41"/>
      <c r="E34" s="43" t="s">
        <v>57</v>
      </c>
      <c r="F34" s="25">
        <f>SUM(F21:F33)</f>
        <v>0</v>
      </c>
      <c r="G34" s="25">
        <f aca="true" t="shared" si="4" ref="G34:O34">SUM(G21:G33)</f>
        <v>-369369367</v>
      </c>
      <c r="H34" s="25">
        <f t="shared" si="4"/>
        <v>0</v>
      </c>
      <c r="I34" s="25">
        <f t="shared" si="4"/>
        <v>-452579556</v>
      </c>
      <c r="J34" s="25">
        <f t="shared" si="4"/>
        <v>749092163</v>
      </c>
      <c r="K34" s="25">
        <f t="shared" si="4"/>
        <v>0</v>
      </c>
      <c r="L34" s="25">
        <f t="shared" si="4"/>
        <v>21040338015</v>
      </c>
      <c r="M34" s="25">
        <f t="shared" si="4"/>
        <v>2166881493</v>
      </c>
      <c r="N34" s="25">
        <f t="shared" si="4"/>
        <v>2160032074</v>
      </c>
      <c r="O34" s="25">
        <f t="shared" si="4"/>
        <v>25294394822</v>
      </c>
    </row>
    <row r="35" spans="1:15" ht="12.75">
      <c r="A35" s="44" t="s">
        <v>0</v>
      </c>
      <c r="B35" s="39"/>
      <c r="C35" s="40"/>
      <c r="D35" s="41"/>
      <c r="E35" s="27"/>
      <c r="F35" s="25"/>
      <c r="G35" s="25" t="s">
        <v>0</v>
      </c>
      <c r="H35" s="13" t="s">
        <v>0</v>
      </c>
      <c r="I35" s="10"/>
      <c r="J35" s="10"/>
      <c r="K35" s="10"/>
      <c r="L35" s="10"/>
      <c r="M35" s="10"/>
      <c r="N35" s="10"/>
      <c r="O35" s="10">
        <f>SUM(F35:N35)</f>
        <v>0</v>
      </c>
    </row>
    <row r="36" spans="1:15" ht="13.5" thickBot="1">
      <c r="A36" s="45"/>
      <c r="B36" s="39"/>
      <c r="C36" s="40"/>
      <c r="D36" s="41"/>
      <c r="E36" s="27" t="s">
        <v>36</v>
      </c>
      <c r="F36" s="25">
        <f>+F18+F34</f>
        <v>14570332312</v>
      </c>
      <c r="G36" s="25">
        <f aca="true" t="shared" si="5" ref="G36:O36">+G18+G34</f>
        <v>-11381639890</v>
      </c>
      <c r="H36" s="25">
        <f t="shared" si="5"/>
        <v>-13532513454</v>
      </c>
      <c r="I36" s="25">
        <f t="shared" si="5"/>
        <v>-453098238</v>
      </c>
      <c r="J36" s="25">
        <f t="shared" si="5"/>
        <v>13861332758</v>
      </c>
      <c r="K36" s="25">
        <f t="shared" si="5"/>
        <v>771935666</v>
      </c>
      <c r="L36" s="25">
        <f t="shared" si="5"/>
        <v>21040338015</v>
      </c>
      <c r="M36" s="25">
        <f t="shared" si="5"/>
        <v>2166881493</v>
      </c>
      <c r="N36" s="25">
        <f t="shared" si="5"/>
        <v>2160032074</v>
      </c>
      <c r="O36" s="25">
        <f t="shared" si="5"/>
        <v>29203600736</v>
      </c>
    </row>
    <row r="37" spans="1:15" ht="12.75">
      <c r="A37" s="26"/>
      <c r="B37" s="7"/>
      <c r="C37" s="7"/>
      <c r="D37" s="7"/>
      <c r="E37" s="7"/>
      <c r="F37" s="6">
        <f>+F36</f>
        <v>14570332312</v>
      </c>
      <c r="G37" s="6">
        <f>+G36+H36+I36</f>
        <v>-25367251582</v>
      </c>
      <c r="H37" s="7"/>
      <c r="I37" s="10"/>
      <c r="J37" s="10">
        <f>+J36+K36</f>
        <v>14633268424</v>
      </c>
      <c r="K37" s="10"/>
      <c r="L37" s="10">
        <f>+L36+M36+N36</f>
        <v>25367251582</v>
      </c>
      <c r="M37" s="10"/>
      <c r="N37" s="10"/>
      <c r="O37" s="10">
        <f aca="true" t="shared" si="6" ref="O37:O68">SUM(F37:N37)</f>
        <v>29203600736</v>
      </c>
    </row>
    <row r="38" spans="9:15" ht="12.75">
      <c r="I38" s="1"/>
      <c r="J38" s="1"/>
      <c r="K38" s="1"/>
      <c r="L38" s="1"/>
      <c r="M38" s="1"/>
      <c r="N38" s="1"/>
      <c r="O38" s="1">
        <f t="shared" si="6"/>
        <v>0</v>
      </c>
    </row>
    <row r="39" spans="9:15" ht="12.75">
      <c r="I39" s="1"/>
      <c r="J39" s="1"/>
      <c r="K39" s="1"/>
      <c r="L39" s="1"/>
      <c r="M39" s="1"/>
      <c r="N39" s="1"/>
      <c r="O39" s="1">
        <f t="shared" si="6"/>
        <v>0</v>
      </c>
    </row>
    <row r="40" spans="9:15" ht="12.75">
      <c r="I40" s="1"/>
      <c r="J40" s="1"/>
      <c r="K40" s="1"/>
      <c r="L40" s="1"/>
      <c r="M40" s="1"/>
      <c r="N40" s="1"/>
      <c r="O40" s="1">
        <f t="shared" si="6"/>
        <v>0</v>
      </c>
    </row>
    <row r="41" spans="9:15" ht="12.75">
      <c r="I41" s="1"/>
      <c r="J41" s="1"/>
      <c r="K41" s="1"/>
      <c r="L41" s="1"/>
      <c r="M41" s="1"/>
      <c r="N41" s="1"/>
      <c r="O41" s="1">
        <f t="shared" si="6"/>
        <v>0</v>
      </c>
    </row>
    <row r="42" spans="9:15" ht="12.75">
      <c r="I42" s="1"/>
      <c r="J42" s="1"/>
      <c r="K42" s="1"/>
      <c r="L42" s="1"/>
      <c r="M42" s="1"/>
      <c r="N42" s="1"/>
      <c r="O42" s="1">
        <f t="shared" si="6"/>
        <v>0</v>
      </c>
    </row>
    <row r="43" spans="9:15" ht="12.75">
      <c r="I43" s="1"/>
      <c r="J43" s="1"/>
      <c r="K43" s="1"/>
      <c r="L43" s="1"/>
      <c r="M43" s="1"/>
      <c r="N43" s="1"/>
      <c r="O43" s="1">
        <f t="shared" si="6"/>
        <v>0</v>
      </c>
    </row>
    <row r="44" spans="9:15" ht="12.75">
      <c r="I44" s="1"/>
      <c r="J44" s="1"/>
      <c r="K44" s="1"/>
      <c r="L44" s="1"/>
      <c r="M44" s="1"/>
      <c r="N44" s="1"/>
      <c r="O44" s="1">
        <f t="shared" si="6"/>
        <v>0</v>
      </c>
    </row>
    <row r="45" spans="9:15" ht="12.75">
      <c r="I45" s="1"/>
      <c r="J45" s="1"/>
      <c r="K45" s="1"/>
      <c r="L45" s="1"/>
      <c r="M45" s="1"/>
      <c r="N45" s="1"/>
      <c r="O45" s="1">
        <f t="shared" si="6"/>
        <v>0</v>
      </c>
    </row>
    <row r="46" spans="9:15" ht="12.75">
      <c r="I46" s="1"/>
      <c r="J46" s="1"/>
      <c r="K46" s="1"/>
      <c r="L46" s="1"/>
      <c r="M46" s="1"/>
      <c r="N46" s="1"/>
      <c r="O46" s="1">
        <f t="shared" si="6"/>
        <v>0</v>
      </c>
    </row>
    <row r="47" spans="9:15" ht="12.75">
      <c r="I47" s="1"/>
      <c r="J47" s="1"/>
      <c r="K47" s="1"/>
      <c r="L47" s="1"/>
      <c r="M47" s="1"/>
      <c r="N47" s="1"/>
      <c r="O47" s="1">
        <f t="shared" si="6"/>
        <v>0</v>
      </c>
    </row>
    <row r="48" spans="9:15" ht="12.75">
      <c r="I48" s="1"/>
      <c r="J48" s="1"/>
      <c r="K48" s="1"/>
      <c r="L48" s="1"/>
      <c r="M48" s="1"/>
      <c r="N48" s="1"/>
      <c r="O48" s="1">
        <f t="shared" si="6"/>
        <v>0</v>
      </c>
    </row>
    <row r="49" spans="9:15" ht="12.75">
      <c r="I49" s="1"/>
      <c r="J49" s="1"/>
      <c r="K49" s="1"/>
      <c r="L49" s="1"/>
      <c r="M49" s="1"/>
      <c r="N49" s="1"/>
      <c r="O49" s="1">
        <f t="shared" si="6"/>
        <v>0</v>
      </c>
    </row>
    <row r="50" spans="9:15" ht="12.75">
      <c r="I50" s="1"/>
      <c r="J50" s="1"/>
      <c r="K50" s="1"/>
      <c r="L50" s="1"/>
      <c r="M50" s="1"/>
      <c r="N50" s="1"/>
      <c r="O50" s="1">
        <f t="shared" si="6"/>
        <v>0</v>
      </c>
    </row>
    <row r="51" spans="9:15" ht="12.75">
      <c r="I51" s="1"/>
      <c r="J51" s="1"/>
      <c r="K51" s="1"/>
      <c r="L51" s="1"/>
      <c r="M51" s="1"/>
      <c r="N51" s="1"/>
      <c r="O51" s="1">
        <f t="shared" si="6"/>
        <v>0</v>
      </c>
    </row>
    <row r="52" spans="9:15" ht="12.75">
      <c r="I52" s="1"/>
      <c r="J52" s="1"/>
      <c r="K52" s="1"/>
      <c r="L52" s="1"/>
      <c r="M52" s="1"/>
      <c r="N52" s="1"/>
      <c r="O52" s="1">
        <f t="shared" si="6"/>
        <v>0</v>
      </c>
    </row>
    <row r="53" spans="9:15" ht="12.75">
      <c r="I53" s="1"/>
      <c r="J53" s="1"/>
      <c r="K53" s="1"/>
      <c r="L53" s="1"/>
      <c r="M53" s="1"/>
      <c r="N53" s="1"/>
      <c r="O53" s="1">
        <f t="shared" si="6"/>
        <v>0</v>
      </c>
    </row>
    <row r="54" spans="9:15" ht="12.75">
      <c r="I54" s="1"/>
      <c r="J54" s="1"/>
      <c r="K54" s="1"/>
      <c r="L54" s="1"/>
      <c r="M54" s="1"/>
      <c r="N54" s="1"/>
      <c r="O54" s="1">
        <f t="shared" si="6"/>
        <v>0</v>
      </c>
    </row>
    <row r="55" spans="9:15" ht="12.75">
      <c r="I55" s="1"/>
      <c r="J55" s="1"/>
      <c r="K55" s="1"/>
      <c r="L55" s="1"/>
      <c r="M55" s="1"/>
      <c r="N55" s="1"/>
      <c r="O55" s="1">
        <f t="shared" si="6"/>
        <v>0</v>
      </c>
    </row>
    <row r="56" spans="9:15" ht="12.75">
      <c r="I56" s="1"/>
      <c r="J56" s="1"/>
      <c r="K56" s="1"/>
      <c r="L56" s="1"/>
      <c r="M56" s="1"/>
      <c r="N56" s="1"/>
      <c r="O56" s="1">
        <f t="shared" si="6"/>
        <v>0</v>
      </c>
    </row>
    <row r="57" spans="9:15" ht="12.75">
      <c r="I57" s="1"/>
      <c r="J57" s="1"/>
      <c r="K57" s="1"/>
      <c r="L57" s="1"/>
      <c r="M57" s="1"/>
      <c r="N57" s="1"/>
      <c r="O57" s="1">
        <f t="shared" si="6"/>
        <v>0</v>
      </c>
    </row>
    <row r="58" spans="9:15" ht="12.75">
      <c r="I58" s="1"/>
      <c r="J58" s="1"/>
      <c r="K58" s="1"/>
      <c r="L58" s="1"/>
      <c r="M58" s="1"/>
      <c r="N58" s="1"/>
      <c r="O58" s="1">
        <f t="shared" si="6"/>
        <v>0</v>
      </c>
    </row>
    <row r="59" spans="9:15" ht="12.75">
      <c r="I59" s="1"/>
      <c r="J59" s="1"/>
      <c r="K59" s="1"/>
      <c r="L59" s="1"/>
      <c r="M59" s="1"/>
      <c r="N59" s="1"/>
      <c r="O59" s="1">
        <f t="shared" si="6"/>
        <v>0</v>
      </c>
    </row>
    <row r="60" spans="9:15" ht="12.75">
      <c r="I60" s="1"/>
      <c r="J60" s="1"/>
      <c r="K60" s="1"/>
      <c r="L60" s="1"/>
      <c r="M60" s="1"/>
      <c r="N60" s="1"/>
      <c r="O60" s="1">
        <f t="shared" si="6"/>
        <v>0</v>
      </c>
    </row>
    <row r="61" spans="9:15" ht="12.75">
      <c r="I61" s="1"/>
      <c r="J61" s="1"/>
      <c r="K61" s="1"/>
      <c r="L61" s="1"/>
      <c r="M61" s="1"/>
      <c r="N61" s="1"/>
      <c r="O61" s="1">
        <f t="shared" si="6"/>
        <v>0</v>
      </c>
    </row>
    <row r="62" spans="9:15" ht="12.75">
      <c r="I62" s="1"/>
      <c r="J62" s="1"/>
      <c r="K62" s="1"/>
      <c r="L62" s="1"/>
      <c r="M62" s="1"/>
      <c r="N62" s="1"/>
      <c r="O62" s="1">
        <f t="shared" si="6"/>
        <v>0</v>
      </c>
    </row>
    <row r="63" spans="9:15" ht="12.75">
      <c r="I63" s="1"/>
      <c r="J63" s="1"/>
      <c r="K63" s="1"/>
      <c r="L63" s="1"/>
      <c r="M63" s="1"/>
      <c r="N63" s="1"/>
      <c r="O63" s="1">
        <f t="shared" si="6"/>
        <v>0</v>
      </c>
    </row>
    <row r="64" spans="9:15" ht="12.75">
      <c r="I64" s="1"/>
      <c r="J64" s="1"/>
      <c r="K64" s="1"/>
      <c r="L64" s="1"/>
      <c r="M64" s="1"/>
      <c r="N64" s="1"/>
      <c r="O64" s="1">
        <f t="shared" si="6"/>
        <v>0</v>
      </c>
    </row>
    <row r="65" spans="9:15" ht="12.75">
      <c r="I65" s="1"/>
      <c r="J65" s="1"/>
      <c r="K65" s="1"/>
      <c r="L65" s="1"/>
      <c r="M65" s="1"/>
      <c r="N65" s="1"/>
      <c r="O65" s="1">
        <f t="shared" si="6"/>
        <v>0</v>
      </c>
    </row>
    <row r="66" spans="9:15" ht="12.75">
      <c r="I66" s="1"/>
      <c r="J66" s="1"/>
      <c r="K66" s="1"/>
      <c r="L66" s="1"/>
      <c r="M66" s="1"/>
      <c r="N66" s="1"/>
      <c r="O66" s="1">
        <f t="shared" si="6"/>
        <v>0</v>
      </c>
    </row>
    <row r="67" spans="9:15" ht="12.75">
      <c r="I67" s="1"/>
      <c r="J67" s="1"/>
      <c r="K67" s="1"/>
      <c r="L67" s="1"/>
      <c r="M67" s="1"/>
      <c r="N67" s="1"/>
      <c r="O67" s="1">
        <f t="shared" si="6"/>
        <v>0</v>
      </c>
    </row>
    <row r="68" spans="9:15" ht="12.75">
      <c r="I68" s="1"/>
      <c r="J68" s="1"/>
      <c r="K68" s="1"/>
      <c r="L68" s="1"/>
      <c r="M68" s="1"/>
      <c r="N68" s="1"/>
      <c r="O68" s="1">
        <f t="shared" si="6"/>
        <v>0</v>
      </c>
    </row>
    <row r="69" spans="9:15" ht="12.75">
      <c r="I69" s="1"/>
      <c r="J69" s="1"/>
      <c r="K69" s="1"/>
      <c r="L69" s="1"/>
      <c r="M69" s="1"/>
      <c r="N69" s="1"/>
      <c r="O69" s="1">
        <f aca="true" t="shared" si="7" ref="O69:O96">SUM(F69:N69)</f>
        <v>0</v>
      </c>
    </row>
    <row r="70" spans="9:15" ht="12.75">
      <c r="I70" s="1"/>
      <c r="J70" s="1"/>
      <c r="K70" s="1"/>
      <c r="L70" s="1"/>
      <c r="M70" s="1"/>
      <c r="N70" s="1"/>
      <c r="O70" s="1">
        <f t="shared" si="7"/>
        <v>0</v>
      </c>
    </row>
    <row r="71" spans="9:15" ht="12.75">
      <c r="I71" s="1"/>
      <c r="J71" s="1"/>
      <c r="K71" s="1"/>
      <c r="L71" s="1"/>
      <c r="M71" s="1"/>
      <c r="N71" s="1"/>
      <c r="O71" s="1">
        <f t="shared" si="7"/>
        <v>0</v>
      </c>
    </row>
    <row r="72" spans="9:15" ht="12.75">
      <c r="I72" s="1"/>
      <c r="J72" s="1"/>
      <c r="K72" s="1"/>
      <c r="L72" s="1"/>
      <c r="M72" s="1"/>
      <c r="N72" s="1"/>
      <c r="O72" s="1">
        <f t="shared" si="7"/>
        <v>0</v>
      </c>
    </row>
    <row r="73" spans="9:15" ht="12.75">
      <c r="I73" s="1"/>
      <c r="J73" s="1"/>
      <c r="K73" s="1"/>
      <c r="L73" s="1"/>
      <c r="M73" s="1"/>
      <c r="N73" s="1"/>
      <c r="O73" s="1">
        <f t="shared" si="7"/>
        <v>0</v>
      </c>
    </row>
    <row r="74" spans="9:15" ht="12.75">
      <c r="I74" s="1"/>
      <c r="J74" s="1"/>
      <c r="K74" s="1"/>
      <c r="L74" s="1"/>
      <c r="M74" s="1"/>
      <c r="N74" s="1"/>
      <c r="O74" s="1">
        <f t="shared" si="7"/>
        <v>0</v>
      </c>
    </row>
    <row r="75" spans="9:15" ht="12.75">
      <c r="I75" s="1"/>
      <c r="J75" s="1"/>
      <c r="K75" s="1"/>
      <c r="L75" s="1"/>
      <c r="M75" s="1"/>
      <c r="N75" s="1"/>
      <c r="O75" s="1">
        <f t="shared" si="7"/>
        <v>0</v>
      </c>
    </row>
    <row r="76" spans="9:15" ht="12.75">
      <c r="I76" s="1"/>
      <c r="J76" s="1"/>
      <c r="K76" s="1"/>
      <c r="L76" s="1"/>
      <c r="M76" s="1"/>
      <c r="N76" s="1"/>
      <c r="O76" s="1">
        <f t="shared" si="7"/>
        <v>0</v>
      </c>
    </row>
    <row r="77" spans="9:15" ht="12.75">
      <c r="I77" s="1"/>
      <c r="J77" s="1"/>
      <c r="K77" s="1"/>
      <c r="L77" s="1"/>
      <c r="M77" s="1"/>
      <c r="N77" s="1"/>
      <c r="O77" s="1">
        <f t="shared" si="7"/>
        <v>0</v>
      </c>
    </row>
    <row r="78" spans="9:15" ht="12.75">
      <c r="I78" s="1"/>
      <c r="J78" s="1"/>
      <c r="K78" s="1"/>
      <c r="L78" s="1"/>
      <c r="M78" s="1"/>
      <c r="N78" s="1"/>
      <c r="O78" s="1">
        <f t="shared" si="7"/>
        <v>0</v>
      </c>
    </row>
    <row r="79" spans="9:15" ht="12.75">
      <c r="I79" s="1"/>
      <c r="J79" s="1"/>
      <c r="K79" s="1"/>
      <c r="L79" s="1"/>
      <c r="M79" s="1"/>
      <c r="N79" s="1"/>
      <c r="O79" s="1">
        <f t="shared" si="7"/>
        <v>0</v>
      </c>
    </row>
    <row r="80" spans="9:15" ht="12.75">
      <c r="I80" s="1"/>
      <c r="J80" s="1"/>
      <c r="K80" s="1"/>
      <c r="L80" s="1"/>
      <c r="M80" s="1"/>
      <c r="N80" s="1"/>
      <c r="O80" s="1">
        <f t="shared" si="7"/>
        <v>0</v>
      </c>
    </row>
    <row r="81" spans="9:15" ht="12.75">
      <c r="I81" s="1"/>
      <c r="J81" s="1"/>
      <c r="K81" s="1"/>
      <c r="L81" s="1"/>
      <c r="M81" s="1"/>
      <c r="N81" s="1"/>
      <c r="O81" s="1">
        <f t="shared" si="7"/>
        <v>0</v>
      </c>
    </row>
    <row r="82" spans="9:15" ht="12.75">
      <c r="I82" s="1"/>
      <c r="J82" s="1"/>
      <c r="K82" s="1"/>
      <c r="L82" s="1"/>
      <c r="M82" s="1"/>
      <c r="N82" s="1"/>
      <c r="O82" s="1">
        <f t="shared" si="7"/>
        <v>0</v>
      </c>
    </row>
    <row r="83" spans="9:15" ht="12.75">
      <c r="I83" s="1"/>
      <c r="J83" s="1"/>
      <c r="K83" s="1"/>
      <c r="L83" s="1"/>
      <c r="M83" s="1"/>
      <c r="N83" s="1"/>
      <c r="O83" s="1">
        <f t="shared" si="7"/>
        <v>0</v>
      </c>
    </row>
    <row r="84" spans="9:15" ht="12.75">
      <c r="I84" s="1"/>
      <c r="J84" s="1"/>
      <c r="K84" s="1"/>
      <c r="L84" s="1"/>
      <c r="M84" s="1"/>
      <c r="N84" s="1"/>
      <c r="O84" s="1">
        <f t="shared" si="7"/>
        <v>0</v>
      </c>
    </row>
    <row r="85" spans="9:15" ht="12.75">
      <c r="I85" s="1"/>
      <c r="J85" s="1"/>
      <c r="K85" s="1"/>
      <c r="L85" s="1"/>
      <c r="M85" s="1"/>
      <c r="N85" s="1"/>
      <c r="O85" s="1">
        <f t="shared" si="7"/>
        <v>0</v>
      </c>
    </row>
    <row r="86" spans="9:15" ht="12.75">
      <c r="I86" s="1"/>
      <c r="J86" s="1"/>
      <c r="K86" s="1"/>
      <c r="L86" s="1"/>
      <c r="M86" s="1"/>
      <c r="N86" s="1"/>
      <c r="O86" s="1">
        <f t="shared" si="7"/>
        <v>0</v>
      </c>
    </row>
    <row r="87" spans="9:15" ht="12.75">
      <c r="I87" s="1"/>
      <c r="J87" s="1"/>
      <c r="K87" s="1"/>
      <c r="L87" s="1"/>
      <c r="M87" s="1"/>
      <c r="N87" s="1"/>
      <c r="O87" s="1">
        <f t="shared" si="7"/>
        <v>0</v>
      </c>
    </row>
    <row r="88" spans="9:15" ht="12.75">
      <c r="I88" s="1"/>
      <c r="J88" s="1"/>
      <c r="K88" s="1"/>
      <c r="L88" s="1"/>
      <c r="M88" s="1"/>
      <c r="N88" s="1"/>
      <c r="O88" s="1">
        <f t="shared" si="7"/>
        <v>0</v>
      </c>
    </row>
    <row r="89" spans="9:15" ht="12.75">
      <c r="I89" s="1"/>
      <c r="J89" s="1"/>
      <c r="K89" s="1"/>
      <c r="L89" s="1"/>
      <c r="M89" s="1"/>
      <c r="N89" s="1"/>
      <c r="O89" s="1">
        <f t="shared" si="7"/>
        <v>0</v>
      </c>
    </row>
    <row r="90" spans="9:15" ht="12.75">
      <c r="I90" s="1"/>
      <c r="J90" s="1"/>
      <c r="K90" s="1"/>
      <c r="L90" s="1"/>
      <c r="M90" s="1"/>
      <c r="N90" s="1"/>
      <c r="O90" s="1">
        <f t="shared" si="7"/>
        <v>0</v>
      </c>
    </row>
    <row r="91" spans="9:15" ht="12.75">
      <c r="I91" s="1"/>
      <c r="J91" s="1"/>
      <c r="K91" s="1"/>
      <c r="L91" s="1"/>
      <c r="M91" s="1"/>
      <c r="N91" s="1"/>
      <c r="O91" s="1">
        <f t="shared" si="7"/>
        <v>0</v>
      </c>
    </row>
    <row r="92" spans="9:15" ht="12.75">
      <c r="I92" s="1"/>
      <c r="J92" s="1"/>
      <c r="K92" s="1"/>
      <c r="L92" s="1"/>
      <c r="M92" s="1"/>
      <c r="N92" s="1"/>
      <c r="O92" s="1">
        <f t="shared" si="7"/>
        <v>0</v>
      </c>
    </row>
    <row r="93" spans="9:15" ht="12.75">
      <c r="I93" s="1"/>
      <c r="J93" s="1"/>
      <c r="K93" s="1"/>
      <c r="L93" s="1"/>
      <c r="M93" s="1"/>
      <c r="N93" s="1"/>
      <c r="O93" s="1">
        <f t="shared" si="7"/>
        <v>0</v>
      </c>
    </row>
    <row r="94" spans="9:15" ht="12.75">
      <c r="I94" s="1"/>
      <c r="J94" s="1"/>
      <c r="K94" s="1"/>
      <c r="L94" s="1"/>
      <c r="M94" s="1"/>
      <c r="N94" s="1"/>
      <c r="O94" s="1">
        <f t="shared" si="7"/>
        <v>0</v>
      </c>
    </row>
    <row r="95" spans="9:15" ht="12.75">
      <c r="I95" s="1"/>
      <c r="J95" s="1"/>
      <c r="K95" s="1"/>
      <c r="L95" s="1"/>
      <c r="M95" s="1"/>
      <c r="N95" s="1"/>
      <c r="O95" s="1">
        <f t="shared" si="7"/>
        <v>0</v>
      </c>
    </row>
    <row r="96" spans="9:15" ht="12.75">
      <c r="I96" s="1"/>
      <c r="J96" s="1"/>
      <c r="K96" s="1"/>
      <c r="L96" s="1"/>
      <c r="M96" s="1"/>
      <c r="N96" s="1"/>
      <c r="O96" s="1">
        <f t="shared" si="7"/>
        <v>0</v>
      </c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  <row r="105" spans="9:14" ht="12.75">
      <c r="I105" s="1"/>
      <c r="J105" s="1"/>
      <c r="K105" s="1"/>
      <c r="L105" s="1"/>
      <c r="M105" s="1"/>
      <c r="N105" s="1"/>
    </row>
    <row r="106" spans="9:14" ht="12.75">
      <c r="I106" s="1"/>
      <c r="J106" s="1"/>
      <c r="K106" s="1"/>
      <c r="L106" s="1"/>
      <c r="M106" s="1"/>
      <c r="N106" s="1"/>
    </row>
    <row r="107" spans="9:14" ht="12.75">
      <c r="I107" s="1"/>
      <c r="J107" s="1"/>
      <c r="K107" s="1"/>
      <c r="L107" s="1"/>
      <c r="M107" s="1"/>
      <c r="N107" s="1"/>
    </row>
    <row r="108" spans="9:14" ht="12.75">
      <c r="I108" s="1"/>
      <c r="J108" s="1"/>
      <c r="K108" s="1"/>
      <c r="L108" s="1"/>
      <c r="M108" s="1"/>
      <c r="N108" s="1"/>
    </row>
    <row r="109" spans="9:14" ht="12.75">
      <c r="I109" s="1"/>
      <c r="J109" s="1"/>
      <c r="K109" s="1"/>
      <c r="L109" s="1"/>
      <c r="M109" s="1"/>
      <c r="N109" s="1"/>
    </row>
    <row r="110" spans="9:14" ht="12.75">
      <c r="I110" s="1"/>
      <c r="J110" s="1"/>
      <c r="K110" s="1"/>
      <c r="L110" s="1"/>
      <c r="M110" s="1"/>
      <c r="N110" s="1"/>
    </row>
    <row r="111" spans="9:14" ht="12.75">
      <c r="I111" s="1"/>
      <c r="J111" s="1"/>
      <c r="K111" s="1"/>
      <c r="L111" s="1"/>
      <c r="M111" s="1"/>
      <c r="N111" s="1"/>
    </row>
    <row r="112" spans="9:14" ht="12.75">
      <c r="I112" s="1"/>
      <c r="J112" s="1"/>
      <c r="K112" s="1"/>
      <c r="L112" s="1"/>
      <c r="M112" s="1"/>
      <c r="N112" s="1"/>
    </row>
    <row r="113" spans="9:14" ht="12.75">
      <c r="I113" s="1"/>
      <c r="J113" s="1"/>
      <c r="K113" s="1"/>
      <c r="L113" s="1"/>
      <c r="M113" s="1"/>
      <c r="N113" s="1"/>
    </row>
    <row r="114" spans="9:14" ht="12.75">
      <c r="I114" s="1"/>
      <c r="J114" s="1"/>
      <c r="K114" s="1"/>
      <c r="L114" s="1"/>
      <c r="M114" s="1"/>
      <c r="N114" s="1"/>
    </row>
    <row r="115" spans="9:14" ht="12.75">
      <c r="I115" s="1"/>
      <c r="J115" s="1"/>
      <c r="K115" s="1"/>
      <c r="L115" s="1"/>
      <c r="M115" s="1"/>
      <c r="N115" s="1"/>
    </row>
    <row r="116" spans="9:14" ht="12.75">
      <c r="I116" s="1"/>
      <c r="J116" s="1"/>
      <c r="K116" s="1"/>
      <c r="L116" s="1"/>
      <c r="M116" s="1"/>
      <c r="N116" s="1"/>
    </row>
    <row r="117" spans="9:14" ht="12.75">
      <c r="I117" s="1"/>
      <c r="J117" s="1"/>
      <c r="K117" s="1"/>
      <c r="L117" s="1"/>
      <c r="M117" s="1"/>
      <c r="N117" s="1"/>
    </row>
    <row r="118" spans="9:14" ht="12.75">
      <c r="I118" s="1"/>
      <c r="J118" s="1"/>
      <c r="K118" s="1"/>
      <c r="L118" s="1"/>
      <c r="M118" s="1"/>
      <c r="N118" s="1"/>
    </row>
    <row r="119" spans="9:14" ht="12.75">
      <c r="I119" s="1"/>
      <c r="J119" s="1"/>
      <c r="K119" s="1"/>
      <c r="L119" s="1"/>
      <c r="M119" s="1"/>
      <c r="N119" s="1"/>
    </row>
    <row r="120" spans="9:14" ht="12.75">
      <c r="I120" s="1"/>
      <c r="J120" s="1"/>
      <c r="K120" s="1"/>
      <c r="L120" s="1"/>
      <c r="M120" s="1"/>
      <c r="N120" s="1"/>
    </row>
    <row r="121" spans="9:14" ht="12.75">
      <c r="I121" s="1"/>
      <c r="J121" s="1"/>
      <c r="K121" s="1"/>
      <c r="L121" s="1"/>
      <c r="M121" s="1"/>
      <c r="N121" s="1"/>
    </row>
    <row r="122" spans="9:14" ht="12.75">
      <c r="I122" s="1"/>
      <c r="J122" s="1"/>
      <c r="K122" s="1"/>
      <c r="L122" s="1"/>
      <c r="M122" s="1"/>
      <c r="N122" s="1"/>
    </row>
    <row r="123" spans="9:14" ht="12.75">
      <c r="I123" s="1"/>
      <c r="J123" s="1"/>
      <c r="K123" s="1"/>
      <c r="L123" s="1"/>
      <c r="M123" s="1"/>
      <c r="N123" s="1"/>
    </row>
    <row r="124" spans="9:14" ht="12.75">
      <c r="I124" s="1"/>
      <c r="J124" s="1"/>
      <c r="K124" s="1"/>
      <c r="L124" s="1"/>
      <c r="M124" s="1"/>
      <c r="N124" s="1"/>
    </row>
    <row r="125" spans="9:14" ht="12.75">
      <c r="I125" s="1"/>
      <c r="J125" s="1"/>
      <c r="K125" s="1"/>
      <c r="L125" s="1"/>
      <c r="M125" s="1"/>
      <c r="N125" s="1"/>
    </row>
    <row r="126" spans="9:14" ht="12.75">
      <c r="I126" s="1"/>
      <c r="J126" s="1"/>
      <c r="K126" s="1"/>
      <c r="L126" s="1"/>
      <c r="M126" s="1"/>
      <c r="N126" s="1"/>
    </row>
    <row r="127" spans="9:14" ht="12.75">
      <c r="I127" s="1"/>
      <c r="J127" s="1"/>
      <c r="K127" s="1"/>
      <c r="L127" s="1"/>
      <c r="M127" s="1"/>
      <c r="N127" s="1"/>
    </row>
    <row r="128" spans="9:14" ht="12.75">
      <c r="I128" s="1"/>
      <c r="J128" s="1"/>
      <c r="K128" s="1"/>
      <c r="L128" s="1"/>
      <c r="M128" s="1"/>
      <c r="N128" s="1"/>
    </row>
    <row r="129" spans="9:14" ht="12.75">
      <c r="I129" s="1"/>
      <c r="J129" s="1"/>
      <c r="K129" s="1"/>
      <c r="L129" s="1"/>
      <c r="M129" s="1"/>
      <c r="N129" s="1"/>
    </row>
    <row r="130" spans="9:14" ht="12.75">
      <c r="I130" s="1"/>
      <c r="J130" s="1"/>
      <c r="K130" s="1"/>
      <c r="L130" s="1"/>
      <c r="M130" s="1"/>
      <c r="N130" s="1"/>
    </row>
    <row r="131" spans="9:14" ht="12.75">
      <c r="I131" s="1"/>
      <c r="J131" s="1"/>
      <c r="K131" s="1"/>
      <c r="L131" s="1"/>
      <c r="M131" s="1"/>
      <c r="N131" s="1"/>
    </row>
    <row r="132" spans="9:14" ht="12.75">
      <c r="I132" s="1"/>
      <c r="J132" s="1"/>
      <c r="K132" s="1"/>
      <c r="L132" s="1"/>
      <c r="M132" s="1"/>
      <c r="N132" s="1"/>
    </row>
    <row r="133" spans="9:14" ht="12.75">
      <c r="I133" s="1"/>
      <c r="J133" s="1"/>
      <c r="K133" s="1"/>
      <c r="L133" s="1"/>
      <c r="M133" s="1"/>
      <c r="N133" s="1"/>
    </row>
    <row r="134" spans="9:14" ht="12.75">
      <c r="I134" s="1"/>
      <c r="J134" s="1"/>
      <c r="K134" s="1"/>
      <c r="L134" s="1"/>
      <c r="M134" s="1"/>
      <c r="N134" s="1"/>
    </row>
    <row r="135" spans="9:14" ht="12.75">
      <c r="I135" s="1"/>
      <c r="J135" s="1"/>
      <c r="K135" s="1"/>
      <c r="L135" s="1"/>
      <c r="M135" s="1"/>
      <c r="N135" s="1"/>
    </row>
    <row r="136" spans="9:14" ht="12.75">
      <c r="I136" s="1"/>
      <c r="J136" s="1"/>
      <c r="K136" s="1"/>
      <c r="L136" s="1"/>
      <c r="M136" s="1"/>
      <c r="N136" s="1"/>
    </row>
    <row r="137" spans="9:14" ht="12.75">
      <c r="I137" s="1"/>
      <c r="J137" s="1"/>
      <c r="K137" s="1"/>
      <c r="L137" s="1"/>
      <c r="M137" s="1"/>
      <c r="N137" s="1"/>
    </row>
    <row r="138" spans="9:14" ht="12.75">
      <c r="I138" s="1"/>
      <c r="J138" s="1"/>
      <c r="K138" s="1"/>
      <c r="L138" s="1"/>
      <c r="M138" s="1"/>
      <c r="N138" s="1"/>
    </row>
    <row r="139" spans="9:14" ht="12.75">
      <c r="I139" s="1"/>
      <c r="J139" s="1"/>
      <c r="K139" s="1"/>
      <c r="L139" s="1"/>
      <c r="M139" s="1"/>
      <c r="N139" s="1"/>
    </row>
    <row r="140" spans="9:14" ht="12.75"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9:14" ht="12.75"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9:14" ht="12.75"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9:14" ht="12.75">
      <c r="I157" s="1"/>
      <c r="J157" s="1"/>
      <c r="K157" s="1"/>
      <c r="L157" s="1"/>
      <c r="M157" s="1"/>
      <c r="N157" s="1"/>
    </row>
    <row r="158" spans="9:14" ht="12.75">
      <c r="I158" s="1"/>
      <c r="J158" s="1"/>
      <c r="K158" s="1"/>
      <c r="L158" s="1"/>
      <c r="M158" s="1"/>
      <c r="N158" s="1"/>
    </row>
    <row r="159" spans="9:14" ht="12.75">
      <c r="I159" s="1"/>
      <c r="J159" s="1"/>
      <c r="K159" s="1"/>
      <c r="L159" s="1"/>
      <c r="M159" s="1"/>
      <c r="N159" s="1"/>
    </row>
    <row r="160" spans="9:14" ht="12.75">
      <c r="I160" s="1"/>
      <c r="J160" s="1"/>
      <c r="K160" s="1"/>
      <c r="L160" s="1"/>
      <c r="M160" s="1"/>
      <c r="N160" s="1"/>
    </row>
    <row r="161" spans="9:14" ht="12.75">
      <c r="I161" s="1"/>
      <c r="J161" s="1"/>
      <c r="K161" s="1"/>
      <c r="L161" s="1"/>
      <c r="M161" s="1"/>
      <c r="N161" s="1"/>
    </row>
    <row r="162" spans="9:14" ht="12.75">
      <c r="I162" s="1"/>
      <c r="J162" s="1"/>
      <c r="K162" s="1"/>
      <c r="L162" s="1"/>
      <c r="M162" s="1"/>
      <c r="N162" s="1"/>
    </row>
    <row r="163" spans="9:14" ht="12.75">
      <c r="I163" s="1"/>
      <c r="J163" s="1"/>
      <c r="K163" s="1"/>
      <c r="L163" s="1"/>
      <c r="M163" s="1"/>
      <c r="N163" s="1"/>
    </row>
    <row r="164" spans="9:14" ht="12.75">
      <c r="I164" s="1"/>
      <c r="J164" s="1"/>
      <c r="K164" s="1"/>
      <c r="L164" s="1"/>
      <c r="M164" s="1"/>
      <c r="N164" s="1"/>
    </row>
    <row r="165" spans="9:14" ht="12.75">
      <c r="I165" s="1"/>
      <c r="J165" s="1"/>
      <c r="K165" s="1"/>
      <c r="L165" s="1"/>
      <c r="M165" s="1"/>
      <c r="N165" s="1"/>
    </row>
    <row r="166" spans="9:14" ht="12.75">
      <c r="I166" s="1"/>
      <c r="J166" s="1"/>
      <c r="K166" s="1"/>
      <c r="L166" s="1"/>
      <c r="M166" s="1"/>
      <c r="N166" s="1"/>
    </row>
    <row r="167" spans="9:14" ht="12.75">
      <c r="I167" s="1"/>
      <c r="J167" s="1"/>
      <c r="K167" s="1"/>
      <c r="L167" s="1"/>
      <c r="M167" s="1"/>
      <c r="N167" s="1"/>
    </row>
    <row r="168" spans="9:14" ht="12.75">
      <c r="I168" s="1"/>
      <c r="J168" s="1"/>
      <c r="K168" s="1"/>
      <c r="L168" s="1"/>
      <c r="M168" s="1"/>
      <c r="N168" s="1"/>
    </row>
    <row r="169" spans="9:14" ht="12.75">
      <c r="I169" s="1"/>
      <c r="J169" s="1"/>
      <c r="K169" s="1"/>
      <c r="L169" s="1"/>
      <c r="M169" s="1"/>
      <c r="N169" s="1"/>
    </row>
    <row r="170" spans="9:14" ht="12.75">
      <c r="I170" s="1"/>
      <c r="J170" s="1"/>
      <c r="K170" s="1"/>
      <c r="L170" s="1"/>
      <c r="M170" s="1"/>
      <c r="N170" s="1"/>
    </row>
    <row r="171" spans="9:14" ht="12.75">
      <c r="I171" s="1"/>
      <c r="J171" s="1"/>
      <c r="K171" s="1"/>
      <c r="L171" s="1"/>
      <c r="M171" s="1"/>
      <c r="N171" s="1"/>
    </row>
    <row r="172" spans="9:14" ht="12.75">
      <c r="I172" s="1"/>
      <c r="J172" s="1"/>
      <c r="K172" s="1"/>
      <c r="L172" s="1"/>
      <c r="M172" s="1"/>
      <c r="N172" s="1"/>
    </row>
    <row r="173" spans="9:14" ht="12.75"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4" ht="12.75">
      <c r="I181" s="1"/>
      <c r="J181" s="1"/>
      <c r="K181" s="1"/>
      <c r="L181" s="1"/>
      <c r="M181" s="1"/>
      <c r="N18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2020-01-31T12:55:49Z</cp:lastPrinted>
  <dcterms:created xsi:type="dcterms:W3CDTF">2007-01-13T18:42:48Z</dcterms:created>
  <dcterms:modified xsi:type="dcterms:W3CDTF">2021-11-02T21:13:23Z</dcterms:modified>
  <cp:category/>
  <cp:version/>
  <cp:contentType/>
  <cp:contentStatus/>
</cp:coreProperties>
</file>