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UNG\Desktop\"/>
    </mc:Choice>
  </mc:AlternateContent>
  <bookViews>
    <workbookView xWindow="0" yWindow="0" windowWidth="20490" windowHeight="9045" tabRatio="1000"/>
  </bookViews>
  <sheets>
    <sheet name="L_BASE_DE CONTAMINACION2018" sheetId="5" r:id="rId1"/>
    <sheet name="tabla PPT" sheetId="22" state="hidden" r:id="rId2"/>
    <sheet name="CARGAS SEC CAFETERO" sheetId="20" state="hidden" r:id="rId3"/>
    <sheet name="Resumen cargas Cafeteros" sheetId="21" state="hidden" r:id="rId4"/>
    <sheet name="LB_CC_PISCI_GARZON" sheetId="18" r:id="rId5"/>
  </sheets>
  <externalReferences>
    <externalReference r:id="rId6"/>
    <externalReference r:id="rId7"/>
  </externalReferences>
  <definedNames>
    <definedName name="_xlnm._FilterDatabase" localSheetId="2" hidden="1">'CARGAS SEC CAFETERO'!$B$1:$H$567</definedName>
    <definedName name="_xlnm.Print_Area" localSheetId="0">'L_BASE_DE CONTAMINACION2018'!$A$1:$L$253</definedName>
    <definedName name="gigante" localSheetId="0">'[1]DATOS DE CAMPO'!$A$23</definedName>
    <definedName name="gigante">'[2]DATOS DE CAMPO'!$A$23</definedName>
    <definedName name="_xlnm.Print_Titles" localSheetId="0">'L_BASE_DE CONTAMINACION2018'!$B:$B,'L_BASE_DE CONTAMINACION2018'!$5:$6</definedName>
  </definedNames>
  <calcPr calcId="152511" iterate="1"/>
</workbook>
</file>

<file path=xl/calcChain.xml><?xml version="1.0" encoding="utf-8"?>
<calcChain xmlns="http://schemas.openxmlformats.org/spreadsheetml/2006/main">
  <c r="F26" i="21" l="1"/>
  <c r="O11" i="5" l="1"/>
  <c r="O17" i="5"/>
  <c r="O23" i="5"/>
  <c r="O33" i="5"/>
  <c r="P33" i="5" s="1"/>
  <c r="O41" i="5"/>
  <c r="O46" i="5"/>
  <c r="O52" i="5"/>
  <c r="Q52" i="5" s="1"/>
  <c r="O56" i="5"/>
  <c r="Q56" i="5" s="1"/>
  <c r="O60" i="5"/>
  <c r="O68" i="5"/>
  <c r="O71" i="5"/>
  <c r="P71" i="5" s="1"/>
  <c r="O76" i="5"/>
  <c r="P76" i="5" s="1"/>
  <c r="O83" i="5"/>
  <c r="O96" i="5"/>
  <c r="O100" i="5"/>
  <c r="O105" i="5"/>
  <c r="P105" i="5" s="1"/>
  <c r="O115" i="5"/>
  <c r="O122" i="5"/>
  <c r="O128" i="5"/>
  <c r="Q128" i="5" s="1"/>
  <c r="O131" i="5"/>
  <c r="Q131" i="5" s="1"/>
  <c r="O134" i="5"/>
  <c r="O141" i="5"/>
  <c r="O145" i="5"/>
  <c r="P145" i="5" s="1"/>
  <c r="O150" i="5"/>
  <c r="P150" i="5" s="1"/>
  <c r="O156" i="5"/>
  <c r="O161" i="5"/>
  <c r="O170" i="5"/>
  <c r="P170" i="5" s="1"/>
  <c r="O176" i="5"/>
  <c r="P176" i="5" s="1"/>
  <c r="O201" i="5"/>
  <c r="O206" i="5"/>
  <c r="O211" i="5"/>
  <c r="Q211" i="5" s="1"/>
  <c r="O219" i="5"/>
  <c r="P219" i="5" s="1"/>
  <c r="O226" i="5"/>
  <c r="O240" i="5"/>
  <c r="O245" i="5"/>
  <c r="P245" i="5" s="1"/>
  <c r="O250" i="5"/>
  <c r="Q250" i="5" s="1"/>
  <c r="Q11" i="5"/>
  <c r="P17" i="5"/>
  <c r="P23" i="5"/>
  <c r="Q23" i="5"/>
  <c r="Q41" i="5"/>
  <c r="P41" i="5"/>
  <c r="P46" i="5"/>
  <c r="P52" i="5"/>
  <c r="Q60" i="5"/>
  <c r="P60" i="5"/>
  <c r="P68" i="5"/>
  <c r="Q83" i="5"/>
  <c r="P83" i="5"/>
  <c r="P96" i="5"/>
  <c r="P100" i="5"/>
  <c r="Q100" i="5"/>
  <c r="Q115" i="5"/>
  <c r="P115" i="5"/>
  <c r="P122" i="5"/>
  <c r="P128" i="5"/>
  <c r="Q134" i="5"/>
  <c r="P134" i="5"/>
  <c r="P141" i="5"/>
  <c r="Q156" i="5"/>
  <c r="P156" i="5"/>
  <c r="P161" i="5"/>
  <c r="Q170" i="5"/>
  <c r="Q176" i="5"/>
  <c r="Q201" i="5"/>
  <c r="P201" i="5"/>
  <c r="P206" i="5"/>
  <c r="P211" i="5"/>
  <c r="Q226" i="5"/>
  <c r="P226" i="5"/>
  <c r="P240" i="5"/>
  <c r="H39" i="22"/>
  <c r="G39" i="22"/>
  <c r="Q245" i="5" l="1"/>
  <c r="Q145" i="5"/>
  <c r="Q71" i="5"/>
  <c r="Q76" i="5"/>
  <c r="P131" i="5"/>
  <c r="P250" i="5"/>
  <c r="Q150" i="5"/>
  <c r="P56" i="5"/>
  <c r="Q219" i="5"/>
  <c r="Q105" i="5"/>
  <c r="Q33" i="5"/>
  <c r="P11" i="5"/>
  <c r="Q206" i="5"/>
  <c r="Q161" i="5"/>
  <c r="Q141" i="5"/>
  <c r="Q122" i="5"/>
  <c r="Q96" i="5"/>
  <c r="Q68" i="5"/>
  <c r="Q46" i="5"/>
  <c r="Q17" i="5"/>
  <c r="Q240" i="5"/>
  <c r="S251" i="5"/>
  <c r="R251" i="5"/>
  <c r="S246" i="5"/>
  <c r="R246" i="5"/>
  <c r="S241" i="5"/>
  <c r="R241" i="5"/>
  <c r="S227" i="5"/>
  <c r="R227" i="5"/>
  <c r="S220" i="5"/>
  <c r="R220" i="5"/>
  <c r="S213" i="5"/>
  <c r="R213" i="5"/>
  <c r="S207" i="5"/>
  <c r="R207" i="5"/>
  <c r="S202" i="5"/>
  <c r="R202" i="5"/>
  <c r="S177" i="5"/>
  <c r="R177" i="5"/>
  <c r="S171" i="5"/>
  <c r="R171" i="5"/>
  <c r="S162" i="5"/>
  <c r="R162" i="5"/>
  <c r="S157" i="5"/>
  <c r="R157" i="5"/>
  <c r="S151" i="5"/>
  <c r="R151" i="5"/>
  <c r="S146" i="5"/>
  <c r="R146" i="5"/>
  <c r="S142" i="5"/>
  <c r="R142" i="5"/>
  <c r="S135" i="5"/>
  <c r="R135" i="5"/>
  <c r="S132" i="5"/>
  <c r="R132" i="5"/>
  <c r="S129" i="5"/>
  <c r="R129" i="5"/>
  <c r="S123" i="5"/>
  <c r="R123" i="5"/>
  <c r="S116" i="5"/>
  <c r="R116" i="5"/>
  <c r="S106" i="5"/>
  <c r="R106" i="5"/>
  <c r="S101" i="5"/>
  <c r="R101" i="5"/>
  <c r="S97" i="5"/>
  <c r="R97" i="5"/>
  <c r="S84" i="5"/>
  <c r="R84" i="5"/>
  <c r="S77" i="5"/>
  <c r="R77" i="5"/>
  <c r="S72" i="5"/>
  <c r="R72" i="5"/>
  <c r="S69" i="5"/>
  <c r="R69" i="5"/>
  <c r="S61" i="5"/>
  <c r="R61" i="5"/>
  <c r="S57" i="5"/>
  <c r="R57" i="5"/>
  <c r="S53" i="5"/>
  <c r="R53" i="5"/>
  <c r="S49" i="5"/>
  <c r="R49" i="5"/>
  <c r="S47" i="5"/>
  <c r="R47" i="5"/>
  <c r="S42" i="5"/>
  <c r="R42" i="5"/>
  <c r="S34" i="5"/>
  <c r="R34" i="5"/>
  <c r="S24" i="5"/>
  <c r="R24" i="5"/>
  <c r="S18" i="5"/>
  <c r="R18" i="5"/>
  <c r="S12" i="5"/>
  <c r="R12" i="5"/>
  <c r="D52" i="22"/>
  <c r="D51" i="22"/>
  <c r="G38" i="22" s="1"/>
  <c r="F47" i="22"/>
  <c r="G47" i="22" s="1"/>
  <c r="F39" i="22"/>
  <c r="E37" i="22" s="1"/>
  <c r="H38" i="22"/>
  <c r="H37" i="22"/>
  <c r="G37" i="22"/>
  <c r="H36" i="22"/>
  <c r="E36" i="22"/>
  <c r="H35" i="22"/>
  <c r="E35" i="22"/>
  <c r="H34" i="22"/>
  <c r="H33" i="22"/>
  <c r="G33" i="22"/>
  <c r="E33" i="22"/>
  <c r="H32" i="22"/>
  <c r="E32" i="22"/>
  <c r="H31" i="22"/>
  <c r="E31" i="22"/>
  <c r="H30" i="22"/>
  <c r="E30" i="22"/>
  <c r="H29" i="22"/>
  <c r="G29" i="22"/>
  <c r="E29" i="22"/>
  <c r="H28" i="22"/>
  <c r="E28" i="22"/>
  <c r="H27" i="22"/>
  <c r="E27" i="22"/>
  <c r="H26" i="22"/>
  <c r="E26" i="22"/>
  <c r="H25" i="22"/>
  <c r="G25" i="22"/>
  <c r="E25" i="22"/>
  <c r="H24" i="22"/>
  <c r="E24" i="22"/>
  <c r="H23" i="22"/>
  <c r="E23" i="22"/>
  <c r="H22" i="22"/>
  <c r="E22" i="22"/>
  <c r="H21" i="22"/>
  <c r="G21" i="22"/>
  <c r="E21" i="22"/>
  <c r="H20" i="22"/>
  <c r="E20" i="22"/>
  <c r="H19" i="22"/>
  <c r="E19" i="22"/>
  <c r="H18" i="22"/>
  <c r="E18" i="22"/>
  <c r="H17" i="22"/>
  <c r="G17" i="22"/>
  <c r="E17" i="22"/>
  <c r="H16" i="22"/>
  <c r="E16" i="22"/>
  <c r="H15" i="22"/>
  <c r="E15" i="22"/>
  <c r="H14" i="22"/>
  <c r="E14" i="22"/>
  <c r="H13" i="22"/>
  <c r="G13" i="22"/>
  <c r="E13" i="22"/>
  <c r="H12" i="22"/>
  <c r="E12" i="22"/>
  <c r="H11" i="22"/>
  <c r="E11" i="22"/>
  <c r="H10" i="22"/>
  <c r="E10" i="22"/>
  <c r="H9" i="22"/>
  <c r="G9" i="22"/>
  <c r="E9" i="22"/>
  <c r="H8" i="22"/>
  <c r="E8" i="22"/>
  <c r="H7" i="22"/>
  <c r="E7" i="22"/>
  <c r="H6" i="22"/>
  <c r="E6" i="22"/>
  <c r="H5" i="22"/>
  <c r="G5" i="22"/>
  <c r="E5" i="22"/>
  <c r="H4" i="22"/>
  <c r="E4" i="22"/>
  <c r="H3" i="22"/>
  <c r="E3" i="22"/>
  <c r="H2" i="22"/>
  <c r="E2" i="22"/>
  <c r="G4" i="22" l="1"/>
  <c r="G8" i="22"/>
  <c r="G12" i="22"/>
  <c r="G16" i="22"/>
  <c r="G20" i="22"/>
  <c r="G24" i="22"/>
  <c r="G28" i="22"/>
  <c r="G32" i="22"/>
  <c r="G36" i="22"/>
  <c r="G3" i="22"/>
  <c r="G7" i="22"/>
  <c r="G11" i="22"/>
  <c r="G15" i="22"/>
  <c r="G19" i="22"/>
  <c r="G23" i="22"/>
  <c r="G27" i="22"/>
  <c r="G31" i="22"/>
  <c r="E34" i="22"/>
  <c r="G35" i="22"/>
  <c r="E38" i="22"/>
  <c r="F42" i="22"/>
  <c r="F43" i="22" s="1"/>
  <c r="F46" i="22"/>
  <c r="G46" i="22" s="1"/>
  <c r="G2" i="22"/>
  <c r="G6" i="22"/>
  <c r="G10" i="22"/>
  <c r="G14" i="22"/>
  <c r="G18" i="22"/>
  <c r="G22" i="22"/>
  <c r="G26" i="22"/>
  <c r="G30" i="22"/>
  <c r="G34" i="22"/>
  <c r="F44" i="22" l="1"/>
  <c r="F45" i="22"/>
  <c r="F49" i="22" l="1"/>
  <c r="F52" i="22" s="1"/>
  <c r="F48" i="22"/>
  <c r="F51" i="22" s="1"/>
  <c r="D4" i="21" l="1"/>
  <c r="F4" i="21" s="1"/>
  <c r="C4" i="21"/>
  <c r="E4" i="21" s="1"/>
  <c r="D17" i="21"/>
  <c r="F17" i="21" s="1"/>
  <c r="C17" i="21"/>
  <c r="E17" i="21" s="1"/>
  <c r="D12" i="21"/>
  <c r="F12" i="21" s="1"/>
  <c r="C12" i="21"/>
  <c r="E12" i="21" s="1"/>
  <c r="D18" i="21"/>
  <c r="F18" i="21" s="1"/>
  <c r="C18" i="21"/>
  <c r="E18" i="21" s="1"/>
  <c r="D14" i="21"/>
  <c r="F14" i="21" s="1"/>
  <c r="S78" i="5" s="1"/>
  <c r="C14" i="21"/>
  <c r="E14" i="21" s="1"/>
  <c r="R78" i="5" s="1"/>
  <c r="D2" i="21"/>
  <c r="F2" i="21" s="1"/>
  <c r="C2" i="21"/>
  <c r="E2" i="21" s="1"/>
  <c r="D10" i="21"/>
  <c r="F10" i="21" s="1"/>
  <c r="C10" i="21"/>
  <c r="E10" i="21" s="1"/>
  <c r="D5" i="21"/>
  <c r="F5" i="21" s="1"/>
  <c r="C5" i="21"/>
  <c r="E5" i="21" s="1"/>
  <c r="C26" i="21"/>
  <c r="E26" i="21" s="1"/>
  <c r="D21" i="21"/>
  <c r="F21" i="21" s="1"/>
  <c r="C21" i="21"/>
  <c r="E21" i="21" s="1"/>
  <c r="D23" i="21"/>
  <c r="F23" i="21" s="1"/>
  <c r="C23" i="21"/>
  <c r="E23" i="21" s="1"/>
  <c r="D24" i="21"/>
  <c r="F24" i="21" s="1"/>
  <c r="C24" i="21"/>
  <c r="E24" i="21" s="1"/>
  <c r="D11" i="21"/>
  <c r="F11" i="21" s="1"/>
  <c r="C11" i="21"/>
  <c r="E11" i="21" s="1"/>
  <c r="R159" i="5" s="1"/>
  <c r="D16" i="21"/>
  <c r="F16" i="21" s="1"/>
  <c r="C16" i="21"/>
  <c r="E16" i="21" s="1"/>
  <c r="D9" i="21"/>
  <c r="F9" i="21" s="1"/>
  <c r="C9" i="21"/>
  <c r="E9" i="21" s="1"/>
  <c r="D27" i="21"/>
  <c r="F27" i="21" s="1"/>
  <c r="S172" i="5" s="1"/>
  <c r="C27" i="21"/>
  <c r="E27" i="21" s="1"/>
  <c r="R172" i="5" s="1"/>
  <c r="D3" i="21"/>
  <c r="F3" i="21" s="1"/>
  <c r="C3" i="21"/>
  <c r="E3" i="21" s="1"/>
  <c r="D19" i="21"/>
  <c r="F19" i="21" s="1"/>
  <c r="C19" i="21"/>
  <c r="E19" i="21" s="1"/>
  <c r="D22" i="21"/>
  <c r="F22" i="21" s="1"/>
  <c r="C22" i="21"/>
  <c r="E22" i="21" s="1"/>
  <c r="R238" i="5" s="1"/>
  <c r="D20" i="21"/>
  <c r="F20" i="21" s="1"/>
  <c r="S37" i="5" s="1"/>
  <c r="C20" i="21"/>
  <c r="E20" i="21" s="1"/>
  <c r="R37" i="5" s="1"/>
  <c r="D25" i="21"/>
  <c r="F25" i="21" s="1"/>
  <c r="C25" i="21"/>
  <c r="E25" i="21" s="1"/>
  <c r="D13" i="21"/>
  <c r="F13" i="21" s="1"/>
  <c r="C13" i="21"/>
  <c r="E13" i="21" s="1"/>
  <c r="D6" i="21"/>
  <c r="F6" i="21" s="1"/>
  <c r="S247" i="5" s="1"/>
  <c r="C6" i="21"/>
  <c r="E6" i="21" s="1"/>
  <c r="R247" i="5" s="1"/>
  <c r="D7" i="21"/>
  <c r="F7" i="21" s="1"/>
  <c r="S29" i="5" s="1"/>
  <c r="C7" i="21"/>
  <c r="E7" i="21" s="1"/>
  <c r="R29" i="5" s="1"/>
  <c r="D15" i="21"/>
  <c r="F15" i="21" s="1"/>
  <c r="C15" i="21"/>
  <c r="E15" i="21" s="1"/>
  <c r="R252" i="5" s="1"/>
  <c r="D8" i="21"/>
  <c r="C8" i="21"/>
  <c r="H566" i="20"/>
  <c r="G566" i="20"/>
  <c r="K376" i="20"/>
  <c r="J375" i="20"/>
  <c r="S252" i="5" l="1"/>
  <c r="S13" i="5"/>
  <c r="S62" i="5"/>
  <c r="S63" i="5" s="1"/>
  <c r="AF15" i="5" s="1"/>
  <c r="R184" i="5"/>
  <c r="R113" i="5"/>
  <c r="R102" i="5"/>
  <c r="S113" i="5"/>
  <c r="S102" i="5"/>
  <c r="S58" i="5"/>
  <c r="R215" i="5"/>
  <c r="R164" i="5"/>
  <c r="R136" i="5"/>
  <c r="R13" i="5"/>
  <c r="R93" i="5"/>
  <c r="R62" i="5"/>
  <c r="R58" i="5"/>
  <c r="R54" i="5"/>
  <c r="S238" i="5"/>
  <c r="S184" i="5"/>
  <c r="S159" i="5"/>
  <c r="S54" i="5"/>
  <c r="D28" i="21"/>
  <c r="S215" i="5"/>
  <c r="S164" i="5"/>
  <c r="S136" i="5"/>
  <c r="S93" i="5"/>
  <c r="S254" i="5"/>
  <c r="C28" i="21"/>
  <c r="E8" i="21"/>
  <c r="E31" i="21" s="1"/>
  <c r="F8" i="21"/>
  <c r="F31" i="21" s="1"/>
  <c r="AF56" i="5" l="1"/>
  <c r="R254" i="5"/>
  <c r="AE56" i="5" s="1"/>
  <c r="G111" i="5"/>
  <c r="G108" i="5"/>
  <c r="F7" i="18"/>
  <c r="K86" i="5" l="1"/>
  <c r="R86" i="5" s="1"/>
  <c r="L86" i="5"/>
  <c r="S86" i="5" s="1"/>
  <c r="K87" i="5"/>
  <c r="R87" i="5" s="1"/>
  <c r="L87" i="5"/>
  <c r="S87" i="5" s="1"/>
  <c r="K88" i="5"/>
  <c r="R88" i="5" s="1"/>
  <c r="L88" i="5"/>
  <c r="S88" i="5" s="1"/>
  <c r="K89" i="5"/>
  <c r="R89" i="5" s="1"/>
  <c r="L89" i="5"/>
  <c r="S89" i="5" s="1"/>
  <c r="K90" i="5"/>
  <c r="R90" i="5" s="1"/>
  <c r="L90" i="5"/>
  <c r="S90" i="5" s="1"/>
  <c r="F177" i="18"/>
  <c r="H177" i="18" s="1"/>
  <c r="F176" i="18"/>
  <c r="H176" i="18" s="1"/>
  <c r="F175" i="18"/>
  <c r="H175" i="18" s="1"/>
  <c r="F174" i="18"/>
  <c r="H174" i="18" s="1"/>
  <c r="F173" i="18"/>
  <c r="H173" i="18" s="1"/>
  <c r="F172" i="18"/>
  <c r="H172" i="18" s="1"/>
  <c r="F171" i="18"/>
  <c r="H171" i="18" s="1"/>
  <c r="F170" i="18"/>
  <c r="H170" i="18" s="1"/>
  <c r="F169" i="18"/>
  <c r="H169" i="18" s="1"/>
  <c r="F168" i="18"/>
  <c r="H168" i="18" s="1"/>
  <c r="F167" i="18"/>
  <c r="H167" i="18" s="1"/>
  <c r="F166" i="18"/>
  <c r="H166" i="18" s="1"/>
  <c r="F165" i="18"/>
  <c r="H165" i="18" s="1"/>
  <c r="F164" i="18"/>
  <c r="H164" i="18" s="1"/>
  <c r="F163" i="18"/>
  <c r="G163" i="18" s="1"/>
  <c r="F162" i="18"/>
  <c r="H162" i="18" s="1"/>
  <c r="F161" i="18"/>
  <c r="H161" i="18" s="1"/>
  <c r="F160" i="18"/>
  <c r="H160" i="18" s="1"/>
  <c r="F159" i="18"/>
  <c r="H159" i="18" s="1"/>
  <c r="F158" i="18"/>
  <c r="H158" i="18" s="1"/>
  <c r="F157" i="18"/>
  <c r="H157" i="18" s="1"/>
  <c r="F156" i="18"/>
  <c r="G156" i="18" s="1"/>
  <c r="F155" i="18"/>
  <c r="H155" i="18" s="1"/>
  <c r="F154" i="18"/>
  <c r="H154" i="18" s="1"/>
  <c r="F153" i="18"/>
  <c r="H153" i="18" s="1"/>
  <c r="F152" i="18"/>
  <c r="H152" i="18" s="1"/>
  <c r="F151" i="18"/>
  <c r="H151" i="18" s="1"/>
  <c r="F150" i="18"/>
  <c r="H150" i="18" s="1"/>
  <c r="F149" i="18"/>
  <c r="H149" i="18" s="1"/>
  <c r="F148" i="18"/>
  <c r="H148" i="18" s="1"/>
  <c r="F147" i="18"/>
  <c r="G147" i="18" s="1"/>
  <c r="F146" i="18"/>
  <c r="H146" i="18" s="1"/>
  <c r="F145" i="18"/>
  <c r="H145" i="18" s="1"/>
  <c r="F144" i="18"/>
  <c r="H144" i="18" s="1"/>
  <c r="F143" i="18"/>
  <c r="H143" i="18" s="1"/>
  <c r="F142" i="18"/>
  <c r="H142" i="18" s="1"/>
  <c r="F141" i="18"/>
  <c r="H141" i="18" s="1"/>
  <c r="F140" i="18"/>
  <c r="G140" i="18" s="1"/>
  <c r="F139" i="18"/>
  <c r="H139" i="18" s="1"/>
  <c r="F138" i="18"/>
  <c r="H138" i="18" s="1"/>
  <c r="F137" i="18"/>
  <c r="H137" i="18" s="1"/>
  <c r="F136" i="18"/>
  <c r="G136" i="18" s="1"/>
  <c r="F135" i="18"/>
  <c r="H135" i="18" s="1"/>
  <c r="F134" i="18"/>
  <c r="H134" i="18" s="1"/>
  <c r="F133" i="18"/>
  <c r="H133" i="18" s="1"/>
  <c r="F132" i="18"/>
  <c r="H132" i="18" s="1"/>
  <c r="F131" i="18"/>
  <c r="G131" i="18" s="1"/>
  <c r="F130" i="18"/>
  <c r="H130" i="18" s="1"/>
  <c r="F129" i="18"/>
  <c r="H129" i="18" s="1"/>
  <c r="F125" i="18"/>
  <c r="H125" i="18" s="1"/>
  <c r="F124" i="18"/>
  <c r="H124" i="18" s="1"/>
  <c r="F123" i="18"/>
  <c r="H123" i="18" s="1"/>
  <c r="F122" i="18"/>
  <c r="H122" i="18" s="1"/>
  <c r="F121" i="18"/>
  <c r="G121" i="18" s="1"/>
  <c r="F120" i="18"/>
  <c r="H120" i="18" s="1"/>
  <c r="F119" i="18"/>
  <c r="H119" i="18" s="1"/>
  <c r="F118" i="18"/>
  <c r="H118" i="18" s="1"/>
  <c r="F117" i="18"/>
  <c r="G117" i="18" s="1"/>
  <c r="F116" i="18"/>
  <c r="G116" i="18" s="1"/>
  <c r="F115" i="18"/>
  <c r="H115" i="18" s="1"/>
  <c r="F114" i="18"/>
  <c r="H114" i="18" s="1"/>
  <c r="F113" i="18"/>
  <c r="H113" i="18" s="1"/>
  <c r="F112" i="18"/>
  <c r="G112" i="18" s="1"/>
  <c r="F111" i="18"/>
  <c r="H111" i="18" s="1"/>
  <c r="F110" i="18"/>
  <c r="H110" i="18" s="1"/>
  <c r="F109" i="18"/>
  <c r="H109" i="18" s="1"/>
  <c r="F108" i="18"/>
  <c r="H108" i="18" s="1"/>
  <c r="F107" i="18"/>
  <c r="H107" i="18" s="1"/>
  <c r="F106" i="18"/>
  <c r="H106" i="18" s="1"/>
  <c r="F105" i="18"/>
  <c r="H105" i="18" s="1"/>
  <c r="F104" i="18"/>
  <c r="H104" i="18" s="1"/>
  <c r="F103" i="18"/>
  <c r="H103" i="18" s="1"/>
  <c r="F102" i="18"/>
  <c r="H102" i="18" s="1"/>
  <c r="F101" i="18"/>
  <c r="G101" i="18" s="1"/>
  <c r="F100" i="18"/>
  <c r="H100" i="18" s="1"/>
  <c r="F99" i="18"/>
  <c r="H99" i="18" s="1"/>
  <c r="F98" i="18"/>
  <c r="H98" i="18" s="1"/>
  <c r="F97" i="18"/>
  <c r="H97" i="18" s="1"/>
  <c r="F96" i="18"/>
  <c r="G96" i="18" s="1"/>
  <c r="F95" i="18"/>
  <c r="H95" i="18" s="1"/>
  <c r="F94" i="18"/>
  <c r="H94" i="18" s="1"/>
  <c r="F93" i="18"/>
  <c r="H93" i="18" s="1"/>
  <c r="F92" i="18"/>
  <c r="H92" i="18" s="1"/>
  <c r="F91" i="18"/>
  <c r="H91" i="18" s="1"/>
  <c r="F90" i="18"/>
  <c r="H90" i="18" s="1"/>
  <c r="F89" i="18"/>
  <c r="H89" i="18" s="1"/>
  <c r="F88" i="18"/>
  <c r="H88" i="18" s="1"/>
  <c r="F87" i="18"/>
  <c r="H87" i="18" s="1"/>
  <c r="F86" i="18"/>
  <c r="H86" i="18" s="1"/>
  <c r="F85" i="18"/>
  <c r="G85" i="18" s="1"/>
  <c r="F84" i="18"/>
  <c r="H84" i="18" s="1"/>
  <c r="F83" i="18"/>
  <c r="H83" i="18" s="1"/>
  <c r="F82" i="18"/>
  <c r="H82" i="18" s="1"/>
  <c r="F81" i="18"/>
  <c r="H81" i="18" s="1"/>
  <c r="F80" i="18"/>
  <c r="G80" i="18" s="1"/>
  <c r="F79" i="18"/>
  <c r="H79" i="18" s="1"/>
  <c r="F78" i="18"/>
  <c r="H78" i="18" s="1"/>
  <c r="F77" i="18"/>
  <c r="H77" i="18" s="1"/>
  <c r="F76" i="18"/>
  <c r="H76" i="18" s="1"/>
  <c r="F75" i="18"/>
  <c r="H75" i="18" s="1"/>
  <c r="F74" i="18"/>
  <c r="H74" i="18" s="1"/>
  <c r="F73" i="18"/>
  <c r="H73" i="18" s="1"/>
  <c r="F72" i="18"/>
  <c r="H72" i="18" s="1"/>
  <c r="F71" i="18"/>
  <c r="H71" i="18" s="1"/>
  <c r="F70" i="18"/>
  <c r="H70" i="18" s="1"/>
  <c r="F69" i="18"/>
  <c r="G69" i="18" s="1"/>
  <c r="F68" i="18"/>
  <c r="H68" i="18" s="1"/>
  <c r="F67" i="18"/>
  <c r="H67" i="18" s="1"/>
  <c r="F66" i="18"/>
  <c r="H66" i="18" s="1"/>
  <c r="F65" i="18"/>
  <c r="H65" i="18" s="1"/>
  <c r="F64" i="18"/>
  <c r="G64" i="18" s="1"/>
  <c r="F63" i="18"/>
  <c r="H63" i="18" s="1"/>
  <c r="F62" i="18"/>
  <c r="H62" i="18" s="1"/>
  <c r="F61" i="18"/>
  <c r="H61" i="18" s="1"/>
  <c r="F60" i="18"/>
  <c r="H60" i="18" s="1"/>
  <c r="F59" i="18"/>
  <c r="H59" i="18" s="1"/>
  <c r="F58" i="18"/>
  <c r="H58" i="18" s="1"/>
  <c r="F57" i="18"/>
  <c r="G57" i="18" s="1"/>
  <c r="F56" i="18"/>
  <c r="H56" i="18" s="1"/>
  <c r="F55" i="18"/>
  <c r="H55" i="18" s="1"/>
  <c r="F54" i="18"/>
  <c r="H54" i="18" s="1"/>
  <c r="F53" i="18"/>
  <c r="G53" i="18" s="1"/>
  <c r="F52" i="18"/>
  <c r="G52" i="18" s="1"/>
  <c r="F51" i="18"/>
  <c r="H51" i="18" s="1"/>
  <c r="F50" i="18"/>
  <c r="H50" i="18" s="1"/>
  <c r="F49" i="18"/>
  <c r="H49" i="18" s="1"/>
  <c r="F48" i="18"/>
  <c r="G48" i="18" s="1"/>
  <c r="F47" i="18"/>
  <c r="H47" i="18" s="1"/>
  <c r="F46" i="18"/>
  <c r="H46" i="18" s="1"/>
  <c r="F45" i="18"/>
  <c r="H45" i="18" s="1"/>
  <c r="F44" i="18"/>
  <c r="H44" i="18" s="1"/>
  <c r="F43" i="18"/>
  <c r="H43" i="18" s="1"/>
  <c r="F42" i="18"/>
  <c r="H42" i="18" s="1"/>
  <c r="F41" i="18"/>
  <c r="H41" i="18" s="1"/>
  <c r="F40" i="18"/>
  <c r="H40" i="18" s="1"/>
  <c r="F39" i="18"/>
  <c r="H39" i="18" s="1"/>
  <c r="F38" i="18"/>
  <c r="H38" i="18" s="1"/>
  <c r="F37" i="18"/>
  <c r="G37" i="18" s="1"/>
  <c r="F36" i="18"/>
  <c r="H36" i="18" s="1"/>
  <c r="F35" i="18"/>
  <c r="H35" i="18" s="1"/>
  <c r="F34" i="18"/>
  <c r="H34" i="18" s="1"/>
  <c r="F33" i="18"/>
  <c r="H33" i="18" s="1"/>
  <c r="F32" i="18"/>
  <c r="G32" i="18" s="1"/>
  <c r="F31" i="18"/>
  <c r="H31" i="18" s="1"/>
  <c r="F30" i="18"/>
  <c r="H30" i="18" s="1"/>
  <c r="F29" i="18"/>
  <c r="H29" i="18" s="1"/>
  <c r="F28" i="18"/>
  <c r="H28" i="18" s="1"/>
  <c r="F27" i="18"/>
  <c r="H27" i="18" s="1"/>
  <c r="F26" i="18"/>
  <c r="H26" i="18" s="1"/>
  <c r="F25" i="18"/>
  <c r="H25" i="18" s="1"/>
  <c r="F24" i="18"/>
  <c r="H24" i="18" s="1"/>
  <c r="F23" i="18"/>
  <c r="H23" i="18" s="1"/>
  <c r="F22" i="18"/>
  <c r="H22" i="18" s="1"/>
  <c r="F21" i="18"/>
  <c r="G21" i="18" s="1"/>
  <c r="F20" i="18"/>
  <c r="G20" i="18" s="1"/>
  <c r="F19" i="18"/>
  <c r="H19" i="18" s="1"/>
  <c r="F18" i="18"/>
  <c r="H18" i="18" s="1"/>
  <c r="F17" i="18"/>
  <c r="H17" i="18" s="1"/>
  <c r="F16" i="18"/>
  <c r="G16" i="18" s="1"/>
  <c r="F15" i="18"/>
  <c r="H15" i="18" s="1"/>
  <c r="F14" i="18"/>
  <c r="H14" i="18" s="1"/>
  <c r="F13" i="18"/>
  <c r="H13" i="18" s="1"/>
  <c r="F12" i="18"/>
  <c r="H12" i="18" s="1"/>
  <c r="F11" i="18"/>
  <c r="H11" i="18" s="1"/>
  <c r="F10" i="18"/>
  <c r="H10" i="18" s="1"/>
  <c r="F9" i="18"/>
  <c r="H9" i="18" s="1"/>
  <c r="F8" i="18"/>
  <c r="H8" i="18" s="1"/>
  <c r="H7" i="18"/>
  <c r="C2" i="18"/>
  <c r="G27" i="18" l="1"/>
  <c r="G25" i="18"/>
  <c r="H57" i="18"/>
  <c r="H37" i="18"/>
  <c r="G40" i="18"/>
  <c r="G47" i="18"/>
  <c r="H116" i="18"/>
  <c r="G89" i="18"/>
  <c r="G91" i="18"/>
  <c r="G59" i="18"/>
  <c r="H140" i="18"/>
  <c r="H147" i="18"/>
  <c r="G8" i="18"/>
  <c r="G15" i="18"/>
  <c r="H69" i="18"/>
  <c r="G72" i="18"/>
  <c r="G100" i="18"/>
  <c r="G123" i="18"/>
  <c r="H163" i="18"/>
  <c r="H121" i="18"/>
  <c r="G158" i="18"/>
  <c r="H20" i="18"/>
  <c r="H32" i="18"/>
  <c r="H52" i="18"/>
  <c r="H64" i="18"/>
  <c r="G77" i="18"/>
  <c r="H96" i="18"/>
  <c r="H101" i="18"/>
  <c r="G104" i="18"/>
  <c r="G111" i="18"/>
  <c r="G152" i="18"/>
  <c r="G154" i="18"/>
  <c r="H156" i="18"/>
  <c r="G176" i="18"/>
  <c r="G79" i="18"/>
  <c r="H131" i="18"/>
  <c r="H136" i="18"/>
  <c r="G13" i="18"/>
  <c r="G36" i="18"/>
  <c r="G45" i="18"/>
  <c r="G68" i="18"/>
  <c r="G9" i="18"/>
  <c r="G11" i="18"/>
  <c r="H16" i="18"/>
  <c r="H21" i="18"/>
  <c r="G24" i="18"/>
  <c r="G31" i="18"/>
  <c r="G41" i="18"/>
  <c r="G43" i="18"/>
  <c r="H48" i="18"/>
  <c r="H53" i="18"/>
  <c r="G56" i="18"/>
  <c r="G63" i="18"/>
  <c r="G73" i="18"/>
  <c r="G75" i="18"/>
  <c r="H80" i="18"/>
  <c r="H85" i="18"/>
  <c r="G88" i="18"/>
  <c r="G95" i="18"/>
  <c r="G109" i="18"/>
  <c r="G135" i="18"/>
  <c r="G139" i="18"/>
  <c r="G146" i="18"/>
  <c r="G151" i="18"/>
  <c r="G168" i="18"/>
  <c r="G170" i="18"/>
  <c r="G172" i="18"/>
  <c r="G174" i="18"/>
  <c r="G29" i="18"/>
  <c r="G61" i="18"/>
  <c r="G84" i="18"/>
  <c r="G93" i="18"/>
  <c r="G103" i="18"/>
  <c r="G105" i="18"/>
  <c r="G107" i="18"/>
  <c r="H112" i="18"/>
  <c r="H117" i="18"/>
  <c r="G120" i="18"/>
  <c r="G130" i="18"/>
  <c r="G144" i="18"/>
  <c r="G155" i="18"/>
  <c r="G162" i="18"/>
  <c r="G167" i="18"/>
  <c r="G177" i="18"/>
  <c r="G125" i="18"/>
  <c r="G138" i="18"/>
  <c r="G142" i="18"/>
  <c r="G160" i="18"/>
  <c r="G171" i="18"/>
  <c r="G12" i="18"/>
  <c r="G17" i="18"/>
  <c r="G19" i="18"/>
  <c r="G28" i="18"/>
  <c r="G33" i="18"/>
  <c r="G35" i="18"/>
  <c r="G44" i="18"/>
  <c r="G49" i="18"/>
  <c r="G51" i="18"/>
  <c r="G60" i="18"/>
  <c r="G65" i="18"/>
  <c r="G67" i="18"/>
  <c r="G76" i="18"/>
  <c r="G81" i="18"/>
  <c r="G83" i="18"/>
  <c r="G92" i="18"/>
  <c r="G97" i="18"/>
  <c r="G99" i="18"/>
  <c r="G108" i="18"/>
  <c r="G113" i="18"/>
  <c r="G115" i="18"/>
  <c r="G124" i="18"/>
  <c r="G132" i="18"/>
  <c r="G134" i="18"/>
  <c r="G143" i="18"/>
  <c r="G148" i="18"/>
  <c r="G150" i="18"/>
  <c r="G159" i="18"/>
  <c r="G164" i="18"/>
  <c r="G166" i="18"/>
  <c r="G175" i="18"/>
  <c r="G7" i="18"/>
  <c r="G23" i="18"/>
  <c r="G39" i="18"/>
  <c r="G55" i="18"/>
  <c r="G71" i="18"/>
  <c r="G87" i="18"/>
  <c r="G119" i="18"/>
  <c r="G10" i="18"/>
  <c r="G14" i="18"/>
  <c r="G18" i="18"/>
  <c r="G22" i="18"/>
  <c r="G26" i="18"/>
  <c r="G30" i="18"/>
  <c r="G34" i="18"/>
  <c r="G38" i="18"/>
  <c r="G42" i="18"/>
  <c r="G46" i="18"/>
  <c r="G50" i="18"/>
  <c r="G54" i="18"/>
  <c r="G58" i="18"/>
  <c r="G62" i="18"/>
  <c r="G66" i="18"/>
  <c r="G70" i="18"/>
  <c r="G74" i="18"/>
  <c r="G78" i="18"/>
  <c r="G82" i="18"/>
  <c r="G86" i="18"/>
  <c r="G90" i="18"/>
  <c r="G94" i="18"/>
  <c r="G98" i="18"/>
  <c r="G102" i="18"/>
  <c r="G106" i="18"/>
  <c r="G110" i="18"/>
  <c r="G114" i="18"/>
  <c r="G118" i="18"/>
  <c r="G122" i="18"/>
  <c r="G129" i="18"/>
  <c r="G133" i="18"/>
  <c r="G137" i="18"/>
  <c r="G141" i="18"/>
  <c r="G145" i="18"/>
  <c r="G149" i="18"/>
  <c r="G153" i="18"/>
  <c r="G157" i="18"/>
  <c r="G161" i="18"/>
  <c r="G165" i="18"/>
  <c r="G169" i="18"/>
  <c r="G173" i="18"/>
  <c r="G178" i="18" l="1"/>
  <c r="R91" i="5" s="1"/>
  <c r="H178" i="18"/>
  <c r="R63" i="5"/>
  <c r="W60" i="5" l="1"/>
  <c r="V60" i="5"/>
  <c r="AE15" i="5"/>
  <c r="W62" i="5"/>
  <c r="V62" i="5"/>
  <c r="S91" i="5"/>
  <c r="L229" i="5"/>
  <c r="K229" i="5"/>
  <c r="L92" i="5" l="1"/>
  <c r="S92" i="5" s="1"/>
  <c r="K92" i="5"/>
  <c r="R92" i="5" s="1"/>
  <c r="K28" i="5" l="1"/>
  <c r="R28" i="5" s="1"/>
  <c r="L28" i="5"/>
  <c r="S28" i="5" s="1"/>
  <c r="K27" i="5"/>
  <c r="R27" i="5" s="1"/>
  <c r="L27" i="5"/>
  <c r="S27" i="5" s="1"/>
  <c r="K26" i="5"/>
  <c r="R26" i="5" s="1"/>
  <c r="L26" i="5"/>
  <c r="S26" i="5" s="1"/>
  <c r="L25" i="5"/>
  <c r="S25" i="5" s="1"/>
  <c r="K25" i="5"/>
  <c r="R25" i="5" s="1"/>
  <c r="L237" i="5" l="1"/>
  <c r="S237" i="5" s="1"/>
  <c r="K237" i="5"/>
  <c r="R237" i="5" s="1"/>
  <c r="L236" i="5"/>
  <c r="S236" i="5" s="1"/>
  <c r="K236" i="5"/>
  <c r="R236" i="5" s="1"/>
  <c r="L233" i="5"/>
  <c r="S233" i="5" s="1"/>
  <c r="S234" i="5"/>
  <c r="L235" i="5"/>
  <c r="S235" i="5" s="1"/>
  <c r="K233" i="5"/>
  <c r="R233" i="5" s="1"/>
  <c r="R234" i="5"/>
  <c r="K235" i="5"/>
  <c r="R235" i="5" s="1"/>
  <c r="L224" i="5"/>
  <c r="L225" i="5"/>
  <c r="K224" i="5"/>
  <c r="K225" i="5"/>
  <c r="L218" i="5"/>
  <c r="K218" i="5"/>
  <c r="L217" i="5"/>
  <c r="K217" i="5"/>
  <c r="L212" i="5"/>
  <c r="S212" i="5" s="1"/>
  <c r="L214" i="5"/>
  <c r="S214" i="5" s="1"/>
  <c r="K212" i="5"/>
  <c r="R212" i="5" s="1"/>
  <c r="K214" i="5"/>
  <c r="R214" i="5" s="1"/>
  <c r="L209" i="5"/>
  <c r="S209" i="5" s="1"/>
  <c r="K209" i="5"/>
  <c r="R209" i="5" s="1"/>
  <c r="L210" i="5"/>
  <c r="S210" i="5" s="1"/>
  <c r="K210" i="5"/>
  <c r="R210" i="5" s="1"/>
  <c r="L208" i="5"/>
  <c r="S208" i="5" s="1"/>
  <c r="K208" i="5"/>
  <c r="R208" i="5" s="1"/>
  <c r="K179" i="5"/>
  <c r="R179" i="5" s="1"/>
  <c r="L179" i="5"/>
  <c r="S179" i="5" s="1"/>
  <c r="K180" i="5"/>
  <c r="R180" i="5" s="1"/>
  <c r="L180" i="5"/>
  <c r="S180" i="5" s="1"/>
  <c r="K181" i="5"/>
  <c r="R181" i="5" s="1"/>
  <c r="L181" i="5"/>
  <c r="S181" i="5" s="1"/>
  <c r="K182" i="5"/>
  <c r="R182" i="5" s="1"/>
  <c r="L182" i="5"/>
  <c r="S182" i="5" s="1"/>
  <c r="K183" i="5"/>
  <c r="R183" i="5" s="1"/>
  <c r="L183" i="5"/>
  <c r="S183" i="5" s="1"/>
  <c r="L169" i="5"/>
  <c r="K169" i="5"/>
  <c r="S163" i="5"/>
  <c r="R163" i="5"/>
  <c r="L161" i="5"/>
  <c r="S161" i="5" s="1"/>
  <c r="K161" i="5"/>
  <c r="R161" i="5" s="1"/>
  <c r="K134" i="5"/>
  <c r="R134" i="5" s="1"/>
  <c r="L134" i="5"/>
  <c r="S134" i="5" s="1"/>
  <c r="L130" i="5"/>
  <c r="S131" i="5" s="1"/>
  <c r="K130" i="5"/>
  <c r="R131" i="5" s="1"/>
  <c r="L125" i="5"/>
  <c r="S125" i="5" s="1"/>
  <c r="AF60" i="5" s="1"/>
  <c r="K125" i="5"/>
  <c r="R125" i="5" s="1"/>
  <c r="AE60" i="5" s="1"/>
  <c r="L124" i="5"/>
  <c r="S124" i="5" s="1"/>
  <c r="K124" i="5"/>
  <c r="R124" i="5" s="1"/>
  <c r="L121" i="5"/>
  <c r="K119" i="5"/>
  <c r="L119" i="5"/>
  <c r="K109" i="5"/>
  <c r="R109" i="5" s="1"/>
  <c r="L109" i="5"/>
  <c r="S109" i="5" s="1"/>
  <c r="K110" i="5"/>
  <c r="R110" i="5" s="1"/>
  <c r="L110" i="5"/>
  <c r="S110" i="5" s="1"/>
  <c r="K111" i="5"/>
  <c r="R111" i="5" s="1"/>
  <c r="L111" i="5"/>
  <c r="S111" i="5" s="1"/>
  <c r="K112" i="5"/>
  <c r="R112" i="5" s="1"/>
  <c r="L112" i="5"/>
  <c r="S112" i="5" s="1"/>
  <c r="L108" i="5"/>
  <c r="S108" i="5" s="1"/>
  <c r="K108" i="5"/>
  <c r="R108" i="5" s="1"/>
  <c r="S98" i="5"/>
  <c r="R98" i="5"/>
  <c r="K85" i="5"/>
  <c r="L73" i="5"/>
  <c r="S73" i="5" s="1"/>
  <c r="K73" i="5"/>
  <c r="R73" i="5" s="1"/>
  <c r="K50" i="5"/>
  <c r="L50" i="5"/>
  <c r="K51" i="5"/>
  <c r="L51" i="5"/>
  <c r="L48" i="5"/>
  <c r="S48" i="5" s="1"/>
  <c r="W48" i="5" s="1"/>
  <c r="K48" i="5"/>
  <c r="R48" i="5" s="1"/>
  <c r="V48" i="5" s="1"/>
  <c r="G41" i="5"/>
  <c r="K43" i="5"/>
  <c r="K44" i="5"/>
  <c r="K45" i="5"/>
  <c r="L43" i="5"/>
  <c r="L44" i="5"/>
  <c r="L45" i="5"/>
  <c r="K40" i="5"/>
  <c r="L40" i="5"/>
  <c r="K35" i="5"/>
  <c r="R35" i="5" s="1"/>
  <c r="L35" i="5"/>
  <c r="S35" i="5" s="1"/>
  <c r="L36" i="5"/>
  <c r="S36" i="5" s="1"/>
  <c r="AF59" i="5" s="1"/>
  <c r="K36" i="5"/>
  <c r="R36" i="5" s="1"/>
  <c r="AE59" i="5" l="1"/>
  <c r="R165" i="5"/>
  <c r="AE19" i="5" s="1"/>
  <c r="S165" i="5"/>
  <c r="AF19" i="5" s="1"/>
  <c r="L219" i="5"/>
  <c r="L46" i="5"/>
  <c r="S46" i="5" s="1"/>
  <c r="L52" i="5"/>
  <c r="K219" i="5"/>
  <c r="K46" i="5"/>
  <c r="R46" i="5" s="1"/>
  <c r="K52" i="5"/>
  <c r="G226" i="5"/>
  <c r="L200" i="5"/>
  <c r="K200" i="5"/>
  <c r="W161" i="5" l="1"/>
  <c r="W164" i="5"/>
  <c r="V161" i="5"/>
  <c r="V164" i="5"/>
  <c r="W163" i="5"/>
  <c r="V163" i="5"/>
  <c r="K188" i="5"/>
  <c r="L188" i="5"/>
  <c r="G170" i="5"/>
  <c r="G46" i="5" l="1"/>
  <c r="G122" i="5" l="1"/>
  <c r="G150" i="5"/>
  <c r="G68" i="5" l="1"/>
  <c r="K16" i="5" l="1"/>
  <c r="L16" i="5"/>
  <c r="S17" i="5" l="1"/>
  <c r="R17" i="5"/>
  <c r="K15" i="5"/>
  <c r="L15" i="5"/>
  <c r="K190" i="5" l="1"/>
  <c r="L190" i="5"/>
  <c r="K191" i="5"/>
  <c r="L191" i="5"/>
  <c r="K192" i="5"/>
  <c r="L192" i="5"/>
  <c r="K193" i="5"/>
  <c r="L193" i="5"/>
  <c r="K194" i="5"/>
  <c r="L194" i="5"/>
  <c r="K195" i="5"/>
  <c r="L195" i="5"/>
  <c r="K196" i="5"/>
  <c r="L196" i="5"/>
  <c r="K197" i="5"/>
  <c r="L197" i="5"/>
  <c r="K198" i="5"/>
  <c r="L198" i="5"/>
  <c r="K199" i="5"/>
  <c r="L199" i="5"/>
  <c r="L242" i="5"/>
  <c r="K242" i="5"/>
  <c r="K243" i="5"/>
  <c r="K140" i="5" l="1"/>
  <c r="L140" i="5"/>
  <c r="L158" i="5" l="1"/>
  <c r="S158" i="5" s="1"/>
  <c r="K158" i="5"/>
  <c r="R158" i="5" l="1"/>
  <c r="L85" i="5" l="1"/>
  <c r="L83" i="5"/>
  <c r="K83" i="5"/>
  <c r="S83" i="5" l="1"/>
  <c r="R85" i="5"/>
  <c r="AE57" i="5" s="1"/>
  <c r="S85" i="5"/>
  <c r="AF57" i="5" s="1"/>
  <c r="R83" i="5"/>
  <c r="L115" i="5" l="1"/>
  <c r="K115" i="5"/>
  <c r="S115" i="5" l="1"/>
  <c r="R242" i="5"/>
  <c r="S242" i="5"/>
  <c r="K153" i="5" l="1"/>
  <c r="L153" i="5"/>
  <c r="L152" i="5"/>
  <c r="S152" i="5" s="1"/>
  <c r="K152" i="5"/>
  <c r="L231" i="5"/>
  <c r="K231" i="5"/>
  <c r="L232" i="5"/>
  <c r="S232" i="5" s="1"/>
  <c r="K232" i="5"/>
  <c r="K230" i="5"/>
  <c r="L230" i="5"/>
  <c r="L203" i="5"/>
  <c r="S203" i="5" s="1"/>
  <c r="K203" i="5"/>
  <c r="L228" i="5"/>
  <c r="K228" i="5"/>
  <c r="L178" i="5"/>
  <c r="S178" i="5" s="1"/>
  <c r="K178" i="5"/>
  <c r="K95" i="5"/>
  <c r="L95" i="5"/>
  <c r="G245" i="5"/>
  <c r="L250" i="5"/>
  <c r="K250" i="5"/>
  <c r="K244" i="5"/>
  <c r="L244" i="5"/>
  <c r="L243" i="5"/>
  <c r="K223" i="5"/>
  <c r="L223" i="5"/>
  <c r="L222" i="5"/>
  <c r="K222" i="5"/>
  <c r="G219" i="5"/>
  <c r="L226" i="5" l="1"/>
  <c r="S226" i="5" s="1"/>
  <c r="K226" i="5"/>
  <c r="S228" i="5"/>
  <c r="AF58" i="5" s="1"/>
  <c r="S229" i="5"/>
  <c r="R229" i="5"/>
  <c r="S230" i="5"/>
  <c r="K245" i="5"/>
  <c r="L245" i="5"/>
  <c r="K96" i="5"/>
  <c r="R152" i="5"/>
  <c r="R178" i="5"/>
  <c r="R232" i="5"/>
  <c r="S153" i="5"/>
  <c r="R228" i="5"/>
  <c r="R203" i="5"/>
  <c r="R153" i="5"/>
  <c r="R231" i="5"/>
  <c r="S231" i="5"/>
  <c r="R230" i="5"/>
  <c r="L96" i="5"/>
  <c r="S96" i="5" s="1"/>
  <c r="S250" i="5"/>
  <c r="S253" i="5" s="1"/>
  <c r="AF25" i="5" s="1"/>
  <c r="R250" i="5"/>
  <c r="R253" i="5" s="1"/>
  <c r="R219" i="5"/>
  <c r="R221" i="5" s="1"/>
  <c r="L211" i="5"/>
  <c r="S211" i="5" s="1"/>
  <c r="K211" i="5"/>
  <c r="L206" i="5"/>
  <c r="S206" i="5" s="1"/>
  <c r="K206" i="5"/>
  <c r="K187" i="5"/>
  <c r="L187" i="5"/>
  <c r="K189" i="5"/>
  <c r="L189" i="5"/>
  <c r="L186" i="5"/>
  <c r="K186" i="5"/>
  <c r="K175" i="5"/>
  <c r="L175" i="5"/>
  <c r="L174" i="5"/>
  <c r="K174" i="5"/>
  <c r="K167" i="5"/>
  <c r="L167" i="5"/>
  <c r="K168" i="5"/>
  <c r="L168" i="5"/>
  <c r="L166" i="5"/>
  <c r="K166" i="5"/>
  <c r="L147" i="5"/>
  <c r="L148" i="5"/>
  <c r="L149" i="5"/>
  <c r="K148" i="5"/>
  <c r="K149" i="5"/>
  <c r="K147" i="5"/>
  <c r="G145" i="5"/>
  <c r="L145" i="5" s="1"/>
  <c r="AE58" i="5" l="1"/>
  <c r="AE25" i="5"/>
  <c r="L170" i="5"/>
  <c r="S170" i="5" s="1"/>
  <c r="K170" i="5"/>
  <c r="K201" i="5"/>
  <c r="L201" i="5"/>
  <c r="S201" i="5" s="1"/>
  <c r="S216" i="5" s="1"/>
  <c r="AF22" i="5" s="1"/>
  <c r="S145" i="5"/>
  <c r="S219" i="5"/>
  <c r="S221" i="5" s="1"/>
  <c r="R206" i="5"/>
  <c r="K176" i="5"/>
  <c r="L176" i="5"/>
  <c r="S176" i="5" s="1"/>
  <c r="K145" i="5"/>
  <c r="K150" i="5"/>
  <c r="R150" i="5" s="1"/>
  <c r="L150" i="5"/>
  <c r="S150" i="5" s="1"/>
  <c r="K155" i="5"/>
  <c r="L155" i="5"/>
  <c r="L154" i="5"/>
  <c r="K154" i="5"/>
  <c r="K139" i="5"/>
  <c r="L139" i="5"/>
  <c r="L138" i="5"/>
  <c r="K138" i="5"/>
  <c r="G134" i="5"/>
  <c r="L127" i="5"/>
  <c r="K127" i="5"/>
  <c r="K121" i="5"/>
  <c r="K118" i="5"/>
  <c r="L118" i="5"/>
  <c r="K120" i="5"/>
  <c r="L120" i="5"/>
  <c r="L117" i="5"/>
  <c r="K117" i="5"/>
  <c r="W250" i="5" l="1"/>
  <c r="W252" i="5"/>
  <c r="V250" i="5"/>
  <c r="V252" i="5"/>
  <c r="S173" i="5"/>
  <c r="AF20" i="5" s="1"/>
  <c r="S185" i="5"/>
  <c r="AF21" i="5" s="1"/>
  <c r="K122" i="5"/>
  <c r="R122" i="5" s="1"/>
  <c r="R126" i="5" s="1"/>
  <c r="R128" i="5"/>
  <c r="K156" i="5"/>
  <c r="R156" i="5" s="1"/>
  <c r="L156" i="5"/>
  <c r="S156" i="5" s="1"/>
  <c r="K141" i="5"/>
  <c r="R141" i="5" s="1"/>
  <c r="L141" i="5"/>
  <c r="S141" i="5" s="1"/>
  <c r="S128" i="5"/>
  <c r="L122" i="5"/>
  <c r="S122" i="5" s="1"/>
  <c r="S126" i="5" s="1"/>
  <c r="S137" i="5" s="1"/>
  <c r="AF17" i="5" s="1"/>
  <c r="G105" i="5"/>
  <c r="L105" i="5" s="1"/>
  <c r="L100" i="5"/>
  <c r="K100" i="5"/>
  <c r="K81" i="5"/>
  <c r="L81" i="5"/>
  <c r="L80" i="5"/>
  <c r="K80" i="5"/>
  <c r="G82" i="5"/>
  <c r="G52" i="5"/>
  <c r="G76" i="5"/>
  <c r="K75" i="5"/>
  <c r="L75" i="5"/>
  <c r="L74" i="5"/>
  <c r="K74" i="5"/>
  <c r="L71" i="5"/>
  <c r="K71" i="5"/>
  <c r="K65" i="5"/>
  <c r="L65" i="5"/>
  <c r="K66" i="5"/>
  <c r="L66" i="5"/>
  <c r="K67" i="5"/>
  <c r="L67" i="5"/>
  <c r="L64" i="5"/>
  <c r="K64" i="5"/>
  <c r="L60" i="5"/>
  <c r="K60" i="5"/>
  <c r="L56" i="5"/>
  <c r="K56" i="5"/>
  <c r="L39" i="5"/>
  <c r="L41" i="5" s="1"/>
  <c r="S41" i="5" s="1"/>
  <c r="K39" i="5"/>
  <c r="K41" i="5" s="1"/>
  <c r="R41" i="5" s="1"/>
  <c r="G33" i="5"/>
  <c r="L32" i="5"/>
  <c r="K32" i="5"/>
  <c r="L31" i="5"/>
  <c r="K31" i="5"/>
  <c r="L20" i="5"/>
  <c r="L21" i="5"/>
  <c r="L22" i="5"/>
  <c r="K20" i="5"/>
  <c r="K21" i="5"/>
  <c r="K22" i="5"/>
  <c r="L19" i="5"/>
  <c r="K19" i="5"/>
  <c r="G23" i="5"/>
  <c r="L8" i="5"/>
  <c r="L9" i="5"/>
  <c r="L10" i="5"/>
  <c r="K8" i="5"/>
  <c r="K9" i="5"/>
  <c r="K10" i="5"/>
  <c r="L7" i="5"/>
  <c r="K7" i="5"/>
  <c r="G11" i="5"/>
  <c r="S245" i="5"/>
  <c r="R245" i="5"/>
  <c r="S240" i="5"/>
  <c r="R240" i="5"/>
  <c r="R226" i="5"/>
  <c r="R211" i="5"/>
  <c r="R201" i="5"/>
  <c r="R176" i="5"/>
  <c r="R185" i="5" s="1"/>
  <c r="R170" i="5"/>
  <c r="R173" i="5" s="1"/>
  <c r="R145" i="5"/>
  <c r="R115" i="5"/>
  <c r="S248" i="5" l="1"/>
  <c r="AF24" i="5" s="1"/>
  <c r="R137" i="5"/>
  <c r="R160" i="5"/>
  <c r="R216" i="5"/>
  <c r="V213" i="5" s="1"/>
  <c r="R239" i="5"/>
  <c r="AE23" i="5" s="1"/>
  <c r="W201" i="5"/>
  <c r="W205" i="5"/>
  <c r="W215" i="5"/>
  <c r="W204" i="5"/>
  <c r="W210" i="5"/>
  <c r="W208" i="5"/>
  <c r="W209" i="5"/>
  <c r="W212" i="5"/>
  <c r="W214" i="5"/>
  <c r="W203" i="5"/>
  <c r="W211" i="5"/>
  <c r="W206" i="5"/>
  <c r="W176" i="5"/>
  <c r="W184" i="5"/>
  <c r="W180" i="5"/>
  <c r="W181" i="5"/>
  <c r="W179" i="5"/>
  <c r="W182" i="5"/>
  <c r="W183" i="5"/>
  <c r="W178" i="5"/>
  <c r="W170" i="5"/>
  <c r="W172" i="5"/>
  <c r="AE20" i="5"/>
  <c r="AE18" i="5"/>
  <c r="S160" i="5"/>
  <c r="AF18" i="5" s="1"/>
  <c r="AE21" i="5"/>
  <c r="R248" i="5"/>
  <c r="S239" i="5"/>
  <c r="AF23" i="5" s="1"/>
  <c r="L33" i="5"/>
  <c r="S33" i="5" s="1"/>
  <c r="K68" i="5"/>
  <c r="R68" i="5" s="1"/>
  <c r="K33" i="5"/>
  <c r="R33" i="5" s="1"/>
  <c r="L68" i="5"/>
  <c r="S68" i="5" s="1"/>
  <c r="K105" i="5"/>
  <c r="R71" i="5"/>
  <c r="S105" i="5"/>
  <c r="S114" i="5" s="1"/>
  <c r="R100" i="5"/>
  <c r="S100" i="5"/>
  <c r="S103" i="5" s="1"/>
  <c r="L82" i="5"/>
  <c r="S82" i="5" s="1"/>
  <c r="R96" i="5"/>
  <c r="R52" i="5"/>
  <c r="K82" i="5"/>
  <c r="R82" i="5" s="1"/>
  <c r="S52" i="5"/>
  <c r="S71" i="5"/>
  <c r="L76" i="5"/>
  <c r="S76" i="5" s="1"/>
  <c r="K76" i="5"/>
  <c r="R76" i="5" s="1"/>
  <c r="S56" i="5"/>
  <c r="W47" i="5" s="1"/>
  <c r="R56" i="5"/>
  <c r="V47" i="5" s="1"/>
  <c r="L17" i="5"/>
  <c r="K23" i="5"/>
  <c r="L23" i="5"/>
  <c r="S23" i="5" s="1"/>
  <c r="K11" i="5"/>
  <c r="L11" i="5"/>
  <c r="S11" i="5" s="1"/>
  <c r="K17" i="5"/>
  <c r="AE22" i="5" l="1"/>
  <c r="AF55" i="5"/>
  <c r="AF61" i="5" s="1"/>
  <c r="W101" i="5"/>
  <c r="W241" i="5"/>
  <c r="AE24" i="5"/>
  <c r="V241" i="5"/>
  <c r="W97" i="5"/>
  <c r="V240" i="5"/>
  <c r="V247" i="5"/>
  <c r="V242" i="5"/>
  <c r="V245" i="5"/>
  <c r="W240" i="5"/>
  <c r="W247" i="5"/>
  <c r="W242" i="5"/>
  <c r="W245" i="5"/>
  <c r="W226" i="5"/>
  <c r="W238" i="5"/>
  <c r="W234" i="5"/>
  <c r="W233" i="5"/>
  <c r="W235" i="5"/>
  <c r="W237" i="5"/>
  <c r="W236" i="5"/>
  <c r="W231" i="5"/>
  <c r="W228" i="5"/>
  <c r="W229" i="5"/>
  <c r="W230" i="5"/>
  <c r="W232" i="5"/>
  <c r="V226" i="5"/>
  <c r="V238" i="5"/>
  <c r="V236" i="5"/>
  <c r="V237" i="5"/>
  <c r="V234" i="5"/>
  <c r="V233" i="5"/>
  <c r="V235" i="5"/>
  <c r="V228" i="5"/>
  <c r="V229" i="5"/>
  <c r="V232" i="5"/>
  <c r="V231" i="5"/>
  <c r="V230" i="5"/>
  <c r="V219" i="5"/>
  <c r="V221" i="5"/>
  <c r="W219" i="5"/>
  <c r="W221" i="5"/>
  <c r="V201" i="5"/>
  <c r="V205" i="5"/>
  <c r="V215" i="5"/>
  <c r="V204" i="5"/>
  <c r="V209" i="5"/>
  <c r="V208" i="5"/>
  <c r="V210" i="5"/>
  <c r="V212" i="5"/>
  <c r="V214" i="5"/>
  <c r="V203" i="5"/>
  <c r="V206" i="5"/>
  <c r="V211" i="5"/>
  <c r="V176" i="5"/>
  <c r="V184" i="5"/>
  <c r="V181" i="5"/>
  <c r="V182" i="5"/>
  <c r="V179" i="5"/>
  <c r="V180" i="5"/>
  <c r="V183" i="5"/>
  <c r="V178" i="5"/>
  <c r="V170" i="5"/>
  <c r="V172" i="5"/>
  <c r="W141" i="5"/>
  <c r="W159" i="5"/>
  <c r="W158" i="5"/>
  <c r="W152" i="5"/>
  <c r="W153" i="5"/>
  <c r="W150" i="5"/>
  <c r="W145" i="5"/>
  <c r="W156" i="5"/>
  <c r="V141" i="5"/>
  <c r="V159" i="5"/>
  <c r="V158" i="5"/>
  <c r="V153" i="5"/>
  <c r="V152" i="5"/>
  <c r="V150" i="5"/>
  <c r="V145" i="5"/>
  <c r="V156" i="5"/>
  <c r="V116" i="5"/>
  <c r="R103" i="5"/>
  <c r="V101" i="5" s="1"/>
  <c r="S55" i="5"/>
  <c r="R55" i="5"/>
  <c r="V53" i="5" s="1"/>
  <c r="S14" i="5"/>
  <c r="R38" i="5"/>
  <c r="V34" i="5" s="1"/>
  <c r="R59" i="5"/>
  <c r="S59" i="5"/>
  <c r="AF14" i="5" s="1"/>
  <c r="S94" i="5"/>
  <c r="R94" i="5"/>
  <c r="W116" i="5"/>
  <c r="S38" i="5"/>
  <c r="AF12" i="5" s="1"/>
  <c r="R79" i="5"/>
  <c r="V69" i="5" s="1"/>
  <c r="S30" i="5"/>
  <c r="AF11" i="5" s="1"/>
  <c r="S79" i="5"/>
  <c r="AF16" i="5" s="1"/>
  <c r="W100" i="5"/>
  <c r="R105" i="5"/>
  <c r="R23" i="5"/>
  <c r="R11" i="5"/>
  <c r="AE55" i="5" l="1"/>
  <c r="AE61" i="5" s="1"/>
  <c r="W53" i="5"/>
  <c r="AF13" i="5"/>
  <c r="W12" i="5"/>
  <c r="AF10" i="5"/>
  <c r="AF26" i="5" s="1"/>
  <c r="S255" i="5"/>
  <c r="AF64" i="5" s="1"/>
  <c r="W106" i="5"/>
  <c r="V97" i="5"/>
  <c r="W84" i="5"/>
  <c r="V84" i="5"/>
  <c r="W69" i="5"/>
  <c r="W49" i="5"/>
  <c r="AE14" i="5"/>
  <c r="V49" i="5"/>
  <c r="W34" i="5"/>
  <c r="W24" i="5"/>
  <c r="W126" i="5"/>
  <c r="W54" i="5"/>
  <c r="V126" i="5"/>
  <c r="AE17" i="5"/>
  <c r="AE12" i="5"/>
  <c r="V71" i="5"/>
  <c r="AE16" i="5"/>
  <c r="V54" i="5"/>
  <c r="AE13" i="5"/>
  <c r="V115" i="5"/>
  <c r="V136" i="5"/>
  <c r="V131" i="5"/>
  <c r="V134" i="5"/>
  <c r="V128" i="5"/>
  <c r="W115" i="5"/>
  <c r="W136" i="5"/>
  <c r="W134" i="5"/>
  <c r="W131" i="5"/>
  <c r="W128" i="5"/>
  <c r="W105" i="5"/>
  <c r="W107" i="5"/>
  <c r="W113" i="5"/>
  <c r="W111" i="5"/>
  <c r="W112" i="5"/>
  <c r="W109" i="5"/>
  <c r="W108" i="5"/>
  <c r="W110" i="5"/>
  <c r="W96" i="5"/>
  <c r="W102" i="5"/>
  <c r="W98" i="5"/>
  <c r="V96" i="5"/>
  <c r="V102" i="5"/>
  <c r="V98" i="5"/>
  <c r="V100" i="5"/>
  <c r="V82" i="5"/>
  <c r="V89" i="5"/>
  <c r="V88" i="5"/>
  <c r="V90" i="5"/>
  <c r="V87" i="5"/>
  <c r="V86" i="5"/>
  <c r="V93" i="5"/>
  <c r="V91" i="5"/>
  <c r="V92" i="5"/>
  <c r="V83" i="5"/>
  <c r="V85" i="5"/>
  <c r="W82" i="5"/>
  <c r="W88" i="5"/>
  <c r="W87" i="5"/>
  <c r="W90" i="5"/>
  <c r="W86" i="5"/>
  <c r="W89" i="5"/>
  <c r="W93" i="5"/>
  <c r="W91" i="5"/>
  <c r="W92" i="5"/>
  <c r="W83" i="5"/>
  <c r="W85" i="5"/>
  <c r="V76" i="5"/>
  <c r="V68" i="5"/>
  <c r="V78" i="5"/>
  <c r="V73" i="5"/>
  <c r="W68" i="5"/>
  <c r="W78" i="5"/>
  <c r="W73" i="5"/>
  <c r="W71" i="5"/>
  <c r="W76" i="5"/>
  <c r="V52" i="5"/>
  <c r="W56" i="5"/>
  <c r="W58" i="5"/>
  <c r="V56" i="5"/>
  <c r="V58" i="5"/>
  <c r="V46" i="5"/>
  <c r="W46" i="5"/>
  <c r="W41" i="5"/>
  <c r="W52" i="5"/>
  <c r="V41" i="5"/>
  <c r="W33" i="5"/>
  <c r="W37" i="5"/>
  <c r="W36" i="5"/>
  <c r="W35" i="5"/>
  <c r="V33" i="5"/>
  <c r="V37" i="5"/>
  <c r="V35" i="5"/>
  <c r="V36" i="5"/>
  <c r="W23" i="5"/>
  <c r="W29" i="5"/>
  <c r="W28" i="5"/>
  <c r="W25" i="5"/>
  <c r="W27" i="5"/>
  <c r="W26" i="5"/>
  <c r="W11" i="5"/>
  <c r="W13" i="5"/>
  <c r="R14" i="5"/>
  <c r="R114" i="5"/>
  <c r="R30" i="5"/>
  <c r="U251" i="5" l="1"/>
  <c r="V12" i="5"/>
  <c r="R255" i="5"/>
  <c r="AE64" i="5" s="1"/>
  <c r="U241" i="5"/>
  <c r="U246" i="5"/>
  <c r="U220" i="5"/>
  <c r="U227" i="5"/>
  <c r="U207" i="5"/>
  <c r="U213" i="5"/>
  <c r="U177" i="5"/>
  <c r="U203" i="5"/>
  <c r="U202" i="5"/>
  <c r="U162" i="5"/>
  <c r="U171" i="5"/>
  <c r="U151" i="5"/>
  <c r="U157" i="5"/>
  <c r="U142" i="5"/>
  <c r="U146" i="5"/>
  <c r="U132" i="5"/>
  <c r="U135" i="5"/>
  <c r="U123" i="5"/>
  <c r="U129" i="5"/>
  <c r="U106" i="5"/>
  <c r="U116" i="5"/>
  <c r="V106" i="5"/>
  <c r="U97" i="5"/>
  <c r="U101" i="5"/>
  <c r="U77" i="5"/>
  <c r="U84" i="5"/>
  <c r="U69" i="5"/>
  <c r="U72" i="5"/>
  <c r="U57" i="5"/>
  <c r="U61" i="5"/>
  <c r="U49" i="5"/>
  <c r="U53" i="5"/>
  <c r="U47" i="5"/>
  <c r="U48" i="5"/>
  <c r="U34" i="5"/>
  <c r="U42" i="5"/>
  <c r="U24" i="5"/>
  <c r="U12" i="5"/>
  <c r="AE11" i="5"/>
  <c r="V24" i="5"/>
  <c r="U254" i="5"/>
  <c r="U18" i="5"/>
  <c r="AJ26" i="5"/>
  <c r="AF27" i="5" s="1"/>
  <c r="AE10" i="5"/>
  <c r="V105" i="5"/>
  <c r="V107" i="5"/>
  <c r="V113" i="5"/>
  <c r="V111" i="5"/>
  <c r="V112" i="5"/>
  <c r="V110" i="5"/>
  <c r="V108" i="5"/>
  <c r="V109" i="5"/>
  <c r="V23" i="5"/>
  <c r="V29" i="5"/>
  <c r="V25" i="5"/>
  <c r="V28" i="5"/>
  <c r="V27" i="5"/>
  <c r="V26" i="5"/>
  <c r="V11" i="5"/>
  <c r="V13" i="5"/>
  <c r="U103" i="5"/>
  <c r="U90" i="5"/>
  <c r="U91" i="5"/>
  <c r="U88" i="5"/>
  <c r="U87" i="5"/>
  <c r="U89" i="5"/>
  <c r="U86" i="5"/>
  <c r="U137" i="5"/>
  <c r="U38" i="5"/>
  <c r="U30" i="5"/>
  <c r="U14" i="5"/>
  <c r="U114" i="5"/>
  <c r="U54" i="5"/>
  <c r="U60" i="5"/>
  <c r="U107" i="5"/>
  <c r="U95" i="5"/>
  <c r="U247" i="5"/>
  <c r="U136" i="5"/>
  <c r="U215" i="5"/>
  <c r="U172" i="5"/>
  <c r="U37" i="5"/>
  <c r="U238" i="5"/>
  <c r="U113" i="5"/>
  <c r="U93" i="5"/>
  <c r="U62" i="5"/>
  <c r="U102" i="5"/>
  <c r="U78" i="5"/>
  <c r="U252" i="5"/>
  <c r="U58" i="5"/>
  <c r="U184" i="5"/>
  <c r="U159" i="5"/>
  <c r="U164" i="5"/>
  <c r="U29" i="5"/>
  <c r="U63" i="5"/>
  <c r="U13" i="5"/>
  <c r="U92" i="5"/>
  <c r="U26" i="5"/>
  <c r="U27" i="5"/>
  <c r="U25" i="5"/>
  <c r="U28" i="5"/>
  <c r="U35" i="5"/>
  <c r="U182" i="5"/>
  <c r="U124" i="5"/>
  <c r="U212" i="5"/>
  <c r="U98" i="5"/>
  <c r="U134" i="5"/>
  <c r="U179" i="5"/>
  <c r="U234" i="5"/>
  <c r="U180" i="5"/>
  <c r="U233" i="5"/>
  <c r="U163" i="5"/>
  <c r="U237" i="5"/>
  <c r="U110" i="5"/>
  <c r="U108" i="5"/>
  <c r="U181" i="5"/>
  <c r="U36" i="5"/>
  <c r="U131" i="5"/>
  <c r="U235" i="5"/>
  <c r="U214" i="5"/>
  <c r="U111" i="5"/>
  <c r="U210" i="5"/>
  <c r="U209" i="5"/>
  <c r="U112" i="5"/>
  <c r="U161" i="5"/>
  <c r="U208" i="5"/>
  <c r="U236" i="5"/>
  <c r="U183" i="5"/>
  <c r="U109" i="5"/>
  <c r="U73" i="5"/>
  <c r="U125" i="5"/>
  <c r="U165" i="5"/>
  <c r="U46" i="5"/>
  <c r="U17" i="5"/>
  <c r="U158" i="5"/>
  <c r="U83" i="5"/>
  <c r="U85" i="5"/>
  <c r="U242" i="5"/>
  <c r="U115" i="5"/>
  <c r="U152" i="5"/>
  <c r="U178" i="5"/>
  <c r="U226" i="5"/>
  <c r="U228" i="5"/>
  <c r="U211" i="5"/>
  <c r="U153" i="5"/>
  <c r="U96" i="5"/>
  <c r="U250" i="5"/>
  <c r="U231" i="5"/>
  <c r="U230" i="5"/>
  <c r="U232" i="5"/>
  <c r="U206" i="5"/>
  <c r="U229" i="5"/>
  <c r="U170" i="5"/>
  <c r="U201" i="5"/>
  <c r="U219" i="5"/>
  <c r="U145" i="5"/>
  <c r="U176" i="5"/>
  <c r="U253" i="5"/>
  <c r="U150" i="5"/>
  <c r="U245" i="5"/>
  <c r="U185" i="5"/>
  <c r="U41" i="5"/>
  <c r="U122" i="5"/>
  <c r="U240" i="5"/>
  <c r="U216" i="5"/>
  <c r="U221" i="5"/>
  <c r="U156" i="5"/>
  <c r="U128" i="5"/>
  <c r="U141" i="5"/>
  <c r="U173" i="5"/>
  <c r="U56" i="5"/>
  <c r="U76" i="5"/>
  <c r="U160" i="5"/>
  <c r="U68" i="5"/>
  <c r="U248" i="5"/>
  <c r="U33" i="5"/>
  <c r="U239" i="5"/>
  <c r="U100" i="5"/>
  <c r="U126" i="5"/>
  <c r="U105" i="5"/>
  <c r="U52" i="5"/>
  <c r="U55" i="5"/>
  <c r="U11" i="5"/>
  <c r="U82" i="5"/>
  <c r="U71" i="5"/>
  <c r="U23" i="5"/>
  <c r="U79" i="5"/>
  <c r="U59" i="5"/>
  <c r="U94" i="5"/>
  <c r="T251" i="5" l="1"/>
  <c r="AE26" i="5"/>
  <c r="T241" i="5"/>
  <c r="T246" i="5"/>
  <c r="T220" i="5"/>
  <c r="T227" i="5"/>
  <c r="T207" i="5"/>
  <c r="T213" i="5"/>
  <c r="T177" i="5"/>
  <c r="T203" i="5"/>
  <c r="T202" i="5"/>
  <c r="T162" i="5"/>
  <c r="T171" i="5"/>
  <c r="T151" i="5"/>
  <c r="T157" i="5"/>
  <c r="T142" i="5"/>
  <c r="T146" i="5"/>
  <c r="T132" i="5"/>
  <c r="T135" i="5"/>
  <c r="T123" i="5"/>
  <c r="T129" i="5"/>
  <c r="T106" i="5"/>
  <c r="T116" i="5"/>
  <c r="AI26" i="5"/>
  <c r="T97" i="5"/>
  <c r="T101" i="5"/>
  <c r="T77" i="5"/>
  <c r="T84" i="5"/>
  <c r="T69" i="5"/>
  <c r="T72" i="5"/>
  <c r="T57" i="5"/>
  <c r="T61" i="5"/>
  <c r="T49" i="5"/>
  <c r="T53" i="5"/>
  <c r="T47" i="5"/>
  <c r="T48" i="5"/>
  <c r="T34" i="5"/>
  <c r="T42" i="5"/>
  <c r="T24" i="5"/>
  <c r="T12" i="5"/>
  <c r="T254" i="5"/>
  <c r="T18" i="5"/>
  <c r="U255" i="5"/>
  <c r="T30" i="5"/>
  <c r="T90" i="5"/>
  <c r="T91" i="5"/>
  <c r="T87" i="5"/>
  <c r="T89" i="5"/>
  <c r="T88" i="5"/>
  <c r="T86" i="5"/>
  <c r="T54" i="5"/>
  <c r="T60" i="5"/>
  <c r="T107" i="5"/>
  <c r="T215" i="5"/>
  <c r="T95" i="5"/>
  <c r="T37" i="5"/>
  <c r="T78" i="5"/>
  <c r="T102" i="5"/>
  <c r="T159" i="5"/>
  <c r="T252" i="5"/>
  <c r="T247" i="5"/>
  <c r="T58" i="5"/>
  <c r="T93" i="5"/>
  <c r="T172" i="5"/>
  <c r="T62" i="5"/>
  <c r="T136" i="5"/>
  <c r="T113" i="5"/>
  <c r="T184" i="5"/>
  <c r="T164" i="5"/>
  <c r="T238" i="5"/>
  <c r="T29" i="5"/>
  <c r="T13" i="5"/>
  <c r="T63" i="5"/>
  <c r="T92" i="5"/>
  <c r="T26" i="5"/>
  <c r="T25" i="5"/>
  <c r="T28" i="5"/>
  <c r="T27" i="5"/>
  <c r="T73" i="5"/>
  <c r="T182" i="5"/>
  <c r="T124" i="5"/>
  <c r="T108" i="5"/>
  <c r="T134" i="5"/>
  <c r="T179" i="5"/>
  <c r="T161" i="5"/>
  <c r="T181" i="5"/>
  <c r="T109" i="5"/>
  <c r="T209" i="5"/>
  <c r="T98" i="5"/>
  <c r="T180" i="5"/>
  <c r="T208" i="5"/>
  <c r="T112" i="5"/>
  <c r="T163" i="5"/>
  <c r="T210" i="5"/>
  <c r="T237" i="5"/>
  <c r="T125" i="5"/>
  <c r="T131" i="5"/>
  <c r="T234" i="5"/>
  <c r="T236" i="5"/>
  <c r="T233" i="5"/>
  <c r="T110" i="5"/>
  <c r="T214" i="5"/>
  <c r="T111" i="5"/>
  <c r="T36" i="5"/>
  <c r="T183" i="5"/>
  <c r="T212" i="5"/>
  <c r="T35" i="5"/>
  <c r="T235" i="5"/>
  <c r="T165" i="5"/>
  <c r="T46" i="5"/>
  <c r="T17" i="5"/>
  <c r="T158" i="5"/>
  <c r="T83" i="5"/>
  <c r="T85" i="5"/>
  <c r="T242" i="5"/>
  <c r="T228" i="5"/>
  <c r="T230" i="5"/>
  <c r="T219" i="5"/>
  <c r="T232" i="5"/>
  <c r="T250" i="5"/>
  <c r="T178" i="5"/>
  <c r="T229" i="5"/>
  <c r="T152" i="5"/>
  <c r="T231" i="5"/>
  <c r="T153" i="5"/>
  <c r="T253" i="5"/>
  <c r="T221" i="5"/>
  <c r="T206" i="5"/>
  <c r="T150" i="5"/>
  <c r="T201" i="5"/>
  <c r="T245" i="5"/>
  <c r="T128" i="5"/>
  <c r="T176" i="5"/>
  <c r="T156" i="5"/>
  <c r="T115" i="5"/>
  <c r="T170" i="5"/>
  <c r="T141" i="5"/>
  <c r="T145" i="5"/>
  <c r="T226" i="5"/>
  <c r="T41" i="5"/>
  <c r="T211" i="5"/>
  <c r="T122" i="5"/>
  <c r="T239" i="5"/>
  <c r="T240" i="5"/>
  <c r="T137" i="5"/>
  <c r="T56" i="5"/>
  <c r="T71" i="5"/>
  <c r="T185" i="5"/>
  <c r="T96" i="5"/>
  <c r="T68" i="5"/>
  <c r="T52" i="5"/>
  <c r="T160" i="5"/>
  <c r="T82" i="5"/>
  <c r="T33" i="5"/>
  <c r="T248" i="5"/>
  <c r="T55" i="5"/>
  <c r="T100" i="5"/>
  <c r="T126" i="5"/>
  <c r="T76" i="5"/>
  <c r="T173" i="5"/>
  <c r="T216" i="5"/>
  <c r="T105" i="5"/>
  <c r="T23" i="5"/>
  <c r="T79" i="5"/>
  <c r="T59" i="5"/>
  <c r="T38" i="5"/>
  <c r="T11" i="5"/>
  <c r="T94" i="5"/>
  <c r="T103" i="5"/>
  <c r="T114" i="5"/>
  <c r="T14" i="5"/>
  <c r="AE27" i="5" l="1"/>
  <c r="T255" i="5"/>
  <c r="AG55" i="5" l="1"/>
  <c r="AG56" i="5"/>
  <c r="AG57" i="5"/>
  <c r="AG58" i="5"/>
  <c r="AG59" i="5"/>
  <c r="AG60" i="5"/>
  <c r="AH55" i="5"/>
  <c r="AH56" i="5"/>
  <c r="AH57" i="5"/>
  <c r="AH58" i="5"/>
  <c r="AH59" i="5"/>
  <c r="AH60" i="5"/>
</calcChain>
</file>

<file path=xl/comments1.xml><?xml version="1.0" encoding="utf-8"?>
<comments xmlns="http://schemas.openxmlformats.org/spreadsheetml/2006/main">
  <authors>
    <author>ZULMA VIVIANA PLAZA ROCHA</author>
    <author>TOSHIBA PC</author>
    <author>Autor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se debe verificar en reunión, la existencia de estos vertimientos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se deja este mismo dato para verficar con E.S.P pues no se volvieron a aforar estos puntos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estos resultados estan muy bajitos, la carga es inferior a la calculada presuntivamente - NO HAY ptar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Verificar la existencia del vertimiento PTAR 2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NUEVO VERTIMIENTO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verificar si este vertimiento es el de la PTAR 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verificar la exixtencia de este verimiento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INCLUIR VERTIMIENTOS DEL QUINQUNIO ANTERIOR</t>
        </r>
      </text>
    </comment>
    <comment ref="E98" authorId="1" shapeId="0">
      <text>
        <r>
          <rPr>
            <b/>
            <sz val="9"/>
            <color indexed="81"/>
            <rFont val="Tahoma"/>
            <family val="2"/>
          </rPr>
          <t>No tiene permiso de vertimiento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EL MUESTREO 25 MAYO 2018 NO TIENE CAUDAL</t>
        </r>
      </text>
    </comment>
    <comment ref="G108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ESTE CAUDAL ES EL CONCESIONADO</t>
        </r>
      </text>
    </comment>
    <comment ref="H108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SALIDA 2 LAGUNA</t>
        </r>
      </text>
    </comment>
    <comment ref="H109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SALIDA 1 LAGUNA</t>
        </r>
      </text>
    </comment>
    <comment ref="G110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caudal concesionado</t>
        </r>
      </text>
    </comment>
    <comment ref="H110" authorId="2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Concentraciones promedio pisic la esperanza</t>
        </r>
      </text>
    </comment>
    <comment ref="G111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CAUDAL VERTIDO EN PV</t>
        </r>
      </text>
    </comment>
    <comment ref="G112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Caudal de PV</t>
        </r>
      </text>
    </comment>
    <comment ref="E122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INCLUIR VERTIMIENTOS DEL QUINQUENIO ANTERIOR
</t>
        </r>
      </text>
    </comment>
    <comment ref="G125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caudal de PV</t>
        </r>
      </text>
    </comment>
    <comment ref="E144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este vertimiento no tiene muestreo reciente</t>
        </r>
      </text>
    </comment>
    <comment ref="E153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No hay reporte, se deja el del quienquenio anterior</t>
        </r>
      </text>
    </comment>
    <comment ref="D158" authorId="1" shapeId="0">
      <text>
        <r>
          <rPr>
            <b/>
            <sz val="9"/>
            <color indexed="81"/>
            <rFont val="Tahoma"/>
            <family val="2"/>
          </rPr>
          <t>Monitoreo 06/12/2016</t>
        </r>
      </text>
    </comment>
    <comment ref="E167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este vertimiento existe? O se eliminó?</t>
        </r>
      </text>
    </comment>
    <comment ref="E169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este se generó por la avalncha</t>
        </r>
      </text>
    </comment>
    <comment ref="G186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1 ENERO DE 2018
</t>
        </r>
      </text>
    </comment>
    <comment ref="E198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que paso con este vertimiento???</t>
        </r>
      </text>
    </comment>
    <comment ref="G209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no tiene caludal</t>
        </r>
      </text>
    </comment>
    <comment ref="H209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no tiene DBO</t>
        </r>
      </text>
    </comment>
    <comment ref="G210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no tiene caudal
</t>
        </r>
      </text>
    </comment>
    <comment ref="E214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por confirmar estadp perrmiso y muestreo</t>
        </r>
      </text>
    </comment>
    <comment ref="E218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ESTE ES EL MISMO VERTIMIENTO MATADERO</t>
        </r>
      </text>
    </comment>
    <comment ref="E243" authorId="0" shapeId="0">
      <text>
        <r>
          <rPr>
            <b/>
            <sz val="9"/>
            <color indexed="81"/>
            <rFont val="Tahoma"/>
            <family val="2"/>
          </rPr>
          <t>ZULMA VIVIANA PLAZA ROCHA:</t>
        </r>
        <r>
          <rPr>
            <sz val="9"/>
            <color indexed="81"/>
            <rFont val="Tahoma"/>
            <family val="2"/>
          </rPr>
          <t xml:space="preserve">
QUE PASO CON ESTE VERTIMIENTO??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Concentraciones promedio pisic la esperanza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Factor Conversion unidades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canal cirilo</t>
        </r>
      </text>
    </comment>
  </commentList>
</comments>
</file>

<file path=xl/sharedStrings.xml><?xml version="1.0" encoding="utf-8"?>
<sst xmlns="http://schemas.openxmlformats.org/spreadsheetml/2006/main" count="2218" uniqueCount="1225">
  <si>
    <t>DBO</t>
  </si>
  <si>
    <t>SST</t>
  </si>
  <si>
    <t>Vertimiento Villa Luz</t>
  </si>
  <si>
    <t>Vertimiento 1</t>
  </si>
  <si>
    <t>Vertimiento 2</t>
  </si>
  <si>
    <t>Vertimiento PTAR</t>
  </si>
  <si>
    <t>PTAR</t>
  </si>
  <si>
    <t>Vertimiento ASCDI</t>
  </si>
  <si>
    <t>Vertimiento unico PTAR</t>
  </si>
  <si>
    <t>Vertimiento Luis Guillermo</t>
  </si>
  <si>
    <t xml:space="preserve">Vertimiento Los Comuneros </t>
  </si>
  <si>
    <t>Vertimiento El Matadero ((Metalmecanicos)</t>
  </si>
  <si>
    <t>Vertimiento  Calamo - Plan Maestro</t>
  </si>
  <si>
    <t xml:space="preserve">Vertimiento 12 de Octubre </t>
  </si>
  <si>
    <t xml:space="preserve">6 vertimientos restantes </t>
  </si>
  <si>
    <t>DATOS CARACTERIZACIÓN DE LA DESCARGA</t>
  </si>
  <si>
    <t>FUENTE DE DATOS</t>
  </si>
  <si>
    <r>
      <t>Kg/pna-díaDBO</t>
    </r>
    <r>
      <rPr>
        <vertAlign val="subscript"/>
        <sz val="10"/>
        <rFont val="Arial"/>
        <family val="2"/>
      </rPr>
      <t>5</t>
    </r>
  </si>
  <si>
    <t>Kg/pna-díaSST</t>
  </si>
  <si>
    <t>HORAS /DIA</t>
  </si>
  <si>
    <t>Municipio</t>
  </si>
  <si>
    <t>Fuente Hídrica para Objetivo de Calidad</t>
  </si>
  <si>
    <t>Responsable del Vertimiento</t>
  </si>
  <si>
    <t>Caudal vertimiento (L/seg)</t>
  </si>
  <si>
    <t>Vertimiento (mg/L)</t>
  </si>
  <si>
    <t>% Cobertura alcantarillado (actualizado en concertacion)</t>
  </si>
  <si>
    <t>Población a tasar</t>
  </si>
  <si>
    <t>Urbana</t>
  </si>
  <si>
    <t xml:space="preserve"> Kg DBO5 / año</t>
  </si>
  <si>
    <t>Kg SST / año</t>
  </si>
  <si>
    <t>San Agustín</t>
  </si>
  <si>
    <t>Río Sombrerillos</t>
  </si>
  <si>
    <t>Empresa de Servicios Publicos de San Agustín ESP</t>
  </si>
  <si>
    <t xml:space="preserve">PTAR MUNICIPAL </t>
  </si>
  <si>
    <t>CARACTERIZACION</t>
  </si>
  <si>
    <t>VERTIMIENTO KENNEDY</t>
  </si>
  <si>
    <t>3 VERTIMIENTOS RESTANTES (carreras 3, 4 y 6)</t>
  </si>
  <si>
    <t>Doméstico</t>
  </si>
  <si>
    <t>Palestina</t>
  </si>
  <si>
    <t>Río Guarapas</t>
  </si>
  <si>
    <t>Pitalito</t>
  </si>
  <si>
    <t>Rio Guarapas</t>
  </si>
  <si>
    <t>Empresa de Servicios Publicos de Pitalito EMPITALITO  ESP</t>
  </si>
  <si>
    <t xml:space="preserve"> Isnos</t>
  </si>
  <si>
    <t>Qda. La Chorrera</t>
  </si>
  <si>
    <t>Matadero</t>
  </si>
  <si>
    <t>Saladoblanco</t>
  </si>
  <si>
    <t>Río Magdalena</t>
  </si>
  <si>
    <t>Oporapa</t>
  </si>
  <si>
    <t>Rio Magdalena</t>
  </si>
  <si>
    <t>Elias</t>
  </si>
  <si>
    <t>Altamira</t>
  </si>
  <si>
    <t xml:space="preserve">Empresa de Servicios Publicos </t>
  </si>
  <si>
    <t xml:space="preserve">Vertimiento 1 </t>
  </si>
  <si>
    <t>Timaná</t>
  </si>
  <si>
    <t>Río Timaná</t>
  </si>
  <si>
    <t>Tarqui</t>
  </si>
  <si>
    <t>Qda. El Hígado</t>
  </si>
  <si>
    <t>Acevedo</t>
  </si>
  <si>
    <t>Río Suaza</t>
  </si>
  <si>
    <t>Industrial</t>
  </si>
  <si>
    <t>Suaza</t>
  </si>
  <si>
    <t>Rio Suaza</t>
  </si>
  <si>
    <t>Guadalupe</t>
  </si>
  <si>
    <t>Empresa de Servicios Publicos</t>
  </si>
  <si>
    <t>Garzón</t>
  </si>
  <si>
    <t>Qda. Garzón</t>
  </si>
  <si>
    <t>Empresa de Servicios Publicos EMPUGAR ESP</t>
  </si>
  <si>
    <t>Pital</t>
  </si>
  <si>
    <t>Qda. La Yaguilga</t>
  </si>
  <si>
    <t>Aguas y Aseo de El Pital S.A.</t>
  </si>
  <si>
    <t>Agrado</t>
  </si>
  <si>
    <t>Gigante</t>
  </si>
  <si>
    <t>Qda. La Guandinosa</t>
  </si>
  <si>
    <t>La Argentina</t>
  </si>
  <si>
    <t>Río Paéz</t>
  </si>
  <si>
    <t>La Plata</t>
  </si>
  <si>
    <t>Empresa de Servicios Publicos EMSERPLA ESP</t>
  </si>
  <si>
    <t>VERT.  1  Matadero</t>
  </si>
  <si>
    <t>VERT 3 Remolinos</t>
  </si>
  <si>
    <t>VERT  4 Las Americas</t>
  </si>
  <si>
    <t>Nátaga</t>
  </si>
  <si>
    <t>Paicol</t>
  </si>
  <si>
    <t>Tesalia</t>
  </si>
  <si>
    <t>Iquira</t>
  </si>
  <si>
    <t>Embalse de Betania</t>
  </si>
  <si>
    <t>Teruel</t>
  </si>
  <si>
    <t>Yaguará</t>
  </si>
  <si>
    <t>Empresa de Servicios Publicos Domicialrios ESP</t>
  </si>
  <si>
    <t>Hobo</t>
  </si>
  <si>
    <t>Empresa de Servicios Publicos EMUSERP HOBO ESP</t>
  </si>
  <si>
    <t>VERT. 1 Lagunas de Estabilización</t>
  </si>
  <si>
    <t>VERT 2.  Tanque Septico</t>
  </si>
  <si>
    <t>Algeciras</t>
  </si>
  <si>
    <t>Río Neiva</t>
  </si>
  <si>
    <t>Empresa de Servicios Publicos EMSERAL ESP</t>
  </si>
  <si>
    <t>Campoalegre</t>
  </si>
  <si>
    <t>Río Frío (Campoalegre)</t>
  </si>
  <si>
    <t>Empresa de Srvicios Publicos EMAC ESP</t>
  </si>
  <si>
    <t>Rivera</t>
  </si>
  <si>
    <t>Río Frio</t>
  </si>
  <si>
    <t>CEAGRODEX DEL HUILA S.A.</t>
  </si>
  <si>
    <t>Piscicola New York</t>
  </si>
  <si>
    <t>Contegral  S. A</t>
  </si>
  <si>
    <t>Triturados Hermanos Carrillo Ltda</t>
  </si>
  <si>
    <t>Neiva</t>
  </si>
  <si>
    <t>Empresa de Servicios Publicos de Neiva EPN ESP</t>
  </si>
  <si>
    <t>Villavieja</t>
  </si>
  <si>
    <t>Empresa de Servicios Publicos Aguas del Desierto ESP</t>
  </si>
  <si>
    <t>Calculo de carga en punto de captación</t>
  </si>
  <si>
    <t>Aipe</t>
  </si>
  <si>
    <t>Santa María</t>
  </si>
  <si>
    <t>Río Baché</t>
  </si>
  <si>
    <t>Palermo</t>
  </si>
  <si>
    <t>Empresa de Servicios Publicos de Palermo ESP</t>
  </si>
  <si>
    <t>PTAR Matadero</t>
  </si>
  <si>
    <t>PTAR Julian Polania</t>
  </si>
  <si>
    <t xml:space="preserve">Procepollos S.A </t>
  </si>
  <si>
    <t>Aguas Claras S.  A</t>
  </si>
  <si>
    <t>Comfamiliar del Huila</t>
  </si>
  <si>
    <t xml:space="preserve"> Domestico</t>
  </si>
  <si>
    <t>Condominio Industrial Terpel</t>
  </si>
  <si>
    <t>Baraya</t>
  </si>
  <si>
    <t>Río Villavieja</t>
  </si>
  <si>
    <t>Empresa de Servicios Publicos EMPUBARAYA ESP</t>
  </si>
  <si>
    <t>Tello</t>
  </si>
  <si>
    <t>Vertimiento 1. cerca Cementerio</t>
  </si>
  <si>
    <t xml:space="preserve">Vertimiento 2.  Descarga Principal </t>
  </si>
  <si>
    <t>Colombia</t>
  </si>
  <si>
    <t>Río Ambicá</t>
  </si>
  <si>
    <t xml:space="preserve">TOTAL </t>
  </si>
  <si>
    <t>factor concevrison</t>
  </si>
  <si>
    <t>PRESUNTIVO</t>
  </si>
  <si>
    <t>VERT1. PTAR</t>
  </si>
  <si>
    <t>VERTIMIENTO 1. PTAR</t>
  </si>
  <si>
    <t>VERTIMIENTO PTAR</t>
  </si>
  <si>
    <t>VERTIMIENTO 1 - PTAR</t>
  </si>
  <si>
    <t>VERTIMIENTO  2</t>
  </si>
  <si>
    <t>VERTIMIENTO UNICO</t>
  </si>
  <si>
    <t>salida PTAR</t>
  </si>
  <si>
    <t>Frigorífico del Sur - COMEPEZ</t>
  </si>
  <si>
    <t>Domestico</t>
  </si>
  <si>
    <t>CAQUETEÑO</t>
  </si>
  <si>
    <t>salida PTAR casino</t>
  </si>
  <si>
    <t>salida PTAR casa maquinas</t>
  </si>
  <si>
    <t>EMGESA- BETANIA</t>
  </si>
  <si>
    <t>ECOPETROL BARAYA- Industrial</t>
  </si>
  <si>
    <t>EMGESA- QUIMBO</t>
  </si>
  <si>
    <t>Piscícola Botero S. A. (procesadora)</t>
  </si>
  <si>
    <t>EMPRESA SERVICIOS PUBLICOS</t>
  </si>
  <si>
    <t>EMPRESA DE SERVICIOS PUBLICOS</t>
  </si>
  <si>
    <t>MUNICIPIO</t>
  </si>
  <si>
    <t>ECOPETROL</t>
  </si>
  <si>
    <t>Piscícola Nueva York</t>
  </si>
  <si>
    <t>BATALLON GARZON</t>
  </si>
  <si>
    <t>Vertimiento El Conejo</t>
  </si>
  <si>
    <t>Vertimiento parque modular</t>
  </si>
  <si>
    <t>Vertimiento  cementerio</t>
  </si>
  <si>
    <t>SAN FELIPE</t>
  </si>
  <si>
    <t>LAS MARIAS</t>
  </si>
  <si>
    <t>Rancho Tepeyac</t>
  </si>
  <si>
    <t>Tiempo de Vertimiento promedio (Horas/dia)</t>
  </si>
  <si>
    <t>mg/l DBO</t>
  </si>
  <si>
    <t>mg/l SST</t>
  </si>
  <si>
    <t>fact Conversi</t>
  </si>
  <si>
    <t>PISCICULTOR</t>
  </si>
  <si>
    <t>PREDIO</t>
  </si>
  <si>
    <t>CAUDAL CONCESIONADO (L/seg)</t>
  </si>
  <si>
    <t>20% caudal decantado</t>
  </si>
  <si>
    <t>KG-AÑO DBO</t>
  </si>
  <si>
    <t>KG-AÑO-SST</t>
  </si>
  <si>
    <t>JORGE OSORIO</t>
  </si>
  <si>
    <t>Lote N° 2 La esperanza</t>
  </si>
  <si>
    <t>YA ESTA CALCULADO CON MUESTREO</t>
  </si>
  <si>
    <t>BENJAMIN OSORIO</t>
  </si>
  <si>
    <t>Lote 1 El Resurgir</t>
  </si>
  <si>
    <t>Villa del Carmen</t>
  </si>
  <si>
    <t>Lote  N° 19</t>
  </si>
  <si>
    <t>Lote N° 2 La Esperanza</t>
  </si>
  <si>
    <t>Santa Helena</t>
  </si>
  <si>
    <t>Las Brisas</t>
  </si>
  <si>
    <t>el Combat los Lios</t>
  </si>
  <si>
    <t>san alfonso</t>
  </si>
  <si>
    <t>vIlla Charo</t>
  </si>
  <si>
    <t>la primavera</t>
  </si>
  <si>
    <t>la CATANIA</t>
  </si>
  <si>
    <t>VILLA MERCEDES</t>
  </si>
  <si>
    <t>Las Merceditas</t>
  </si>
  <si>
    <t>lote 2 la esperanza</t>
  </si>
  <si>
    <t>VILLA EMMA</t>
  </si>
  <si>
    <t>Piscicola LA POLA</t>
  </si>
  <si>
    <t>el limoncito</t>
  </si>
  <si>
    <t>las mercedes</t>
  </si>
  <si>
    <t>las delicias</t>
  </si>
  <si>
    <t>santa ana</t>
  </si>
  <si>
    <t>sin nombre</t>
  </si>
  <si>
    <t>san felipe</t>
  </si>
  <si>
    <t>el puente</t>
  </si>
  <si>
    <t xml:space="preserve"> la esperanza</t>
  </si>
  <si>
    <t>la primaverita</t>
  </si>
  <si>
    <t>san joaquin</t>
  </si>
  <si>
    <t>villa samary</t>
  </si>
  <si>
    <t>el bosque</t>
  </si>
  <si>
    <t>el establo 47</t>
  </si>
  <si>
    <t>casa lote</t>
  </si>
  <si>
    <t>lote VILLA MERCEDES</t>
  </si>
  <si>
    <t>lote majo</t>
  </si>
  <si>
    <t>lote caracoli</t>
  </si>
  <si>
    <t>yoli</t>
  </si>
  <si>
    <t>la coba de iria</t>
  </si>
  <si>
    <t>el libano</t>
  </si>
  <si>
    <t>en liquidacion</t>
  </si>
  <si>
    <t>Agropisiciola Mujeres por el campo</t>
  </si>
  <si>
    <t>lote 2 los lagos</t>
  </si>
  <si>
    <t>Carlos Ramirez Sanchez</t>
  </si>
  <si>
    <t>Sector 1</t>
  </si>
  <si>
    <t>Sector 2</t>
  </si>
  <si>
    <t>Tilapias del Huila s.as</t>
  </si>
  <si>
    <t>TOTAL CARGA CONTAMINANTE</t>
  </si>
  <si>
    <t>Acrópolis</t>
  </si>
  <si>
    <t>Mansión del norte</t>
  </si>
  <si>
    <t>Carlos Pizarro</t>
  </si>
  <si>
    <t>Chicalá</t>
  </si>
  <si>
    <t>Brisas del río</t>
  </si>
  <si>
    <t>Calamarí</t>
  </si>
  <si>
    <t>Camilo Torres</t>
  </si>
  <si>
    <t>El Dorado</t>
  </si>
  <si>
    <t>Villa Colombia Sur</t>
  </si>
  <si>
    <t>El Venado</t>
  </si>
  <si>
    <t>Carlos Ramirez Sanchez - Las Marias</t>
  </si>
  <si>
    <t>EL TRIUNFO VEREDA LOS MEDIOS</t>
  </si>
  <si>
    <t>Aguas del Huila S.A E.S.P</t>
  </si>
  <si>
    <t>EMPTIMANA E.S.P</t>
  </si>
  <si>
    <t>EMPUARG E.S.P</t>
  </si>
  <si>
    <t>Empresa de Servicios Publicos  .E.S.P.</t>
  </si>
  <si>
    <t>Empresa de Servicios Publicos E.S.P</t>
  </si>
  <si>
    <t>Empresa de Servicios Publicos de Rivera</t>
  </si>
  <si>
    <t>EDUARDO RAMIREZ - Vereda El Espinal</t>
  </si>
  <si>
    <t>????</t>
  </si>
  <si>
    <t>INDUSTRIAL</t>
  </si>
  <si>
    <t>1 Subtotal  Corriente Río Sombrerillos</t>
  </si>
  <si>
    <t>2 Subtotal Corriente Río Guarapas</t>
  </si>
  <si>
    <t>3 Subtotal Corrriente Que La Chorrera</t>
  </si>
  <si>
    <t>4 Subtotal Río Magdalena</t>
  </si>
  <si>
    <t>5 Subtotal Río Timaná</t>
  </si>
  <si>
    <t>6 Subtotal Quebrada el Hígado</t>
  </si>
  <si>
    <t>7 Subtotal Río Suaza</t>
  </si>
  <si>
    <t>8 Subtotal Quebrada Garzón</t>
  </si>
  <si>
    <t>9 Subtotal Quebrada La Yaguilga</t>
  </si>
  <si>
    <t>10 Subtotal Quebrada la Guandinosa</t>
  </si>
  <si>
    <t>11 Subtotal Corriente Río Paéz</t>
  </si>
  <si>
    <t>12 Subtotal Embalse de Betania</t>
  </si>
  <si>
    <t>13 Subtotal Corriente Río Neiva</t>
  </si>
  <si>
    <t>14 Subtotal Corriente Río Frío Campoalegre</t>
  </si>
  <si>
    <t>15 Subtotal Corriente Río Frío</t>
  </si>
  <si>
    <t>16 Subtotal Corriente Río Magdalena</t>
  </si>
  <si>
    <t>17 Subtotal Corriente Rio Baché</t>
  </si>
  <si>
    <t>18 Subtotal Corriente Río Villavieja</t>
  </si>
  <si>
    <t>19 Subtotal Río Ambicá</t>
  </si>
  <si>
    <t>Piscicolas</t>
  </si>
  <si>
    <t>Doméstico - Salida PTAR</t>
  </si>
  <si>
    <t>CARACTERIZACIÓN</t>
  </si>
  <si>
    <t>VERTIMIENTO POLIDEPORTIVO- Policia</t>
  </si>
  <si>
    <t>Vertimiento Acasias - Puerta al Cielo</t>
  </si>
  <si>
    <t>Vertimiento Bienestar - La chaza</t>
  </si>
  <si>
    <t>Vertimiento Puente - Coliseo</t>
  </si>
  <si>
    <t>Vertimiento 1 - Jaime Rojas</t>
  </si>
  <si>
    <t>Vertimiento Sector el matadero</t>
  </si>
  <si>
    <t>Planta procesadora -Compañía  Agroindustrial 3C</t>
  </si>
  <si>
    <t>PTAR 3  Julian Polania 2</t>
  </si>
  <si>
    <t>Vertimiento Zanjon del Alcalde - Oliver Ortiz</t>
  </si>
  <si>
    <t>Zanjon  del Matadero - Otolia Molina</t>
  </si>
  <si>
    <t>Vertimiento Jose Acevedo- Marco Paredes</t>
  </si>
  <si>
    <t>Vertimiento el Viaducto (el puerto, La guache, alcantarillado)</t>
  </si>
  <si>
    <t>Vertimiento Av Pastrana</t>
  </si>
  <si>
    <t>Vertimiento Municipal</t>
  </si>
  <si>
    <t>Poblacion censo DANE</t>
  </si>
  <si>
    <t>Vertimiento punto Cafetal</t>
  </si>
  <si>
    <t>Avícola Villa Nancy</t>
  </si>
  <si>
    <t>La Libertad (vertimiento nuevo)</t>
  </si>
  <si>
    <t>FECHA CARACTERIZACIÓN</t>
  </si>
  <si>
    <t xml:space="preserve">Planta de Beneficio Animal </t>
  </si>
  <si>
    <t>LA FORTUNA</t>
  </si>
  <si>
    <t>&lt;5</t>
  </si>
  <si>
    <t>Piscicola la Esperanza  - Vereda los Medios</t>
  </si>
  <si>
    <t>Puente Santander - Norte</t>
  </si>
  <si>
    <t>Puente Santander  - Sur</t>
  </si>
  <si>
    <t>Coca-cola es el mismo san silvestre?</t>
  </si>
  <si>
    <t xml:space="preserve">Villa Colombia Norte </t>
  </si>
  <si>
    <t>PTAR 1 - Santa Ana</t>
  </si>
  <si>
    <t>PTAR 2 - Puerto turistico</t>
  </si>
  <si>
    <t>PTAR 3 - La mochila</t>
  </si>
  <si>
    <t>VERT 2. Hospital</t>
  </si>
  <si>
    <t>VERT 5.  El Baho</t>
  </si>
  <si>
    <t>3 y 4 junio de 2015</t>
  </si>
  <si>
    <t>16/]08/2017</t>
  </si>
  <si>
    <t>Vertimiento (nuevo)-  será Villa Gloria</t>
  </si>
  <si>
    <t>11 y 12 junio 2015</t>
  </si>
  <si>
    <t>VERT 1.  salida de los medios</t>
  </si>
  <si>
    <t>VERT 2.  Guthemberg</t>
  </si>
  <si>
    <t>Planta Beneficio Animal - ASURCAR</t>
  </si>
  <si>
    <t>Planta Beneficio Animal - Gustavo Rojas Cardozo</t>
  </si>
  <si>
    <t>Planta Beneficio Animal</t>
  </si>
  <si>
    <t>Doméstico - Campamento</t>
  </si>
  <si>
    <t>STAR Acuícola Río Grande S.A.S</t>
  </si>
  <si>
    <t xml:space="preserve">Acuícola El Triunfo </t>
  </si>
  <si>
    <t xml:space="preserve">O2 Tilapias S.A.S </t>
  </si>
  <si>
    <t>Tilapias del Huila - lagos</t>
  </si>
  <si>
    <t>PBA - ASOGANPLAT</t>
  </si>
  <si>
    <t>Hospital San Antonio de Padua - salida STAR</t>
  </si>
  <si>
    <t>Piscicola Bony S.A.S</t>
  </si>
  <si>
    <t xml:space="preserve">no se cuenta con reporte </t>
  </si>
  <si>
    <t>no cuenta con reporte</t>
  </si>
  <si>
    <t>MUNICIPIO - CP LA VICTORIA</t>
  </si>
  <si>
    <t>BATALLON DE MOVILIDAD Y MANIOBRA DE AVIACIÓN No 5</t>
  </si>
  <si>
    <t xml:space="preserve">Falla Bernal </t>
  </si>
  <si>
    <t>Piscicola BERLIN</t>
  </si>
  <si>
    <t>Domestico - PTAR LAS MARÍAS</t>
  </si>
  <si>
    <t>Domestico - PTAR ORIENTAL</t>
  </si>
  <si>
    <t>Vertimiento Villa Constanza</t>
  </si>
  <si>
    <t>ITALCOL S.A</t>
  </si>
  <si>
    <t>Planta Beneficio Animal - autoconsumo</t>
  </si>
  <si>
    <t>Condominio campestre llanos de Vimianzo</t>
  </si>
  <si>
    <t>Condominio campestre campo berdez club house</t>
  </si>
  <si>
    <t>no se genera vertimiento aún</t>
  </si>
  <si>
    <t xml:space="preserve">CARGA CONTAMINANTE TOTAL  2018 DOMESTICO Y NO DOMESTICO </t>
  </si>
  <si>
    <t>PBA - Frigorifico Surcolombiano</t>
  </si>
  <si>
    <t>Inversiones Cootranshuila</t>
  </si>
  <si>
    <t>Piscicola - LIBARDO QUESADA SANABRIA</t>
  </si>
  <si>
    <r>
      <t>CALCULO DE</t>
    </r>
    <r>
      <rPr>
        <b/>
        <sz val="11"/>
        <color indexed="10"/>
        <rFont val="Arial"/>
        <family val="2"/>
      </rPr>
      <t xml:space="preserve"> CC </t>
    </r>
    <r>
      <rPr>
        <sz val="11"/>
        <rFont val="Arial"/>
        <family val="2"/>
      </rPr>
      <t>CARACTERIZACIÓN DE VERTIMIENTOS URBANOS</t>
    </r>
  </si>
  <si>
    <t>Piscicola Salem</t>
  </si>
  <si>
    <t>Piscicola La Acuarela</t>
  </si>
  <si>
    <t>Piscicola Predio Relumbrosa</t>
  </si>
  <si>
    <t>no aplica</t>
  </si>
  <si>
    <t>CALCULO DE CC  A PARTIR DE PER-CÁPITA PARA MUNICIPIOS SIN CARACTERIZACIÓN</t>
  </si>
  <si>
    <t>Sector cafetero</t>
  </si>
  <si>
    <t>Agroindustrial</t>
  </si>
  <si>
    <t>SUB-ZONA HIDROGRAFICA</t>
  </si>
  <si>
    <t>MICRO-CUENCA</t>
  </si>
  <si>
    <t>Hectareas (Ha) Café</t>
  </si>
  <si>
    <t>(TON /AÑO) DBO5</t>
  </si>
  <si>
    <t xml:space="preserve">(TON/ AÑO) SST </t>
  </si>
  <si>
    <t xml:space="preserve">2101 Alto Magdalena </t>
  </si>
  <si>
    <t>AD 40 MAGDALENA</t>
  </si>
  <si>
    <t>AD 41 MAGDALENA</t>
  </si>
  <si>
    <t>AD 42 MAGDALENA</t>
  </si>
  <si>
    <t>AD 43 MAGDALENA_bajo</t>
  </si>
  <si>
    <t>AD 43 MAGDALENA_alto</t>
  </si>
  <si>
    <t>AD 44 MAGDALENA</t>
  </si>
  <si>
    <t>AD 45 MAGDALENA</t>
  </si>
  <si>
    <t>AD 46 MAGDALENA_bajo</t>
  </si>
  <si>
    <t>AD 46 MAGDALENA_alto</t>
  </si>
  <si>
    <t>AD 47 MAGDALENA</t>
  </si>
  <si>
    <t>AD 48 MAGDALENA</t>
  </si>
  <si>
    <t>AD 49 MAGDALENA</t>
  </si>
  <si>
    <t>AD 50 MAGDALENA_bajo</t>
  </si>
  <si>
    <t>AD 50 MAGDALENA_alto</t>
  </si>
  <si>
    <t>AD 51 MAGDALENA</t>
  </si>
  <si>
    <t>AD 52 MAGDALENA</t>
  </si>
  <si>
    <t>AD 53 MAGDALENA</t>
  </si>
  <si>
    <t>AD 54 MAGDALENA</t>
  </si>
  <si>
    <t>AD 55 MAGDALENA</t>
  </si>
  <si>
    <t>AD 56 MAGDALENA</t>
  </si>
  <si>
    <t>Q. AGUABLANCA</t>
  </si>
  <si>
    <t>Q. BLANCA</t>
  </si>
  <si>
    <t>Q. CHARGUAYACO</t>
  </si>
  <si>
    <t>Q. CRIOLLO</t>
  </si>
  <si>
    <t>Q. DEL BUEY</t>
  </si>
  <si>
    <t>Q. DOS CASCADAS</t>
  </si>
  <si>
    <t>Q. EL CAJON</t>
  </si>
  <si>
    <t>Q. EL CEDRO</t>
  </si>
  <si>
    <t>Q. EL DESECHO</t>
  </si>
  <si>
    <t>Q. EL JABON</t>
  </si>
  <si>
    <t>Q. EL PALMAR</t>
  </si>
  <si>
    <t>Q. EL PESCADO</t>
  </si>
  <si>
    <t>Q. EL PITAL</t>
  </si>
  <si>
    <t>Q. EL TIGRE</t>
  </si>
  <si>
    <t>Q. EL TIGRE_2</t>
  </si>
  <si>
    <t>Q. GALLINEROS</t>
  </si>
  <si>
    <t>Q. LA CASPOSAL</t>
  </si>
  <si>
    <t>Q. LA CHIREALENA</t>
  </si>
  <si>
    <t>Q. LA CHORRERA</t>
  </si>
  <si>
    <t>Q. LA PERAL</t>
  </si>
  <si>
    <t>Q. LAS MINAS</t>
  </si>
  <si>
    <t>Q. MAJUAS</t>
  </si>
  <si>
    <t>Q. MATANZAS</t>
  </si>
  <si>
    <t>Q. MAZAMORRAS</t>
  </si>
  <si>
    <t>Q. MORTINO</t>
  </si>
  <si>
    <t>Q. NEGRA</t>
  </si>
  <si>
    <t>Q. NEGRA_2</t>
  </si>
  <si>
    <t>Q. NEGRA_3</t>
  </si>
  <si>
    <t>Q. REGUEROS</t>
  </si>
  <si>
    <t>Q. TABACAL</t>
  </si>
  <si>
    <t>R. BALCEROS</t>
  </si>
  <si>
    <t>R. BLANQUITO</t>
  </si>
  <si>
    <t>R. BLANQUITO ALTO</t>
  </si>
  <si>
    <t>R. CLAROS</t>
  </si>
  <si>
    <t>R. GUACHICOS</t>
  </si>
  <si>
    <t>R. GUARAPAS_bajo</t>
  </si>
  <si>
    <t>R. GUARAPAS_alto</t>
  </si>
  <si>
    <t>R. MAGDALENA NACIMIENTO</t>
  </si>
  <si>
    <t>R. MAJUAS ALTO</t>
  </si>
  <si>
    <t>R. MAJUAS BAJO</t>
  </si>
  <si>
    <t>R. MAZAMORRAS</t>
  </si>
  <si>
    <t>R. NARANJO</t>
  </si>
  <si>
    <t>R. NEGRO</t>
  </si>
  <si>
    <t>R. OSO</t>
  </si>
  <si>
    <t>R. OSOGUAICO</t>
  </si>
  <si>
    <t>R. OVEJERAS</t>
  </si>
  <si>
    <t>R. QUINCHANA</t>
  </si>
  <si>
    <t>R. SOMBRERILLOS</t>
  </si>
  <si>
    <t>2102 Timaná y otros directos al Magdalena</t>
  </si>
  <si>
    <t>AD 57 MAGDALENA_alto</t>
  </si>
  <si>
    <t>AD 57 MAGDALENA_bajo</t>
  </si>
  <si>
    <t>AD 58 MAGDALENA_alto</t>
  </si>
  <si>
    <t>AD 58 MAGDALENA_bajo</t>
  </si>
  <si>
    <t>AD 60 MAGDALENA</t>
  </si>
  <si>
    <t>Q. CALENTURAS</t>
  </si>
  <si>
    <t>Q. DE TOBO</t>
  </si>
  <si>
    <t>Q. LA CICANA</t>
  </si>
  <si>
    <t>Q. LA TURBIA</t>
  </si>
  <si>
    <t>Q. OLICUAL</t>
  </si>
  <si>
    <t>Q. PIRAGUA</t>
  </si>
  <si>
    <t>Q. SECA</t>
  </si>
  <si>
    <t>R. TIMANA</t>
  </si>
  <si>
    <t>Z. DEL PALO COLORADO</t>
  </si>
  <si>
    <t>2103 Río Suaza</t>
  </si>
  <si>
    <t>Q. AGUACABEZAS</t>
  </si>
  <si>
    <t>Q. AGUACALIENTE</t>
  </si>
  <si>
    <t>Q. ANAYACO</t>
  </si>
  <si>
    <t>Q. CAGUANCITO</t>
  </si>
  <si>
    <t>Q. CHORROSA</t>
  </si>
  <si>
    <t>Q. DE MANTAGUA</t>
  </si>
  <si>
    <t>Q. DE SATIA</t>
  </si>
  <si>
    <t>Q. EL GUACHE</t>
  </si>
  <si>
    <t>Q. EMAYA</t>
  </si>
  <si>
    <t>Q. LA BERNARDA</t>
  </si>
  <si>
    <t>Q. LA CASCAJOSA</t>
  </si>
  <si>
    <t>Q. LA JACUE</t>
  </si>
  <si>
    <t>Q. LA MARIMBA</t>
  </si>
  <si>
    <t>Q. LA PERICA</t>
  </si>
  <si>
    <t>Q. LA PESCADA</t>
  </si>
  <si>
    <t>Q. LA VICIOSA</t>
  </si>
  <si>
    <t>Q. LAS TUPIAS</t>
  </si>
  <si>
    <t>Q. LOS ANGELES</t>
  </si>
  <si>
    <t>Q. LOS ANGELES_2</t>
  </si>
  <si>
    <t>Q. PABUCHE</t>
  </si>
  <si>
    <t>Q. PICUMITA</t>
  </si>
  <si>
    <t>Q. POTRERILLOS</t>
  </si>
  <si>
    <t>Q. QUISAYA</t>
  </si>
  <si>
    <t>Q. TIJINA</t>
  </si>
  <si>
    <t>R. RIECITO</t>
  </si>
  <si>
    <t>R. SUAZA_bajo</t>
  </si>
  <si>
    <t>R. SUAZA_medio</t>
  </si>
  <si>
    <t>R. SUAZA_alto</t>
  </si>
  <si>
    <t>2104 Ríos directos al Magdalena (mi)</t>
  </si>
  <si>
    <t>AD 23 MAGDALENA</t>
  </si>
  <si>
    <t>AD 24 MAGDALENA</t>
  </si>
  <si>
    <t>AD 25 MAGDALENA</t>
  </si>
  <si>
    <t>AD 26 MAGDALENA</t>
  </si>
  <si>
    <t>AD 27 MAGDALENA</t>
  </si>
  <si>
    <t>AD 28 MAGDALENA</t>
  </si>
  <si>
    <t>AD 29 MAGDALENA</t>
  </si>
  <si>
    <t>AD 30 MAGDALENA</t>
  </si>
  <si>
    <t>AD 31 MAGDALENA</t>
  </si>
  <si>
    <t>AD 32 MAGDALENA</t>
  </si>
  <si>
    <t>AD 33 MAGDALENA_bajo</t>
  </si>
  <si>
    <t>AD 33 MAGDALENA_alto</t>
  </si>
  <si>
    <t>AD 34 MAGDALENA</t>
  </si>
  <si>
    <t>AD 35 MAGDALENA</t>
  </si>
  <si>
    <t>AD 36 MAGDALENA</t>
  </si>
  <si>
    <t>AD 37 MAGDALENA</t>
  </si>
  <si>
    <t>AD 38 MAGDALENA</t>
  </si>
  <si>
    <t>AD 39 MAGDALENA</t>
  </si>
  <si>
    <t>EMBALSE EL QUIMBO</t>
  </si>
  <si>
    <t>Q. BUENAVISTA</t>
  </si>
  <si>
    <t>Q. CAPARROSA</t>
  </si>
  <si>
    <t>Q. CHIMBAYACO</t>
  </si>
  <si>
    <t>Q. DE MINAS</t>
  </si>
  <si>
    <t>Q. EL ALTILLO</t>
  </si>
  <si>
    <t>Q. EL ASTILLERO</t>
  </si>
  <si>
    <t>Q. EL CAIMITO</t>
  </si>
  <si>
    <t>Q. EL CERRO</t>
  </si>
  <si>
    <t>Q. EL CHUYACO</t>
  </si>
  <si>
    <t>Q. EL CUZCO</t>
  </si>
  <si>
    <t>Q. EL GUAYABITO</t>
  </si>
  <si>
    <t>Q. EL GUAYABO</t>
  </si>
  <si>
    <t>Q. EL HATO</t>
  </si>
  <si>
    <t>Q. EL HIGADO</t>
  </si>
  <si>
    <t>Q. EL PEDROSO</t>
  </si>
  <si>
    <t>Q. ENJALMAS</t>
  </si>
  <si>
    <t>Q. GRANATES</t>
  </si>
  <si>
    <t>Q. LA ANGOSTURA</t>
  </si>
  <si>
    <t>Q. LA CARAGUAJA</t>
  </si>
  <si>
    <t>Q. LA COLORADA</t>
  </si>
  <si>
    <t>Q. LA GALDA</t>
  </si>
  <si>
    <t>Q. LA LINDOSA</t>
  </si>
  <si>
    <t>Q. LA MOSCA</t>
  </si>
  <si>
    <t>Q. LA RESFRIADERA</t>
  </si>
  <si>
    <t>Q. LA RINCONENA</t>
  </si>
  <si>
    <t>Q. LAGUNILLA</t>
  </si>
  <si>
    <t>Q. LAS MINAS_2</t>
  </si>
  <si>
    <t>Q. LAS MINAS_3</t>
  </si>
  <si>
    <t>Q. LAS MINAS_4</t>
  </si>
  <si>
    <t>Q. LAS OLLERAS</t>
  </si>
  <si>
    <t>Q. LAS VIRGENES</t>
  </si>
  <si>
    <t>Q. LOS ALTARES</t>
  </si>
  <si>
    <t>Q. MAITUNA</t>
  </si>
  <si>
    <t>Q. MATANZA</t>
  </si>
  <si>
    <t>Q. OPORAPA</t>
  </si>
  <si>
    <t>Q. PIEDRAS NEGRAS</t>
  </si>
  <si>
    <t>Q. SUCIA</t>
  </si>
  <si>
    <t>Q. URAYACO</t>
  </si>
  <si>
    <t>Q. YAGUILGA</t>
  </si>
  <si>
    <t>R. BORDONES</t>
  </si>
  <si>
    <t>R. GRANATES</t>
  </si>
  <si>
    <t>Z. EL PALMO</t>
  </si>
  <si>
    <t>ZANJON  DE LA MOSCA</t>
  </si>
  <si>
    <t>2105 Río Páez</t>
  </si>
  <si>
    <t>AD 01 PAEZ</t>
  </si>
  <si>
    <t>AD 01 RIO NEGRO NARVAEZ</t>
  </si>
  <si>
    <t>AD 02 PAEZ</t>
  </si>
  <si>
    <t>AD 02 RIO NEGRO NARVAEZ</t>
  </si>
  <si>
    <t>AD 03 RIO NEGRO NARVAEZ</t>
  </si>
  <si>
    <t>AD 04 RIO NEGRO NARVAEZ</t>
  </si>
  <si>
    <t>AD 05 RIO NEGRO NARVAEZ</t>
  </si>
  <si>
    <t>AD 06 RIO NEGRO NARVAEZ_bajo</t>
  </si>
  <si>
    <t>AD 06 RIO NEGRO NARVAEZ_alto</t>
  </si>
  <si>
    <t>AD 07 RIO NEGRO NARVAEZ</t>
  </si>
  <si>
    <t>AD 08 RIO NEGRO NARVAEZ</t>
  </si>
  <si>
    <t>AD SIMBOLA 03</t>
  </si>
  <si>
    <t>AD SIMBOLA 04</t>
  </si>
  <si>
    <t>AD SIMBOLA 05</t>
  </si>
  <si>
    <t>Q. AGUABONITA</t>
  </si>
  <si>
    <t>Q. AGUABONITA_2</t>
  </si>
  <si>
    <t>Q. AGUACATAL</t>
  </si>
  <si>
    <t>Q. AGUANEGRA</t>
  </si>
  <si>
    <t>Q. BARBILLAS</t>
  </si>
  <si>
    <t>Q. CHILVANEJO</t>
  </si>
  <si>
    <t>Q. DE CUEVAS</t>
  </si>
  <si>
    <t>Q. DE GOLONDRINAS</t>
  </si>
  <si>
    <t>Q. DE TOPA</t>
  </si>
  <si>
    <t>Q. DEL PUEBLO</t>
  </si>
  <si>
    <t>Q. EL CARMELO</t>
  </si>
  <si>
    <t>Q. EL CONGRESO</t>
  </si>
  <si>
    <t>Q. EL ESPINAL</t>
  </si>
  <si>
    <t>Q. EL ESTORAQUE</t>
  </si>
  <si>
    <t>Q. EL PUEBLO</t>
  </si>
  <si>
    <t>Q. EL SALADO</t>
  </si>
  <si>
    <t>Q. EL SALERO</t>
  </si>
  <si>
    <t>Q. GRANDE</t>
  </si>
  <si>
    <t>Q. GUYUBITO</t>
  </si>
  <si>
    <t>Q. LA AVERIA</t>
  </si>
  <si>
    <t>Q. LA CANADA</t>
  </si>
  <si>
    <t>Q. LA CANDELARIA</t>
  </si>
  <si>
    <t>Q. LA ESMERALDA</t>
  </si>
  <si>
    <t>Q. LA ESMERALDA_2</t>
  </si>
  <si>
    <t>Q. LA FLORIDA</t>
  </si>
  <si>
    <t>Q. LA LAJA</t>
  </si>
  <si>
    <t>Q. LA MONA</t>
  </si>
  <si>
    <t>Q. LA PLATA</t>
  </si>
  <si>
    <t>Q. LA PRINGAMOSA</t>
  </si>
  <si>
    <t>Q. LA SALADA</t>
  </si>
  <si>
    <t>Q. LA VENTA</t>
  </si>
  <si>
    <t>Q. LA ZAPATERA</t>
  </si>
  <si>
    <t>Q. LAS AGUILAS</t>
  </si>
  <si>
    <t>Q. LAS LAJAS</t>
  </si>
  <si>
    <t>Q. LAS TOLDAS</t>
  </si>
  <si>
    <t>Q. MOSCOPAN</t>
  </si>
  <si>
    <t>Q. MOTILON</t>
  </si>
  <si>
    <t>Q. PESCADOR</t>
  </si>
  <si>
    <t>Q. RIECITO</t>
  </si>
  <si>
    <t>Q. SAN ISIDRO</t>
  </si>
  <si>
    <t>R. LA PLATA_bajo</t>
  </si>
  <si>
    <t>R. LA PLATA_alto</t>
  </si>
  <si>
    <t>R. LORO ALTO</t>
  </si>
  <si>
    <t>R. LORO BAJO</t>
  </si>
  <si>
    <t>R. PAEZ_bajo</t>
  </si>
  <si>
    <t>R. PAEZ_alto</t>
  </si>
  <si>
    <t>R. QUEBRADON</t>
  </si>
  <si>
    <t>2106 Ríos directos al Magdalena (md)</t>
  </si>
  <si>
    <t>AD 59 MAGDALENA</t>
  </si>
  <si>
    <t>AD 61 MAGDALENA</t>
  </si>
  <si>
    <t>AD 62 MAGDALENA_alto</t>
  </si>
  <si>
    <t>AD 62 MAGDALENA_Bajo</t>
  </si>
  <si>
    <t>AD 63 MAGDALENA</t>
  </si>
  <si>
    <t>AD 64 MAGDALENA</t>
  </si>
  <si>
    <t>AD 66 MAGDALENA</t>
  </si>
  <si>
    <t>AD 67 MAGDALENA</t>
  </si>
  <si>
    <t>AD 68 MAGDALENA</t>
  </si>
  <si>
    <t>AD 69 MAGDALENA</t>
  </si>
  <si>
    <t>AD 70 MAGDALENA</t>
  </si>
  <si>
    <t>AD 71 MAGDALENA</t>
  </si>
  <si>
    <t>AD 72 MAGDALENA</t>
  </si>
  <si>
    <t>AD 73 MAGDALENA</t>
  </si>
  <si>
    <t>AD 74 MAGDALENA</t>
  </si>
  <si>
    <t>AD 75 MAGDALENA_alto</t>
  </si>
  <si>
    <t>AD 75 MAGDALENA_bajo</t>
  </si>
  <si>
    <t>EMBALSE DE BETANIA</t>
  </si>
  <si>
    <t>Q. ALONSO SANCHEZ</t>
  </si>
  <si>
    <t>Q. DE MAJO</t>
  </si>
  <si>
    <t>Q. DEL OSO</t>
  </si>
  <si>
    <t>Q. EL HOBITO</t>
  </si>
  <si>
    <t>Q. EL HOBO</t>
  </si>
  <si>
    <t>Q. EL PESCADOR</t>
  </si>
  <si>
    <t>Q. EL ZAPALLO</t>
  </si>
  <si>
    <t>Q. GARZON</t>
  </si>
  <si>
    <t>Q. GUANDINOSA</t>
  </si>
  <si>
    <t>Q. GUANDINOSITA</t>
  </si>
  <si>
    <t>Q. GUASIMILLA</t>
  </si>
  <si>
    <t>Q. HONDA</t>
  </si>
  <si>
    <t>Q. HUERTO SECO</t>
  </si>
  <si>
    <t>Q. JAGUALITO</t>
  </si>
  <si>
    <t>Q. LAS DAMAS</t>
  </si>
  <si>
    <t>Q. LAS VUELTAS</t>
  </si>
  <si>
    <t>Q. VOLTEZUELA</t>
  </si>
  <si>
    <t>R. EL PESCADO</t>
  </si>
  <si>
    <t>R. LORO</t>
  </si>
  <si>
    <t>2108 Río Yaguará y Río Iquira</t>
  </si>
  <si>
    <t>AD 14 MAGDALENA</t>
  </si>
  <si>
    <t>AD 15 MAGDALENA</t>
  </si>
  <si>
    <t>AD 16 MAGDALENA</t>
  </si>
  <si>
    <t>AD 17 MAGDALENA</t>
  </si>
  <si>
    <t>AD 18 MAGDALENA</t>
  </si>
  <si>
    <t>AD 19 MAGDALENA</t>
  </si>
  <si>
    <t>AD 20 MAGDALENA</t>
  </si>
  <si>
    <t>AD 21 MAGDALENA</t>
  </si>
  <si>
    <t>AD 22 MAGDALENA</t>
  </si>
  <si>
    <t>Q. AGUADULCE YAGUARA</t>
  </si>
  <si>
    <t>Q. BEBERECIO</t>
  </si>
  <si>
    <t>Q. CARAGUAJA</t>
  </si>
  <si>
    <t>Q. CHICHAYACO</t>
  </si>
  <si>
    <t>Q. DE JUANCHACO</t>
  </si>
  <si>
    <t>Q. DEL MEDIO</t>
  </si>
  <si>
    <t>Q. EL CACHIMBO</t>
  </si>
  <si>
    <t>Q. EL CACHINGO</t>
  </si>
  <si>
    <t>Q. EL CAPOTE</t>
  </si>
  <si>
    <t>Q. EL CARBON</t>
  </si>
  <si>
    <t>Q. EL DAVE</t>
  </si>
  <si>
    <t>Q. EL GUAMAL</t>
  </si>
  <si>
    <t>Q. EL TOTE</t>
  </si>
  <si>
    <t>Q. GUASIMALITO</t>
  </si>
  <si>
    <t>Q. LA BUITRERA</t>
  </si>
  <si>
    <t>Q. LA CAR</t>
  </si>
  <si>
    <t>Q. LA SARDINA-YAGUARA</t>
  </si>
  <si>
    <t>Q. NAZARETH</t>
  </si>
  <si>
    <t>Q. PAPAYALA</t>
  </si>
  <si>
    <t>R. IQUIRA_ALTO</t>
  </si>
  <si>
    <t>R. IQUIRA_BAJO</t>
  </si>
  <si>
    <t>R. LA MARIA</t>
  </si>
  <si>
    <t>R. MACURI</t>
  </si>
  <si>
    <t>R. PACARNI</t>
  </si>
  <si>
    <t>R. PEDERNAL_ALTO</t>
  </si>
  <si>
    <t>R. PEDERNAL_BAJO</t>
  </si>
  <si>
    <t>R. SAN FRANCISCO</t>
  </si>
  <si>
    <t>R. YAGUARA_alto</t>
  </si>
  <si>
    <t>R. YAGUARA_bajo</t>
  </si>
  <si>
    <t>2109 Juncal y otros ríos directos al Magdalena</t>
  </si>
  <si>
    <t>AD 04 MAGDALENA</t>
  </si>
  <si>
    <t>AD 05 MAGDALENA</t>
  </si>
  <si>
    <t>AD 06 MAGDALENA</t>
  </si>
  <si>
    <t>AD 07 MAGDALENA</t>
  </si>
  <si>
    <t>AD 08 MAGDALENA</t>
  </si>
  <si>
    <t>AD 09 MAGDALENA</t>
  </si>
  <si>
    <t>AD 10 MAGDALENA</t>
  </si>
  <si>
    <t>AD 11 MAGDALENA</t>
  </si>
  <si>
    <t>AD 12 MAGDALENA</t>
  </si>
  <si>
    <t>AD 13 MAGDALENA</t>
  </si>
  <si>
    <t>Q. ARENOSO_NEIVA</t>
  </si>
  <si>
    <t>Q. BUSIRACO</t>
  </si>
  <si>
    <t>Q. CUISINDE</t>
  </si>
  <si>
    <t>Q. EL DINDAL</t>
  </si>
  <si>
    <t>Q. EL PINAL</t>
  </si>
  <si>
    <t>Q. GALLINAZO</t>
  </si>
  <si>
    <t>Q. GUACIRCO</t>
  </si>
  <si>
    <t>Q. LA BOBA</t>
  </si>
  <si>
    <t>Q. LA SARDINATA</t>
  </si>
  <si>
    <t>Q. PAPAGALLO</t>
  </si>
  <si>
    <t>2110 Río Nieva</t>
  </si>
  <si>
    <t>Q. BEJUCAL</t>
  </si>
  <si>
    <t>Q. EL ALBADAN</t>
  </si>
  <si>
    <t>Q. EL GUADUAL</t>
  </si>
  <si>
    <t>Q. EL QUEBRADON NORTE</t>
  </si>
  <si>
    <t>Q. EL QUEBRADON SUR</t>
  </si>
  <si>
    <t>Q. LA CIENAGA</t>
  </si>
  <si>
    <t>Q. LA PERDIZ</t>
  </si>
  <si>
    <t>Q. LAS TAPIAS</t>
  </si>
  <si>
    <t>Q. LEJIA 1</t>
  </si>
  <si>
    <t>Q. LEJIA 2</t>
  </si>
  <si>
    <t>Q. LOS NEGROS</t>
  </si>
  <si>
    <t>Q. OTAS</t>
  </si>
  <si>
    <t>Q. RIVERA</t>
  </si>
  <si>
    <t>Q. SANTA LUCIA</t>
  </si>
  <si>
    <t>Q. SARDINATA</t>
  </si>
  <si>
    <t>R. BLANCO</t>
  </si>
  <si>
    <t>R. BLANCO ALTO</t>
  </si>
  <si>
    <t>R. FRIO CAMPOALEGRE</t>
  </si>
  <si>
    <t>R. NEIVA_ALTO</t>
  </si>
  <si>
    <t>R. NEIVA_BAJO</t>
  </si>
  <si>
    <t>R. NEIVA_MEDIO</t>
  </si>
  <si>
    <t>2111 Río Fortalecillas y otros</t>
  </si>
  <si>
    <t>AD 76 MAGDALENA</t>
  </si>
  <si>
    <t>AD 77 MAGDALENA</t>
  </si>
  <si>
    <t>AD 78 MAGDALENA</t>
  </si>
  <si>
    <t>AD 79 MAGDALENA</t>
  </si>
  <si>
    <t>AD 80 MAGDALENA</t>
  </si>
  <si>
    <t>AD 81 MAGDALENA</t>
  </si>
  <si>
    <t>AD 82 MAGDALENA</t>
  </si>
  <si>
    <t>AD 83 MAGDALENA</t>
  </si>
  <si>
    <t>AD 84 MAGDALENA</t>
  </si>
  <si>
    <t>AD 85 MAGDALENA</t>
  </si>
  <si>
    <t>AD 86 MAGDALENA</t>
  </si>
  <si>
    <t>AD 87 MAGDALENA</t>
  </si>
  <si>
    <t>AD 88 MAGDALENA</t>
  </si>
  <si>
    <t>AD 89 MAGDALENA</t>
  </si>
  <si>
    <t>AD 90 MAGDALENA</t>
  </si>
  <si>
    <t>AD 91 MAGDALENA</t>
  </si>
  <si>
    <t>Q. AHUYAMALES</t>
  </si>
  <si>
    <t>Q. ARENOSO_NR</t>
  </si>
  <si>
    <t>Q. ARENOSO_TB</t>
  </si>
  <si>
    <t>Q. BATEAS</t>
  </si>
  <si>
    <t>Q. EL ACEITE</t>
  </si>
  <si>
    <t>Q. EL CAIMAN</t>
  </si>
  <si>
    <t>Q. EL CANDADO</t>
  </si>
  <si>
    <t>Q. EL COLEGIO</t>
  </si>
  <si>
    <t>Q. EL MADRONO</t>
  </si>
  <si>
    <t>Q. EL MICO</t>
  </si>
  <si>
    <t>Q. EL NEME</t>
  </si>
  <si>
    <t>Q. EL OLIVO</t>
  </si>
  <si>
    <t>Q. EL VENADO</t>
  </si>
  <si>
    <t>Q. JAGUAL</t>
  </si>
  <si>
    <t>Q. JUNTAS</t>
  </si>
  <si>
    <t>Q. LA ARENOSA TELLO</t>
  </si>
  <si>
    <t>Q. LA ARENOSA VVIEJA BAJO</t>
  </si>
  <si>
    <t>Q. LA HONDA BARAYA</t>
  </si>
  <si>
    <t>Q. LA HONDA RIVERA</t>
  </si>
  <si>
    <t>Q. LA JAGUA</t>
  </si>
  <si>
    <t>Q. LA NUTRIA</t>
  </si>
  <si>
    <t>Q. LA SUCIA</t>
  </si>
  <si>
    <t>Q. LA TAFURA</t>
  </si>
  <si>
    <t>Q. LA URRACA</t>
  </si>
  <si>
    <t>Q. MANO DE LEON</t>
  </si>
  <si>
    <t>Q. MEDINA</t>
  </si>
  <si>
    <t>Q. ROMERO</t>
  </si>
  <si>
    <t>Q. SALTAREN</t>
  </si>
  <si>
    <t>Q. TATACOA</t>
  </si>
  <si>
    <t>Q: LEMAYA</t>
  </si>
  <si>
    <t>R. FORTALECILLAS</t>
  </si>
  <si>
    <t>R. FRIO RIVERA</t>
  </si>
  <si>
    <t>R. GUAROCO</t>
  </si>
  <si>
    <t>R. LAS CEIBAS_Alto</t>
  </si>
  <si>
    <t>R. LAS CEIBAS_Bajo</t>
  </si>
  <si>
    <t>R. PALESTINA</t>
  </si>
  <si>
    <t>R. SAN ANTONIO</t>
  </si>
  <si>
    <t>R. SAN BARTOLO</t>
  </si>
  <si>
    <t>R. VILLAVIEJA</t>
  </si>
  <si>
    <t>2112 Baché</t>
  </si>
  <si>
    <t>Q. AGUADULCE NEIVA</t>
  </si>
  <si>
    <t>Q. AMBORCO</t>
  </si>
  <si>
    <t>Q. CASTANAL</t>
  </si>
  <si>
    <t>Q. CHIMBORAZO</t>
  </si>
  <si>
    <t>Q. EL AGUILA</t>
  </si>
  <si>
    <t>Q. EL ALBADAN_STA_MARIA</t>
  </si>
  <si>
    <t>Q. EL ARRAYAN</t>
  </si>
  <si>
    <t>Q. EL CEDRAL</t>
  </si>
  <si>
    <t>Q. EL CHIFLON</t>
  </si>
  <si>
    <t>Q. EL FRAILE</t>
  </si>
  <si>
    <t>Q. EL IGUA</t>
  </si>
  <si>
    <t>Q. EL NILO</t>
  </si>
  <si>
    <t>Q. EL OSO</t>
  </si>
  <si>
    <t>Q. EL POTRERO</t>
  </si>
  <si>
    <t>Q. EL RINCON</t>
  </si>
  <si>
    <t>Q. FALDIQUERA</t>
  </si>
  <si>
    <t>Q. GUAYABA</t>
  </si>
  <si>
    <t>Q. LA CRUZADA</t>
  </si>
  <si>
    <t>Q. LA ESPERANZA</t>
  </si>
  <si>
    <t>Q. LA GUADUALOSA</t>
  </si>
  <si>
    <t>Q. LA GUAGUA</t>
  </si>
  <si>
    <t>Q. LA PIZARRA</t>
  </si>
  <si>
    <t>Q. LA RAYA</t>
  </si>
  <si>
    <t>Q. LA REMUDA</t>
  </si>
  <si>
    <t>Q. LA SOLEDAD</t>
  </si>
  <si>
    <t>Q. LA URRIAGA</t>
  </si>
  <si>
    <t>Q. LAS MORAS</t>
  </si>
  <si>
    <t>Q. MANILA</t>
  </si>
  <si>
    <t>Q. MERCADERES</t>
  </si>
  <si>
    <t>Q. PENAS BLANCAS</t>
  </si>
  <si>
    <t>Q. SAN BENITO</t>
  </si>
  <si>
    <t>Q. SAN FRANCISCO_NEIVA</t>
  </si>
  <si>
    <t>Q. SAN JERONIMO</t>
  </si>
  <si>
    <t>Q. SAN JUAN</t>
  </si>
  <si>
    <t>Q. SAN MIGUEL</t>
  </si>
  <si>
    <t>Q. SANTA MARIA</t>
  </si>
  <si>
    <t>Q. VENTANAS</t>
  </si>
  <si>
    <t>R. BACHE_ALTO</t>
  </si>
  <si>
    <t>R. BACHE_BAJO</t>
  </si>
  <si>
    <t>R. BACHECITO</t>
  </si>
  <si>
    <t>R. EL CARMEN</t>
  </si>
  <si>
    <t>R. TUNE_ALTO</t>
  </si>
  <si>
    <t>R. TUNE_BAJO</t>
  </si>
  <si>
    <t>R. YAYA</t>
  </si>
  <si>
    <t>2113 Río Aipe y otros</t>
  </si>
  <si>
    <t>AD 01 PATA</t>
  </si>
  <si>
    <t>AD 02 MAGDALENA</t>
  </si>
  <si>
    <t>AD 02 PATA</t>
  </si>
  <si>
    <t>AD 03 MAGDALENA</t>
  </si>
  <si>
    <t>AD 03 PATA</t>
  </si>
  <si>
    <t>AD 04 PATA</t>
  </si>
  <si>
    <t>AD 05 PATA</t>
  </si>
  <si>
    <t>AD 06 PATA</t>
  </si>
  <si>
    <t>AD 07 PATA</t>
  </si>
  <si>
    <t>AD 08 PATA</t>
  </si>
  <si>
    <t>AD 09 PATA</t>
  </si>
  <si>
    <t>Q. AGUACHE</t>
  </si>
  <si>
    <t>Q. AGUADULCE AIPE</t>
  </si>
  <si>
    <t>Q. AIPECITO</t>
  </si>
  <si>
    <t>Q. ARENOSO_AIPE</t>
  </si>
  <si>
    <t>Q. BAMBUCA</t>
  </si>
  <si>
    <t>Q. BUENAVAQUERA</t>
  </si>
  <si>
    <t>Q. BUENOS AIRES</t>
  </si>
  <si>
    <t>Q. CARBONERA</t>
  </si>
  <si>
    <t>Q. EL CHOCHO</t>
  </si>
  <si>
    <t>Q. EL CONEJO-NEIVA</t>
  </si>
  <si>
    <t>Q. EL TAMBO</t>
  </si>
  <si>
    <t>Q. GUAYABERO</t>
  </si>
  <si>
    <t>Q. GUAYOCO</t>
  </si>
  <si>
    <t>Q. JERONIMO</t>
  </si>
  <si>
    <t>Q. LA PUERTA</t>
  </si>
  <si>
    <t>Q. LA SARDINA-NEIVA</t>
  </si>
  <si>
    <t>Q. LA TAMBILLA</t>
  </si>
  <si>
    <t>Q. LAS PAVAS</t>
  </si>
  <si>
    <t>Q. LOS NARANJOS-AIPE</t>
  </si>
  <si>
    <t>Q. LOS ORGANOS</t>
  </si>
  <si>
    <t>Q. MANGAS</t>
  </si>
  <si>
    <t>Q. MIEL DE ABEJAS</t>
  </si>
  <si>
    <t>Q. MUCHUBI</t>
  </si>
  <si>
    <t>Q. PENALISA</t>
  </si>
  <si>
    <t>Q. PIPILICUA</t>
  </si>
  <si>
    <t>Q. SAN FRANCISCO_AIPE</t>
  </si>
  <si>
    <t>Q. TAMBILLA</t>
  </si>
  <si>
    <t>Q. TINAIL</t>
  </si>
  <si>
    <t>Q. UCAUCA</t>
  </si>
  <si>
    <t>Q. YEGUERA</t>
  </si>
  <si>
    <t>Q.SAN GIL</t>
  </si>
  <si>
    <t>R. AIPE</t>
  </si>
  <si>
    <t>R. CACHICHI</t>
  </si>
  <si>
    <t>2114 Río Cabrera</t>
  </si>
  <si>
    <t>AD 01 CABRERA</t>
  </si>
  <si>
    <t>AD 02 CABRERA</t>
  </si>
  <si>
    <t>AD 03 CABRERA</t>
  </si>
  <si>
    <t>AD 04 CABRERA</t>
  </si>
  <si>
    <t>AD 05 CABRERA</t>
  </si>
  <si>
    <t>AD 06 CABRERA</t>
  </si>
  <si>
    <t>Q. ARIARI</t>
  </si>
  <si>
    <t>Q. EL CONEJO-COLOMBIA</t>
  </si>
  <si>
    <t>Q. EL HACHE</t>
  </si>
  <si>
    <t>Q. EL SOCORRO</t>
  </si>
  <si>
    <t>Q. LA ARENOSA</t>
  </si>
  <si>
    <t>Q. LA DANTA</t>
  </si>
  <si>
    <t>Q. LA DANTA_2</t>
  </si>
  <si>
    <t>Q. LA GRITERIA</t>
  </si>
  <si>
    <t>Q. LA GUTIERREZ</t>
  </si>
  <si>
    <t>Q. LA LEJIA</t>
  </si>
  <si>
    <t>Q. LA LEJIOSA</t>
  </si>
  <si>
    <t>Q. LA MONTANA</t>
  </si>
  <si>
    <t>Q. LA NEGRA</t>
  </si>
  <si>
    <t>Q. LA NEGRA_2</t>
  </si>
  <si>
    <t>Q. LOS CHORROS</t>
  </si>
  <si>
    <t>Q. LOS NARANJOS-COLOMBIA</t>
  </si>
  <si>
    <t>Q. MALA GANA</t>
  </si>
  <si>
    <t>Q. OCORCO</t>
  </si>
  <si>
    <t>Q. PALMICHAL</t>
  </si>
  <si>
    <t>Q. PRINGAMOSAL</t>
  </si>
  <si>
    <t>Q. PURGATORIO</t>
  </si>
  <si>
    <t>Q. RASPACANILLAS</t>
  </si>
  <si>
    <t>Q. SAN ROQUE</t>
  </si>
  <si>
    <t>R. AMBICA</t>
  </si>
  <si>
    <t>R. BLANCO-BARAYA</t>
  </si>
  <si>
    <t>R. CABRERA_ALTO</t>
  </si>
  <si>
    <t>R. CABRERA_BAJO</t>
  </si>
  <si>
    <t>R. LA CUEVA ALTO</t>
  </si>
  <si>
    <t>R. LA CUEVA BAJO</t>
  </si>
  <si>
    <t>R. RIACHON</t>
  </si>
  <si>
    <t>R. VENADITO</t>
  </si>
  <si>
    <t>R. VENADO</t>
  </si>
  <si>
    <t>17 corrientes</t>
  </si>
  <si>
    <t>AREA EN PISCICULTURA (Ha)</t>
  </si>
  <si>
    <t>1.75 Ha</t>
  </si>
  <si>
    <t>0,69 Ha</t>
  </si>
  <si>
    <t>VICTOR FELIX OSORIO</t>
  </si>
  <si>
    <t>3.0 Ha</t>
  </si>
  <si>
    <t xml:space="preserve">RAMON HENRRY SANCHEZ MENDEZ </t>
  </si>
  <si>
    <t>1,51 Ha</t>
  </si>
  <si>
    <t>INVERSIONES Famor S en C. R.L. HUGO FALLA</t>
  </si>
  <si>
    <t>3,3 Ha</t>
  </si>
  <si>
    <t>Compañia AGROPISCICOLA DEL HUILA</t>
  </si>
  <si>
    <t>2.1 Ha</t>
  </si>
  <si>
    <t>3.9 Ha</t>
  </si>
  <si>
    <t>YEFERSON RENDON</t>
  </si>
  <si>
    <t>0.042 Ha</t>
  </si>
  <si>
    <t>GERMAN LADINO TRUJILLO</t>
  </si>
  <si>
    <t>0.062 Ha</t>
  </si>
  <si>
    <t>HORACIO VALDERRAMA CABRERA</t>
  </si>
  <si>
    <t>0.04 Ha</t>
  </si>
  <si>
    <t>ISISDORO CUELLAR OSORIO</t>
  </si>
  <si>
    <t>1.0 Ha</t>
  </si>
  <si>
    <t>SOCIEDAD INFERCAL S.A</t>
  </si>
  <si>
    <t>0.0055 Ha</t>
  </si>
  <si>
    <t>HORACIO POLANIA URREGO</t>
  </si>
  <si>
    <t>0.0113 Ha</t>
  </si>
  <si>
    <t>INVERSIONES RAMIREZ OLIVEROS</t>
  </si>
  <si>
    <t>0.6 Ha</t>
  </si>
  <si>
    <t>JESUS POLANIA</t>
  </si>
  <si>
    <t>0.025 Ha</t>
  </si>
  <si>
    <t>ADOLFO VIDALES ALDANA</t>
  </si>
  <si>
    <t>0.0017 Ha</t>
  </si>
  <si>
    <t>CESAR AUGUSTO ORREGO VALENCIA Y OTRO</t>
  </si>
  <si>
    <t>0.08 Ha</t>
  </si>
  <si>
    <t>JOSE ANIO GOMEZ HERMIDA</t>
  </si>
  <si>
    <t>ALEXANDER POLANIA TAMAYO</t>
  </si>
  <si>
    <t>0.032 Ha</t>
  </si>
  <si>
    <t>MERCY SANCHEZ OSPINA</t>
  </si>
  <si>
    <t>0.01 Ha</t>
  </si>
  <si>
    <t>INVERSIONES MONROY ATTIA HERMANOS</t>
  </si>
  <si>
    <t>0.0863 Ha</t>
  </si>
  <si>
    <t>MARIA ZILIA LOZANO DE GONSALEZ</t>
  </si>
  <si>
    <t>0.1126 Ha</t>
  </si>
  <si>
    <t>SOCIEDAD INVERSIONES SANTA ISABEL</t>
  </si>
  <si>
    <t>1.14 Ha</t>
  </si>
  <si>
    <t>NELY MORENO</t>
  </si>
  <si>
    <t>0.54 Ha</t>
  </si>
  <si>
    <t>SOCIEDAD AGROPECUARIA SAN FELIPE</t>
  </si>
  <si>
    <t>1.59 Ha</t>
  </si>
  <si>
    <t>3.1 Ha</t>
  </si>
  <si>
    <t>SUCESION ROSANA CONTA DE CASTRO</t>
  </si>
  <si>
    <t>0.0015 Ha</t>
  </si>
  <si>
    <t>BETTY MONETALEGRE URRIAGO</t>
  </si>
  <si>
    <t>MARLENY ALVAREZ RAMIREZ</t>
  </si>
  <si>
    <t>0.00136 Ha</t>
  </si>
  <si>
    <t>INVERSIONES RAMIREZ</t>
  </si>
  <si>
    <t>0.16 Ha</t>
  </si>
  <si>
    <t>SANDRA MARITZA VICTORIA RODRIGUEZ</t>
  </si>
  <si>
    <t>0.163 Ha</t>
  </si>
  <si>
    <t>RICARDO ANDRES BUSTOS VACA</t>
  </si>
  <si>
    <t>0.11Ha</t>
  </si>
  <si>
    <t>GILBERTO VARGAS RAMIREZ</t>
  </si>
  <si>
    <t>0.0160 Ha</t>
  </si>
  <si>
    <t>ARMANDO NARVAES RIVERA</t>
  </si>
  <si>
    <t>0.0029 Ha</t>
  </si>
  <si>
    <t>ALCIBIADES CADENA</t>
  </si>
  <si>
    <t>0.0025 Ha</t>
  </si>
  <si>
    <t>SOCIEDAD MENDEZ ARBOLEDAD Y CIA</t>
  </si>
  <si>
    <t>0.56 Ha</t>
  </si>
  <si>
    <t>HENRRY BARRERA BARAHONA</t>
  </si>
  <si>
    <t>0.196 Ha</t>
  </si>
  <si>
    <t>JORGE CALDERON</t>
  </si>
  <si>
    <t>0.1051 Ha</t>
  </si>
  <si>
    <t>BETTY ZAMBRANO CERQUERA Y OTRO</t>
  </si>
  <si>
    <t>TARQUEÑOS PISCICOLA</t>
  </si>
  <si>
    <t>2.7 Ha</t>
  </si>
  <si>
    <t>0.45 Ha</t>
  </si>
  <si>
    <t>4.03 Ha</t>
  </si>
  <si>
    <t>MARY LUZ SILVA</t>
  </si>
  <si>
    <t>LOS MEDIOS</t>
  </si>
  <si>
    <t>Jorge Andres Luna Chavarro</t>
  </si>
  <si>
    <t>1.5 Ha</t>
  </si>
  <si>
    <t>PISCICOLA PALACIO S.A.S</t>
  </si>
  <si>
    <t>10.0 Ha</t>
  </si>
  <si>
    <t>JOSE MANUEL DUSSAN CARDOZO</t>
  </si>
  <si>
    <t>0.2842 Ha</t>
  </si>
  <si>
    <t>0.9734 Ha</t>
  </si>
  <si>
    <t>1.0985 Ha</t>
  </si>
  <si>
    <t>ORLANDO JAVIER FERRO DUCUARA</t>
  </si>
  <si>
    <t>1.49 Ha</t>
  </si>
  <si>
    <t>PIEDAD CONSTANZA MACIAS TOVAR</t>
  </si>
  <si>
    <t>2.76 Ha</t>
  </si>
  <si>
    <t>JESUS ALBERTO LOPEZ BEDOYA</t>
  </si>
  <si>
    <t>0.24 Ha</t>
  </si>
  <si>
    <t>JOSE NELSON POLANIA TAMAYO</t>
  </si>
  <si>
    <t>0.48 Ha</t>
  </si>
  <si>
    <t>EMGESA S.A. E.S.P.</t>
  </si>
  <si>
    <t>1.88 Ha</t>
  </si>
  <si>
    <t>RODOLFO NAPOLEON MACIAS RAMIREZ</t>
  </si>
  <si>
    <t>3.65 Ha</t>
  </si>
  <si>
    <t>PRISCILA RUBIANO GOMEZ</t>
  </si>
  <si>
    <t>0.47  Ha</t>
  </si>
  <si>
    <t>JAIME TAMAYO MARLES</t>
  </si>
  <si>
    <t>2.0 Ha</t>
  </si>
  <si>
    <t>0.9175 Ha</t>
  </si>
  <si>
    <t>1.0424 Ha</t>
  </si>
  <si>
    <t>0.4021 Ha</t>
  </si>
  <si>
    <t>DORIAN PATRICIA POLANCO CORREA</t>
  </si>
  <si>
    <t>1.3844 Ha</t>
  </si>
  <si>
    <t>ANGELICA PARRA BELTRAN</t>
  </si>
  <si>
    <t>1.0633 Ha</t>
  </si>
  <si>
    <t>PISCICOLA NEW YORK S.A.</t>
  </si>
  <si>
    <t>4.3 Ha</t>
  </si>
  <si>
    <t>FELIX EDUARDO MARTINEZ TRUJILLO</t>
  </si>
  <si>
    <t>0.85 Ha</t>
  </si>
  <si>
    <t>ELISEO TORRES LOPEZ</t>
  </si>
  <si>
    <t>LA NACION MINISTERIO DE DEFENSA NACIONAL</t>
  </si>
  <si>
    <t>0.2490 Ha</t>
  </si>
  <si>
    <t>NESTOR SAMUEL CUELLAR AVILA</t>
  </si>
  <si>
    <t>0.93 Ha</t>
  </si>
  <si>
    <t>RICARDO OLIVEROS ZAMBRANO</t>
  </si>
  <si>
    <t>0.56Ha</t>
  </si>
  <si>
    <t>FEDERICO RAMIREZ SANCHEZ - (COPROPIETARIO DEL 80%)</t>
  </si>
  <si>
    <t>2.03 Ha</t>
  </si>
  <si>
    <t>MARIA ZILIA LOZANO TOVAR</t>
  </si>
  <si>
    <t>0.1 Ha</t>
  </si>
  <si>
    <t>MARIA EUGENIA CORREA PAZ</t>
  </si>
  <si>
    <t>JOSE MARIANO LEITON PATIÑO</t>
  </si>
  <si>
    <t>0.0157 Ha</t>
  </si>
  <si>
    <t>OLGA SOFIA MEDINA OROZCO</t>
  </si>
  <si>
    <t>2.4065 Ha</t>
  </si>
  <si>
    <t>1.8251 Ha</t>
  </si>
  <si>
    <t>0.803 Ha</t>
  </si>
  <si>
    <t>GERARDO TRUJILLO</t>
  </si>
  <si>
    <t>0.003 Ha</t>
  </si>
  <si>
    <t>CESAR AUGUSTO ORREGO VALENCIA</t>
  </si>
  <si>
    <t>ANDEYER PINTO CALDERON</t>
  </si>
  <si>
    <t>MIGUEL ANTONIO OVIEDO PARRA</t>
  </si>
  <si>
    <t>0.1Ha</t>
  </si>
  <si>
    <t>LUZ MARY NIÑO RAMIREZ</t>
  </si>
  <si>
    <t>MARIA RUTH SUAREZ CABRERA</t>
  </si>
  <si>
    <t>JESUS POLO POLANIA</t>
  </si>
  <si>
    <t>MARIA DEL SOCORRO CUELLAR OSORIO</t>
  </si>
  <si>
    <t>0.02 Ha</t>
  </si>
  <si>
    <t>MARIA TERESA PINTO DE VALDERRAMA</t>
  </si>
  <si>
    <t>0.5 Ha</t>
  </si>
  <si>
    <t>ISABEL CRISTINA TOVAR TRUJILLO</t>
  </si>
  <si>
    <t>4.0 Ha</t>
  </si>
  <si>
    <t>0.4 Ha</t>
  </si>
  <si>
    <t>JESUS DAVID MENDEZ RAMOS</t>
  </si>
  <si>
    <t>ADRIANA FRESNEDA RODRIGUEZ</t>
  </si>
  <si>
    <t>0.5611 Ha</t>
  </si>
  <si>
    <t>JOSE ANTONIO GOMEZ HERMIDA</t>
  </si>
  <si>
    <t>0.15Ha</t>
  </si>
  <si>
    <t>0.05 Ha</t>
  </si>
  <si>
    <t>NELLY MORENO MEDINA</t>
  </si>
  <si>
    <t>LUCERO LEIVA RAMOS</t>
  </si>
  <si>
    <t>GLORIA PATRICIA BEDOYA RODRIGUEZ</t>
  </si>
  <si>
    <t>0.17 Ha</t>
  </si>
  <si>
    <t>HECTOR ANGEL POLANCO VIVAS</t>
  </si>
  <si>
    <t>0.13 Ha</t>
  </si>
  <si>
    <t>LILIANA JOVEN RODRIGUEZ</t>
  </si>
  <si>
    <t>0.7 Ha</t>
  </si>
  <si>
    <t>NESTOR BONILLA RAMIREZ</t>
  </si>
  <si>
    <t>JAIRO FERNANDEZ CALDERON</t>
  </si>
  <si>
    <t>FERNANDO MARTINEZ LUGO</t>
  </si>
  <si>
    <t>0.3 Ha</t>
  </si>
  <si>
    <t>CARLA ANDREA NORIEGA MONTEALEGRE</t>
  </si>
  <si>
    <t>0.15 Ha</t>
  </si>
  <si>
    <t>MARIA FERNANDA GOMEZ</t>
  </si>
  <si>
    <t>GUSTAVO ROJAS CARDOSO</t>
  </si>
  <si>
    <t>0.8 Ha</t>
  </si>
  <si>
    <t>MIRIAM RODRIGUEZ DE JOVEN</t>
  </si>
  <si>
    <t>ARMANDO CASTILLO TOVAR</t>
  </si>
  <si>
    <t>0.4053 Ha</t>
  </si>
  <si>
    <t>JOSEFINA ROJAS TRIANA</t>
  </si>
  <si>
    <t>1.25 Ha</t>
  </si>
  <si>
    <t>MARITZABEL HERRERA SIERRA</t>
  </si>
  <si>
    <t>0.07 Ha</t>
  </si>
  <si>
    <t>MARCO TULIO SERRATO TRIANA</t>
  </si>
  <si>
    <t>JOSE DE JESUS SALAS CASTRO</t>
  </si>
  <si>
    <t>4.2 Ha</t>
  </si>
  <si>
    <t>0.010 Ha</t>
  </si>
  <si>
    <t>0.25 Ha</t>
  </si>
  <si>
    <t>LAURA BOTELLO RAMIREZ</t>
  </si>
  <si>
    <t>0.42 Ha</t>
  </si>
  <si>
    <t>EDGAR YESID SANCHEZ TRUJILLO</t>
  </si>
  <si>
    <t>BETTY ZAMBRANO CERQUERA</t>
  </si>
  <si>
    <t>JUAN PABLO SILVA RESTREPO</t>
  </si>
  <si>
    <t>0.45195 Ha</t>
  </si>
  <si>
    <t>1.8 Ha</t>
  </si>
  <si>
    <t>2.3 Ha</t>
  </si>
  <si>
    <t>RAFAEL RAMIREZ OLIVEROS</t>
  </si>
  <si>
    <t>HERMES JIMENEZ ALAVARADO</t>
  </si>
  <si>
    <t>MARY LUZ SILVA-VDA LOS MEDIOS</t>
  </si>
  <si>
    <t>CAMILO RAMIREZ-VEREDA LOS MEDIOS</t>
  </si>
  <si>
    <t>MIGUEL POLO- VEREDA LOS MEDIOS</t>
  </si>
  <si>
    <t>QUIMBO FISH</t>
  </si>
  <si>
    <t>ANTONIO CERON</t>
  </si>
  <si>
    <t>0.01 M2</t>
  </si>
  <si>
    <t>MIGUEL ANGEL CASTRO</t>
  </si>
  <si>
    <t>0.2 Ha</t>
  </si>
  <si>
    <t>ORLANDO CAVIEDES SANABRIA</t>
  </si>
  <si>
    <t>1.42 Ha</t>
  </si>
  <si>
    <t>LUIS FELIPPE CUELLAR OVIEDO</t>
  </si>
  <si>
    <t>FERNANDO RAMIREZ CUELLAR</t>
  </si>
  <si>
    <t>1.7 Ha</t>
  </si>
  <si>
    <t>CASTALIA LTDA</t>
  </si>
  <si>
    <t>5.39 Ha</t>
  </si>
  <si>
    <t>DANIEL RAMIREZ NAVIA</t>
  </si>
  <si>
    <t>3.36 Ha</t>
  </si>
  <si>
    <t>LUZ MARINA SILVA</t>
  </si>
  <si>
    <t>0.18 Ha</t>
  </si>
  <si>
    <t>MARCELO CASTILLO RAMIREZ</t>
  </si>
  <si>
    <t>5.6 Ha</t>
  </si>
  <si>
    <t>FEDERICO RAMIREZ</t>
  </si>
  <si>
    <t>2.5 Ha</t>
  </si>
  <si>
    <t>NICOLAS RAMIREZ</t>
  </si>
  <si>
    <t>2.8 Ha</t>
  </si>
  <si>
    <t>PRISCILA RUBIANO GOMEZ Y GAMALIEL PANTEVIS</t>
  </si>
  <si>
    <t>0.47 Ha</t>
  </si>
  <si>
    <t>MARIA PAULA LUNA CHAVARRO, MARIA ALEJANDRA LUNA CHAVARRO, JORGE LUNA SALGUERO, JORGE ANDRES LUNA CHAVARRO Y FERNANDO RAMIREZ CUEVAS</t>
  </si>
  <si>
    <t>1.5 ha</t>
  </si>
  <si>
    <t>JOSE MANUEL DUSSAN CARDOZO, JORGE LUNA SALGUERO Y FERNANDO RAMIREZ CUEVAS</t>
  </si>
  <si>
    <t>0.74 Ha</t>
  </si>
  <si>
    <t>ISABEL CRISTINA TOVAR TRUJILLO Y LILIANA ANDREA CUENCA TOVAR</t>
  </si>
  <si>
    <t>LUIS KKENETH BERMUDEZ FILBERT</t>
  </si>
  <si>
    <t>SOCIEDAD "AGROPECUARIA RANCHO SANTA BARVARA" S. EN C</t>
  </si>
  <si>
    <t>1.13 Ha</t>
  </si>
  <si>
    <t>ALCIDES PUENTES PUENTES</t>
  </si>
  <si>
    <t>0.005 Ha</t>
  </si>
  <si>
    <t>ADIER CALDERON OCHOA</t>
  </si>
  <si>
    <t>0.9 Ha</t>
  </si>
  <si>
    <t>0.28 Ha</t>
  </si>
  <si>
    <t>YOVANI ROMERO GALEANO, ANGELICA MARIA CASTILLO JIMENEZY ADRIANA FRESNEDA RODRIGUEZ</t>
  </si>
  <si>
    <t>LUIS KENNETH BERMUDEZ FILBERT</t>
  </si>
  <si>
    <t>DEMAS PISCICOLAS - 161</t>
  </si>
  <si>
    <t>PORCENTAJE REPRESENTA FRENTE A CARGA TOTAL</t>
  </si>
  <si>
    <t>PORCENTAJE REPRESENTA FRENTE A CARGA CORRIENTE</t>
  </si>
  <si>
    <t>Cafeteros - Agroindustrial</t>
  </si>
  <si>
    <t>Sector cafetero- Agroindustrial</t>
  </si>
  <si>
    <t>sector cafetero-Agroindustrial</t>
  </si>
  <si>
    <t xml:space="preserve">CORRIENTE CON OBJETIVO DE CALIDAD </t>
  </si>
  <si>
    <t>Total Carga por corriente</t>
  </si>
  <si>
    <t>CARGAS CONTAMINANTES POR SECTOR</t>
  </si>
  <si>
    <t>HOSPITALARIO</t>
  </si>
  <si>
    <t>PLANTAS DE BENEFICIO ANIMAL</t>
  </si>
  <si>
    <t>% REPRESENTA</t>
  </si>
  <si>
    <t>TON/AÑO DBO5</t>
  </si>
  <si>
    <t>TON/AÑO SST</t>
  </si>
  <si>
    <t>KG/AÑO DBO5</t>
  </si>
  <si>
    <t>TRAMO</t>
  </si>
  <si>
    <t>CORRIENTE RECEPTORA CON OBJETIVO DE CALIDAD</t>
  </si>
  <si>
    <t>RÍO MAGDALENA ANTES DESEMBOCADURA QDA ANCAMÚ</t>
  </si>
  <si>
    <t>RÍO MAGDALENA ANTES DESEMBOCADURA RÍO GUARAPAS</t>
  </si>
  <si>
    <t>RÍO MAGDALENA ANTES DE DESEMBOCADURA QDA LA CHORRERA</t>
  </si>
  <si>
    <t>RÍO MAGDALENA ANTES DE DESEMBOCADURA RÍO SOMBRERILLOS</t>
  </si>
  <si>
    <t>RIO GUARAPAS</t>
  </si>
  <si>
    <t>RIO SOMBRERILLOS</t>
  </si>
  <si>
    <t>R. MAGDALENA</t>
  </si>
  <si>
    <t>RÍO MAGDALENA ANTES EMBALSE DE BETANIA</t>
  </si>
  <si>
    <t>R. SUAZA</t>
  </si>
  <si>
    <t>Q. LA YAGUILGA</t>
  </si>
  <si>
    <t>QDA EL HIGADO</t>
  </si>
  <si>
    <t>R. PAEZ</t>
  </si>
  <si>
    <t>RÍO MAGDALENA ANTES NEIVA</t>
  </si>
  <si>
    <t>Q. LA GUANDINOSA</t>
  </si>
  <si>
    <t>R. NEIVA</t>
  </si>
  <si>
    <t>R. FRIO - CAMPOALEGRE</t>
  </si>
  <si>
    <t>R. FRIO - RIVERA</t>
  </si>
  <si>
    <t xml:space="preserve">R. BACHE </t>
  </si>
  <si>
    <t>KG/AÑO SST</t>
  </si>
  <si>
    <t xml:space="preserve">CARGA CONTAMINANTE TRAMOS SIN OBJETIVO DE CALIDAD - 7 TRAMOS </t>
  </si>
  <si>
    <t>PROYECCIÓN DE POBLACIÓN DANE</t>
  </si>
  <si>
    <t>PORCENTAJE PONDERADO</t>
  </si>
  <si>
    <t xml:space="preserve"> Población 2019</t>
  </si>
  <si>
    <t>DBO Kg/año</t>
  </si>
  <si>
    <t>SST Kg - año</t>
  </si>
  <si>
    <t>Isnos</t>
  </si>
  <si>
    <t>Elías</t>
  </si>
  <si>
    <t>TOTAL PROYECCIÓN MUNICIPIOS DEL HUILA</t>
  </si>
  <si>
    <t>DOTACIÓN NETA PROMEDIO</t>
  </si>
  <si>
    <t>Qmed</t>
  </si>
  <si>
    <t>K1</t>
  </si>
  <si>
    <t>QMD</t>
  </si>
  <si>
    <t>K2</t>
  </si>
  <si>
    <t>QMH</t>
  </si>
  <si>
    <t>FACTOR DE RETORNO</t>
  </si>
  <si>
    <t>QAR</t>
  </si>
  <si>
    <t>APORTE PERCÁPITA DBO5</t>
  </si>
  <si>
    <t>CARGA DBO5</t>
  </si>
  <si>
    <t>APORTE PERCÁPITA SST</t>
  </si>
  <si>
    <t>CARGA SST</t>
  </si>
  <si>
    <t>CONCENTRACIÓN - DBO5</t>
  </si>
  <si>
    <t>CONCENTRACIÓN - SST</t>
  </si>
  <si>
    <t>Kg/Hab-día DBO</t>
  </si>
  <si>
    <t>Kg/Hab-día SST</t>
  </si>
  <si>
    <t>Doméstico Urbano</t>
  </si>
  <si>
    <t>Doméstico Rural</t>
  </si>
  <si>
    <t>Domestico Rural</t>
  </si>
  <si>
    <t xml:space="preserve"> Doméstico Urbano</t>
  </si>
  <si>
    <t>Domestico Urbano</t>
  </si>
  <si>
    <t>Dómestico Rural</t>
  </si>
  <si>
    <t>Doméstico Urbano - Salida PTAR</t>
  </si>
  <si>
    <t>Hospital San Antonió de Padua</t>
  </si>
  <si>
    <t xml:space="preserve">Municipio </t>
  </si>
  <si>
    <t>Dóméstico Rural</t>
  </si>
  <si>
    <t>Doméstico Urbano - PTAR</t>
  </si>
  <si>
    <t>ACUÍCOLA</t>
  </si>
  <si>
    <t>RURAL</t>
  </si>
  <si>
    <t>DOMÉSTICO URBANO - RURAL</t>
  </si>
  <si>
    <t>CAFETERO</t>
  </si>
  <si>
    <t>total Tramos sin Objetivo de Calidad</t>
  </si>
  <si>
    <t>15 Corriente Río Frío</t>
  </si>
  <si>
    <t>6 Quebrada el Hígado</t>
  </si>
  <si>
    <t>19 Río Ambicá</t>
  </si>
  <si>
    <t xml:space="preserve"> Río Magdalena Antes Neiva</t>
  </si>
  <si>
    <t>3 Corrriente Que La Chorrera</t>
  </si>
  <si>
    <t>Río Magdalena Antes de desembocadura Río Sombrerillos</t>
  </si>
  <si>
    <t>8 Quebrada Garzón</t>
  </si>
  <si>
    <t>14 Corriente Río Frío Campoalegre</t>
  </si>
  <si>
    <t>10 Quebrada la Guandinosa</t>
  </si>
  <si>
    <t>18 Corriente Río Villavieja</t>
  </si>
  <si>
    <t>16 Corriente Río Magdalena</t>
  </si>
  <si>
    <t>1 Corriente Río Sombrerillos</t>
  </si>
  <si>
    <t>9 Quebrada La Yaguilga</t>
  </si>
  <si>
    <t>Río Magdalena Después Aipe</t>
  </si>
  <si>
    <t>17 Corriente Rio Baché</t>
  </si>
  <si>
    <t>5 Río Timaná</t>
  </si>
  <si>
    <t>12 Embalse de Betania</t>
  </si>
  <si>
    <t>4 Río Magdalena</t>
  </si>
  <si>
    <t>11 Corriente Río Paéz</t>
  </si>
  <si>
    <t>2 Río Guarapas</t>
  </si>
  <si>
    <t>13 Corriente Río Neiva</t>
  </si>
  <si>
    <t>7 Río Suaza</t>
  </si>
  <si>
    <t>Río Magdalena Antes Embalse de Betania</t>
  </si>
  <si>
    <t>Río Magdalena Antes de desembocadura Qda Ancamú</t>
  </si>
  <si>
    <t>Río Magdalena Antes de desembocadura Que La Chorrera</t>
  </si>
  <si>
    <t>Río Magdalena Antes de desembocadura Río Guarapas</t>
  </si>
  <si>
    <t>Vertimiento Municipal - cementerio</t>
  </si>
  <si>
    <t xml:space="preserve"> Vertimiento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</si>
</sst>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0.0"/>
    <numFmt numFmtId="167" formatCode="_-* #,##0\ _€_-;\-* #,##0\ _€_-;_-* &quot;-&quot;??\ _€_-;_-@_-"/>
    <numFmt numFmtId="168" formatCode="_ * #,##0_ ;_ * \-#,##0_ ;_ * &quot;-&quot;??_ ;_ @_ "/>
    <numFmt numFmtId="169" formatCode="_ * #,##0.00_ ;_ * \-#,##0.00_ ;_ * &quot;-&quot;??_ ;_ @_ "/>
    <numFmt numFmtId="170" formatCode="_(* #,##0.0000_);_(* \(#,##0.0000\);_(* &quot;-&quot;??_);_(@_)"/>
    <numFmt numFmtId="171" formatCode="_ * #,##0.000_ ;_ * \-#,##0.000_ ;_ * &quot;-&quot;??_ ;_ @_ "/>
    <numFmt numFmtId="172" formatCode="_ * #,##0.0_ ;_ * \-#,##0.0_ ;_ * &quot;-&quot;??_ ;_ @_ "/>
    <numFmt numFmtId="173" formatCode="_ * #,##0.0000_ ;_ * \-#,##0.0000_ ;_ * &quot;-&quot;??_ ;_ @_ "/>
    <numFmt numFmtId="174" formatCode="_ [$€-2]\ * #,##0.00_ ;_ [$€-2]\ * \-#,##0.00_ ;_ [$€-2]\ * &quot;-&quot;??_ "/>
    <numFmt numFmtId="175" formatCode="#,##0.00;[Red]#,##0.00"/>
    <numFmt numFmtId="176" formatCode="#,##0.0;[Red]#,##0.0"/>
    <numFmt numFmtId="177" formatCode="#,##0.000;[Red]#,##0.000"/>
    <numFmt numFmtId="178" formatCode="0.0;[Red]0.0"/>
    <numFmt numFmtId="179" formatCode="0.000"/>
    <numFmt numFmtId="180" formatCode="#,##0;[Red]#,##0"/>
    <numFmt numFmtId="181" formatCode="0.0%"/>
    <numFmt numFmtId="182" formatCode="0.000%"/>
    <numFmt numFmtId="183" formatCode="0.0000%"/>
    <numFmt numFmtId="184" formatCode="#,##0\ &quot;L/hab-d&quot;"/>
    <numFmt numFmtId="185" formatCode="#,##0.00\ &quot;m3/s&quot;"/>
    <numFmt numFmtId="186" formatCode="#,##0.0\ &quot;g/hab-d&quot;"/>
    <numFmt numFmtId="187" formatCode="#,##0\ &quot;Ton/año&quot;"/>
    <numFmt numFmtId="188" formatCode="#,##0\ &quot;mg/L&quot;"/>
    <numFmt numFmtId="189" formatCode="#,##0\ &quot;Ton/d&quot;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0" fontId="7" fillId="0" borderId="0"/>
    <xf numFmtId="169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5" fillId="0" borderId="0" applyFill="0" applyBorder="0" applyAlignment="0" applyProtection="0"/>
    <xf numFmtId="0" fontId="25" fillId="0" borderId="0"/>
  </cellStyleXfs>
  <cellXfs count="367">
    <xf numFmtId="0" fontId="0" fillId="0" borderId="0" xfId="0"/>
    <xf numFmtId="0" fontId="8" fillId="3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/>
    <xf numFmtId="0" fontId="1" fillId="0" borderId="0" xfId="3" applyFont="1"/>
    <xf numFmtId="0" fontId="1" fillId="0" borderId="0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center"/>
    </xf>
    <xf numFmtId="0" fontId="1" fillId="5" borderId="3" xfId="3" applyFont="1" applyFill="1" applyBorder="1" applyAlignment="1">
      <alignment horizontal="center" vertical="center" wrapText="1"/>
    </xf>
    <xf numFmtId="0" fontId="1" fillId="5" borderId="3" xfId="3" applyFont="1" applyFill="1" applyBorder="1" applyAlignment="1">
      <alignment horizontal="left"/>
    </xf>
    <xf numFmtId="0" fontId="1" fillId="0" borderId="0" xfId="3" applyFont="1" applyFill="1"/>
    <xf numFmtId="0" fontId="1" fillId="0" borderId="0" xfId="3" applyFont="1" applyAlignment="1">
      <alignment horizontal="center" vertical="center" wrapText="1"/>
    </xf>
    <xf numFmtId="0" fontId="1" fillId="0" borderId="1" xfId="3" applyFont="1" applyFill="1" applyBorder="1"/>
    <xf numFmtId="169" fontId="11" fillId="0" borderId="1" xfId="4" applyNumberFormat="1" applyFont="1" applyFill="1" applyBorder="1" applyAlignment="1">
      <alignment horizontal="center" vertical="center" wrapText="1"/>
    </xf>
    <xf numFmtId="168" fontId="2" fillId="0" borderId="1" xfId="4" applyNumberFormat="1" applyFont="1" applyFill="1" applyBorder="1" applyAlignment="1">
      <alignment horizontal="right" vertical="center" wrapText="1"/>
    </xf>
    <xf numFmtId="169" fontId="12" fillId="0" borderId="1" xfId="4" applyNumberFormat="1" applyFont="1" applyFill="1" applyBorder="1" applyAlignment="1">
      <alignment horizontal="center" vertical="center" wrapText="1"/>
    </xf>
    <xf numFmtId="168" fontId="13" fillId="0" borderId="1" xfId="4" applyNumberFormat="1" applyFont="1" applyFill="1" applyBorder="1" applyAlignment="1">
      <alignment horizontal="right" vertical="center" wrapText="1"/>
    </xf>
    <xf numFmtId="0" fontId="2" fillId="0" borderId="1" xfId="3" applyFont="1" applyFill="1" applyBorder="1"/>
    <xf numFmtId="168" fontId="11" fillId="0" borderId="1" xfId="4" applyNumberFormat="1" applyFont="1" applyFill="1" applyBorder="1" applyAlignment="1">
      <alignment vertical="center" wrapText="1"/>
    </xf>
    <xf numFmtId="169" fontId="2" fillId="0" borderId="1" xfId="3" applyNumberFormat="1" applyFont="1" applyFill="1" applyBorder="1"/>
    <xf numFmtId="168" fontId="2" fillId="0" borderId="1" xfId="3" applyNumberFormat="1" applyFont="1" applyFill="1" applyBorder="1"/>
    <xf numFmtId="3" fontId="2" fillId="0" borderId="1" xfId="3" applyNumberFormat="1" applyFont="1" applyFill="1" applyBorder="1"/>
    <xf numFmtId="0" fontId="2" fillId="0" borderId="1" xfId="3" applyFont="1" applyFill="1" applyBorder="1" applyAlignment="1"/>
    <xf numFmtId="0" fontId="2" fillId="0" borderId="1" xfId="3" applyFont="1" applyFill="1" applyBorder="1" applyAlignment="1">
      <alignment vertical="center" wrapText="1"/>
    </xf>
    <xf numFmtId="167" fontId="2" fillId="0" borderId="1" xfId="2" applyNumberFormat="1" applyFont="1" applyFill="1" applyBorder="1" applyAlignment="1">
      <alignment vertical="center" wrapText="1"/>
    </xf>
    <xf numFmtId="172" fontId="12" fillId="0" borderId="1" xfId="4" applyNumberFormat="1" applyFont="1" applyFill="1" applyBorder="1" applyAlignment="1">
      <alignment horizontal="center" vertical="center" wrapText="1"/>
    </xf>
    <xf numFmtId="168" fontId="12" fillId="0" borderId="1" xfId="4" applyNumberFormat="1" applyFont="1" applyFill="1" applyBorder="1" applyAlignment="1">
      <alignment horizontal="center" vertical="center" wrapText="1"/>
    </xf>
    <xf numFmtId="168" fontId="2" fillId="0" borderId="1" xfId="3" applyNumberFormat="1" applyFont="1" applyFill="1" applyBorder="1" applyAlignment="1">
      <alignment horizontal="center"/>
    </xf>
    <xf numFmtId="168" fontId="2" fillId="0" borderId="1" xfId="4" applyNumberFormat="1" applyFont="1" applyFill="1" applyBorder="1" applyAlignment="1">
      <alignment vertical="center" wrapText="1"/>
    </xf>
    <xf numFmtId="3" fontId="5" fillId="0" borderId="1" xfId="3" applyNumberFormat="1" applyFont="1" applyFill="1" applyBorder="1" applyAlignment="1">
      <alignment horizontal="center"/>
    </xf>
    <xf numFmtId="3" fontId="2" fillId="0" borderId="1" xfId="4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15" fillId="8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5" fillId="8" borderId="4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167" fontId="0" fillId="0" borderId="1" xfId="2" applyNumberFormat="1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7" fontId="16" fillId="2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167" fontId="0" fillId="7" borderId="1" xfId="2" applyNumberFormat="1" applyFont="1" applyFill="1" applyBorder="1"/>
    <xf numFmtId="1" fontId="2" fillId="0" borderId="1" xfId="1" applyNumberFormat="1" applyFont="1" applyFill="1" applyBorder="1" applyAlignment="1">
      <alignment horizontal="center" vertical="center" wrapText="1"/>
    </xf>
    <xf numFmtId="168" fontId="18" fillId="0" borderId="4" xfId="3" applyNumberFormat="1" applyFont="1" applyBorder="1"/>
    <xf numFmtId="0" fontId="8" fillId="0" borderId="1" xfId="3" applyFont="1" applyFill="1" applyBorder="1" applyAlignment="1">
      <alignment horizontal="center"/>
    </xf>
    <xf numFmtId="2" fontId="2" fillId="0" borderId="1" xfId="4" applyNumberFormat="1" applyFont="1" applyFill="1" applyBorder="1" applyAlignment="1">
      <alignment horizontal="center" vertical="center" wrapText="1"/>
    </xf>
    <xf numFmtId="171" fontId="12" fillId="0" borderId="1" xfId="4" applyNumberFormat="1" applyFont="1" applyFill="1" applyBorder="1" applyAlignment="1">
      <alignment horizontal="center" vertical="center" wrapText="1"/>
    </xf>
    <xf numFmtId="173" fontId="12" fillId="0" borderId="1" xfId="4" applyNumberFormat="1" applyFont="1" applyFill="1" applyBorder="1" applyAlignment="1">
      <alignment horizontal="center" vertical="center" wrapText="1"/>
    </xf>
    <xf numFmtId="168" fontId="5" fillId="0" borderId="1" xfId="4" applyNumberFormat="1" applyFont="1" applyFill="1" applyBorder="1" applyAlignment="1">
      <alignment horizontal="right" vertical="center" wrapText="1"/>
    </xf>
    <xf numFmtId="3" fontId="18" fillId="0" borderId="0" xfId="3" applyNumberFormat="1" applyFont="1"/>
    <xf numFmtId="168" fontId="18" fillId="0" borderId="0" xfId="3" applyNumberFormat="1" applyFont="1" applyFill="1" applyBorder="1"/>
    <xf numFmtId="0" fontId="17" fillId="0" borderId="0" xfId="3" applyFont="1" applyFill="1" applyBorder="1" applyAlignment="1">
      <alignment horizontal="center"/>
    </xf>
    <xf numFmtId="0" fontId="1" fillId="0" borderId="0" xfId="3" applyFont="1" applyBorder="1"/>
    <xf numFmtId="168" fontId="18" fillId="0" borderId="0" xfId="3" applyNumberFormat="1" applyFont="1" applyBorder="1"/>
    <xf numFmtId="0" fontId="2" fillId="0" borderId="1" xfId="3" applyFont="1" applyFill="1" applyBorder="1" applyAlignment="1">
      <alignment horizontal="center" vertical="center" wrapText="1"/>
    </xf>
    <xf numFmtId="4" fontId="2" fillId="0" borderId="1" xfId="3" applyNumberFormat="1" applyFont="1" applyFill="1" applyBorder="1" applyAlignment="1">
      <alignment horizontal="center"/>
    </xf>
    <xf numFmtId="169" fontId="2" fillId="0" borderId="1" xfId="4" applyNumberFormat="1" applyFont="1" applyFill="1" applyBorder="1" applyAlignment="1">
      <alignment vertical="center" wrapText="1"/>
    </xf>
    <xf numFmtId="172" fontId="2" fillId="0" borderId="1" xfId="3" applyNumberFormat="1" applyFont="1" applyFill="1" applyBorder="1" applyAlignment="1">
      <alignment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1" fontId="11" fillId="0" borderId="1" xfId="1" applyNumberFormat="1" applyFont="1" applyFill="1" applyBorder="1" applyAlignment="1">
      <alignment horizontal="center" vertical="center" wrapText="1"/>
    </xf>
    <xf numFmtId="14" fontId="2" fillId="0" borderId="1" xfId="3" applyNumberFormat="1" applyFont="1" applyFill="1" applyBorder="1" applyAlignment="1">
      <alignment horizontal="center"/>
    </xf>
    <xf numFmtId="14" fontId="2" fillId="0" borderId="1" xfId="3" applyNumberFormat="1" applyFont="1" applyFill="1" applyBorder="1" applyAlignment="1">
      <alignment horizontal="center" vertical="center" wrapText="1"/>
    </xf>
    <xf numFmtId="171" fontId="2" fillId="0" borderId="1" xfId="4" applyNumberFormat="1" applyFont="1" applyFill="1" applyBorder="1" applyAlignment="1">
      <alignment horizontal="center" vertical="center" wrapText="1"/>
    </xf>
    <xf numFmtId="14" fontId="2" fillId="0" borderId="1" xfId="3" applyNumberFormat="1" applyFont="1" applyFill="1" applyBorder="1" applyAlignment="1">
      <alignment horizontal="center" vertical="top" wrapText="1"/>
    </xf>
    <xf numFmtId="176" fontId="2" fillId="0" borderId="1" xfId="4" applyNumberFormat="1" applyFont="1" applyFill="1" applyBorder="1" applyAlignment="1">
      <alignment horizontal="right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3" fontId="2" fillId="0" borderId="0" xfId="3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vertical="center" wrapText="1"/>
    </xf>
    <xf numFmtId="166" fontId="2" fillId="0" borderId="1" xfId="1" applyNumberFormat="1" applyFont="1" applyFill="1" applyBorder="1" applyAlignment="1">
      <alignment vertical="center" wrapText="1"/>
    </xf>
    <xf numFmtId="14" fontId="1" fillId="0" borderId="1" xfId="3" applyNumberFormat="1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179" fontId="2" fillId="0" borderId="1" xfId="4" applyNumberFormat="1" applyFont="1" applyFill="1" applyBorder="1" applyAlignment="1">
      <alignment horizontal="center" vertical="center" wrapText="1"/>
    </xf>
    <xf numFmtId="3" fontId="2" fillId="0" borderId="1" xfId="8" applyNumberFormat="1" applyFont="1" applyFill="1" applyBorder="1" applyAlignment="1">
      <alignment horizontal="center" vertical="top" wrapText="1"/>
    </xf>
    <xf numFmtId="14" fontId="2" fillId="0" borderId="1" xfId="8" applyNumberFormat="1" applyFont="1" applyFill="1" applyBorder="1" applyAlignment="1">
      <alignment horizontal="center" vertical="top" wrapText="1"/>
    </xf>
    <xf numFmtId="3" fontId="2" fillId="0" borderId="1" xfId="3" applyNumberFormat="1" applyFont="1" applyFill="1" applyBorder="1" applyAlignment="1">
      <alignment horizontal="center" wrapText="1"/>
    </xf>
    <xf numFmtId="14" fontId="2" fillId="0" borderId="5" xfId="3" applyNumberFormat="1" applyFont="1" applyFill="1" applyBorder="1" applyAlignment="1">
      <alignment horizontal="center"/>
    </xf>
    <xf numFmtId="169" fontId="2" fillId="0" borderId="1" xfId="3" applyNumberFormat="1" applyFont="1" applyFill="1" applyBorder="1" applyAlignment="1"/>
    <xf numFmtId="41" fontId="2" fillId="0" borderId="1" xfId="12" applyFont="1" applyFill="1" applyBorder="1"/>
    <xf numFmtId="3" fontId="2" fillId="0" borderId="1" xfId="3" applyNumberFormat="1" applyFont="1" applyFill="1" applyBorder="1" applyAlignment="1">
      <alignment horizontal="right"/>
    </xf>
    <xf numFmtId="167" fontId="2" fillId="0" borderId="1" xfId="2" applyNumberFormat="1" applyFont="1" applyFill="1" applyBorder="1" applyAlignment="1">
      <alignment horizontal="center"/>
    </xf>
    <xf numFmtId="3" fontId="2" fillId="0" borderId="1" xfId="3" applyNumberFormat="1" applyFont="1" applyFill="1" applyBorder="1" applyAlignment="1">
      <alignment horizontal="right" vertical="top" wrapText="1"/>
    </xf>
    <xf numFmtId="0" fontId="1" fillId="0" borderId="1" xfId="3" applyFont="1" applyBorder="1" applyAlignment="1">
      <alignment horizontal="center" vertical="center" wrapText="1"/>
    </xf>
    <xf numFmtId="9" fontId="2" fillId="0" borderId="1" xfId="3" applyNumberFormat="1" applyFont="1" applyFill="1" applyBorder="1"/>
    <xf numFmtId="0" fontId="15" fillId="9" borderId="2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horizontal="center" vertical="center" wrapText="1"/>
    </xf>
    <xf numFmtId="0" fontId="15" fillId="9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43" fontId="15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43" fontId="15" fillId="2" borderId="1" xfId="0" applyNumberFormat="1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41" fontId="0" fillId="0" borderId="0" xfId="12" applyFont="1"/>
    <xf numFmtId="4" fontId="15" fillId="0" borderId="6" xfId="0" applyNumberFormat="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wrapText="1"/>
    </xf>
    <xf numFmtId="4" fontId="20" fillId="0" borderId="6" xfId="0" applyNumberFormat="1" applyFont="1" applyBorder="1" applyAlignment="1">
      <alignment horizontal="center" vertical="center" wrapText="1"/>
    </xf>
    <xf numFmtId="4" fontId="15" fillId="6" borderId="6" xfId="0" applyNumberFormat="1" applyFont="1" applyFill="1" applyBorder="1" applyAlignment="1">
      <alignment horizontal="center" vertical="center" wrapText="1"/>
    </xf>
    <xf numFmtId="43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6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43" fontId="15" fillId="0" borderId="1" xfId="0" applyNumberFormat="1" applyFont="1" applyFill="1" applyBorder="1" applyAlignment="1">
      <alignment horizontal="center" vertical="center"/>
    </xf>
    <xf numFmtId="43" fontId="15" fillId="0" borderId="3" xfId="0" applyNumberFormat="1" applyFont="1" applyFill="1" applyBorder="1" applyAlignment="1">
      <alignment horizontal="center" vertical="center"/>
    </xf>
    <xf numFmtId="4" fontId="20" fillId="0" borderId="3" xfId="0" applyNumberFormat="1" applyFont="1" applyBorder="1" applyAlignment="1">
      <alignment horizontal="center" vertical="center" wrapText="1"/>
    </xf>
    <xf numFmtId="43" fontId="15" fillId="0" borderId="1" xfId="0" applyNumberFormat="1" applyFont="1" applyBorder="1" applyAlignment="1">
      <alignment vertical="center"/>
    </xf>
    <xf numFmtId="4" fontId="15" fillId="0" borderId="9" xfId="0" applyNumberFormat="1" applyFont="1" applyBorder="1" applyAlignment="1">
      <alignment horizontal="center" vertical="center" wrapText="1"/>
    </xf>
    <xf numFmtId="4" fontId="20" fillId="0" borderId="9" xfId="0" applyNumberFormat="1" applyFont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/>
    </xf>
    <xf numFmtId="43" fontId="20" fillId="6" borderId="1" xfId="0" applyNumberFormat="1" applyFont="1" applyFill="1" applyBorder="1" applyAlignment="1">
      <alignment horizontal="center" vertical="center"/>
    </xf>
    <xf numFmtId="4" fontId="20" fillId="6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43" fontId="21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 vertical="center" wrapText="1"/>
    </xf>
    <xf numFmtId="43" fontId="22" fillId="10" borderId="1" xfId="0" applyNumberFormat="1" applyFont="1" applyFill="1" applyBorder="1" applyAlignment="1">
      <alignment horizontal="center" vertical="center"/>
    </xf>
    <xf numFmtId="4" fontId="22" fillId="10" borderId="1" xfId="0" applyNumberFormat="1" applyFont="1" applyFill="1" applyBorder="1" applyAlignment="1">
      <alignment horizontal="center" vertical="center"/>
    </xf>
    <xf numFmtId="43" fontId="22" fillId="10" borderId="1" xfId="0" applyNumberFormat="1" applyFont="1" applyFill="1" applyBorder="1" applyAlignment="1">
      <alignment horizontal="center" vertical="center" wrapText="1"/>
    </xf>
    <xf numFmtId="4" fontId="22" fillId="10" borderId="1" xfId="0" applyNumberFormat="1" applyFont="1" applyFill="1" applyBorder="1" applyAlignment="1">
      <alignment horizontal="center" vertical="center" wrapText="1"/>
    </xf>
    <xf numFmtId="43" fontId="22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43" fontId="2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0" fontId="0" fillId="0" borderId="1" xfId="0" applyFont="1" applyBorder="1" applyAlignment="1">
      <alignment vertical="center"/>
    </xf>
    <xf numFmtId="4" fontId="2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22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80" fontId="2" fillId="0" borderId="1" xfId="3" applyNumberFormat="1" applyFont="1" applyFill="1" applyBorder="1" applyAlignment="1">
      <alignment horizontal="right"/>
    </xf>
    <xf numFmtId="4" fontId="15" fillId="2" borderId="6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wrapText="1"/>
    </xf>
    <xf numFmtId="43" fontId="20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172" fontId="2" fillId="0" borderId="1" xfId="4" applyNumberFormat="1" applyFont="1" applyFill="1" applyBorder="1" applyAlignment="1">
      <alignment horizontal="right" vertical="center" wrapText="1"/>
    </xf>
    <xf numFmtId="41" fontId="0" fillId="0" borderId="0" xfId="0" applyNumberFormat="1"/>
    <xf numFmtId="43" fontId="21" fillId="2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3" fontId="22" fillId="11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indent="1"/>
    </xf>
    <xf numFmtId="4" fontId="22" fillId="2" borderId="1" xfId="0" applyNumberFormat="1" applyFont="1" applyFill="1" applyBorder="1" applyAlignment="1">
      <alignment horizontal="center" vertical="center" wrapText="1"/>
    </xf>
    <xf numFmtId="43" fontId="21" fillId="2" borderId="1" xfId="0" applyNumberFormat="1" applyFont="1" applyFill="1" applyBorder="1" applyAlignment="1">
      <alignment horizontal="center"/>
    </xf>
    <xf numFmtId="4" fontId="16" fillId="0" borderId="0" xfId="0" applyNumberFormat="1" applyFont="1"/>
    <xf numFmtId="9" fontId="1" fillId="0" borderId="1" xfId="7" applyFont="1" applyFill="1" applyBorder="1"/>
    <xf numFmtId="10" fontId="1" fillId="0" borderId="1" xfId="7" applyNumberFormat="1" applyFont="1" applyFill="1" applyBorder="1" applyAlignment="1">
      <alignment horizontal="center"/>
    </xf>
    <xf numFmtId="10" fontId="10" fillId="0" borderId="1" xfId="7" applyNumberFormat="1" applyFont="1" applyFill="1" applyBorder="1" applyAlignment="1">
      <alignment horizontal="center"/>
    </xf>
    <xf numFmtId="10" fontId="10" fillId="0" borderId="1" xfId="3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3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7" borderId="1" xfId="0" applyFill="1" applyBorder="1"/>
    <xf numFmtId="0" fontId="0" fillId="0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23" fillId="0" borderId="1" xfId="0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7" fontId="0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1" fillId="0" borderId="1" xfId="3" applyFont="1" applyFill="1" applyBorder="1" applyAlignment="1">
      <alignment horizontal="center"/>
    </xf>
    <xf numFmtId="9" fontId="8" fillId="0" borderId="1" xfId="7" applyFont="1" applyFill="1" applyBorder="1"/>
    <xf numFmtId="181" fontId="1" fillId="0" borderId="1" xfId="7" applyNumberFormat="1" applyFont="1" applyFill="1" applyBorder="1"/>
    <xf numFmtId="10" fontId="1" fillId="0" borderId="1" xfId="7" applyNumberFormat="1" applyFont="1" applyFill="1" applyBorder="1"/>
    <xf numFmtId="182" fontId="1" fillId="0" borderId="1" xfId="7" applyNumberFormat="1" applyFont="1" applyFill="1" applyBorder="1"/>
    <xf numFmtId="183" fontId="1" fillId="0" borderId="1" xfId="7" applyNumberFormat="1" applyFont="1" applyFill="1" applyBorder="1"/>
    <xf numFmtId="168" fontId="1" fillId="0" borderId="1" xfId="3" applyNumberFormat="1" applyFont="1" applyFill="1" applyBorder="1"/>
    <xf numFmtId="181" fontId="8" fillId="0" borderId="1" xfId="7" applyNumberFormat="1" applyFont="1" applyFill="1" applyBorder="1"/>
    <xf numFmtId="181" fontId="1" fillId="0" borderId="1" xfId="3" applyNumberFormat="1" applyFont="1" applyFill="1" applyBorder="1"/>
    <xf numFmtId="0" fontId="8" fillId="0" borderId="1" xfId="3" applyFont="1" applyFill="1" applyBorder="1"/>
    <xf numFmtId="0" fontId="1" fillId="0" borderId="1" xfId="3" applyFont="1" applyFill="1" applyBorder="1" applyAlignment="1">
      <alignment wrapText="1"/>
    </xf>
    <xf numFmtId="3" fontId="1" fillId="0" borderId="1" xfId="3" applyNumberFormat="1" applyFont="1" applyFill="1" applyBorder="1"/>
    <xf numFmtId="168" fontId="1" fillId="0" borderId="6" xfId="3" applyNumberFormat="1" applyFont="1" applyFill="1" applyBorder="1"/>
    <xf numFmtId="0" fontId="1" fillId="0" borderId="0" xfId="3" applyFont="1" applyFill="1" applyBorder="1"/>
    <xf numFmtId="0" fontId="5" fillId="0" borderId="1" xfId="3" applyFont="1" applyFill="1" applyBorder="1"/>
    <xf numFmtId="0" fontId="1" fillId="0" borderId="1" xfId="3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5" fillId="0" borderId="3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169" fontId="2" fillId="0" borderId="1" xfId="4" applyNumberFormat="1" applyFont="1" applyFill="1" applyBorder="1" applyAlignment="1">
      <alignment horizontal="center" vertical="center" wrapText="1"/>
    </xf>
    <xf numFmtId="168" fontId="2" fillId="0" borderId="1" xfId="4" applyNumberFormat="1" applyFont="1" applyFill="1" applyBorder="1" applyAlignment="1">
      <alignment horizontal="center" vertical="center" wrapText="1"/>
    </xf>
    <xf numFmtId="3" fontId="2" fillId="0" borderId="1" xfId="3" applyNumberFormat="1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center" vertical="center" wrapText="1"/>
    </xf>
    <xf numFmtId="3" fontId="2" fillId="0" borderId="1" xfId="3" applyNumberFormat="1" applyFont="1" applyFill="1" applyBorder="1" applyAlignment="1">
      <alignment horizontal="center"/>
    </xf>
    <xf numFmtId="172" fontId="2" fillId="0" borderId="1" xfId="4" applyNumberFormat="1" applyFont="1" applyFill="1" applyBorder="1" applyAlignment="1">
      <alignment horizontal="center" vertical="center" wrapText="1"/>
    </xf>
    <xf numFmtId="14" fontId="2" fillId="0" borderId="4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/>
    </xf>
    <xf numFmtId="0" fontId="10" fillId="0" borderId="1" xfId="3" applyFont="1" applyFill="1" applyBorder="1" applyAlignment="1">
      <alignment horizontal="center" vertical="center" wrapText="1"/>
    </xf>
    <xf numFmtId="3" fontId="13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top" wrapText="1"/>
    </xf>
    <xf numFmtId="3" fontId="2" fillId="0" borderId="1" xfId="3" applyNumberFormat="1" applyFont="1" applyFill="1" applyBorder="1" applyAlignment="1">
      <alignment horizontal="center" vertical="center" wrapText="1"/>
    </xf>
    <xf numFmtId="173" fontId="2" fillId="0" borderId="1" xfId="4" applyNumberFormat="1" applyFont="1" applyFill="1" applyBorder="1" applyAlignment="1">
      <alignment horizontal="center" vertical="center" wrapText="1"/>
    </xf>
    <xf numFmtId="14" fontId="2" fillId="0" borderId="4" xfId="1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41" fontId="0" fillId="0" borderId="1" xfId="12" applyFont="1" applyBorder="1"/>
    <xf numFmtId="4" fontId="1" fillId="0" borderId="2" xfId="8" applyNumberFormat="1" applyFont="1" applyFill="1" applyBorder="1" applyAlignment="1">
      <alignment horizontal="center" vertical="center"/>
    </xf>
    <xf numFmtId="4" fontId="1" fillId="0" borderId="1" xfId="8" applyNumberFormat="1" applyFont="1" applyFill="1" applyBorder="1" applyAlignment="1">
      <alignment horizontal="center" vertical="center"/>
    </xf>
    <xf numFmtId="0" fontId="1" fillId="0" borderId="1" xfId="8" applyFont="1" applyFill="1" applyBorder="1" applyAlignment="1">
      <alignment wrapText="1"/>
    </xf>
    <xf numFmtId="0" fontId="1" fillId="0" borderId="1" xfId="8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8" fillId="0" borderId="1" xfId="8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8" fontId="1" fillId="0" borderId="1" xfId="8" applyNumberFormat="1" applyFont="1" applyFill="1" applyBorder="1"/>
    <xf numFmtId="41" fontId="16" fillId="0" borderId="0" xfId="0" applyNumberFormat="1" applyFont="1"/>
    <xf numFmtId="1" fontId="10" fillId="0" borderId="1" xfId="13" quotePrefix="1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10" fontId="24" fillId="0" borderId="1" xfId="7" applyNumberFormat="1" applyFont="1" applyFill="1" applyBorder="1" applyAlignment="1">
      <alignment horizontal="center" vertical="center" wrapText="1"/>
    </xf>
    <xf numFmtId="3" fontId="10" fillId="12" borderId="1" xfId="13" quotePrefix="1" applyNumberFormat="1" applyFont="1" applyFill="1" applyBorder="1" applyAlignment="1">
      <alignment horizontal="right" vertical="center" wrapText="1"/>
    </xf>
    <xf numFmtId="0" fontId="24" fillId="13" borderId="1" xfId="0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horizontal="left" vertical="center" wrapText="1"/>
    </xf>
    <xf numFmtId="10" fontId="24" fillId="13" borderId="1" xfId="7" applyNumberFormat="1" applyFont="1" applyFill="1" applyBorder="1" applyAlignment="1">
      <alignment horizontal="center" vertical="center" wrapText="1"/>
    </xf>
    <xf numFmtId="41" fontId="16" fillId="0" borderId="1" xfId="12" applyFont="1" applyBorder="1" applyAlignment="1">
      <alignment horizontal="center" vertical="center" wrapText="1"/>
    </xf>
    <xf numFmtId="18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85" fontId="15" fillId="1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85" fontId="26" fillId="12" borderId="1" xfId="0" applyNumberFormat="1" applyFont="1" applyFill="1" applyBorder="1" applyAlignment="1">
      <alignment horizontal="center" vertical="center" wrapText="1"/>
    </xf>
    <xf numFmtId="186" fontId="15" fillId="0" borderId="1" xfId="0" applyNumberFormat="1" applyFont="1" applyBorder="1" applyAlignment="1">
      <alignment horizontal="center" vertical="center" wrapText="1"/>
    </xf>
    <xf numFmtId="187" fontId="27" fillId="0" borderId="1" xfId="0" applyNumberFormat="1" applyFont="1" applyBorder="1" applyAlignment="1">
      <alignment horizontal="center" vertical="center" wrapText="1"/>
    </xf>
    <xf numFmtId="187" fontId="28" fillId="0" borderId="1" xfId="0" applyNumberFormat="1" applyFont="1" applyBorder="1" applyAlignment="1">
      <alignment horizontal="center" vertical="center" wrapText="1"/>
    </xf>
    <xf numFmtId="188" fontId="15" fillId="0" borderId="1" xfId="0" applyNumberFormat="1" applyFont="1" applyBorder="1" applyAlignment="1">
      <alignment horizontal="center" vertical="center" wrapText="1"/>
    </xf>
    <xf numFmtId="187" fontId="26" fillId="0" borderId="1" xfId="0" applyNumberFormat="1" applyFont="1" applyBorder="1" applyAlignment="1">
      <alignment horizontal="center" vertical="center" wrapText="1"/>
    </xf>
    <xf numFmtId="184" fontId="15" fillId="0" borderId="0" xfId="0" applyNumberFormat="1" applyFont="1" applyFill="1" applyBorder="1" applyAlignment="1">
      <alignment horizontal="center" vertical="center" wrapText="1"/>
    </xf>
    <xf numFmtId="189" fontId="26" fillId="0" borderId="1" xfId="0" applyNumberFormat="1" applyFont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wrapText="1"/>
    </xf>
    <xf numFmtId="168" fontId="1" fillId="0" borderId="0" xfId="3" applyNumberFormat="1" applyFont="1" applyFill="1"/>
    <xf numFmtId="0" fontId="8" fillId="0" borderId="1" xfId="3" applyFont="1" applyFill="1" applyBorder="1" applyAlignment="1">
      <alignment wrapText="1"/>
    </xf>
    <xf numFmtId="168" fontId="17" fillId="0" borderId="1" xfId="3" applyNumberFormat="1" applyFont="1" applyFill="1" applyBorder="1"/>
    <xf numFmtId="0" fontId="10" fillId="0" borderId="1" xfId="3" applyFont="1" applyFill="1" applyBorder="1"/>
    <xf numFmtId="168" fontId="10" fillId="0" borderId="1" xfId="3" applyNumberFormat="1" applyFont="1" applyFill="1" applyBorder="1"/>
    <xf numFmtId="0" fontId="5" fillId="0" borderId="0" xfId="3" applyFont="1" applyFill="1" applyBorder="1" applyAlignment="1">
      <alignment horizontal="center"/>
    </xf>
    <xf numFmtId="168" fontId="5" fillId="0" borderId="0" xfId="3" applyNumberFormat="1" applyFont="1" applyFill="1" applyBorder="1"/>
    <xf numFmtId="41" fontId="1" fillId="0" borderId="0" xfId="12" applyFont="1" applyFill="1"/>
    <xf numFmtId="0" fontId="11" fillId="0" borderId="1" xfId="3" applyFont="1" applyFill="1" applyBorder="1" applyAlignment="1">
      <alignment horizontal="center" vertical="center" wrapText="1"/>
    </xf>
    <xf numFmtId="170" fontId="2" fillId="0" borderId="1" xfId="4" applyNumberFormat="1" applyFont="1" applyFill="1" applyBorder="1" applyAlignment="1" applyProtection="1">
      <alignment horizontal="center" vertical="center" wrapText="1"/>
    </xf>
    <xf numFmtId="170" fontId="11" fillId="0" borderId="1" xfId="4" applyNumberFormat="1" applyFont="1" applyFill="1" applyBorder="1" applyAlignment="1" applyProtection="1">
      <alignment horizontal="center" vertical="center" wrapText="1"/>
    </xf>
    <xf numFmtId="169" fontId="2" fillId="0" borderId="1" xfId="4" applyNumberFormat="1" applyFont="1" applyFill="1" applyBorder="1" applyAlignment="1">
      <alignment horizontal="right" vertical="center" wrapText="1"/>
    </xf>
    <xf numFmtId="175" fontId="2" fillId="0" borderId="1" xfId="4" applyNumberFormat="1" applyFont="1" applyFill="1" applyBorder="1" applyAlignment="1">
      <alignment horizontal="right" vertical="center" wrapText="1"/>
    </xf>
    <xf numFmtId="3" fontId="5" fillId="0" borderId="1" xfId="3" applyNumberFormat="1" applyFont="1" applyFill="1" applyBorder="1"/>
    <xf numFmtId="178" fontId="2" fillId="0" borderId="1" xfId="4" applyNumberFormat="1" applyFont="1" applyFill="1" applyBorder="1" applyAlignment="1">
      <alignment horizontal="right" vertical="center" wrapText="1"/>
    </xf>
    <xf numFmtId="167" fontId="2" fillId="0" borderId="1" xfId="3" applyNumberFormat="1" applyFont="1" applyFill="1" applyBorder="1" applyAlignment="1">
      <alignment horizontal="right"/>
    </xf>
    <xf numFmtId="175" fontId="2" fillId="0" borderId="1" xfId="4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178" fontId="2" fillId="0" borderId="1" xfId="4" applyNumberFormat="1" applyFont="1" applyFill="1" applyBorder="1" applyAlignment="1">
      <alignment vertical="center" wrapText="1"/>
    </xf>
    <xf numFmtId="2" fontId="2" fillId="0" borderId="1" xfId="4" applyNumberFormat="1" applyFont="1" applyFill="1" applyBorder="1" applyAlignment="1">
      <alignment vertical="center" wrapText="1"/>
    </xf>
    <xf numFmtId="177" fontId="2" fillId="0" borderId="1" xfId="4" applyNumberFormat="1" applyFont="1" applyFill="1" applyBorder="1" applyAlignment="1">
      <alignment horizontal="right" vertical="center" wrapText="1"/>
    </xf>
    <xf numFmtId="3" fontId="2" fillId="0" borderId="1" xfId="3" applyNumberFormat="1" applyFont="1" applyFill="1" applyBorder="1" applyAlignment="1"/>
    <xf numFmtId="168" fontId="5" fillId="0" borderId="1" xfId="4" applyNumberFormat="1" applyFont="1" applyFill="1" applyBorder="1" applyAlignment="1">
      <alignment vertical="center" wrapText="1"/>
    </xf>
    <xf numFmtId="0" fontId="2" fillId="0" borderId="1" xfId="3" applyFont="1" applyFill="1" applyBorder="1" applyAlignment="1">
      <alignment vertical="top" wrapText="1"/>
    </xf>
    <xf numFmtId="168" fontId="5" fillId="0" borderId="4" xfId="4" applyNumberFormat="1" applyFont="1" applyFill="1" applyBorder="1" applyAlignment="1">
      <alignment horizontal="right" vertical="center" wrapText="1"/>
    </xf>
    <xf numFmtId="0" fontId="1" fillId="8" borderId="1" xfId="8" applyFont="1" applyFill="1" applyBorder="1" applyAlignment="1">
      <alignment wrapText="1"/>
    </xf>
    <xf numFmtId="4" fontId="1" fillId="8" borderId="1" xfId="8" applyNumberFormat="1" applyFont="1" applyFill="1" applyBorder="1" applyAlignment="1">
      <alignment horizontal="center" vertical="center"/>
    </xf>
    <xf numFmtId="4" fontId="1" fillId="8" borderId="2" xfId="8" applyNumberFormat="1" applyFont="1" applyFill="1" applyBorder="1" applyAlignment="1">
      <alignment horizontal="center" vertical="center"/>
    </xf>
    <xf numFmtId="41" fontId="0" fillId="8" borderId="1" xfId="12" applyFont="1" applyFill="1" applyBorder="1"/>
    <xf numFmtId="0" fontId="1" fillId="0" borderId="5" xfId="8" applyFont="1" applyFill="1" applyBorder="1" applyAlignment="1">
      <alignment wrapText="1"/>
    </xf>
    <xf numFmtId="4" fontId="0" fillId="8" borderId="1" xfId="0" applyNumberFormat="1" applyFill="1" applyBorder="1" applyAlignment="1">
      <alignment horizontal="center" vertical="center"/>
    </xf>
    <xf numFmtId="4" fontId="1" fillId="8" borderId="0" xfId="8" applyNumberFormat="1" applyFont="1" applyFill="1" applyBorder="1" applyAlignment="1">
      <alignment horizontal="center" vertical="center"/>
    </xf>
    <xf numFmtId="4" fontId="0" fillId="8" borderId="2" xfId="0" applyNumberFormat="1" applyFill="1" applyBorder="1" applyAlignment="1">
      <alignment horizontal="center" vertical="center"/>
    </xf>
    <xf numFmtId="170" fontId="2" fillId="2" borderId="1" xfId="4" applyNumberFormat="1" applyFont="1" applyFill="1" applyBorder="1" applyAlignment="1" applyProtection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/>
    </xf>
    <xf numFmtId="3" fontId="2" fillId="0" borderId="1" xfId="3" applyNumberFormat="1" applyFont="1" applyFill="1" applyBorder="1" applyAlignment="1">
      <alignment horizontal="center"/>
    </xf>
    <xf numFmtId="169" fontId="2" fillId="0" borderId="1" xfId="4" applyNumberFormat="1" applyFont="1" applyFill="1" applyBorder="1" applyAlignment="1">
      <alignment horizontal="center" vertical="center" wrapText="1"/>
    </xf>
    <xf numFmtId="14" fontId="2" fillId="0" borderId="3" xfId="1" applyNumberFormat="1" applyFont="1" applyFill="1" applyBorder="1" applyAlignment="1">
      <alignment horizontal="center" vertical="center" wrapText="1"/>
    </xf>
    <xf numFmtId="14" fontId="2" fillId="0" borderId="4" xfId="1" applyNumberFormat="1" applyFont="1" applyFill="1" applyBorder="1" applyAlignment="1">
      <alignment horizontal="center" vertical="center" wrapText="1"/>
    </xf>
    <xf numFmtId="14" fontId="2" fillId="0" borderId="3" xfId="3" applyNumberFormat="1" applyFont="1" applyFill="1" applyBorder="1" applyAlignment="1">
      <alignment horizontal="center"/>
    </xf>
    <xf numFmtId="14" fontId="2" fillId="0" borderId="4" xfId="3" applyNumberFormat="1" applyFont="1" applyFill="1" applyBorder="1" applyAlignment="1">
      <alignment horizontal="center"/>
    </xf>
    <xf numFmtId="14" fontId="2" fillId="0" borderId="5" xfId="1" applyNumberFormat="1" applyFont="1" applyFill="1" applyBorder="1" applyAlignment="1">
      <alignment horizontal="center" vertical="center" wrapText="1"/>
    </xf>
    <xf numFmtId="168" fontId="2" fillId="0" borderId="1" xfId="4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top" wrapText="1"/>
    </xf>
    <xf numFmtId="3" fontId="2" fillId="0" borderId="1" xfId="3" applyNumberFormat="1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168" fontId="8" fillId="4" borderId="3" xfId="3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3" fontId="13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170" fontId="2" fillId="0" borderId="1" xfId="4" applyNumberFormat="1" applyFont="1" applyFill="1" applyBorder="1" applyAlignment="1" applyProtection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14" fontId="2" fillId="0" borderId="3" xfId="3" applyNumberFormat="1" applyFont="1" applyFill="1" applyBorder="1" applyAlignment="1">
      <alignment horizontal="center" vertical="center" wrapText="1"/>
    </xf>
    <xf numFmtId="14" fontId="2" fillId="0" borderId="5" xfId="3" applyNumberFormat="1" applyFont="1" applyFill="1" applyBorder="1" applyAlignment="1">
      <alignment horizontal="center" vertical="center" wrapText="1"/>
    </xf>
    <xf numFmtId="14" fontId="2" fillId="0" borderId="4" xfId="3" applyNumberFormat="1" applyFont="1" applyFill="1" applyBorder="1" applyAlignment="1">
      <alignment horizontal="center" vertical="center" wrapText="1"/>
    </xf>
    <xf numFmtId="3" fontId="2" fillId="0" borderId="1" xfId="3" applyNumberFormat="1" applyFont="1" applyFill="1" applyBorder="1" applyAlignment="1">
      <alignment horizontal="center" vertical="top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170" fontId="2" fillId="0" borderId="2" xfId="4" applyNumberFormat="1" applyFont="1" applyFill="1" applyBorder="1" applyAlignment="1" applyProtection="1">
      <alignment horizontal="center" vertical="center" wrapText="1"/>
    </xf>
    <xf numFmtId="170" fontId="2" fillId="0" borderId="6" xfId="4" applyNumberFormat="1" applyFont="1" applyFill="1" applyBorder="1" applyAlignment="1" applyProtection="1">
      <alignment horizontal="center" vertical="center" wrapText="1"/>
    </xf>
    <xf numFmtId="172" fontId="2" fillId="0" borderId="1" xfId="4" applyNumberFormat="1" applyFont="1" applyFill="1" applyBorder="1" applyAlignment="1">
      <alignment horizontal="center" vertical="center" wrapText="1"/>
    </xf>
    <xf numFmtId="173" fontId="2" fillId="0" borderId="1" xfId="4" applyNumberFormat="1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top" wrapText="1"/>
    </xf>
    <xf numFmtId="0" fontId="2" fillId="0" borderId="4" xfId="3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center"/>
    </xf>
    <xf numFmtId="0" fontId="10" fillId="0" borderId="3" xfId="3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 wrapText="1"/>
    </xf>
    <xf numFmtId="1" fontId="10" fillId="0" borderId="2" xfId="13" quotePrefix="1" applyNumberFormat="1" applyFont="1" applyFill="1" applyBorder="1" applyAlignment="1">
      <alignment horizontal="center" vertical="center" wrapText="1"/>
    </xf>
    <xf numFmtId="1" fontId="10" fillId="0" borderId="6" xfId="13" quotePrefix="1" applyNumberFormat="1" applyFont="1" applyFill="1" applyBorder="1" applyAlignment="1">
      <alignment horizontal="center" vertical="center" wrapText="1"/>
    </xf>
    <xf numFmtId="0" fontId="10" fillId="0" borderId="1" xfId="14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7" fontId="0" fillId="0" borderId="3" xfId="2" applyNumberFormat="1" applyFont="1" applyBorder="1" applyAlignment="1">
      <alignment horizontal="center" vertical="center"/>
    </xf>
    <xf numFmtId="167" fontId="0" fillId="0" borderId="5" xfId="2" applyNumberFormat="1" applyFont="1" applyBorder="1" applyAlignment="1">
      <alignment horizontal="center" vertical="center"/>
    </xf>
    <xf numFmtId="167" fontId="0" fillId="0" borderId="4" xfId="2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23" fillId="0" borderId="1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3" fillId="0" borderId="3" xfId="0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7" borderId="3" xfId="0" applyFill="1" applyBorder="1" applyAlignment="1">
      <alignment horizontal="left" wrapText="1"/>
    </xf>
    <xf numFmtId="0" fontId="0" fillId="7" borderId="5" xfId="0" applyFill="1" applyBorder="1" applyAlignment="1">
      <alignment horizontal="left" wrapText="1"/>
    </xf>
    <xf numFmtId="0" fontId="0" fillId="7" borderId="4" xfId="0" applyFill="1" applyBorder="1" applyAlignment="1">
      <alignment horizontal="left" wrapText="1"/>
    </xf>
    <xf numFmtId="0" fontId="0" fillId="7" borderId="3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15">
    <cellStyle name="Euro" xfId="5"/>
    <cellStyle name="Millares" xfId="2" builtinId="3"/>
    <cellStyle name="Millares [0]" xfId="12" builtinId="6"/>
    <cellStyle name="Millares 2" xfId="4"/>
    <cellStyle name="Millares 2 2" xfId="9"/>
    <cellStyle name="Millares 3" xfId="6"/>
    <cellStyle name="Millares 4" xfId="11"/>
    <cellStyle name="Normal" xfId="0" builtinId="0"/>
    <cellStyle name="Normal 2" xfId="1"/>
    <cellStyle name="Normal 3" xfId="3"/>
    <cellStyle name="Normal 3 2" xfId="8"/>
    <cellStyle name="Normal_Censos 1951-1993" xfId="13"/>
    <cellStyle name="Normal_Modelos Fórmula Rafael Aj2a" xfId="14"/>
    <cellStyle name="Porcentaje" xfId="7" builtinId="5"/>
    <cellStyle name="Porcentaje 2" xfId="10"/>
  </cellStyles>
  <dxfs count="3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Carga</a:t>
            </a:r>
            <a:r>
              <a:rPr lang="es-CO" baseline="0"/>
              <a:t> Contaminante DBO y SST por Corriente con Objetivo de Calidad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'L_BASE_DE CONTAMINACION2018'!$AE$9</c:f>
              <c:strCache>
                <c:ptCount val="1"/>
                <c:pt idx="0">
                  <c:v> Kg DBO5 / año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'L_BASE_DE CONTAMINACION2018'!$AD$10:$AD$25</c:f>
              <c:strCache>
                <c:ptCount val="16"/>
                <c:pt idx="0">
                  <c:v>1 Subtotal  Corriente Río Sombrerillos</c:v>
                </c:pt>
                <c:pt idx="1">
                  <c:v>2 Subtotal Corriente Río Guarapas</c:v>
                </c:pt>
                <c:pt idx="2">
                  <c:v>3 Subtotal Corrriente Que La Chorrera</c:v>
                </c:pt>
                <c:pt idx="3">
                  <c:v>4 Subtotal Río Magdalena</c:v>
                </c:pt>
                <c:pt idx="4">
                  <c:v>5 Subtotal Río Timaná</c:v>
                </c:pt>
                <c:pt idx="5">
                  <c:v>6 Subtotal Quebrada el Hígado</c:v>
                </c:pt>
                <c:pt idx="6">
                  <c:v>7 Subtotal Río Suaza</c:v>
                </c:pt>
                <c:pt idx="7">
                  <c:v>11 Subtotal Corriente Río Paéz</c:v>
                </c:pt>
                <c:pt idx="8">
                  <c:v>12 Subtotal Embalse de Betania</c:v>
                </c:pt>
                <c:pt idx="9">
                  <c:v>13 Subtotal Corriente Río Neiva</c:v>
                </c:pt>
                <c:pt idx="10">
                  <c:v>14 Subtotal Corriente Río Frío Campoalegre</c:v>
                </c:pt>
                <c:pt idx="11">
                  <c:v>15 Subtotal Corriente Río Frío</c:v>
                </c:pt>
                <c:pt idx="12">
                  <c:v>16 Subtotal Corriente Río Magdalena</c:v>
                </c:pt>
                <c:pt idx="13">
                  <c:v>17 Subtotal Corriente Rio Baché</c:v>
                </c:pt>
                <c:pt idx="14">
                  <c:v>18 Subtotal Corriente Río Villavieja</c:v>
                </c:pt>
                <c:pt idx="15">
                  <c:v>19 Subtotal Río Ambicá</c:v>
                </c:pt>
              </c:strCache>
            </c:strRef>
          </c:cat>
          <c:val>
            <c:numRef>
              <c:f>'L_BASE_DE CONTAMINACION2018'!$AE$10:$AE$25</c:f>
              <c:numCache>
                <c:formatCode>_ * #,##0_ ;_ * \-#,##0_ ;_ * "-"??_ ;_ @_ </c:formatCode>
                <c:ptCount val="16"/>
                <c:pt idx="0">
                  <c:v>383459.50627212104</c:v>
                </c:pt>
                <c:pt idx="1">
                  <c:v>1232428.841941464</c:v>
                </c:pt>
                <c:pt idx="2" formatCode="#,##0">
                  <c:v>393063.01929085603</c:v>
                </c:pt>
                <c:pt idx="3">
                  <c:v>604002.93155499664</c:v>
                </c:pt>
                <c:pt idx="4" formatCode="#,##0">
                  <c:v>212918.17426120321</c:v>
                </c:pt>
                <c:pt idx="5" formatCode="#,##0">
                  <c:v>408533.02118575765</c:v>
                </c:pt>
                <c:pt idx="6">
                  <c:v>1313077.760715961</c:v>
                </c:pt>
                <c:pt idx="7">
                  <c:v>1415540.8243507913</c:v>
                </c:pt>
                <c:pt idx="8">
                  <c:v>871461.89885040501</c:v>
                </c:pt>
                <c:pt idx="9">
                  <c:v>853727.07535628323</c:v>
                </c:pt>
                <c:pt idx="10">
                  <c:v>971917.22822215641</c:v>
                </c:pt>
                <c:pt idx="11">
                  <c:v>1616778.2358493763</c:v>
                </c:pt>
                <c:pt idx="12">
                  <c:v>6472449.808628276</c:v>
                </c:pt>
                <c:pt idx="13">
                  <c:v>2450721.0159516693</c:v>
                </c:pt>
                <c:pt idx="14">
                  <c:v>2826532.1050333986</c:v>
                </c:pt>
                <c:pt idx="15">
                  <c:v>3309412.0438886108</c:v>
                </c:pt>
              </c:numCache>
            </c:numRef>
          </c:val>
        </c:ser>
        <c:ser>
          <c:idx val="1"/>
          <c:order val="1"/>
          <c:tx>
            <c:strRef>
              <c:f>'L_BASE_DE CONTAMINACION2018'!$AF$9</c:f>
              <c:strCache>
                <c:ptCount val="1"/>
                <c:pt idx="0">
                  <c:v>Kg SST / año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'L_BASE_DE CONTAMINACION2018'!$AD$10:$AD$25</c:f>
              <c:strCache>
                <c:ptCount val="16"/>
                <c:pt idx="0">
                  <c:v>1 Subtotal  Corriente Río Sombrerillos</c:v>
                </c:pt>
                <c:pt idx="1">
                  <c:v>2 Subtotal Corriente Río Guarapas</c:v>
                </c:pt>
                <c:pt idx="2">
                  <c:v>3 Subtotal Corrriente Que La Chorrera</c:v>
                </c:pt>
                <c:pt idx="3">
                  <c:v>4 Subtotal Río Magdalena</c:v>
                </c:pt>
                <c:pt idx="4">
                  <c:v>5 Subtotal Río Timaná</c:v>
                </c:pt>
                <c:pt idx="5">
                  <c:v>6 Subtotal Quebrada el Hígado</c:v>
                </c:pt>
                <c:pt idx="6">
                  <c:v>7 Subtotal Río Suaza</c:v>
                </c:pt>
                <c:pt idx="7">
                  <c:v>11 Subtotal Corriente Río Paéz</c:v>
                </c:pt>
                <c:pt idx="8">
                  <c:v>12 Subtotal Embalse de Betania</c:v>
                </c:pt>
                <c:pt idx="9">
                  <c:v>13 Subtotal Corriente Río Neiva</c:v>
                </c:pt>
                <c:pt idx="10">
                  <c:v>14 Subtotal Corriente Río Frío Campoalegre</c:v>
                </c:pt>
                <c:pt idx="11">
                  <c:v>15 Subtotal Corriente Río Frío</c:v>
                </c:pt>
                <c:pt idx="12">
                  <c:v>16 Subtotal Corriente Río Magdalena</c:v>
                </c:pt>
                <c:pt idx="13">
                  <c:v>17 Subtotal Corriente Rio Baché</c:v>
                </c:pt>
                <c:pt idx="14">
                  <c:v>18 Subtotal Corriente Río Villavieja</c:v>
                </c:pt>
                <c:pt idx="15">
                  <c:v>19 Subtotal Río Ambicá</c:v>
                </c:pt>
              </c:strCache>
            </c:strRef>
          </c:cat>
          <c:val>
            <c:numRef>
              <c:f>'L_BASE_DE CONTAMINACION2018'!$AF$10:$AF$25</c:f>
              <c:numCache>
                <c:formatCode>_ * #,##0_ ;_ * \-#,##0_ ;_ * "-"??_ ;_ @_ </c:formatCode>
                <c:ptCount val="16"/>
                <c:pt idx="0">
                  <c:v>358360.33159500896</c:v>
                </c:pt>
                <c:pt idx="1">
                  <c:v>2590238.3796788547</c:v>
                </c:pt>
                <c:pt idx="2" formatCode="#,##0">
                  <c:v>346599.44432154333</c:v>
                </c:pt>
                <c:pt idx="3">
                  <c:v>467413.27044746198</c:v>
                </c:pt>
                <c:pt idx="4" formatCode="#,##0">
                  <c:v>239889.40785582399</c:v>
                </c:pt>
                <c:pt idx="5" formatCode="#,##0">
                  <c:v>251396.02713620476</c:v>
                </c:pt>
                <c:pt idx="6">
                  <c:v>1253685.8501102878</c:v>
                </c:pt>
                <c:pt idx="7">
                  <c:v>1121980.7394763015</c:v>
                </c:pt>
                <c:pt idx="8">
                  <c:v>460443.75975079217</c:v>
                </c:pt>
                <c:pt idx="9">
                  <c:v>431725.25371134718</c:v>
                </c:pt>
                <c:pt idx="10">
                  <c:v>408746.72728027124</c:v>
                </c:pt>
                <c:pt idx="11">
                  <c:v>801995.64594189229</c:v>
                </c:pt>
                <c:pt idx="12">
                  <c:v>6511583.8130271928</c:v>
                </c:pt>
                <c:pt idx="13">
                  <c:v>1002132.9315399143</c:v>
                </c:pt>
                <c:pt idx="14">
                  <c:v>942337.04262983333</c:v>
                </c:pt>
                <c:pt idx="15">
                  <c:v>1027339.2581574795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14760208"/>
        <c:axId val="1314573680"/>
      </c:barChart>
      <c:catAx>
        <c:axId val="1314760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4573680"/>
        <c:crosses val="autoZero"/>
        <c:auto val="1"/>
        <c:lblAlgn val="ctr"/>
        <c:lblOffset val="100"/>
        <c:noMultiLvlLbl val="0"/>
      </c:catAx>
      <c:valAx>
        <c:axId val="131457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476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CARGA</a:t>
            </a:r>
            <a:r>
              <a:rPr lang="es-CO" baseline="0"/>
              <a:t> CONTAMINANTE DBO Y SST POR SECTOR 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'L_BASE_DE CONTAMINACION2018'!$AE$54</c:f>
              <c:strCache>
                <c:ptCount val="1"/>
                <c:pt idx="0">
                  <c:v> Kg DBO5 / año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'L_BASE_DE CONTAMINACION2018'!$AD$55:$AD$60</c:f>
              <c:strCache>
                <c:ptCount val="6"/>
                <c:pt idx="0">
                  <c:v>DOMÉSTICO URBANO - RURAL</c:v>
                </c:pt>
                <c:pt idx="1">
                  <c:v>CAFETERO</c:v>
                </c:pt>
                <c:pt idx="2">
                  <c:v>ACUÍCOLA</c:v>
                </c:pt>
                <c:pt idx="3">
                  <c:v>INDUSTRIAL</c:v>
                </c:pt>
                <c:pt idx="4">
                  <c:v>PLANTAS DE BENEFICIO ANIMAL</c:v>
                </c:pt>
                <c:pt idx="5">
                  <c:v>HOSPITALARIO</c:v>
                </c:pt>
              </c:strCache>
            </c:strRef>
          </c:cat>
          <c:val>
            <c:numRef>
              <c:f>'L_BASE_DE CONTAMINACION2018'!$AE$55:$AE$60</c:f>
              <c:numCache>
                <c:formatCode>_ * #,##0_ ;_ * \-#,##0_ ;_ * "-"??_ ;_ @_ </c:formatCode>
                <c:ptCount val="6"/>
                <c:pt idx="0">
                  <c:v>13998436.837019525</c:v>
                </c:pt>
                <c:pt idx="1">
                  <c:v>13988181.547279513</c:v>
                </c:pt>
                <c:pt idx="2">
                  <c:v>305284.99032590399</c:v>
                </c:pt>
                <c:pt idx="3">
                  <c:v>205714.10044799992</c:v>
                </c:pt>
                <c:pt idx="4">
                  <c:v>70949.252794879998</c:v>
                </c:pt>
                <c:pt idx="5">
                  <c:v>2225.5746753599997</c:v>
                </c:pt>
              </c:numCache>
            </c:numRef>
          </c:val>
        </c:ser>
        <c:ser>
          <c:idx val="1"/>
          <c:order val="1"/>
          <c:tx>
            <c:strRef>
              <c:f>'L_BASE_DE CONTAMINACION2018'!$AF$54</c:f>
              <c:strCache>
                <c:ptCount val="1"/>
                <c:pt idx="0">
                  <c:v>Kg SST / año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'L_BASE_DE CONTAMINACION2018'!$AD$55:$AD$60</c:f>
              <c:strCache>
                <c:ptCount val="6"/>
                <c:pt idx="0">
                  <c:v>DOMÉSTICO URBANO - RURAL</c:v>
                </c:pt>
                <c:pt idx="1">
                  <c:v>CAFETERO</c:v>
                </c:pt>
                <c:pt idx="2">
                  <c:v>ACUÍCOLA</c:v>
                </c:pt>
                <c:pt idx="3">
                  <c:v>INDUSTRIAL</c:v>
                </c:pt>
                <c:pt idx="4">
                  <c:v>PLANTAS DE BENEFICIO ANIMAL</c:v>
                </c:pt>
                <c:pt idx="5">
                  <c:v>HOSPITALARIO</c:v>
                </c:pt>
              </c:strCache>
            </c:strRef>
          </c:cat>
          <c:val>
            <c:numRef>
              <c:f>'L_BASE_DE CONTAMINACION2018'!$AF$55:$AF$60</c:f>
              <c:numCache>
                <c:formatCode>_ * #,##0_ ;_ * \-#,##0_ ;_ * "-"??_ ;_ @_ </c:formatCode>
                <c:ptCount val="6"/>
                <c:pt idx="0">
                  <c:v>16258969.271616446</c:v>
                </c:pt>
                <c:pt idx="1">
                  <c:v>3856346.5816530283</c:v>
                </c:pt>
                <c:pt idx="2">
                  <c:v>3123633.0676881601</c:v>
                </c:pt>
                <c:pt idx="3">
                  <c:v>329429.74645440001</c:v>
                </c:pt>
                <c:pt idx="4">
                  <c:v>43618.290143999999</c:v>
                </c:pt>
                <c:pt idx="5">
                  <c:v>964.71777600000007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7478992"/>
        <c:axId val="1314460480"/>
        <c:axId val="0"/>
      </c:bar3DChart>
      <c:catAx>
        <c:axId val="107747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4460480"/>
        <c:crosses val="autoZero"/>
        <c:auto val="1"/>
        <c:lblAlgn val="ctr"/>
        <c:lblOffset val="100"/>
        <c:noMultiLvlLbl val="0"/>
      </c:catAx>
      <c:valAx>
        <c:axId val="131446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747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CARGAS</a:t>
            </a:r>
            <a:r>
              <a:rPr lang="es-CO" baseline="0"/>
              <a:t> CONTAMINANTES DBO Y SST SECTOR CAFETERO 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'Resumen cargas Cafeteros'!$C$1</c:f>
              <c:strCache>
                <c:ptCount val="1"/>
                <c:pt idx="0">
                  <c:v>TON/AÑO DBO5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'Resumen cargas Cafeteros'!$B$2:$B$27</c:f>
              <c:strCache>
                <c:ptCount val="26"/>
                <c:pt idx="0">
                  <c:v>15 Corriente Río Frío</c:v>
                </c:pt>
                <c:pt idx="1">
                  <c:v>6 Quebrada el Hígado</c:v>
                </c:pt>
                <c:pt idx="2">
                  <c:v>19 Río Ambicá</c:v>
                </c:pt>
                <c:pt idx="3">
                  <c:v> Río Magdalena Antes Neiva</c:v>
                </c:pt>
                <c:pt idx="4">
                  <c:v>3 Corrriente Que La Chorrera</c:v>
                </c:pt>
                <c:pt idx="5">
                  <c:v>Río Magdalena Antes de desembocadura Que La Chorrera</c:v>
                </c:pt>
                <c:pt idx="6">
                  <c:v>Río Magdalena Antes de desembocadura Río Sombrerillos</c:v>
                </c:pt>
                <c:pt idx="7">
                  <c:v>8 Quebrada Garzón</c:v>
                </c:pt>
                <c:pt idx="8">
                  <c:v>14 Corriente Río Frío Campoalegre</c:v>
                </c:pt>
                <c:pt idx="9">
                  <c:v>10 Quebrada la Guandinosa</c:v>
                </c:pt>
                <c:pt idx="10">
                  <c:v>18 Corriente Río Villavieja</c:v>
                </c:pt>
                <c:pt idx="11">
                  <c:v>Río Magdalena Antes de desembocadura Río Guarapas</c:v>
                </c:pt>
                <c:pt idx="12">
                  <c:v>16 Corriente Río Magdalena</c:v>
                </c:pt>
                <c:pt idx="13">
                  <c:v>1 Corriente Río Sombrerillos</c:v>
                </c:pt>
                <c:pt idx="14">
                  <c:v>9 Quebrada La Yaguilga</c:v>
                </c:pt>
                <c:pt idx="15">
                  <c:v>Río Magdalena Después Aipe</c:v>
                </c:pt>
                <c:pt idx="16">
                  <c:v>17 Corriente Rio Baché</c:v>
                </c:pt>
                <c:pt idx="17">
                  <c:v>5 Río Timaná</c:v>
                </c:pt>
                <c:pt idx="18">
                  <c:v>Río Magdalena Antes de desembocadura Qda Ancamú</c:v>
                </c:pt>
                <c:pt idx="19">
                  <c:v>12 Embalse de Betania</c:v>
                </c:pt>
                <c:pt idx="20">
                  <c:v>4 Río Magdalena</c:v>
                </c:pt>
                <c:pt idx="21">
                  <c:v>Río Magdalena Antes Embalse de Betania</c:v>
                </c:pt>
                <c:pt idx="22">
                  <c:v>11 Corriente Río Paéz</c:v>
                </c:pt>
                <c:pt idx="23">
                  <c:v>2 Río Guarapas</c:v>
                </c:pt>
                <c:pt idx="24">
                  <c:v>13 Corriente Río Neiva</c:v>
                </c:pt>
                <c:pt idx="25">
                  <c:v>7 Río Suaza</c:v>
                </c:pt>
              </c:strCache>
            </c:strRef>
          </c:cat>
          <c:val>
            <c:numRef>
              <c:f>'Resumen cargas Cafeteros'!$C$2:$C$27</c:f>
            </c:numRef>
          </c:val>
        </c:ser>
        <c:ser>
          <c:idx val="1"/>
          <c:order val="1"/>
          <c:tx>
            <c:strRef>
              <c:f>'Resumen cargas Cafeteros'!$D$1</c:f>
              <c:strCache>
                <c:ptCount val="1"/>
                <c:pt idx="0">
                  <c:v>TON/AÑO SST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'Resumen cargas Cafeteros'!$B$2:$B$27</c:f>
              <c:strCache>
                <c:ptCount val="26"/>
                <c:pt idx="0">
                  <c:v>15 Corriente Río Frío</c:v>
                </c:pt>
                <c:pt idx="1">
                  <c:v>6 Quebrada el Hígado</c:v>
                </c:pt>
                <c:pt idx="2">
                  <c:v>19 Río Ambicá</c:v>
                </c:pt>
                <c:pt idx="3">
                  <c:v> Río Magdalena Antes Neiva</c:v>
                </c:pt>
                <c:pt idx="4">
                  <c:v>3 Corrriente Que La Chorrera</c:v>
                </c:pt>
                <c:pt idx="5">
                  <c:v>Río Magdalena Antes de desembocadura Que La Chorrera</c:v>
                </c:pt>
                <c:pt idx="6">
                  <c:v>Río Magdalena Antes de desembocadura Río Sombrerillos</c:v>
                </c:pt>
                <c:pt idx="7">
                  <c:v>8 Quebrada Garzón</c:v>
                </c:pt>
                <c:pt idx="8">
                  <c:v>14 Corriente Río Frío Campoalegre</c:v>
                </c:pt>
                <c:pt idx="9">
                  <c:v>10 Quebrada la Guandinosa</c:v>
                </c:pt>
                <c:pt idx="10">
                  <c:v>18 Corriente Río Villavieja</c:v>
                </c:pt>
                <c:pt idx="11">
                  <c:v>Río Magdalena Antes de desembocadura Río Guarapas</c:v>
                </c:pt>
                <c:pt idx="12">
                  <c:v>16 Corriente Río Magdalena</c:v>
                </c:pt>
                <c:pt idx="13">
                  <c:v>1 Corriente Río Sombrerillos</c:v>
                </c:pt>
                <c:pt idx="14">
                  <c:v>9 Quebrada La Yaguilga</c:v>
                </c:pt>
                <c:pt idx="15">
                  <c:v>Río Magdalena Después Aipe</c:v>
                </c:pt>
                <c:pt idx="16">
                  <c:v>17 Corriente Rio Baché</c:v>
                </c:pt>
                <c:pt idx="17">
                  <c:v>5 Río Timaná</c:v>
                </c:pt>
                <c:pt idx="18">
                  <c:v>Río Magdalena Antes de desembocadura Qda Ancamú</c:v>
                </c:pt>
                <c:pt idx="19">
                  <c:v>12 Embalse de Betania</c:v>
                </c:pt>
                <c:pt idx="20">
                  <c:v>4 Río Magdalena</c:v>
                </c:pt>
                <c:pt idx="21">
                  <c:v>Río Magdalena Antes Embalse de Betania</c:v>
                </c:pt>
                <c:pt idx="22">
                  <c:v>11 Corriente Río Paéz</c:v>
                </c:pt>
                <c:pt idx="23">
                  <c:v>2 Río Guarapas</c:v>
                </c:pt>
                <c:pt idx="24">
                  <c:v>13 Corriente Río Neiva</c:v>
                </c:pt>
                <c:pt idx="25">
                  <c:v>7 Río Suaza</c:v>
                </c:pt>
              </c:strCache>
            </c:strRef>
          </c:cat>
          <c:val>
            <c:numRef>
              <c:f>'Resumen cargas Cafeteros'!$D$2:$D$27</c:f>
            </c:numRef>
          </c:val>
        </c:ser>
        <c:ser>
          <c:idx val="2"/>
          <c:order val="2"/>
          <c:tx>
            <c:strRef>
              <c:f>'Resumen cargas Cafeteros'!$E$1</c:f>
              <c:strCache>
                <c:ptCount val="1"/>
                <c:pt idx="0">
                  <c:v>KG/AÑO DBO5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'Resumen cargas Cafeteros'!$B$2:$B$27</c:f>
              <c:strCache>
                <c:ptCount val="26"/>
                <c:pt idx="0">
                  <c:v>15 Corriente Río Frío</c:v>
                </c:pt>
                <c:pt idx="1">
                  <c:v>6 Quebrada el Hígado</c:v>
                </c:pt>
                <c:pt idx="2">
                  <c:v>19 Río Ambicá</c:v>
                </c:pt>
                <c:pt idx="3">
                  <c:v> Río Magdalena Antes Neiva</c:v>
                </c:pt>
                <c:pt idx="4">
                  <c:v>3 Corrriente Que La Chorrera</c:v>
                </c:pt>
                <c:pt idx="5">
                  <c:v>Río Magdalena Antes de desembocadura Que La Chorrera</c:v>
                </c:pt>
                <c:pt idx="6">
                  <c:v>Río Magdalena Antes de desembocadura Río Sombrerillos</c:v>
                </c:pt>
                <c:pt idx="7">
                  <c:v>8 Quebrada Garzón</c:v>
                </c:pt>
                <c:pt idx="8">
                  <c:v>14 Corriente Río Frío Campoalegre</c:v>
                </c:pt>
                <c:pt idx="9">
                  <c:v>10 Quebrada la Guandinosa</c:v>
                </c:pt>
                <c:pt idx="10">
                  <c:v>18 Corriente Río Villavieja</c:v>
                </c:pt>
                <c:pt idx="11">
                  <c:v>Río Magdalena Antes de desembocadura Río Guarapas</c:v>
                </c:pt>
                <c:pt idx="12">
                  <c:v>16 Corriente Río Magdalena</c:v>
                </c:pt>
                <c:pt idx="13">
                  <c:v>1 Corriente Río Sombrerillos</c:v>
                </c:pt>
                <c:pt idx="14">
                  <c:v>9 Quebrada La Yaguilga</c:v>
                </c:pt>
                <c:pt idx="15">
                  <c:v>Río Magdalena Después Aipe</c:v>
                </c:pt>
                <c:pt idx="16">
                  <c:v>17 Corriente Rio Baché</c:v>
                </c:pt>
                <c:pt idx="17">
                  <c:v>5 Río Timaná</c:v>
                </c:pt>
                <c:pt idx="18">
                  <c:v>Río Magdalena Antes de desembocadura Qda Ancamú</c:v>
                </c:pt>
                <c:pt idx="19">
                  <c:v>12 Embalse de Betania</c:v>
                </c:pt>
                <c:pt idx="20">
                  <c:v>4 Río Magdalena</c:v>
                </c:pt>
                <c:pt idx="21">
                  <c:v>Río Magdalena Antes Embalse de Betania</c:v>
                </c:pt>
                <c:pt idx="22">
                  <c:v>11 Corriente Río Paéz</c:v>
                </c:pt>
                <c:pt idx="23">
                  <c:v>2 Río Guarapas</c:v>
                </c:pt>
                <c:pt idx="24">
                  <c:v>13 Corriente Río Neiva</c:v>
                </c:pt>
                <c:pt idx="25">
                  <c:v>7 Río Suaza</c:v>
                </c:pt>
              </c:strCache>
            </c:strRef>
          </c:cat>
          <c:val>
            <c:numRef>
              <c:f>'Resumen cargas Cafeteros'!$E$2:$E$27</c:f>
              <c:numCache>
                <c:formatCode>_(* #,##0_);_(* \(#,##0\);_(* "-"_);_(@_)</c:formatCode>
                <c:ptCount val="26"/>
                <c:pt idx="0">
                  <c:v>10884.156726849669</c:v>
                </c:pt>
                <c:pt idx="1">
                  <c:v>77155.896004835187</c:v>
                </c:pt>
                <c:pt idx="2">
                  <c:v>104670.47714781662</c:v>
                </c:pt>
                <c:pt idx="3">
                  <c:v>107333.76439492973</c:v>
                </c:pt>
                <c:pt idx="4">
                  <c:v>113331.3579841149</c:v>
                </c:pt>
                <c:pt idx="5">
                  <c:v>123375.64892994241</c:v>
                </c:pt>
                <c:pt idx="6">
                  <c:v>142228.25648364291</c:v>
                </c:pt>
                <c:pt idx="7">
                  <c:v>154112.29114123888</c:v>
                </c:pt>
                <c:pt idx="8">
                  <c:v>56908.469543096769</c:v>
                </c:pt>
                <c:pt idx="9">
                  <c:v>213088.23215827887</c:v>
                </c:pt>
                <c:pt idx="10">
                  <c:v>268830.42270923679</c:v>
                </c:pt>
                <c:pt idx="11">
                  <c:v>278576.74416466296</c:v>
                </c:pt>
                <c:pt idx="12">
                  <c:v>289423.08107145596</c:v>
                </c:pt>
                <c:pt idx="13">
                  <c:v>371779.64171508315</c:v>
                </c:pt>
                <c:pt idx="14">
                  <c:v>375060.18404409743</c:v>
                </c:pt>
                <c:pt idx="15">
                  <c:v>480046.55209791055</c:v>
                </c:pt>
                <c:pt idx="16">
                  <c:v>577754.24043647433</c:v>
                </c:pt>
                <c:pt idx="17">
                  <c:v>595734.11457675521</c:v>
                </c:pt>
                <c:pt idx="18">
                  <c:v>707870.17539754487</c:v>
                </c:pt>
                <c:pt idx="19">
                  <c:v>721910.33124141523</c:v>
                </c:pt>
                <c:pt idx="20">
                  <c:v>924378.28460395581</c:v>
                </c:pt>
                <c:pt idx="21">
                  <c:v>1311238.3092006096</c:v>
                </c:pt>
                <c:pt idx="22">
                  <c:v>2035942.7838592939</c:v>
                </c:pt>
                <c:pt idx="23">
                  <c:v>2396091.5322034652</c:v>
                </c:pt>
                <c:pt idx="24">
                  <c:v>777909.93346426403</c:v>
                </c:pt>
                <c:pt idx="25">
                  <c:v>3109487.5752806845</c:v>
                </c:pt>
              </c:numCache>
            </c:numRef>
          </c:val>
        </c:ser>
        <c:ser>
          <c:idx val="3"/>
          <c:order val="3"/>
          <c:tx>
            <c:strRef>
              <c:f>'Resumen cargas Cafeteros'!$F$1</c:f>
              <c:strCache>
                <c:ptCount val="1"/>
                <c:pt idx="0">
                  <c:v>KG/AÑO SST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'Resumen cargas Cafeteros'!$B$2:$B$27</c:f>
              <c:strCache>
                <c:ptCount val="26"/>
                <c:pt idx="0">
                  <c:v>15 Corriente Río Frío</c:v>
                </c:pt>
                <c:pt idx="1">
                  <c:v>6 Quebrada el Hígado</c:v>
                </c:pt>
                <c:pt idx="2">
                  <c:v>19 Río Ambicá</c:v>
                </c:pt>
                <c:pt idx="3">
                  <c:v> Río Magdalena Antes Neiva</c:v>
                </c:pt>
                <c:pt idx="4">
                  <c:v>3 Corrriente Que La Chorrera</c:v>
                </c:pt>
                <c:pt idx="5">
                  <c:v>Río Magdalena Antes de desembocadura Que La Chorrera</c:v>
                </c:pt>
                <c:pt idx="6">
                  <c:v>Río Magdalena Antes de desembocadura Río Sombrerillos</c:v>
                </c:pt>
                <c:pt idx="7">
                  <c:v>8 Quebrada Garzón</c:v>
                </c:pt>
                <c:pt idx="8">
                  <c:v>14 Corriente Río Frío Campoalegre</c:v>
                </c:pt>
                <c:pt idx="9">
                  <c:v>10 Quebrada la Guandinosa</c:v>
                </c:pt>
                <c:pt idx="10">
                  <c:v>18 Corriente Río Villavieja</c:v>
                </c:pt>
                <c:pt idx="11">
                  <c:v>Río Magdalena Antes de desembocadura Río Guarapas</c:v>
                </c:pt>
                <c:pt idx="12">
                  <c:v>16 Corriente Río Magdalena</c:v>
                </c:pt>
                <c:pt idx="13">
                  <c:v>1 Corriente Río Sombrerillos</c:v>
                </c:pt>
                <c:pt idx="14">
                  <c:v>9 Quebrada La Yaguilga</c:v>
                </c:pt>
                <c:pt idx="15">
                  <c:v>Río Magdalena Después Aipe</c:v>
                </c:pt>
                <c:pt idx="16">
                  <c:v>17 Corriente Rio Baché</c:v>
                </c:pt>
                <c:pt idx="17">
                  <c:v>5 Río Timaná</c:v>
                </c:pt>
                <c:pt idx="18">
                  <c:v>Río Magdalena Antes de desembocadura Qda Ancamú</c:v>
                </c:pt>
                <c:pt idx="19">
                  <c:v>12 Embalse de Betania</c:v>
                </c:pt>
                <c:pt idx="20">
                  <c:v>4 Río Magdalena</c:v>
                </c:pt>
                <c:pt idx="21">
                  <c:v>Río Magdalena Antes Embalse de Betania</c:v>
                </c:pt>
                <c:pt idx="22">
                  <c:v>11 Corriente Río Paéz</c:v>
                </c:pt>
                <c:pt idx="23">
                  <c:v>2 Río Guarapas</c:v>
                </c:pt>
                <c:pt idx="24">
                  <c:v>13 Corriente Río Neiva</c:v>
                </c:pt>
                <c:pt idx="25">
                  <c:v>7 Río Suaza</c:v>
                </c:pt>
              </c:strCache>
            </c:strRef>
          </c:cat>
          <c:val>
            <c:numRef>
              <c:f>'Resumen cargas Cafeteros'!$F$2:$F$27</c:f>
              <c:numCache>
                <c:formatCode>_(* #,##0_);_(* \(#,##0\);_(* "-"_);_(@_)</c:formatCode>
                <c:ptCount val="26"/>
                <c:pt idx="0">
                  <c:v>2968.4063800499098</c:v>
                </c:pt>
                <c:pt idx="1">
                  <c:v>21042.517092227776</c:v>
                </c:pt>
                <c:pt idx="2">
                  <c:v>28546.493767586348</c:v>
                </c:pt>
                <c:pt idx="3">
                  <c:v>29272.844834980839</c:v>
                </c:pt>
                <c:pt idx="4">
                  <c:v>30908.552177485879</c:v>
                </c:pt>
                <c:pt idx="5">
                  <c:v>33647.904253620654</c:v>
                </c:pt>
                <c:pt idx="6">
                  <c:v>38789.524495538986</c:v>
                </c:pt>
                <c:pt idx="7">
                  <c:v>42030.624856701506</c:v>
                </c:pt>
                <c:pt idx="8">
                  <c:v>56908.469543096769</c:v>
                </c:pt>
                <c:pt idx="9">
                  <c:v>58114.972406803325</c:v>
                </c:pt>
                <c:pt idx="10">
                  <c:v>73317.388011610019</c:v>
                </c:pt>
                <c:pt idx="11">
                  <c:v>75975.475681271724</c:v>
                </c:pt>
                <c:pt idx="12">
                  <c:v>78933.567564942525</c:v>
                </c:pt>
                <c:pt idx="13">
                  <c:v>101394.44774047719</c:v>
                </c:pt>
                <c:pt idx="14">
                  <c:v>102289.14110293564</c:v>
                </c:pt>
                <c:pt idx="15">
                  <c:v>130921.78693579382</c:v>
                </c:pt>
                <c:pt idx="16">
                  <c:v>157569.33830085659</c:v>
                </c:pt>
                <c:pt idx="17">
                  <c:v>162472.94033911504</c:v>
                </c:pt>
                <c:pt idx="18">
                  <c:v>193055.50238114852</c:v>
                </c:pt>
                <c:pt idx="19">
                  <c:v>196884.63579311327</c:v>
                </c:pt>
                <c:pt idx="20">
                  <c:v>252103.16852835161</c:v>
                </c:pt>
                <c:pt idx="21">
                  <c:v>357610.44796380255</c:v>
                </c:pt>
                <c:pt idx="22">
                  <c:v>555257.12287071662</c:v>
                </c:pt>
                <c:pt idx="23">
                  <c:v>653479.50878276327</c:v>
                </c:pt>
                <c:pt idx="24">
                  <c:v>212160</c:v>
                </c:pt>
                <c:pt idx="25">
                  <c:v>848042.06598564109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53088720"/>
        <c:axId val="1753091984"/>
        <c:axId val="0"/>
      </c:bar3DChart>
      <c:catAx>
        <c:axId val="175308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3091984"/>
        <c:crosses val="autoZero"/>
        <c:auto val="1"/>
        <c:lblAlgn val="ctr"/>
        <c:lblOffset val="100"/>
        <c:noMultiLvlLbl val="0"/>
      </c:catAx>
      <c:valAx>
        <c:axId val="175309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3088720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23811</xdr:colOff>
      <xdr:row>30</xdr:row>
      <xdr:rowOff>104775</xdr:rowOff>
    </xdr:from>
    <xdr:to>
      <xdr:col>33</xdr:col>
      <xdr:colOff>357186</xdr:colOff>
      <xdr:row>50</xdr:row>
      <xdr:rowOff>166688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688862</xdr:colOff>
      <xdr:row>64</xdr:row>
      <xdr:rowOff>286770</xdr:rowOff>
    </xdr:from>
    <xdr:to>
      <xdr:col>33</xdr:col>
      <xdr:colOff>676956</xdr:colOff>
      <xdr:row>78</xdr:row>
      <xdr:rowOff>141174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90486</xdr:rowOff>
    </xdr:from>
    <xdr:to>
      <xdr:col>15</xdr:col>
      <xdr:colOff>447675</xdr:colOff>
      <xdr:row>22</xdr:row>
      <xdr:rowOff>152399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FORMACION%20CARGAS%20CONTAMINANTES\DOCUMENTOS_REUNION_ENERO\ZULMA%20IMPORTANTE\CONCERTACION%20CAM\INFORMACION%20CARGAS%20CONTAMINANTES\DOCUMENTOS_REUNION_ENERO\Documents%20and%20Settings\Fami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milia%20Ceballos/Mis%20documentos/Diana/b_CAM/monitoreos/monitoreo/ARROZ%20FLOR%20HUILA%20CAMPOALEGRE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1"/>
      <sheetName val="Parámetros2"/>
      <sheetName val="Tasas1"/>
      <sheetName val="DATOS DE CAMPO"/>
      <sheetName val="TABLA1"/>
      <sheetName val="TABLA 2"/>
      <sheetName val="GRAFICA T"/>
      <sheetName val="GRAFICAS PH"/>
      <sheetName val="GRAFICAS CAUDAL"/>
      <sheetName val="graf"/>
      <sheetName val="ANALISIS"/>
      <sheetName val="ta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1"/>
      <sheetName val="Parámetros2"/>
      <sheetName val="Tasas1"/>
      <sheetName val="DATOS DE CAMPO"/>
      <sheetName val="TABLA1"/>
      <sheetName val="TABLA 2"/>
      <sheetName val="GRAFICA T"/>
      <sheetName val="GRAFICAS PH"/>
      <sheetName val="GRAFICAS CAUDAL"/>
      <sheetName val="graf"/>
      <sheetName val="ANALISIS"/>
      <sheetName val="ta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L265"/>
  <sheetViews>
    <sheetView tabSelected="1" topLeftCell="A247" zoomScale="70" zoomScaleNormal="70" zoomScaleSheetLayoutView="70" workbookViewId="0">
      <selection activeCell="A254" sqref="A254:XFD255"/>
    </sheetView>
  </sheetViews>
  <sheetFormatPr baseColWidth="10" defaultRowHeight="12.75" x14ac:dyDescent="0.2"/>
  <cols>
    <col min="1" max="1" width="2.42578125" style="4" customWidth="1"/>
    <col min="2" max="2" width="17.85546875" style="4" customWidth="1"/>
    <col min="3" max="3" width="23.5703125" style="4" hidden="1" customWidth="1"/>
    <col min="4" max="4" width="36.85546875" style="4" customWidth="1"/>
    <col min="5" max="5" width="33" style="4" customWidth="1"/>
    <col min="6" max="6" width="27.5703125" style="4" customWidth="1"/>
    <col min="7" max="7" width="13.42578125" style="4" customWidth="1"/>
    <col min="8" max="8" width="9.85546875" style="4" customWidth="1"/>
    <col min="9" max="9" width="10" style="4" customWidth="1"/>
    <col min="10" max="10" width="24.7109375" style="4" customWidth="1"/>
    <col min="11" max="11" width="11" style="4" customWidth="1"/>
    <col min="12" max="12" width="12.140625" style="4" customWidth="1"/>
    <col min="13" max="14" width="17.85546875" style="4" hidden="1" customWidth="1"/>
    <col min="15" max="15" width="14.42578125" style="4" hidden="1" customWidth="1"/>
    <col min="16" max="17" width="17.85546875" style="4" hidden="1" customWidth="1"/>
    <col min="18" max="18" width="21" style="4" customWidth="1"/>
    <col min="19" max="19" width="20.85546875" style="4" customWidth="1"/>
    <col min="20" max="20" width="17.5703125" style="4" hidden="1" customWidth="1"/>
    <col min="21" max="21" width="17" style="4" hidden="1" customWidth="1"/>
    <col min="22" max="22" width="16.85546875" style="4" hidden="1" customWidth="1"/>
    <col min="23" max="23" width="17.85546875" style="4" hidden="1" customWidth="1"/>
    <col min="24" max="28" width="5.85546875" style="4" customWidth="1"/>
    <col min="29" max="29" width="8.42578125" style="4" customWidth="1"/>
    <col min="30" max="30" width="47.42578125" style="4" customWidth="1"/>
    <col min="31" max="31" width="22.7109375" style="4" customWidth="1"/>
    <col min="32" max="32" width="20" style="4" customWidth="1"/>
    <col min="33" max="33" width="15" style="4" customWidth="1"/>
    <col min="34" max="34" width="14.85546875" style="4" customWidth="1"/>
    <col min="35" max="35" width="12.7109375" style="4" customWidth="1"/>
    <col min="36" max="36" width="11.42578125" style="4"/>
    <col min="37" max="37" width="15.7109375" style="4" customWidth="1"/>
    <col min="38" max="218" width="11.42578125" style="4"/>
    <col min="219" max="219" width="10.42578125" style="4" customWidth="1"/>
    <col min="220" max="220" width="17.7109375" style="4" customWidth="1"/>
    <col min="221" max="221" width="0" style="4" hidden="1" customWidth="1"/>
    <col min="222" max="222" width="23.5703125" style="4" customWidth="1"/>
    <col min="223" max="223" width="25.85546875" style="4" customWidth="1"/>
    <col min="224" max="224" width="44" style="4" customWidth="1"/>
    <col min="225" max="225" width="21.7109375" style="4" customWidth="1"/>
    <col min="226" max="226" width="11.85546875" style="4" customWidth="1"/>
    <col min="227" max="227" width="9.85546875" style="4" customWidth="1"/>
    <col min="228" max="228" width="10" style="4" customWidth="1"/>
    <col min="229" max="229" width="21.140625" style="4" customWidth="1"/>
    <col min="230" max="240" width="0" style="4" hidden="1" customWidth="1"/>
    <col min="241" max="241" width="11.5703125" style="4" customWidth="1"/>
    <col min="242" max="242" width="11" style="4" customWidth="1"/>
    <col min="243" max="243" width="13.140625" style="4" customWidth="1"/>
    <col min="244" max="244" width="13.85546875" style="4" customWidth="1"/>
    <col min="245" max="245" width="13.28515625" style="4" customWidth="1"/>
    <col min="246" max="246" width="16.140625" style="4" customWidth="1"/>
    <col min="247" max="249" width="7.140625" style="4" customWidth="1"/>
    <col min="250" max="250" width="8.5703125" style="4" customWidth="1"/>
    <col min="251" max="251" width="12.42578125" style="4" customWidth="1"/>
    <col min="252" max="252" width="12.7109375" style="4" customWidth="1"/>
    <col min="253" max="253" width="13.85546875" style="4" customWidth="1"/>
    <col min="254" max="254" width="23.28515625" style="4" customWidth="1"/>
    <col min="255" max="255" width="11.5703125" style="4" customWidth="1"/>
    <col min="256" max="256" width="10.140625" style="4" customWidth="1"/>
    <col min="257" max="257" width="10.85546875" style="4" customWidth="1"/>
    <col min="258" max="258" width="12.5703125" style="4" customWidth="1"/>
    <col min="259" max="259" width="14.28515625" style="4" customWidth="1"/>
    <col min="260" max="260" width="12.5703125" style="4" customWidth="1"/>
    <col min="261" max="261" width="17.28515625" style="4" customWidth="1"/>
    <col min="262" max="262" width="18.85546875" style="4" customWidth="1"/>
    <col min="263" max="263" width="15.140625" style="4" customWidth="1"/>
    <col min="264" max="264" width="17.7109375" style="4" customWidth="1"/>
    <col min="265" max="265" width="23.140625" style="4" customWidth="1"/>
    <col min="266" max="266" width="27.42578125" style="4" customWidth="1"/>
    <col min="267" max="267" width="13.28515625" style="4" customWidth="1"/>
    <col min="268" max="268" width="12.7109375" style="4" customWidth="1"/>
    <col min="269" max="269" width="13.85546875" style="4" customWidth="1"/>
    <col min="270" max="278" width="11.42578125" style="4"/>
    <col min="279" max="279" width="14.140625" style="4" customWidth="1"/>
    <col min="280" max="280" width="13.28515625" style="4" customWidth="1"/>
    <col min="281" max="281" width="13.85546875" style="4" customWidth="1"/>
    <col min="282" max="282" width="16.5703125" style="4" customWidth="1"/>
    <col min="283" max="283" width="11.42578125" style="4"/>
    <col min="284" max="284" width="15" style="4" customWidth="1"/>
    <col min="285" max="285" width="14.85546875" style="4" customWidth="1"/>
    <col min="286" max="286" width="12.7109375" style="4" customWidth="1"/>
    <col min="287" max="287" width="11.42578125" style="4"/>
    <col min="288" max="288" width="15.7109375" style="4" customWidth="1"/>
    <col min="289" max="289" width="14.7109375" style="4" customWidth="1"/>
    <col min="290" max="474" width="11.42578125" style="4"/>
    <col min="475" max="475" width="10.42578125" style="4" customWidth="1"/>
    <col min="476" max="476" width="17.7109375" style="4" customWidth="1"/>
    <col min="477" max="477" width="0" style="4" hidden="1" customWidth="1"/>
    <col min="478" max="478" width="23.5703125" style="4" customWidth="1"/>
    <col min="479" max="479" width="25.85546875" style="4" customWidth="1"/>
    <col min="480" max="480" width="44" style="4" customWidth="1"/>
    <col min="481" max="481" width="21.7109375" style="4" customWidth="1"/>
    <col min="482" max="482" width="11.85546875" style="4" customWidth="1"/>
    <col min="483" max="483" width="9.85546875" style="4" customWidth="1"/>
    <col min="484" max="484" width="10" style="4" customWidth="1"/>
    <col min="485" max="485" width="21.140625" style="4" customWidth="1"/>
    <col min="486" max="496" width="0" style="4" hidden="1" customWidth="1"/>
    <col min="497" max="497" width="11.5703125" style="4" customWidth="1"/>
    <col min="498" max="498" width="11" style="4" customWidth="1"/>
    <col min="499" max="499" width="13.140625" style="4" customWidth="1"/>
    <col min="500" max="500" width="13.85546875" style="4" customWidth="1"/>
    <col min="501" max="501" width="13.28515625" style="4" customWidth="1"/>
    <col min="502" max="502" width="16.140625" style="4" customWidth="1"/>
    <col min="503" max="505" width="7.140625" style="4" customWidth="1"/>
    <col min="506" max="506" width="8.5703125" style="4" customWidth="1"/>
    <col min="507" max="507" width="12.42578125" style="4" customWidth="1"/>
    <col min="508" max="508" width="12.7109375" style="4" customWidth="1"/>
    <col min="509" max="509" width="13.85546875" style="4" customWidth="1"/>
    <col min="510" max="510" width="23.28515625" style="4" customWidth="1"/>
    <col min="511" max="511" width="11.5703125" style="4" customWidth="1"/>
    <col min="512" max="512" width="10.140625" style="4" customWidth="1"/>
    <col min="513" max="513" width="10.85546875" style="4" customWidth="1"/>
    <col min="514" max="514" width="12.5703125" style="4" customWidth="1"/>
    <col min="515" max="515" width="14.28515625" style="4" customWidth="1"/>
    <col min="516" max="516" width="12.5703125" style="4" customWidth="1"/>
    <col min="517" max="517" width="17.28515625" style="4" customWidth="1"/>
    <col min="518" max="518" width="18.85546875" style="4" customWidth="1"/>
    <col min="519" max="519" width="15.140625" style="4" customWidth="1"/>
    <col min="520" max="520" width="17.7109375" style="4" customWidth="1"/>
    <col min="521" max="521" width="23.140625" style="4" customWidth="1"/>
    <col min="522" max="522" width="27.42578125" style="4" customWidth="1"/>
    <col min="523" max="523" width="13.28515625" style="4" customWidth="1"/>
    <col min="524" max="524" width="12.7109375" style="4" customWidth="1"/>
    <col min="525" max="525" width="13.85546875" style="4" customWidth="1"/>
    <col min="526" max="534" width="11.42578125" style="4"/>
    <col min="535" max="535" width="14.140625" style="4" customWidth="1"/>
    <col min="536" max="536" width="13.28515625" style="4" customWidth="1"/>
    <col min="537" max="537" width="13.85546875" style="4" customWidth="1"/>
    <col min="538" max="538" width="16.5703125" style="4" customWidth="1"/>
    <col min="539" max="539" width="11.42578125" style="4"/>
    <col min="540" max="540" width="15" style="4" customWidth="1"/>
    <col min="541" max="541" width="14.85546875" style="4" customWidth="1"/>
    <col min="542" max="542" width="12.7109375" style="4" customWidth="1"/>
    <col min="543" max="543" width="11.42578125" style="4"/>
    <col min="544" max="544" width="15.7109375" style="4" customWidth="1"/>
    <col min="545" max="545" width="14.7109375" style="4" customWidth="1"/>
    <col min="546" max="730" width="11.42578125" style="4"/>
    <col min="731" max="731" width="10.42578125" style="4" customWidth="1"/>
    <col min="732" max="732" width="17.7109375" style="4" customWidth="1"/>
    <col min="733" max="733" width="0" style="4" hidden="1" customWidth="1"/>
    <col min="734" max="734" width="23.5703125" style="4" customWidth="1"/>
    <col min="735" max="735" width="25.85546875" style="4" customWidth="1"/>
    <col min="736" max="736" width="44" style="4" customWidth="1"/>
    <col min="737" max="737" width="21.7109375" style="4" customWidth="1"/>
    <col min="738" max="738" width="11.85546875" style="4" customWidth="1"/>
    <col min="739" max="739" width="9.85546875" style="4" customWidth="1"/>
    <col min="740" max="740" width="10" style="4" customWidth="1"/>
    <col min="741" max="741" width="21.140625" style="4" customWidth="1"/>
    <col min="742" max="752" width="0" style="4" hidden="1" customWidth="1"/>
    <col min="753" max="753" width="11.5703125" style="4" customWidth="1"/>
    <col min="754" max="754" width="11" style="4" customWidth="1"/>
    <col min="755" max="755" width="13.140625" style="4" customWidth="1"/>
    <col min="756" max="756" width="13.85546875" style="4" customWidth="1"/>
    <col min="757" max="757" width="13.28515625" style="4" customWidth="1"/>
    <col min="758" max="758" width="16.140625" style="4" customWidth="1"/>
    <col min="759" max="761" width="7.140625" style="4" customWidth="1"/>
    <col min="762" max="762" width="8.5703125" style="4" customWidth="1"/>
    <col min="763" max="763" width="12.42578125" style="4" customWidth="1"/>
    <col min="764" max="764" width="12.7109375" style="4" customWidth="1"/>
    <col min="765" max="765" width="13.85546875" style="4" customWidth="1"/>
    <col min="766" max="766" width="23.28515625" style="4" customWidth="1"/>
    <col min="767" max="767" width="11.5703125" style="4" customWidth="1"/>
    <col min="768" max="768" width="10.140625" style="4" customWidth="1"/>
    <col min="769" max="769" width="10.85546875" style="4" customWidth="1"/>
    <col min="770" max="770" width="12.5703125" style="4" customWidth="1"/>
    <col min="771" max="771" width="14.28515625" style="4" customWidth="1"/>
    <col min="772" max="772" width="12.5703125" style="4" customWidth="1"/>
    <col min="773" max="773" width="17.28515625" style="4" customWidth="1"/>
    <col min="774" max="774" width="18.85546875" style="4" customWidth="1"/>
    <col min="775" max="775" width="15.140625" style="4" customWidth="1"/>
    <col min="776" max="776" width="17.7109375" style="4" customWidth="1"/>
    <col min="777" max="777" width="23.140625" style="4" customWidth="1"/>
    <col min="778" max="778" width="27.42578125" style="4" customWidth="1"/>
    <col min="779" max="779" width="13.28515625" style="4" customWidth="1"/>
    <col min="780" max="780" width="12.7109375" style="4" customWidth="1"/>
    <col min="781" max="781" width="13.85546875" style="4" customWidth="1"/>
    <col min="782" max="790" width="11.42578125" style="4"/>
    <col min="791" max="791" width="14.140625" style="4" customWidth="1"/>
    <col min="792" max="792" width="13.28515625" style="4" customWidth="1"/>
    <col min="793" max="793" width="13.85546875" style="4" customWidth="1"/>
    <col min="794" max="794" width="16.5703125" style="4" customWidth="1"/>
    <col min="795" max="795" width="11.42578125" style="4"/>
    <col min="796" max="796" width="15" style="4" customWidth="1"/>
    <col min="797" max="797" width="14.85546875" style="4" customWidth="1"/>
    <col min="798" max="798" width="12.7109375" style="4" customWidth="1"/>
    <col min="799" max="799" width="11.42578125" style="4"/>
    <col min="800" max="800" width="15.7109375" style="4" customWidth="1"/>
    <col min="801" max="801" width="14.7109375" style="4" customWidth="1"/>
    <col min="802" max="986" width="11.42578125" style="4"/>
    <col min="987" max="987" width="10.42578125" style="4" customWidth="1"/>
    <col min="988" max="988" width="17.7109375" style="4" customWidth="1"/>
    <col min="989" max="989" width="0" style="4" hidden="1" customWidth="1"/>
    <col min="990" max="990" width="23.5703125" style="4" customWidth="1"/>
    <col min="991" max="991" width="25.85546875" style="4" customWidth="1"/>
    <col min="992" max="992" width="44" style="4" customWidth="1"/>
    <col min="993" max="993" width="21.7109375" style="4" customWidth="1"/>
    <col min="994" max="994" width="11.85546875" style="4" customWidth="1"/>
    <col min="995" max="995" width="9.85546875" style="4" customWidth="1"/>
    <col min="996" max="996" width="10" style="4" customWidth="1"/>
    <col min="997" max="997" width="21.140625" style="4" customWidth="1"/>
    <col min="998" max="1008" width="0" style="4" hidden="1" customWidth="1"/>
    <col min="1009" max="1009" width="11.5703125" style="4" customWidth="1"/>
    <col min="1010" max="1010" width="11" style="4" customWidth="1"/>
    <col min="1011" max="1011" width="13.140625" style="4" customWidth="1"/>
    <col min="1012" max="1012" width="13.85546875" style="4" customWidth="1"/>
    <col min="1013" max="1013" width="13.28515625" style="4" customWidth="1"/>
    <col min="1014" max="1014" width="16.140625" style="4" customWidth="1"/>
    <col min="1015" max="1017" width="7.140625" style="4" customWidth="1"/>
    <col min="1018" max="1018" width="8.5703125" style="4" customWidth="1"/>
    <col min="1019" max="1019" width="12.42578125" style="4" customWidth="1"/>
    <col min="1020" max="1020" width="12.7109375" style="4" customWidth="1"/>
    <col min="1021" max="1021" width="13.85546875" style="4" customWidth="1"/>
    <col min="1022" max="1022" width="23.28515625" style="4" customWidth="1"/>
    <col min="1023" max="1023" width="11.5703125" style="4" customWidth="1"/>
    <col min="1024" max="1024" width="10.140625" style="4" customWidth="1"/>
    <col min="1025" max="1025" width="10.85546875" style="4" customWidth="1"/>
    <col min="1026" max="1026" width="12.5703125" style="4" customWidth="1"/>
    <col min="1027" max="1027" width="14.28515625" style="4" customWidth="1"/>
    <col min="1028" max="1028" width="12.5703125" style="4" customWidth="1"/>
    <col min="1029" max="1029" width="17.28515625" style="4" customWidth="1"/>
    <col min="1030" max="1030" width="18.85546875" style="4" customWidth="1"/>
    <col min="1031" max="1031" width="15.140625" style="4" customWidth="1"/>
    <col min="1032" max="1032" width="17.7109375" style="4" customWidth="1"/>
    <col min="1033" max="1033" width="23.140625" style="4" customWidth="1"/>
    <col min="1034" max="1034" width="27.42578125" style="4" customWidth="1"/>
    <col min="1035" max="1035" width="13.28515625" style="4" customWidth="1"/>
    <col min="1036" max="1036" width="12.7109375" style="4" customWidth="1"/>
    <col min="1037" max="1037" width="13.85546875" style="4" customWidth="1"/>
    <col min="1038" max="1046" width="11.42578125" style="4"/>
    <col min="1047" max="1047" width="14.140625" style="4" customWidth="1"/>
    <col min="1048" max="1048" width="13.28515625" style="4" customWidth="1"/>
    <col min="1049" max="1049" width="13.85546875" style="4" customWidth="1"/>
    <col min="1050" max="1050" width="16.5703125" style="4" customWidth="1"/>
    <col min="1051" max="1051" width="11.42578125" style="4"/>
    <col min="1052" max="1052" width="15" style="4" customWidth="1"/>
    <col min="1053" max="1053" width="14.85546875" style="4" customWidth="1"/>
    <col min="1054" max="1054" width="12.7109375" style="4" customWidth="1"/>
    <col min="1055" max="1055" width="11.42578125" style="4"/>
    <col min="1056" max="1056" width="15.7109375" style="4" customWidth="1"/>
    <col min="1057" max="1057" width="14.7109375" style="4" customWidth="1"/>
    <col min="1058" max="1242" width="11.42578125" style="4"/>
    <col min="1243" max="1243" width="10.42578125" style="4" customWidth="1"/>
    <col min="1244" max="1244" width="17.7109375" style="4" customWidth="1"/>
    <col min="1245" max="1245" width="0" style="4" hidden="1" customWidth="1"/>
    <col min="1246" max="1246" width="23.5703125" style="4" customWidth="1"/>
    <col min="1247" max="1247" width="25.85546875" style="4" customWidth="1"/>
    <col min="1248" max="1248" width="44" style="4" customWidth="1"/>
    <col min="1249" max="1249" width="21.7109375" style="4" customWidth="1"/>
    <col min="1250" max="1250" width="11.85546875" style="4" customWidth="1"/>
    <col min="1251" max="1251" width="9.85546875" style="4" customWidth="1"/>
    <col min="1252" max="1252" width="10" style="4" customWidth="1"/>
    <col min="1253" max="1253" width="21.140625" style="4" customWidth="1"/>
    <col min="1254" max="1264" width="0" style="4" hidden="1" customWidth="1"/>
    <col min="1265" max="1265" width="11.5703125" style="4" customWidth="1"/>
    <col min="1266" max="1266" width="11" style="4" customWidth="1"/>
    <col min="1267" max="1267" width="13.140625" style="4" customWidth="1"/>
    <col min="1268" max="1268" width="13.85546875" style="4" customWidth="1"/>
    <col min="1269" max="1269" width="13.28515625" style="4" customWidth="1"/>
    <col min="1270" max="1270" width="16.140625" style="4" customWidth="1"/>
    <col min="1271" max="1273" width="7.140625" style="4" customWidth="1"/>
    <col min="1274" max="1274" width="8.5703125" style="4" customWidth="1"/>
    <col min="1275" max="1275" width="12.42578125" style="4" customWidth="1"/>
    <col min="1276" max="1276" width="12.7109375" style="4" customWidth="1"/>
    <col min="1277" max="1277" width="13.85546875" style="4" customWidth="1"/>
    <col min="1278" max="1278" width="23.28515625" style="4" customWidth="1"/>
    <col min="1279" max="1279" width="11.5703125" style="4" customWidth="1"/>
    <col min="1280" max="1280" width="10.140625" style="4" customWidth="1"/>
    <col min="1281" max="1281" width="10.85546875" style="4" customWidth="1"/>
    <col min="1282" max="1282" width="12.5703125" style="4" customWidth="1"/>
    <col min="1283" max="1283" width="14.28515625" style="4" customWidth="1"/>
    <col min="1284" max="1284" width="12.5703125" style="4" customWidth="1"/>
    <col min="1285" max="1285" width="17.28515625" style="4" customWidth="1"/>
    <col min="1286" max="1286" width="18.85546875" style="4" customWidth="1"/>
    <col min="1287" max="1287" width="15.140625" style="4" customWidth="1"/>
    <col min="1288" max="1288" width="17.7109375" style="4" customWidth="1"/>
    <col min="1289" max="1289" width="23.140625" style="4" customWidth="1"/>
    <col min="1290" max="1290" width="27.42578125" style="4" customWidth="1"/>
    <col min="1291" max="1291" width="13.28515625" style="4" customWidth="1"/>
    <col min="1292" max="1292" width="12.7109375" style="4" customWidth="1"/>
    <col min="1293" max="1293" width="13.85546875" style="4" customWidth="1"/>
    <col min="1294" max="1302" width="11.42578125" style="4"/>
    <col min="1303" max="1303" width="14.140625" style="4" customWidth="1"/>
    <col min="1304" max="1304" width="13.28515625" style="4" customWidth="1"/>
    <col min="1305" max="1305" width="13.85546875" style="4" customWidth="1"/>
    <col min="1306" max="1306" width="16.5703125" style="4" customWidth="1"/>
    <col min="1307" max="1307" width="11.42578125" style="4"/>
    <col min="1308" max="1308" width="15" style="4" customWidth="1"/>
    <col min="1309" max="1309" width="14.85546875" style="4" customWidth="1"/>
    <col min="1310" max="1310" width="12.7109375" style="4" customWidth="1"/>
    <col min="1311" max="1311" width="11.42578125" style="4"/>
    <col min="1312" max="1312" width="15.7109375" style="4" customWidth="1"/>
    <col min="1313" max="1313" width="14.7109375" style="4" customWidth="1"/>
    <col min="1314" max="1498" width="11.42578125" style="4"/>
    <col min="1499" max="1499" width="10.42578125" style="4" customWidth="1"/>
    <col min="1500" max="1500" width="17.7109375" style="4" customWidth="1"/>
    <col min="1501" max="1501" width="0" style="4" hidden="1" customWidth="1"/>
    <col min="1502" max="1502" width="23.5703125" style="4" customWidth="1"/>
    <col min="1503" max="1503" width="25.85546875" style="4" customWidth="1"/>
    <col min="1504" max="1504" width="44" style="4" customWidth="1"/>
    <col min="1505" max="1505" width="21.7109375" style="4" customWidth="1"/>
    <col min="1506" max="1506" width="11.85546875" style="4" customWidth="1"/>
    <col min="1507" max="1507" width="9.85546875" style="4" customWidth="1"/>
    <col min="1508" max="1508" width="10" style="4" customWidth="1"/>
    <col min="1509" max="1509" width="21.140625" style="4" customWidth="1"/>
    <col min="1510" max="1520" width="0" style="4" hidden="1" customWidth="1"/>
    <col min="1521" max="1521" width="11.5703125" style="4" customWidth="1"/>
    <col min="1522" max="1522" width="11" style="4" customWidth="1"/>
    <col min="1523" max="1523" width="13.140625" style="4" customWidth="1"/>
    <col min="1524" max="1524" width="13.85546875" style="4" customWidth="1"/>
    <col min="1525" max="1525" width="13.28515625" style="4" customWidth="1"/>
    <col min="1526" max="1526" width="16.140625" style="4" customWidth="1"/>
    <col min="1527" max="1529" width="7.140625" style="4" customWidth="1"/>
    <col min="1530" max="1530" width="8.5703125" style="4" customWidth="1"/>
    <col min="1531" max="1531" width="12.42578125" style="4" customWidth="1"/>
    <col min="1532" max="1532" width="12.7109375" style="4" customWidth="1"/>
    <col min="1533" max="1533" width="13.85546875" style="4" customWidth="1"/>
    <col min="1534" max="1534" width="23.28515625" style="4" customWidth="1"/>
    <col min="1535" max="1535" width="11.5703125" style="4" customWidth="1"/>
    <col min="1536" max="1536" width="10.140625" style="4" customWidth="1"/>
    <col min="1537" max="1537" width="10.85546875" style="4" customWidth="1"/>
    <col min="1538" max="1538" width="12.5703125" style="4" customWidth="1"/>
    <col min="1539" max="1539" width="14.28515625" style="4" customWidth="1"/>
    <col min="1540" max="1540" width="12.5703125" style="4" customWidth="1"/>
    <col min="1541" max="1541" width="17.28515625" style="4" customWidth="1"/>
    <col min="1542" max="1542" width="18.85546875" style="4" customWidth="1"/>
    <col min="1543" max="1543" width="15.140625" style="4" customWidth="1"/>
    <col min="1544" max="1544" width="17.7109375" style="4" customWidth="1"/>
    <col min="1545" max="1545" width="23.140625" style="4" customWidth="1"/>
    <col min="1546" max="1546" width="27.42578125" style="4" customWidth="1"/>
    <col min="1547" max="1547" width="13.28515625" style="4" customWidth="1"/>
    <col min="1548" max="1548" width="12.7109375" style="4" customWidth="1"/>
    <col min="1549" max="1549" width="13.85546875" style="4" customWidth="1"/>
    <col min="1550" max="1558" width="11.42578125" style="4"/>
    <col min="1559" max="1559" width="14.140625" style="4" customWidth="1"/>
    <col min="1560" max="1560" width="13.28515625" style="4" customWidth="1"/>
    <col min="1561" max="1561" width="13.85546875" style="4" customWidth="1"/>
    <col min="1562" max="1562" width="16.5703125" style="4" customWidth="1"/>
    <col min="1563" max="1563" width="11.42578125" style="4"/>
    <col min="1564" max="1564" width="15" style="4" customWidth="1"/>
    <col min="1565" max="1565" width="14.85546875" style="4" customWidth="1"/>
    <col min="1566" max="1566" width="12.7109375" style="4" customWidth="1"/>
    <col min="1567" max="1567" width="11.42578125" style="4"/>
    <col min="1568" max="1568" width="15.7109375" style="4" customWidth="1"/>
    <col min="1569" max="1569" width="14.7109375" style="4" customWidth="1"/>
    <col min="1570" max="1754" width="11.42578125" style="4"/>
    <col min="1755" max="1755" width="10.42578125" style="4" customWidth="1"/>
    <col min="1756" max="1756" width="17.7109375" style="4" customWidth="1"/>
    <col min="1757" max="1757" width="0" style="4" hidden="1" customWidth="1"/>
    <col min="1758" max="1758" width="23.5703125" style="4" customWidth="1"/>
    <col min="1759" max="1759" width="25.85546875" style="4" customWidth="1"/>
    <col min="1760" max="1760" width="44" style="4" customWidth="1"/>
    <col min="1761" max="1761" width="21.7109375" style="4" customWidth="1"/>
    <col min="1762" max="1762" width="11.85546875" style="4" customWidth="1"/>
    <col min="1763" max="1763" width="9.85546875" style="4" customWidth="1"/>
    <col min="1764" max="1764" width="10" style="4" customWidth="1"/>
    <col min="1765" max="1765" width="21.140625" style="4" customWidth="1"/>
    <col min="1766" max="1776" width="0" style="4" hidden="1" customWidth="1"/>
    <col min="1777" max="1777" width="11.5703125" style="4" customWidth="1"/>
    <col min="1778" max="1778" width="11" style="4" customWidth="1"/>
    <col min="1779" max="1779" width="13.140625" style="4" customWidth="1"/>
    <col min="1780" max="1780" width="13.85546875" style="4" customWidth="1"/>
    <col min="1781" max="1781" width="13.28515625" style="4" customWidth="1"/>
    <col min="1782" max="1782" width="16.140625" style="4" customWidth="1"/>
    <col min="1783" max="1785" width="7.140625" style="4" customWidth="1"/>
    <col min="1786" max="1786" width="8.5703125" style="4" customWidth="1"/>
    <col min="1787" max="1787" width="12.42578125" style="4" customWidth="1"/>
    <col min="1788" max="1788" width="12.7109375" style="4" customWidth="1"/>
    <col min="1789" max="1789" width="13.85546875" style="4" customWidth="1"/>
    <col min="1790" max="1790" width="23.28515625" style="4" customWidth="1"/>
    <col min="1791" max="1791" width="11.5703125" style="4" customWidth="1"/>
    <col min="1792" max="1792" width="10.140625" style="4" customWidth="1"/>
    <col min="1793" max="1793" width="10.85546875" style="4" customWidth="1"/>
    <col min="1794" max="1794" width="12.5703125" style="4" customWidth="1"/>
    <col min="1795" max="1795" width="14.28515625" style="4" customWidth="1"/>
    <col min="1796" max="1796" width="12.5703125" style="4" customWidth="1"/>
    <col min="1797" max="1797" width="17.28515625" style="4" customWidth="1"/>
    <col min="1798" max="1798" width="18.85546875" style="4" customWidth="1"/>
    <col min="1799" max="1799" width="15.140625" style="4" customWidth="1"/>
    <col min="1800" max="1800" width="17.7109375" style="4" customWidth="1"/>
    <col min="1801" max="1801" width="23.140625" style="4" customWidth="1"/>
    <col min="1802" max="1802" width="27.42578125" style="4" customWidth="1"/>
    <col min="1803" max="1803" width="13.28515625" style="4" customWidth="1"/>
    <col min="1804" max="1804" width="12.7109375" style="4" customWidth="1"/>
    <col min="1805" max="1805" width="13.85546875" style="4" customWidth="1"/>
    <col min="1806" max="1814" width="11.42578125" style="4"/>
    <col min="1815" max="1815" width="14.140625" style="4" customWidth="1"/>
    <col min="1816" max="1816" width="13.28515625" style="4" customWidth="1"/>
    <col min="1817" max="1817" width="13.85546875" style="4" customWidth="1"/>
    <col min="1818" max="1818" width="16.5703125" style="4" customWidth="1"/>
    <col min="1819" max="1819" width="11.42578125" style="4"/>
    <col min="1820" max="1820" width="15" style="4" customWidth="1"/>
    <col min="1821" max="1821" width="14.85546875" style="4" customWidth="1"/>
    <col min="1822" max="1822" width="12.7109375" style="4" customWidth="1"/>
    <col min="1823" max="1823" width="11.42578125" style="4"/>
    <col min="1824" max="1824" width="15.7109375" style="4" customWidth="1"/>
    <col min="1825" max="1825" width="14.7109375" style="4" customWidth="1"/>
    <col min="1826" max="2010" width="11.42578125" style="4"/>
    <col min="2011" max="2011" width="10.42578125" style="4" customWidth="1"/>
    <col min="2012" max="2012" width="17.7109375" style="4" customWidth="1"/>
    <col min="2013" max="2013" width="0" style="4" hidden="1" customWidth="1"/>
    <col min="2014" max="2014" width="23.5703125" style="4" customWidth="1"/>
    <col min="2015" max="2015" width="25.85546875" style="4" customWidth="1"/>
    <col min="2016" max="2016" width="44" style="4" customWidth="1"/>
    <col min="2017" max="2017" width="21.7109375" style="4" customWidth="1"/>
    <col min="2018" max="2018" width="11.85546875" style="4" customWidth="1"/>
    <col min="2019" max="2019" width="9.85546875" style="4" customWidth="1"/>
    <col min="2020" max="2020" width="10" style="4" customWidth="1"/>
    <col min="2021" max="2021" width="21.140625" style="4" customWidth="1"/>
    <col min="2022" max="2032" width="0" style="4" hidden="1" customWidth="1"/>
    <col min="2033" max="2033" width="11.5703125" style="4" customWidth="1"/>
    <col min="2034" max="2034" width="11" style="4" customWidth="1"/>
    <col min="2035" max="2035" width="13.140625" style="4" customWidth="1"/>
    <col min="2036" max="2036" width="13.85546875" style="4" customWidth="1"/>
    <col min="2037" max="2037" width="13.28515625" style="4" customWidth="1"/>
    <col min="2038" max="2038" width="16.140625" style="4" customWidth="1"/>
    <col min="2039" max="2041" width="7.140625" style="4" customWidth="1"/>
    <col min="2042" max="2042" width="8.5703125" style="4" customWidth="1"/>
    <col min="2043" max="2043" width="12.42578125" style="4" customWidth="1"/>
    <col min="2044" max="2044" width="12.7109375" style="4" customWidth="1"/>
    <col min="2045" max="2045" width="13.85546875" style="4" customWidth="1"/>
    <col min="2046" max="2046" width="23.28515625" style="4" customWidth="1"/>
    <col min="2047" max="2047" width="11.5703125" style="4" customWidth="1"/>
    <col min="2048" max="2048" width="10.140625" style="4" customWidth="1"/>
    <col min="2049" max="2049" width="10.85546875" style="4" customWidth="1"/>
    <col min="2050" max="2050" width="12.5703125" style="4" customWidth="1"/>
    <col min="2051" max="2051" width="14.28515625" style="4" customWidth="1"/>
    <col min="2052" max="2052" width="12.5703125" style="4" customWidth="1"/>
    <col min="2053" max="2053" width="17.28515625" style="4" customWidth="1"/>
    <col min="2054" max="2054" width="18.85546875" style="4" customWidth="1"/>
    <col min="2055" max="2055" width="15.140625" style="4" customWidth="1"/>
    <col min="2056" max="2056" width="17.7109375" style="4" customWidth="1"/>
    <col min="2057" max="2057" width="23.140625" style="4" customWidth="1"/>
    <col min="2058" max="2058" width="27.42578125" style="4" customWidth="1"/>
    <col min="2059" max="2059" width="13.28515625" style="4" customWidth="1"/>
    <col min="2060" max="2060" width="12.7109375" style="4" customWidth="1"/>
    <col min="2061" max="2061" width="13.85546875" style="4" customWidth="1"/>
    <col min="2062" max="2070" width="11.42578125" style="4"/>
    <col min="2071" max="2071" width="14.140625" style="4" customWidth="1"/>
    <col min="2072" max="2072" width="13.28515625" style="4" customWidth="1"/>
    <col min="2073" max="2073" width="13.85546875" style="4" customWidth="1"/>
    <col min="2074" max="2074" width="16.5703125" style="4" customWidth="1"/>
    <col min="2075" max="2075" width="11.42578125" style="4"/>
    <col min="2076" max="2076" width="15" style="4" customWidth="1"/>
    <col min="2077" max="2077" width="14.85546875" style="4" customWidth="1"/>
    <col min="2078" max="2078" width="12.7109375" style="4" customWidth="1"/>
    <col min="2079" max="2079" width="11.42578125" style="4"/>
    <col min="2080" max="2080" width="15.7109375" style="4" customWidth="1"/>
    <col min="2081" max="2081" width="14.7109375" style="4" customWidth="1"/>
    <col min="2082" max="2266" width="11.42578125" style="4"/>
    <col min="2267" max="2267" width="10.42578125" style="4" customWidth="1"/>
    <col min="2268" max="2268" width="17.7109375" style="4" customWidth="1"/>
    <col min="2269" max="2269" width="0" style="4" hidden="1" customWidth="1"/>
    <col min="2270" max="2270" width="23.5703125" style="4" customWidth="1"/>
    <col min="2271" max="2271" width="25.85546875" style="4" customWidth="1"/>
    <col min="2272" max="2272" width="44" style="4" customWidth="1"/>
    <col min="2273" max="2273" width="21.7109375" style="4" customWidth="1"/>
    <col min="2274" max="2274" width="11.85546875" style="4" customWidth="1"/>
    <col min="2275" max="2275" width="9.85546875" style="4" customWidth="1"/>
    <col min="2276" max="2276" width="10" style="4" customWidth="1"/>
    <col min="2277" max="2277" width="21.140625" style="4" customWidth="1"/>
    <col min="2278" max="2288" width="0" style="4" hidden="1" customWidth="1"/>
    <col min="2289" max="2289" width="11.5703125" style="4" customWidth="1"/>
    <col min="2290" max="2290" width="11" style="4" customWidth="1"/>
    <col min="2291" max="2291" width="13.140625" style="4" customWidth="1"/>
    <col min="2292" max="2292" width="13.85546875" style="4" customWidth="1"/>
    <col min="2293" max="2293" width="13.28515625" style="4" customWidth="1"/>
    <col min="2294" max="2294" width="16.140625" style="4" customWidth="1"/>
    <col min="2295" max="2297" width="7.140625" style="4" customWidth="1"/>
    <col min="2298" max="2298" width="8.5703125" style="4" customWidth="1"/>
    <col min="2299" max="2299" width="12.42578125" style="4" customWidth="1"/>
    <col min="2300" max="2300" width="12.7109375" style="4" customWidth="1"/>
    <col min="2301" max="2301" width="13.85546875" style="4" customWidth="1"/>
    <col min="2302" max="2302" width="23.28515625" style="4" customWidth="1"/>
    <col min="2303" max="2303" width="11.5703125" style="4" customWidth="1"/>
    <col min="2304" max="2304" width="10.140625" style="4" customWidth="1"/>
    <col min="2305" max="2305" width="10.85546875" style="4" customWidth="1"/>
    <col min="2306" max="2306" width="12.5703125" style="4" customWidth="1"/>
    <col min="2307" max="2307" width="14.28515625" style="4" customWidth="1"/>
    <col min="2308" max="2308" width="12.5703125" style="4" customWidth="1"/>
    <col min="2309" max="2309" width="17.28515625" style="4" customWidth="1"/>
    <col min="2310" max="2310" width="18.85546875" style="4" customWidth="1"/>
    <col min="2311" max="2311" width="15.140625" style="4" customWidth="1"/>
    <col min="2312" max="2312" width="17.7109375" style="4" customWidth="1"/>
    <col min="2313" max="2313" width="23.140625" style="4" customWidth="1"/>
    <col min="2314" max="2314" width="27.42578125" style="4" customWidth="1"/>
    <col min="2315" max="2315" width="13.28515625" style="4" customWidth="1"/>
    <col min="2316" max="2316" width="12.7109375" style="4" customWidth="1"/>
    <col min="2317" max="2317" width="13.85546875" style="4" customWidth="1"/>
    <col min="2318" max="2326" width="11.42578125" style="4"/>
    <col min="2327" max="2327" width="14.140625" style="4" customWidth="1"/>
    <col min="2328" max="2328" width="13.28515625" style="4" customWidth="1"/>
    <col min="2329" max="2329" width="13.85546875" style="4" customWidth="1"/>
    <col min="2330" max="2330" width="16.5703125" style="4" customWidth="1"/>
    <col min="2331" max="2331" width="11.42578125" style="4"/>
    <col min="2332" max="2332" width="15" style="4" customWidth="1"/>
    <col min="2333" max="2333" width="14.85546875" style="4" customWidth="1"/>
    <col min="2334" max="2334" width="12.7109375" style="4" customWidth="1"/>
    <col min="2335" max="2335" width="11.42578125" style="4"/>
    <col min="2336" max="2336" width="15.7109375" style="4" customWidth="1"/>
    <col min="2337" max="2337" width="14.7109375" style="4" customWidth="1"/>
    <col min="2338" max="2522" width="11.42578125" style="4"/>
    <col min="2523" max="2523" width="10.42578125" style="4" customWidth="1"/>
    <col min="2524" max="2524" width="17.7109375" style="4" customWidth="1"/>
    <col min="2525" max="2525" width="0" style="4" hidden="1" customWidth="1"/>
    <col min="2526" max="2526" width="23.5703125" style="4" customWidth="1"/>
    <col min="2527" max="2527" width="25.85546875" style="4" customWidth="1"/>
    <col min="2528" max="2528" width="44" style="4" customWidth="1"/>
    <col min="2529" max="2529" width="21.7109375" style="4" customWidth="1"/>
    <col min="2530" max="2530" width="11.85546875" style="4" customWidth="1"/>
    <col min="2531" max="2531" width="9.85546875" style="4" customWidth="1"/>
    <col min="2532" max="2532" width="10" style="4" customWidth="1"/>
    <col min="2533" max="2533" width="21.140625" style="4" customWidth="1"/>
    <col min="2534" max="2544" width="0" style="4" hidden="1" customWidth="1"/>
    <col min="2545" max="2545" width="11.5703125" style="4" customWidth="1"/>
    <col min="2546" max="2546" width="11" style="4" customWidth="1"/>
    <col min="2547" max="2547" width="13.140625" style="4" customWidth="1"/>
    <col min="2548" max="2548" width="13.85546875" style="4" customWidth="1"/>
    <col min="2549" max="2549" width="13.28515625" style="4" customWidth="1"/>
    <col min="2550" max="2550" width="16.140625" style="4" customWidth="1"/>
    <col min="2551" max="2553" width="7.140625" style="4" customWidth="1"/>
    <col min="2554" max="2554" width="8.5703125" style="4" customWidth="1"/>
    <col min="2555" max="2555" width="12.42578125" style="4" customWidth="1"/>
    <col min="2556" max="2556" width="12.7109375" style="4" customWidth="1"/>
    <col min="2557" max="2557" width="13.85546875" style="4" customWidth="1"/>
    <col min="2558" max="2558" width="23.28515625" style="4" customWidth="1"/>
    <col min="2559" max="2559" width="11.5703125" style="4" customWidth="1"/>
    <col min="2560" max="2560" width="10.140625" style="4" customWidth="1"/>
    <col min="2561" max="2561" width="10.85546875" style="4" customWidth="1"/>
    <col min="2562" max="2562" width="12.5703125" style="4" customWidth="1"/>
    <col min="2563" max="2563" width="14.28515625" style="4" customWidth="1"/>
    <col min="2564" max="2564" width="12.5703125" style="4" customWidth="1"/>
    <col min="2565" max="2565" width="17.28515625" style="4" customWidth="1"/>
    <col min="2566" max="2566" width="18.85546875" style="4" customWidth="1"/>
    <col min="2567" max="2567" width="15.140625" style="4" customWidth="1"/>
    <col min="2568" max="2568" width="17.7109375" style="4" customWidth="1"/>
    <col min="2569" max="2569" width="23.140625" style="4" customWidth="1"/>
    <col min="2570" max="2570" width="27.42578125" style="4" customWidth="1"/>
    <col min="2571" max="2571" width="13.28515625" style="4" customWidth="1"/>
    <col min="2572" max="2572" width="12.7109375" style="4" customWidth="1"/>
    <col min="2573" max="2573" width="13.85546875" style="4" customWidth="1"/>
    <col min="2574" max="2582" width="11.42578125" style="4"/>
    <col min="2583" max="2583" width="14.140625" style="4" customWidth="1"/>
    <col min="2584" max="2584" width="13.28515625" style="4" customWidth="1"/>
    <col min="2585" max="2585" width="13.85546875" style="4" customWidth="1"/>
    <col min="2586" max="2586" width="16.5703125" style="4" customWidth="1"/>
    <col min="2587" max="2587" width="11.42578125" style="4"/>
    <col min="2588" max="2588" width="15" style="4" customWidth="1"/>
    <col min="2589" max="2589" width="14.85546875" style="4" customWidth="1"/>
    <col min="2590" max="2590" width="12.7109375" style="4" customWidth="1"/>
    <col min="2591" max="2591" width="11.42578125" style="4"/>
    <col min="2592" max="2592" width="15.7109375" style="4" customWidth="1"/>
    <col min="2593" max="2593" width="14.7109375" style="4" customWidth="1"/>
    <col min="2594" max="2778" width="11.42578125" style="4"/>
    <col min="2779" max="2779" width="10.42578125" style="4" customWidth="1"/>
    <col min="2780" max="2780" width="17.7109375" style="4" customWidth="1"/>
    <col min="2781" max="2781" width="0" style="4" hidden="1" customWidth="1"/>
    <col min="2782" max="2782" width="23.5703125" style="4" customWidth="1"/>
    <col min="2783" max="2783" width="25.85546875" style="4" customWidth="1"/>
    <col min="2784" max="2784" width="44" style="4" customWidth="1"/>
    <col min="2785" max="2785" width="21.7109375" style="4" customWidth="1"/>
    <col min="2786" max="2786" width="11.85546875" style="4" customWidth="1"/>
    <col min="2787" max="2787" width="9.85546875" style="4" customWidth="1"/>
    <col min="2788" max="2788" width="10" style="4" customWidth="1"/>
    <col min="2789" max="2789" width="21.140625" style="4" customWidth="1"/>
    <col min="2790" max="2800" width="0" style="4" hidden="1" customWidth="1"/>
    <col min="2801" max="2801" width="11.5703125" style="4" customWidth="1"/>
    <col min="2802" max="2802" width="11" style="4" customWidth="1"/>
    <col min="2803" max="2803" width="13.140625" style="4" customWidth="1"/>
    <col min="2804" max="2804" width="13.85546875" style="4" customWidth="1"/>
    <col min="2805" max="2805" width="13.28515625" style="4" customWidth="1"/>
    <col min="2806" max="2806" width="16.140625" style="4" customWidth="1"/>
    <col min="2807" max="2809" width="7.140625" style="4" customWidth="1"/>
    <col min="2810" max="2810" width="8.5703125" style="4" customWidth="1"/>
    <col min="2811" max="2811" width="12.42578125" style="4" customWidth="1"/>
    <col min="2812" max="2812" width="12.7109375" style="4" customWidth="1"/>
    <col min="2813" max="2813" width="13.85546875" style="4" customWidth="1"/>
    <col min="2814" max="2814" width="23.28515625" style="4" customWidth="1"/>
    <col min="2815" max="2815" width="11.5703125" style="4" customWidth="1"/>
    <col min="2816" max="2816" width="10.140625" style="4" customWidth="1"/>
    <col min="2817" max="2817" width="10.85546875" style="4" customWidth="1"/>
    <col min="2818" max="2818" width="12.5703125" style="4" customWidth="1"/>
    <col min="2819" max="2819" width="14.28515625" style="4" customWidth="1"/>
    <col min="2820" max="2820" width="12.5703125" style="4" customWidth="1"/>
    <col min="2821" max="2821" width="17.28515625" style="4" customWidth="1"/>
    <col min="2822" max="2822" width="18.85546875" style="4" customWidth="1"/>
    <col min="2823" max="2823" width="15.140625" style="4" customWidth="1"/>
    <col min="2824" max="2824" width="17.7109375" style="4" customWidth="1"/>
    <col min="2825" max="2825" width="23.140625" style="4" customWidth="1"/>
    <col min="2826" max="2826" width="27.42578125" style="4" customWidth="1"/>
    <col min="2827" max="2827" width="13.28515625" style="4" customWidth="1"/>
    <col min="2828" max="2828" width="12.7109375" style="4" customWidth="1"/>
    <col min="2829" max="2829" width="13.85546875" style="4" customWidth="1"/>
    <col min="2830" max="2838" width="11.42578125" style="4"/>
    <col min="2839" max="2839" width="14.140625" style="4" customWidth="1"/>
    <col min="2840" max="2840" width="13.28515625" style="4" customWidth="1"/>
    <col min="2841" max="2841" width="13.85546875" style="4" customWidth="1"/>
    <col min="2842" max="2842" width="16.5703125" style="4" customWidth="1"/>
    <col min="2843" max="2843" width="11.42578125" style="4"/>
    <col min="2844" max="2844" width="15" style="4" customWidth="1"/>
    <col min="2845" max="2845" width="14.85546875" style="4" customWidth="1"/>
    <col min="2846" max="2846" width="12.7109375" style="4" customWidth="1"/>
    <col min="2847" max="2847" width="11.42578125" style="4"/>
    <col min="2848" max="2848" width="15.7109375" style="4" customWidth="1"/>
    <col min="2849" max="2849" width="14.7109375" style="4" customWidth="1"/>
    <col min="2850" max="3034" width="11.42578125" style="4"/>
    <col min="3035" max="3035" width="10.42578125" style="4" customWidth="1"/>
    <col min="3036" max="3036" width="17.7109375" style="4" customWidth="1"/>
    <col min="3037" max="3037" width="0" style="4" hidden="1" customWidth="1"/>
    <col min="3038" max="3038" width="23.5703125" style="4" customWidth="1"/>
    <col min="3039" max="3039" width="25.85546875" style="4" customWidth="1"/>
    <col min="3040" max="3040" width="44" style="4" customWidth="1"/>
    <col min="3041" max="3041" width="21.7109375" style="4" customWidth="1"/>
    <col min="3042" max="3042" width="11.85546875" style="4" customWidth="1"/>
    <col min="3043" max="3043" width="9.85546875" style="4" customWidth="1"/>
    <col min="3044" max="3044" width="10" style="4" customWidth="1"/>
    <col min="3045" max="3045" width="21.140625" style="4" customWidth="1"/>
    <col min="3046" max="3056" width="0" style="4" hidden="1" customWidth="1"/>
    <col min="3057" max="3057" width="11.5703125" style="4" customWidth="1"/>
    <col min="3058" max="3058" width="11" style="4" customWidth="1"/>
    <col min="3059" max="3059" width="13.140625" style="4" customWidth="1"/>
    <col min="3060" max="3060" width="13.85546875" style="4" customWidth="1"/>
    <col min="3061" max="3061" width="13.28515625" style="4" customWidth="1"/>
    <col min="3062" max="3062" width="16.140625" style="4" customWidth="1"/>
    <col min="3063" max="3065" width="7.140625" style="4" customWidth="1"/>
    <col min="3066" max="3066" width="8.5703125" style="4" customWidth="1"/>
    <col min="3067" max="3067" width="12.42578125" style="4" customWidth="1"/>
    <col min="3068" max="3068" width="12.7109375" style="4" customWidth="1"/>
    <col min="3069" max="3069" width="13.85546875" style="4" customWidth="1"/>
    <col min="3070" max="3070" width="23.28515625" style="4" customWidth="1"/>
    <col min="3071" max="3071" width="11.5703125" style="4" customWidth="1"/>
    <col min="3072" max="3072" width="10.140625" style="4" customWidth="1"/>
    <col min="3073" max="3073" width="10.85546875" style="4" customWidth="1"/>
    <col min="3074" max="3074" width="12.5703125" style="4" customWidth="1"/>
    <col min="3075" max="3075" width="14.28515625" style="4" customWidth="1"/>
    <col min="3076" max="3076" width="12.5703125" style="4" customWidth="1"/>
    <col min="3077" max="3077" width="17.28515625" style="4" customWidth="1"/>
    <col min="3078" max="3078" width="18.85546875" style="4" customWidth="1"/>
    <col min="3079" max="3079" width="15.140625" style="4" customWidth="1"/>
    <col min="3080" max="3080" width="17.7109375" style="4" customWidth="1"/>
    <col min="3081" max="3081" width="23.140625" style="4" customWidth="1"/>
    <col min="3082" max="3082" width="27.42578125" style="4" customWidth="1"/>
    <col min="3083" max="3083" width="13.28515625" style="4" customWidth="1"/>
    <col min="3084" max="3084" width="12.7109375" style="4" customWidth="1"/>
    <col min="3085" max="3085" width="13.85546875" style="4" customWidth="1"/>
    <col min="3086" max="3094" width="11.42578125" style="4"/>
    <col min="3095" max="3095" width="14.140625" style="4" customWidth="1"/>
    <col min="3096" max="3096" width="13.28515625" style="4" customWidth="1"/>
    <col min="3097" max="3097" width="13.85546875" style="4" customWidth="1"/>
    <col min="3098" max="3098" width="16.5703125" style="4" customWidth="1"/>
    <col min="3099" max="3099" width="11.42578125" style="4"/>
    <col min="3100" max="3100" width="15" style="4" customWidth="1"/>
    <col min="3101" max="3101" width="14.85546875" style="4" customWidth="1"/>
    <col min="3102" max="3102" width="12.7109375" style="4" customWidth="1"/>
    <col min="3103" max="3103" width="11.42578125" style="4"/>
    <col min="3104" max="3104" width="15.7109375" style="4" customWidth="1"/>
    <col min="3105" max="3105" width="14.7109375" style="4" customWidth="1"/>
    <col min="3106" max="3290" width="11.42578125" style="4"/>
    <col min="3291" max="3291" width="10.42578125" style="4" customWidth="1"/>
    <col min="3292" max="3292" width="17.7109375" style="4" customWidth="1"/>
    <col min="3293" max="3293" width="0" style="4" hidden="1" customWidth="1"/>
    <col min="3294" max="3294" width="23.5703125" style="4" customWidth="1"/>
    <col min="3295" max="3295" width="25.85546875" style="4" customWidth="1"/>
    <col min="3296" max="3296" width="44" style="4" customWidth="1"/>
    <col min="3297" max="3297" width="21.7109375" style="4" customWidth="1"/>
    <col min="3298" max="3298" width="11.85546875" style="4" customWidth="1"/>
    <col min="3299" max="3299" width="9.85546875" style="4" customWidth="1"/>
    <col min="3300" max="3300" width="10" style="4" customWidth="1"/>
    <col min="3301" max="3301" width="21.140625" style="4" customWidth="1"/>
    <col min="3302" max="3312" width="0" style="4" hidden="1" customWidth="1"/>
    <col min="3313" max="3313" width="11.5703125" style="4" customWidth="1"/>
    <col min="3314" max="3314" width="11" style="4" customWidth="1"/>
    <col min="3315" max="3315" width="13.140625" style="4" customWidth="1"/>
    <col min="3316" max="3316" width="13.85546875" style="4" customWidth="1"/>
    <col min="3317" max="3317" width="13.28515625" style="4" customWidth="1"/>
    <col min="3318" max="3318" width="16.140625" style="4" customWidth="1"/>
    <col min="3319" max="3321" width="7.140625" style="4" customWidth="1"/>
    <col min="3322" max="3322" width="8.5703125" style="4" customWidth="1"/>
    <col min="3323" max="3323" width="12.42578125" style="4" customWidth="1"/>
    <col min="3324" max="3324" width="12.7109375" style="4" customWidth="1"/>
    <col min="3325" max="3325" width="13.85546875" style="4" customWidth="1"/>
    <col min="3326" max="3326" width="23.28515625" style="4" customWidth="1"/>
    <col min="3327" max="3327" width="11.5703125" style="4" customWidth="1"/>
    <col min="3328" max="3328" width="10.140625" style="4" customWidth="1"/>
    <col min="3329" max="3329" width="10.85546875" style="4" customWidth="1"/>
    <col min="3330" max="3330" width="12.5703125" style="4" customWidth="1"/>
    <col min="3331" max="3331" width="14.28515625" style="4" customWidth="1"/>
    <col min="3332" max="3332" width="12.5703125" style="4" customWidth="1"/>
    <col min="3333" max="3333" width="17.28515625" style="4" customWidth="1"/>
    <col min="3334" max="3334" width="18.85546875" style="4" customWidth="1"/>
    <col min="3335" max="3335" width="15.140625" style="4" customWidth="1"/>
    <col min="3336" max="3336" width="17.7109375" style="4" customWidth="1"/>
    <col min="3337" max="3337" width="23.140625" style="4" customWidth="1"/>
    <col min="3338" max="3338" width="27.42578125" style="4" customWidth="1"/>
    <col min="3339" max="3339" width="13.28515625" style="4" customWidth="1"/>
    <col min="3340" max="3340" width="12.7109375" style="4" customWidth="1"/>
    <col min="3341" max="3341" width="13.85546875" style="4" customWidth="1"/>
    <col min="3342" max="3350" width="11.42578125" style="4"/>
    <col min="3351" max="3351" width="14.140625" style="4" customWidth="1"/>
    <col min="3352" max="3352" width="13.28515625" style="4" customWidth="1"/>
    <col min="3353" max="3353" width="13.85546875" style="4" customWidth="1"/>
    <col min="3354" max="3354" width="16.5703125" style="4" customWidth="1"/>
    <col min="3355" max="3355" width="11.42578125" style="4"/>
    <col min="3356" max="3356" width="15" style="4" customWidth="1"/>
    <col min="3357" max="3357" width="14.85546875" style="4" customWidth="1"/>
    <col min="3358" max="3358" width="12.7109375" style="4" customWidth="1"/>
    <col min="3359" max="3359" width="11.42578125" style="4"/>
    <col min="3360" max="3360" width="15.7109375" style="4" customWidth="1"/>
    <col min="3361" max="3361" width="14.7109375" style="4" customWidth="1"/>
    <col min="3362" max="3546" width="11.42578125" style="4"/>
    <col min="3547" max="3547" width="10.42578125" style="4" customWidth="1"/>
    <col min="3548" max="3548" width="17.7109375" style="4" customWidth="1"/>
    <col min="3549" max="3549" width="0" style="4" hidden="1" customWidth="1"/>
    <col min="3550" max="3550" width="23.5703125" style="4" customWidth="1"/>
    <col min="3551" max="3551" width="25.85546875" style="4" customWidth="1"/>
    <col min="3552" max="3552" width="44" style="4" customWidth="1"/>
    <col min="3553" max="3553" width="21.7109375" style="4" customWidth="1"/>
    <col min="3554" max="3554" width="11.85546875" style="4" customWidth="1"/>
    <col min="3555" max="3555" width="9.85546875" style="4" customWidth="1"/>
    <col min="3556" max="3556" width="10" style="4" customWidth="1"/>
    <col min="3557" max="3557" width="21.140625" style="4" customWidth="1"/>
    <col min="3558" max="3568" width="0" style="4" hidden="1" customWidth="1"/>
    <col min="3569" max="3569" width="11.5703125" style="4" customWidth="1"/>
    <col min="3570" max="3570" width="11" style="4" customWidth="1"/>
    <col min="3571" max="3571" width="13.140625" style="4" customWidth="1"/>
    <col min="3572" max="3572" width="13.85546875" style="4" customWidth="1"/>
    <col min="3573" max="3573" width="13.28515625" style="4" customWidth="1"/>
    <col min="3574" max="3574" width="16.140625" style="4" customWidth="1"/>
    <col min="3575" max="3577" width="7.140625" style="4" customWidth="1"/>
    <col min="3578" max="3578" width="8.5703125" style="4" customWidth="1"/>
    <col min="3579" max="3579" width="12.42578125" style="4" customWidth="1"/>
    <col min="3580" max="3580" width="12.7109375" style="4" customWidth="1"/>
    <col min="3581" max="3581" width="13.85546875" style="4" customWidth="1"/>
    <col min="3582" max="3582" width="23.28515625" style="4" customWidth="1"/>
    <col min="3583" max="3583" width="11.5703125" style="4" customWidth="1"/>
    <col min="3584" max="3584" width="10.140625" style="4" customWidth="1"/>
    <col min="3585" max="3585" width="10.85546875" style="4" customWidth="1"/>
    <col min="3586" max="3586" width="12.5703125" style="4" customWidth="1"/>
    <col min="3587" max="3587" width="14.28515625" style="4" customWidth="1"/>
    <col min="3588" max="3588" width="12.5703125" style="4" customWidth="1"/>
    <col min="3589" max="3589" width="17.28515625" style="4" customWidth="1"/>
    <col min="3590" max="3590" width="18.85546875" style="4" customWidth="1"/>
    <col min="3591" max="3591" width="15.140625" style="4" customWidth="1"/>
    <col min="3592" max="3592" width="17.7109375" style="4" customWidth="1"/>
    <col min="3593" max="3593" width="23.140625" style="4" customWidth="1"/>
    <col min="3594" max="3594" width="27.42578125" style="4" customWidth="1"/>
    <col min="3595" max="3595" width="13.28515625" style="4" customWidth="1"/>
    <col min="3596" max="3596" width="12.7109375" style="4" customWidth="1"/>
    <col min="3597" max="3597" width="13.85546875" style="4" customWidth="1"/>
    <col min="3598" max="3606" width="11.42578125" style="4"/>
    <col min="3607" max="3607" width="14.140625" style="4" customWidth="1"/>
    <col min="3608" max="3608" width="13.28515625" style="4" customWidth="1"/>
    <col min="3609" max="3609" width="13.85546875" style="4" customWidth="1"/>
    <col min="3610" max="3610" width="16.5703125" style="4" customWidth="1"/>
    <col min="3611" max="3611" width="11.42578125" style="4"/>
    <col min="3612" max="3612" width="15" style="4" customWidth="1"/>
    <col min="3613" max="3613" width="14.85546875" style="4" customWidth="1"/>
    <col min="3614" max="3614" width="12.7109375" style="4" customWidth="1"/>
    <col min="3615" max="3615" width="11.42578125" style="4"/>
    <col min="3616" max="3616" width="15.7109375" style="4" customWidth="1"/>
    <col min="3617" max="3617" width="14.7109375" style="4" customWidth="1"/>
    <col min="3618" max="3802" width="11.42578125" style="4"/>
    <col min="3803" max="3803" width="10.42578125" style="4" customWidth="1"/>
    <col min="3804" max="3804" width="17.7109375" style="4" customWidth="1"/>
    <col min="3805" max="3805" width="0" style="4" hidden="1" customWidth="1"/>
    <col min="3806" max="3806" width="23.5703125" style="4" customWidth="1"/>
    <col min="3807" max="3807" width="25.85546875" style="4" customWidth="1"/>
    <col min="3808" max="3808" width="44" style="4" customWidth="1"/>
    <col min="3809" max="3809" width="21.7109375" style="4" customWidth="1"/>
    <col min="3810" max="3810" width="11.85546875" style="4" customWidth="1"/>
    <col min="3811" max="3811" width="9.85546875" style="4" customWidth="1"/>
    <col min="3812" max="3812" width="10" style="4" customWidth="1"/>
    <col min="3813" max="3813" width="21.140625" style="4" customWidth="1"/>
    <col min="3814" max="3824" width="0" style="4" hidden="1" customWidth="1"/>
    <col min="3825" max="3825" width="11.5703125" style="4" customWidth="1"/>
    <col min="3826" max="3826" width="11" style="4" customWidth="1"/>
    <col min="3827" max="3827" width="13.140625" style="4" customWidth="1"/>
    <col min="3828" max="3828" width="13.85546875" style="4" customWidth="1"/>
    <col min="3829" max="3829" width="13.28515625" style="4" customWidth="1"/>
    <col min="3830" max="3830" width="16.140625" style="4" customWidth="1"/>
    <col min="3831" max="3833" width="7.140625" style="4" customWidth="1"/>
    <col min="3834" max="3834" width="8.5703125" style="4" customWidth="1"/>
    <col min="3835" max="3835" width="12.42578125" style="4" customWidth="1"/>
    <col min="3836" max="3836" width="12.7109375" style="4" customWidth="1"/>
    <col min="3837" max="3837" width="13.85546875" style="4" customWidth="1"/>
    <col min="3838" max="3838" width="23.28515625" style="4" customWidth="1"/>
    <col min="3839" max="3839" width="11.5703125" style="4" customWidth="1"/>
    <col min="3840" max="3840" width="10.140625" style="4" customWidth="1"/>
    <col min="3841" max="3841" width="10.85546875" style="4" customWidth="1"/>
    <col min="3842" max="3842" width="12.5703125" style="4" customWidth="1"/>
    <col min="3843" max="3843" width="14.28515625" style="4" customWidth="1"/>
    <col min="3844" max="3844" width="12.5703125" style="4" customWidth="1"/>
    <col min="3845" max="3845" width="17.28515625" style="4" customWidth="1"/>
    <col min="3846" max="3846" width="18.85546875" style="4" customWidth="1"/>
    <col min="3847" max="3847" width="15.140625" style="4" customWidth="1"/>
    <col min="3848" max="3848" width="17.7109375" style="4" customWidth="1"/>
    <col min="3849" max="3849" width="23.140625" style="4" customWidth="1"/>
    <col min="3850" max="3850" width="27.42578125" style="4" customWidth="1"/>
    <col min="3851" max="3851" width="13.28515625" style="4" customWidth="1"/>
    <col min="3852" max="3852" width="12.7109375" style="4" customWidth="1"/>
    <col min="3853" max="3853" width="13.85546875" style="4" customWidth="1"/>
    <col min="3854" max="3862" width="11.42578125" style="4"/>
    <col min="3863" max="3863" width="14.140625" style="4" customWidth="1"/>
    <col min="3864" max="3864" width="13.28515625" style="4" customWidth="1"/>
    <col min="3865" max="3865" width="13.85546875" style="4" customWidth="1"/>
    <col min="3866" max="3866" width="16.5703125" style="4" customWidth="1"/>
    <col min="3867" max="3867" width="11.42578125" style="4"/>
    <col min="3868" max="3868" width="15" style="4" customWidth="1"/>
    <col min="3869" max="3869" width="14.85546875" style="4" customWidth="1"/>
    <col min="3870" max="3870" width="12.7109375" style="4" customWidth="1"/>
    <col min="3871" max="3871" width="11.42578125" style="4"/>
    <col min="3872" max="3872" width="15.7109375" style="4" customWidth="1"/>
    <col min="3873" max="3873" width="14.7109375" style="4" customWidth="1"/>
    <col min="3874" max="4058" width="11.42578125" style="4"/>
    <col min="4059" max="4059" width="10.42578125" style="4" customWidth="1"/>
    <col min="4060" max="4060" width="17.7109375" style="4" customWidth="1"/>
    <col min="4061" max="4061" width="0" style="4" hidden="1" customWidth="1"/>
    <col min="4062" max="4062" width="23.5703125" style="4" customWidth="1"/>
    <col min="4063" max="4063" width="25.85546875" style="4" customWidth="1"/>
    <col min="4064" max="4064" width="44" style="4" customWidth="1"/>
    <col min="4065" max="4065" width="21.7109375" style="4" customWidth="1"/>
    <col min="4066" max="4066" width="11.85546875" style="4" customWidth="1"/>
    <col min="4067" max="4067" width="9.85546875" style="4" customWidth="1"/>
    <col min="4068" max="4068" width="10" style="4" customWidth="1"/>
    <col min="4069" max="4069" width="21.140625" style="4" customWidth="1"/>
    <col min="4070" max="4080" width="0" style="4" hidden="1" customWidth="1"/>
    <col min="4081" max="4081" width="11.5703125" style="4" customWidth="1"/>
    <col min="4082" max="4082" width="11" style="4" customWidth="1"/>
    <col min="4083" max="4083" width="13.140625" style="4" customWidth="1"/>
    <col min="4084" max="4084" width="13.85546875" style="4" customWidth="1"/>
    <col min="4085" max="4085" width="13.28515625" style="4" customWidth="1"/>
    <col min="4086" max="4086" width="16.140625" style="4" customWidth="1"/>
    <col min="4087" max="4089" width="7.140625" style="4" customWidth="1"/>
    <col min="4090" max="4090" width="8.5703125" style="4" customWidth="1"/>
    <col min="4091" max="4091" width="12.42578125" style="4" customWidth="1"/>
    <col min="4092" max="4092" width="12.7109375" style="4" customWidth="1"/>
    <col min="4093" max="4093" width="13.85546875" style="4" customWidth="1"/>
    <col min="4094" max="4094" width="23.28515625" style="4" customWidth="1"/>
    <col min="4095" max="4095" width="11.5703125" style="4" customWidth="1"/>
    <col min="4096" max="4096" width="10.140625" style="4" customWidth="1"/>
    <col min="4097" max="4097" width="10.85546875" style="4" customWidth="1"/>
    <col min="4098" max="4098" width="12.5703125" style="4" customWidth="1"/>
    <col min="4099" max="4099" width="14.28515625" style="4" customWidth="1"/>
    <col min="4100" max="4100" width="12.5703125" style="4" customWidth="1"/>
    <col min="4101" max="4101" width="17.28515625" style="4" customWidth="1"/>
    <col min="4102" max="4102" width="18.85546875" style="4" customWidth="1"/>
    <col min="4103" max="4103" width="15.140625" style="4" customWidth="1"/>
    <col min="4104" max="4104" width="17.7109375" style="4" customWidth="1"/>
    <col min="4105" max="4105" width="23.140625" style="4" customWidth="1"/>
    <col min="4106" max="4106" width="27.42578125" style="4" customWidth="1"/>
    <col min="4107" max="4107" width="13.28515625" style="4" customWidth="1"/>
    <col min="4108" max="4108" width="12.7109375" style="4" customWidth="1"/>
    <col min="4109" max="4109" width="13.85546875" style="4" customWidth="1"/>
    <col min="4110" max="4118" width="11.42578125" style="4"/>
    <col min="4119" max="4119" width="14.140625" style="4" customWidth="1"/>
    <col min="4120" max="4120" width="13.28515625" style="4" customWidth="1"/>
    <col min="4121" max="4121" width="13.85546875" style="4" customWidth="1"/>
    <col min="4122" max="4122" width="16.5703125" style="4" customWidth="1"/>
    <col min="4123" max="4123" width="11.42578125" style="4"/>
    <col min="4124" max="4124" width="15" style="4" customWidth="1"/>
    <col min="4125" max="4125" width="14.85546875" style="4" customWidth="1"/>
    <col min="4126" max="4126" width="12.7109375" style="4" customWidth="1"/>
    <col min="4127" max="4127" width="11.42578125" style="4"/>
    <col min="4128" max="4128" width="15.7109375" style="4" customWidth="1"/>
    <col min="4129" max="4129" width="14.7109375" style="4" customWidth="1"/>
    <col min="4130" max="4314" width="11.42578125" style="4"/>
    <col min="4315" max="4315" width="10.42578125" style="4" customWidth="1"/>
    <col min="4316" max="4316" width="17.7109375" style="4" customWidth="1"/>
    <col min="4317" max="4317" width="0" style="4" hidden="1" customWidth="1"/>
    <col min="4318" max="4318" width="23.5703125" style="4" customWidth="1"/>
    <col min="4319" max="4319" width="25.85546875" style="4" customWidth="1"/>
    <col min="4320" max="4320" width="44" style="4" customWidth="1"/>
    <col min="4321" max="4321" width="21.7109375" style="4" customWidth="1"/>
    <col min="4322" max="4322" width="11.85546875" style="4" customWidth="1"/>
    <col min="4323" max="4323" width="9.85546875" style="4" customWidth="1"/>
    <col min="4324" max="4324" width="10" style="4" customWidth="1"/>
    <col min="4325" max="4325" width="21.140625" style="4" customWidth="1"/>
    <col min="4326" max="4336" width="0" style="4" hidden="1" customWidth="1"/>
    <col min="4337" max="4337" width="11.5703125" style="4" customWidth="1"/>
    <col min="4338" max="4338" width="11" style="4" customWidth="1"/>
    <col min="4339" max="4339" width="13.140625" style="4" customWidth="1"/>
    <col min="4340" max="4340" width="13.85546875" style="4" customWidth="1"/>
    <col min="4341" max="4341" width="13.28515625" style="4" customWidth="1"/>
    <col min="4342" max="4342" width="16.140625" style="4" customWidth="1"/>
    <col min="4343" max="4345" width="7.140625" style="4" customWidth="1"/>
    <col min="4346" max="4346" width="8.5703125" style="4" customWidth="1"/>
    <col min="4347" max="4347" width="12.42578125" style="4" customWidth="1"/>
    <col min="4348" max="4348" width="12.7109375" style="4" customWidth="1"/>
    <col min="4349" max="4349" width="13.85546875" style="4" customWidth="1"/>
    <col min="4350" max="4350" width="23.28515625" style="4" customWidth="1"/>
    <col min="4351" max="4351" width="11.5703125" style="4" customWidth="1"/>
    <col min="4352" max="4352" width="10.140625" style="4" customWidth="1"/>
    <col min="4353" max="4353" width="10.85546875" style="4" customWidth="1"/>
    <col min="4354" max="4354" width="12.5703125" style="4" customWidth="1"/>
    <col min="4355" max="4355" width="14.28515625" style="4" customWidth="1"/>
    <col min="4356" max="4356" width="12.5703125" style="4" customWidth="1"/>
    <col min="4357" max="4357" width="17.28515625" style="4" customWidth="1"/>
    <col min="4358" max="4358" width="18.85546875" style="4" customWidth="1"/>
    <col min="4359" max="4359" width="15.140625" style="4" customWidth="1"/>
    <col min="4360" max="4360" width="17.7109375" style="4" customWidth="1"/>
    <col min="4361" max="4361" width="23.140625" style="4" customWidth="1"/>
    <col min="4362" max="4362" width="27.42578125" style="4" customWidth="1"/>
    <col min="4363" max="4363" width="13.28515625" style="4" customWidth="1"/>
    <col min="4364" max="4364" width="12.7109375" style="4" customWidth="1"/>
    <col min="4365" max="4365" width="13.85546875" style="4" customWidth="1"/>
    <col min="4366" max="4374" width="11.42578125" style="4"/>
    <col min="4375" max="4375" width="14.140625" style="4" customWidth="1"/>
    <col min="4376" max="4376" width="13.28515625" style="4" customWidth="1"/>
    <col min="4377" max="4377" width="13.85546875" style="4" customWidth="1"/>
    <col min="4378" max="4378" width="16.5703125" style="4" customWidth="1"/>
    <col min="4379" max="4379" width="11.42578125" style="4"/>
    <col min="4380" max="4380" width="15" style="4" customWidth="1"/>
    <col min="4381" max="4381" width="14.85546875" style="4" customWidth="1"/>
    <col min="4382" max="4382" width="12.7109375" style="4" customWidth="1"/>
    <col min="4383" max="4383" width="11.42578125" style="4"/>
    <col min="4384" max="4384" width="15.7109375" style="4" customWidth="1"/>
    <col min="4385" max="4385" width="14.7109375" style="4" customWidth="1"/>
    <col min="4386" max="4570" width="11.42578125" style="4"/>
    <col min="4571" max="4571" width="10.42578125" style="4" customWidth="1"/>
    <col min="4572" max="4572" width="17.7109375" style="4" customWidth="1"/>
    <col min="4573" max="4573" width="0" style="4" hidden="1" customWidth="1"/>
    <col min="4574" max="4574" width="23.5703125" style="4" customWidth="1"/>
    <col min="4575" max="4575" width="25.85546875" style="4" customWidth="1"/>
    <col min="4576" max="4576" width="44" style="4" customWidth="1"/>
    <col min="4577" max="4577" width="21.7109375" style="4" customWidth="1"/>
    <col min="4578" max="4578" width="11.85546875" style="4" customWidth="1"/>
    <col min="4579" max="4579" width="9.85546875" style="4" customWidth="1"/>
    <col min="4580" max="4580" width="10" style="4" customWidth="1"/>
    <col min="4581" max="4581" width="21.140625" style="4" customWidth="1"/>
    <col min="4582" max="4592" width="0" style="4" hidden="1" customWidth="1"/>
    <col min="4593" max="4593" width="11.5703125" style="4" customWidth="1"/>
    <col min="4594" max="4594" width="11" style="4" customWidth="1"/>
    <col min="4595" max="4595" width="13.140625" style="4" customWidth="1"/>
    <col min="4596" max="4596" width="13.85546875" style="4" customWidth="1"/>
    <col min="4597" max="4597" width="13.28515625" style="4" customWidth="1"/>
    <col min="4598" max="4598" width="16.140625" style="4" customWidth="1"/>
    <col min="4599" max="4601" width="7.140625" style="4" customWidth="1"/>
    <col min="4602" max="4602" width="8.5703125" style="4" customWidth="1"/>
    <col min="4603" max="4603" width="12.42578125" style="4" customWidth="1"/>
    <col min="4604" max="4604" width="12.7109375" style="4" customWidth="1"/>
    <col min="4605" max="4605" width="13.85546875" style="4" customWidth="1"/>
    <col min="4606" max="4606" width="23.28515625" style="4" customWidth="1"/>
    <col min="4607" max="4607" width="11.5703125" style="4" customWidth="1"/>
    <col min="4608" max="4608" width="10.140625" style="4" customWidth="1"/>
    <col min="4609" max="4609" width="10.85546875" style="4" customWidth="1"/>
    <col min="4610" max="4610" width="12.5703125" style="4" customWidth="1"/>
    <col min="4611" max="4611" width="14.28515625" style="4" customWidth="1"/>
    <col min="4612" max="4612" width="12.5703125" style="4" customWidth="1"/>
    <col min="4613" max="4613" width="17.28515625" style="4" customWidth="1"/>
    <col min="4614" max="4614" width="18.85546875" style="4" customWidth="1"/>
    <col min="4615" max="4615" width="15.140625" style="4" customWidth="1"/>
    <col min="4616" max="4616" width="17.7109375" style="4" customWidth="1"/>
    <col min="4617" max="4617" width="23.140625" style="4" customWidth="1"/>
    <col min="4618" max="4618" width="27.42578125" style="4" customWidth="1"/>
    <col min="4619" max="4619" width="13.28515625" style="4" customWidth="1"/>
    <col min="4620" max="4620" width="12.7109375" style="4" customWidth="1"/>
    <col min="4621" max="4621" width="13.85546875" style="4" customWidth="1"/>
    <col min="4622" max="4630" width="11.42578125" style="4"/>
    <col min="4631" max="4631" width="14.140625" style="4" customWidth="1"/>
    <col min="4632" max="4632" width="13.28515625" style="4" customWidth="1"/>
    <col min="4633" max="4633" width="13.85546875" style="4" customWidth="1"/>
    <col min="4634" max="4634" width="16.5703125" style="4" customWidth="1"/>
    <col min="4635" max="4635" width="11.42578125" style="4"/>
    <col min="4636" max="4636" width="15" style="4" customWidth="1"/>
    <col min="4637" max="4637" width="14.85546875" style="4" customWidth="1"/>
    <col min="4638" max="4638" width="12.7109375" style="4" customWidth="1"/>
    <col min="4639" max="4639" width="11.42578125" style="4"/>
    <col min="4640" max="4640" width="15.7109375" style="4" customWidth="1"/>
    <col min="4641" max="4641" width="14.7109375" style="4" customWidth="1"/>
    <col min="4642" max="4826" width="11.42578125" style="4"/>
    <col min="4827" max="4827" width="10.42578125" style="4" customWidth="1"/>
    <col min="4828" max="4828" width="17.7109375" style="4" customWidth="1"/>
    <col min="4829" max="4829" width="0" style="4" hidden="1" customWidth="1"/>
    <col min="4830" max="4830" width="23.5703125" style="4" customWidth="1"/>
    <col min="4831" max="4831" width="25.85546875" style="4" customWidth="1"/>
    <col min="4832" max="4832" width="44" style="4" customWidth="1"/>
    <col min="4833" max="4833" width="21.7109375" style="4" customWidth="1"/>
    <col min="4834" max="4834" width="11.85546875" style="4" customWidth="1"/>
    <col min="4835" max="4835" width="9.85546875" style="4" customWidth="1"/>
    <col min="4836" max="4836" width="10" style="4" customWidth="1"/>
    <col min="4837" max="4837" width="21.140625" style="4" customWidth="1"/>
    <col min="4838" max="4848" width="0" style="4" hidden="1" customWidth="1"/>
    <col min="4849" max="4849" width="11.5703125" style="4" customWidth="1"/>
    <col min="4850" max="4850" width="11" style="4" customWidth="1"/>
    <col min="4851" max="4851" width="13.140625" style="4" customWidth="1"/>
    <col min="4852" max="4852" width="13.85546875" style="4" customWidth="1"/>
    <col min="4853" max="4853" width="13.28515625" style="4" customWidth="1"/>
    <col min="4854" max="4854" width="16.140625" style="4" customWidth="1"/>
    <col min="4855" max="4857" width="7.140625" style="4" customWidth="1"/>
    <col min="4858" max="4858" width="8.5703125" style="4" customWidth="1"/>
    <col min="4859" max="4859" width="12.42578125" style="4" customWidth="1"/>
    <col min="4860" max="4860" width="12.7109375" style="4" customWidth="1"/>
    <col min="4861" max="4861" width="13.85546875" style="4" customWidth="1"/>
    <col min="4862" max="4862" width="23.28515625" style="4" customWidth="1"/>
    <col min="4863" max="4863" width="11.5703125" style="4" customWidth="1"/>
    <col min="4864" max="4864" width="10.140625" style="4" customWidth="1"/>
    <col min="4865" max="4865" width="10.85546875" style="4" customWidth="1"/>
    <col min="4866" max="4866" width="12.5703125" style="4" customWidth="1"/>
    <col min="4867" max="4867" width="14.28515625" style="4" customWidth="1"/>
    <col min="4868" max="4868" width="12.5703125" style="4" customWidth="1"/>
    <col min="4869" max="4869" width="17.28515625" style="4" customWidth="1"/>
    <col min="4870" max="4870" width="18.85546875" style="4" customWidth="1"/>
    <col min="4871" max="4871" width="15.140625" style="4" customWidth="1"/>
    <col min="4872" max="4872" width="17.7109375" style="4" customWidth="1"/>
    <col min="4873" max="4873" width="23.140625" style="4" customWidth="1"/>
    <col min="4874" max="4874" width="27.42578125" style="4" customWidth="1"/>
    <col min="4875" max="4875" width="13.28515625" style="4" customWidth="1"/>
    <col min="4876" max="4876" width="12.7109375" style="4" customWidth="1"/>
    <col min="4877" max="4877" width="13.85546875" style="4" customWidth="1"/>
    <col min="4878" max="4886" width="11.42578125" style="4"/>
    <col min="4887" max="4887" width="14.140625" style="4" customWidth="1"/>
    <col min="4888" max="4888" width="13.28515625" style="4" customWidth="1"/>
    <col min="4889" max="4889" width="13.85546875" style="4" customWidth="1"/>
    <col min="4890" max="4890" width="16.5703125" style="4" customWidth="1"/>
    <col min="4891" max="4891" width="11.42578125" style="4"/>
    <col min="4892" max="4892" width="15" style="4" customWidth="1"/>
    <col min="4893" max="4893" width="14.85546875" style="4" customWidth="1"/>
    <col min="4894" max="4894" width="12.7109375" style="4" customWidth="1"/>
    <col min="4895" max="4895" width="11.42578125" style="4"/>
    <col min="4896" max="4896" width="15.7109375" style="4" customWidth="1"/>
    <col min="4897" max="4897" width="14.7109375" style="4" customWidth="1"/>
    <col min="4898" max="5082" width="11.42578125" style="4"/>
    <col min="5083" max="5083" width="10.42578125" style="4" customWidth="1"/>
    <col min="5084" max="5084" width="17.7109375" style="4" customWidth="1"/>
    <col min="5085" max="5085" width="0" style="4" hidden="1" customWidth="1"/>
    <col min="5086" max="5086" width="23.5703125" style="4" customWidth="1"/>
    <col min="5087" max="5087" width="25.85546875" style="4" customWidth="1"/>
    <col min="5088" max="5088" width="44" style="4" customWidth="1"/>
    <col min="5089" max="5089" width="21.7109375" style="4" customWidth="1"/>
    <col min="5090" max="5090" width="11.85546875" style="4" customWidth="1"/>
    <col min="5091" max="5091" width="9.85546875" style="4" customWidth="1"/>
    <col min="5092" max="5092" width="10" style="4" customWidth="1"/>
    <col min="5093" max="5093" width="21.140625" style="4" customWidth="1"/>
    <col min="5094" max="5104" width="0" style="4" hidden="1" customWidth="1"/>
    <col min="5105" max="5105" width="11.5703125" style="4" customWidth="1"/>
    <col min="5106" max="5106" width="11" style="4" customWidth="1"/>
    <col min="5107" max="5107" width="13.140625" style="4" customWidth="1"/>
    <col min="5108" max="5108" width="13.85546875" style="4" customWidth="1"/>
    <col min="5109" max="5109" width="13.28515625" style="4" customWidth="1"/>
    <col min="5110" max="5110" width="16.140625" style="4" customWidth="1"/>
    <col min="5111" max="5113" width="7.140625" style="4" customWidth="1"/>
    <col min="5114" max="5114" width="8.5703125" style="4" customWidth="1"/>
    <col min="5115" max="5115" width="12.42578125" style="4" customWidth="1"/>
    <col min="5116" max="5116" width="12.7109375" style="4" customWidth="1"/>
    <col min="5117" max="5117" width="13.85546875" style="4" customWidth="1"/>
    <col min="5118" max="5118" width="23.28515625" style="4" customWidth="1"/>
    <col min="5119" max="5119" width="11.5703125" style="4" customWidth="1"/>
    <col min="5120" max="5120" width="10.140625" style="4" customWidth="1"/>
    <col min="5121" max="5121" width="10.85546875" style="4" customWidth="1"/>
    <col min="5122" max="5122" width="12.5703125" style="4" customWidth="1"/>
    <col min="5123" max="5123" width="14.28515625" style="4" customWidth="1"/>
    <col min="5124" max="5124" width="12.5703125" style="4" customWidth="1"/>
    <col min="5125" max="5125" width="17.28515625" style="4" customWidth="1"/>
    <col min="5126" max="5126" width="18.85546875" style="4" customWidth="1"/>
    <col min="5127" max="5127" width="15.140625" style="4" customWidth="1"/>
    <col min="5128" max="5128" width="17.7109375" style="4" customWidth="1"/>
    <col min="5129" max="5129" width="23.140625" style="4" customWidth="1"/>
    <col min="5130" max="5130" width="27.42578125" style="4" customWidth="1"/>
    <col min="5131" max="5131" width="13.28515625" style="4" customWidth="1"/>
    <col min="5132" max="5132" width="12.7109375" style="4" customWidth="1"/>
    <col min="5133" max="5133" width="13.85546875" style="4" customWidth="1"/>
    <col min="5134" max="5142" width="11.42578125" style="4"/>
    <col min="5143" max="5143" width="14.140625" style="4" customWidth="1"/>
    <col min="5144" max="5144" width="13.28515625" style="4" customWidth="1"/>
    <col min="5145" max="5145" width="13.85546875" style="4" customWidth="1"/>
    <col min="5146" max="5146" width="16.5703125" style="4" customWidth="1"/>
    <col min="5147" max="5147" width="11.42578125" style="4"/>
    <col min="5148" max="5148" width="15" style="4" customWidth="1"/>
    <col min="5149" max="5149" width="14.85546875" style="4" customWidth="1"/>
    <col min="5150" max="5150" width="12.7109375" style="4" customWidth="1"/>
    <col min="5151" max="5151" width="11.42578125" style="4"/>
    <col min="5152" max="5152" width="15.7109375" style="4" customWidth="1"/>
    <col min="5153" max="5153" width="14.7109375" style="4" customWidth="1"/>
    <col min="5154" max="5338" width="11.42578125" style="4"/>
    <col min="5339" max="5339" width="10.42578125" style="4" customWidth="1"/>
    <col min="5340" max="5340" width="17.7109375" style="4" customWidth="1"/>
    <col min="5341" max="5341" width="0" style="4" hidden="1" customWidth="1"/>
    <col min="5342" max="5342" width="23.5703125" style="4" customWidth="1"/>
    <col min="5343" max="5343" width="25.85546875" style="4" customWidth="1"/>
    <col min="5344" max="5344" width="44" style="4" customWidth="1"/>
    <col min="5345" max="5345" width="21.7109375" style="4" customWidth="1"/>
    <col min="5346" max="5346" width="11.85546875" style="4" customWidth="1"/>
    <col min="5347" max="5347" width="9.85546875" style="4" customWidth="1"/>
    <col min="5348" max="5348" width="10" style="4" customWidth="1"/>
    <col min="5349" max="5349" width="21.140625" style="4" customWidth="1"/>
    <col min="5350" max="5360" width="0" style="4" hidden="1" customWidth="1"/>
    <col min="5361" max="5361" width="11.5703125" style="4" customWidth="1"/>
    <col min="5362" max="5362" width="11" style="4" customWidth="1"/>
    <col min="5363" max="5363" width="13.140625" style="4" customWidth="1"/>
    <col min="5364" max="5364" width="13.85546875" style="4" customWidth="1"/>
    <col min="5365" max="5365" width="13.28515625" style="4" customWidth="1"/>
    <col min="5366" max="5366" width="16.140625" style="4" customWidth="1"/>
    <col min="5367" max="5369" width="7.140625" style="4" customWidth="1"/>
    <col min="5370" max="5370" width="8.5703125" style="4" customWidth="1"/>
    <col min="5371" max="5371" width="12.42578125" style="4" customWidth="1"/>
    <col min="5372" max="5372" width="12.7109375" style="4" customWidth="1"/>
    <col min="5373" max="5373" width="13.85546875" style="4" customWidth="1"/>
    <col min="5374" max="5374" width="23.28515625" style="4" customWidth="1"/>
    <col min="5375" max="5375" width="11.5703125" style="4" customWidth="1"/>
    <col min="5376" max="5376" width="10.140625" style="4" customWidth="1"/>
    <col min="5377" max="5377" width="10.85546875" style="4" customWidth="1"/>
    <col min="5378" max="5378" width="12.5703125" style="4" customWidth="1"/>
    <col min="5379" max="5379" width="14.28515625" style="4" customWidth="1"/>
    <col min="5380" max="5380" width="12.5703125" style="4" customWidth="1"/>
    <col min="5381" max="5381" width="17.28515625" style="4" customWidth="1"/>
    <col min="5382" max="5382" width="18.85546875" style="4" customWidth="1"/>
    <col min="5383" max="5383" width="15.140625" style="4" customWidth="1"/>
    <col min="5384" max="5384" width="17.7109375" style="4" customWidth="1"/>
    <col min="5385" max="5385" width="23.140625" style="4" customWidth="1"/>
    <col min="5386" max="5386" width="27.42578125" style="4" customWidth="1"/>
    <col min="5387" max="5387" width="13.28515625" style="4" customWidth="1"/>
    <col min="5388" max="5388" width="12.7109375" style="4" customWidth="1"/>
    <col min="5389" max="5389" width="13.85546875" style="4" customWidth="1"/>
    <col min="5390" max="5398" width="11.42578125" style="4"/>
    <col min="5399" max="5399" width="14.140625" style="4" customWidth="1"/>
    <col min="5400" max="5400" width="13.28515625" style="4" customWidth="1"/>
    <col min="5401" max="5401" width="13.85546875" style="4" customWidth="1"/>
    <col min="5402" max="5402" width="16.5703125" style="4" customWidth="1"/>
    <col min="5403" max="5403" width="11.42578125" style="4"/>
    <col min="5404" max="5404" width="15" style="4" customWidth="1"/>
    <col min="5405" max="5405" width="14.85546875" style="4" customWidth="1"/>
    <col min="5406" max="5406" width="12.7109375" style="4" customWidth="1"/>
    <col min="5407" max="5407" width="11.42578125" style="4"/>
    <col min="5408" max="5408" width="15.7109375" style="4" customWidth="1"/>
    <col min="5409" max="5409" width="14.7109375" style="4" customWidth="1"/>
    <col min="5410" max="5594" width="11.42578125" style="4"/>
    <col min="5595" max="5595" width="10.42578125" style="4" customWidth="1"/>
    <col min="5596" max="5596" width="17.7109375" style="4" customWidth="1"/>
    <col min="5597" max="5597" width="0" style="4" hidden="1" customWidth="1"/>
    <col min="5598" max="5598" width="23.5703125" style="4" customWidth="1"/>
    <col min="5599" max="5599" width="25.85546875" style="4" customWidth="1"/>
    <col min="5600" max="5600" width="44" style="4" customWidth="1"/>
    <col min="5601" max="5601" width="21.7109375" style="4" customWidth="1"/>
    <col min="5602" max="5602" width="11.85546875" style="4" customWidth="1"/>
    <col min="5603" max="5603" width="9.85546875" style="4" customWidth="1"/>
    <col min="5604" max="5604" width="10" style="4" customWidth="1"/>
    <col min="5605" max="5605" width="21.140625" style="4" customWidth="1"/>
    <col min="5606" max="5616" width="0" style="4" hidden="1" customWidth="1"/>
    <col min="5617" max="5617" width="11.5703125" style="4" customWidth="1"/>
    <col min="5618" max="5618" width="11" style="4" customWidth="1"/>
    <col min="5619" max="5619" width="13.140625" style="4" customWidth="1"/>
    <col min="5620" max="5620" width="13.85546875" style="4" customWidth="1"/>
    <col min="5621" max="5621" width="13.28515625" style="4" customWidth="1"/>
    <col min="5622" max="5622" width="16.140625" style="4" customWidth="1"/>
    <col min="5623" max="5625" width="7.140625" style="4" customWidth="1"/>
    <col min="5626" max="5626" width="8.5703125" style="4" customWidth="1"/>
    <col min="5627" max="5627" width="12.42578125" style="4" customWidth="1"/>
    <col min="5628" max="5628" width="12.7109375" style="4" customWidth="1"/>
    <col min="5629" max="5629" width="13.85546875" style="4" customWidth="1"/>
    <col min="5630" max="5630" width="23.28515625" style="4" customWidth="1"/>
    <col min="5631" max="5631" width="11.5703125" style="4" customWidth="1"/>
    <col min="5632" max="5632" width="10.140625" style="4" customWidth="1"/>
    <col min="5633" max="5633" width="10.85546875" style="4" customWidth="1"/>
    <col min="5634" max="5634" width="12.5703125" style="4" customWidth="1"/>
    <col min="5635" max="5635" width="14.28515625" style="4" customWidth="1"/>
    <col min="5636" max="5636" width="12.5703125" style="4" customWidth="1"/>
    <col min="5637" max="5637" width="17.28515625" style="4" customWidth="1"/>
    <col min="5638" max="5638" width="18.85546875" style="4" customWidth="1"/>
    <col min="5639" max="5639" width="15.140625" style="4" customWidth="1"/>
    <col min="5640" max="5640" width="17.7109375" style="4" customWidth="1"/>
    <col min="5641" max="5641" width="23.140625" style="4" customWidth="1"/>
    <col min="5642" max="5642" width="27.42578125" style="4" customWidth="1"/>
    <col min="5643" max="5643" width="13.28515625" style="4" customWidth="1"/>
    <col min="5644" max="5644" width="12.7109375" style="4" customWidth="1"/>
    <col min="5645" max="5645" width="13.85546875" style="4" customWidth="1"/>
    <col min="5646" max="5654" width="11.42578125" style="4"/>
    <col min="5655" max="5655" width="14.140625" style="4" customWidth="1"/>
    <col min="5656" max="5656" width="13.28515625" style="4" customWidth="1"/>
    <col min="5657" max="5657" width="13.85546875" style="4" customWidth="1"/>
    <col min="5658" max="5658" width="16.5703125" style="4" customWidth="1"/>
    <col min="5659" max="5659" width="11.42578125" style="4"/>
    <col min="5660" max="5660" width="15" style="4" customWidth="1"/>
    <col min="5661" max="5661" width="14.85546875" style="4" customWidth="1"/>
    <col min="5662" max="5662" width="12.7109375" style="4" customWidth="1"/>
    <col min="5663" max="5663" width="11.42578125" style="4"/>
    <col min="5664" max="5664" width="15.7109375" style="4" customWidth="1"/>
    <col min="5665" max="5665" width="14.7109375" style="4" customWidth="1"/>
    <col min="5666" max="5850" width="11.42578125" style="4"/>
    <col min="5851" max="5851" width="10.42578125" style="4" customWidth="1"/>
    <col min="5852" max="5852" width="17.7109375" style="4" customWidth="1"/>
    <col min="5853" max="5853" width="0" style="4" hidden="1" customWidth="1"/>
    <col min="5854" max="5854" width="23.5703125" style="4" customWidth="1"/>
    <col min="5855" max="5855" width="25.85546875" style="4" customWidth="1"/>
    <col min="5856" max="5856" width="44" style="4" customWidth="1"/>
    <col min="5857" max="5857" width="21.7109375" style="4" customWidth="1"/>
    <col min="5858" max="5858" width="11.85546875" style="4" customWidth="1"/>
    <col min="5859" max="5859" width="9.85546875" style="4" customWidth="1"/>
    <col min="5860" max="5860" width="10" style="4" customWidth="1"/>
    <col min="5861" max="5861" width="21.140625" style="4" customWidth="1"/>
    <col min="5862" max="5872" width="0" style="4" hidden="1" customWidth="1"/>
    <col min="5873" max="5873" width="11.5703125" style="4" customWidth="1"/>
    <col min="5874" max="5874" width="11" style="4" customWidth="1"/>
    <col min="5875" max="5875" width="13.140625" style="4" customWidth="1"/>
    <col min="5876" max="5876" width="13.85546875" style="4" customWidth="1"/>
    <col min="5877" max="5877" width="13.28515625" style="4" customWidth="1"/>
    <col min="5878" max="5878" width="16.140625" style="4" customWidth="1"/>
    <col min="5879" max="5881" width="7.140625" style="4" customWidth="1"/>
    <col min="5882" max="5882" width="8.5703125" style="4" customWidth="1"/>
    <col min="5883" max="5883" width="12.42578125" style="4" customWidth="1"/>
    <col min="5884" max="5884" width="12.7109375" style="4" customWidth="1"/>
    <col min="5885" max="5885" width="13.85546875" style="4" customWidth="1"/>
    <col min="5886" max="5886" width="23.28515625" style="4" customWidth="1"/>
    <col min="5887" max="5887" width="11.5703125" style="4" customWidth="1"/>
    <col min="5888" max="5888" width="10.140625" style="4" customWidth="1"/>
    <col min="5889" max="5889" width="10.85546875" style="4" customWidth="1"/>
    <col min="5890" max="5890" width="12.5703125" style="4" customWidth="1"/>
    <col min="5891" max="5891" width="14.28515625" style="4" customWidth="1"/>
    <col min="5892" max="5892" width="12.5703125" style="4" customWidth="1"/>
    <col min="5893" max="5893" width="17.28515625" style="4" customWidth="1"/>
    <col min="5894" max="5894" width="18.85546875" style="4" customWidth="1"/>
    <col min="5895" max="5895" width="15.140625" style="4" customWidth="1"/>
    <col min="5896" max="5896" width="17.7109375" style="4" customWidth="1"/>
    <col min="5897" max="5897" width="23.140625" style="4" customWidth="1"/>
    <col min="5898" max="5898" width="27.42578125" style="4" customWidth="1"/>
    <col min="5899" max="5899" width="13.28515625" style="4" customWidth="1"/>
    <col min="5900" max="5900" width="12.7109375" style="4" customWidth="1"/>
    <col min="5901" max="5901" width="13.85546875" style="4" customWidth="1"/>
    <col min="5902" max="5910" width="11.42578125" style="4"/>
    <col min="5911" max="5911" width="14.140625" style="4" customWidth="1"/>
    <col min="5912" max="5912" width="13.28515625" style="4" customWidth="1"/>
    <col min="5913" max="5913" width="13.85546875" style="4" customWidth="1"/>
    <col min="5914" max="5914" width="16.5703125" style="4" customWidth="1"/>
    <col min="5915" max="5915" width="11.42578125" style="4"/>
    <col min="5916" max="5916" width="15" style="4" customWidth="1"/>
    <col min="5917" max="5917" width="14.85546875" style="4" customWidth="1"/>
    <col min="5918" max="5918" width="12.7109375" style="4" customWidth="1"/>
    <col min="5919" max="5919" width="11.42578125" style="4"/>
    <col min="5920" max="5920" width="15.7109375" style="4" customWidth="1"/>
    <col min="5921" max="5921" width="14.7109375" style="4" customWidth="1"/>
    <col min="5922" max="6106" width="11.42578125" style="4"/>
    <col min="6107" max="6107" width="10.42578125" style="4" customWidth="1"/>
    <col min="6108" max="6108" width="17.7109375" style="4" customWidth="1"/>
    <col min="6109" max="6109" width="0" style="4" hidden="1" customWidth="1"/>
    <col min="6110" max="6110" width="23.5703125" style="4" customWidth="1"/>
    <col min="6111" max="6111" width="25.85546875" style="4" customWidth="1"/>
    <col min="6112" max="6112" width="44" style="4" customWidth="1"/>
    <col min="6113" max="6113" width="21.7109375" style="4" customWidth="1"/>
    <col min="6114" max="6114" width="11.85546875" style="4" customWidth="1"/>
    <col min="6115" max="6115" width="9.85546875" style="4" customWidth="1"/>
    <col min="6116" max="6116" width="10" style="4" customWidth="1"/>
    <col min="6117" max="6117" width="21.140625" style="4" customWidth="1"/>
    <col min="6118" max="6128" width="0" style="4" hidden="1" customWidth="1"/>
    <col min="6129" max="6129" width="11.5703125" style="4" customWidth="1"/>
    <col min="6130" max="6130" width="11" style="4" customWidth="1"/>
    <col min="6131" max="6131" width="13.140625" style="4" customWidth="1"/>
    <col min="6132" max="6132" width="13.85546875" style="4" customWidth="1"/>
    <col min="6133" max="6133" width="13.28515625" style="4" customWidth="1"/>
    <col min="6134" max="6134" width="16.140625" style="4" customWidth="1"/>
    <col min="6135" max="6137" width="7.140625" style="4" customWidth="1"/>
    <col min="6138" max="6138" width="8.5703125" style="4" customWidth="1"/>
    <col min="6139" max="6139" width="12.42578125" style="4" customWidth="1"/>
    <col min="6140" max="6140" width="12.7109375" style="4" customWidth="1"/>
    <col min="6141" max="6141" width="13.85546875" style="4" customWidth="1"/>
    <col min="6142" max="6142" width="23.28515625" style="4" customWidth="1"/>
    <col min="6143" max="6143" width="11.5703125" style="4" customWidth="1"/>
    <col min="6144" max="6144" width="10.140625" style="4" customWidth="1"/>
    <col min="6145" max="6145" width="10.85546875" style="4" customWidth="1"/>
    <col min="6146" max="6146" width="12.5703125" style="4" customWidth="1"/>
    <col min="6147" max="6147" width="14.28515625" style="4" customWidth="1"/>
    <col min="6148" max="6148" width="12.5703125" style="4" customWidth="1"/>
    <col min="6149" max="6149" width="17.28515625" style="4" customWidth="1"/>
    <col min="6150" max="6150" width="18.85546875" style="4" customWidth="1"/>
    <col min="6151" max="6151" width="15.140625" style="4" customWidth="1"/>
    <col min="6152" max="6152" width="17.7109375" style="4" customWidth="1"/>
    <col min="6153" max="6153" width="23.140625" style="4" customWidth="1"/>
    <col min="6154" max="6154" width="27.42578125" style="4" customWidth="1"/>
    <col min="6155" max="6155" width="13.28515625" style="4" customWidth="1"/>
    <col min="6156" max="6156" width="12.7109375" style="4" customWidth="1"/>
    <col min="6157" max="6157" width="13.85546875" style="4" customWidth="1"/>
    <col min="6158" max="6166" width="11.42578125" style="4"/>
    <col min="6167" max="6167" width="14.140625" style="4" customWidth="1"/>
    <col min="6168" max="6168" width="13.28515625" style="4" customWidth="1"/>
    <col min="6169" max="6169" width="13.85546875" style="4" customWidth="1"/>
    <col min="6170" max="6170" width="16.5703125" style="4" customWidth="1"/>
    <col min="6171" max="6171" width="11.42578125" style="4"/>
    <col min="6172" max="6172" width="15" style="4" customWidth="1"/>
    <col min="6173" max="6173" width="14.85546875" style="4" customWidth="1"/>
    <col min="6174" max="6174" width="12.7109375" style="4" customWidth="1"/>
    <col min="6175" max="6175" width="11.42578125" style="4"/>
    <col min="6176" max="6176" width="15.7109375" style="4" customWidth="1"/>
    <col min="6177" max="6177" width="14.7109375" style="4" customWidth="1"/>
    <col min="6178" max="6362" width="11.42578125" style="4"/>
    <col min="6363" max="6363" width="10.42578125" style="4" customWidth="1"/>
    <col min="6364" max="6364" width="17.7109375" style="4" customWidth="1"/>
    <col min="6365" max="6365" width="0" style="4" hidden="1" customWidth="1"/>
    <col min="6366" max="6366" width="23.5703125" style="4" customWidth="1"/>
    <col min="6367" max="6367" width="25.85546875" style="4" customWidth="1"/>
    <col min="6368" max="6368" width="44" style="4" customWidth="1"/>
    <col min="6369" max="6369" width="21.7109375" style="4" customWidth="1"/>
    <col min="6370" max="6370" width="11.85546875" style="4" customWidth="1"/>
    <col min="6371" max="6371" width="9.85546875" style="4" customWidth="1"/>
    <col min="6372" max="6372" width="10" style="4" customWidth="1"/>
    <col min="6373" max="6373" width="21.140625" style="4" customWidth="1"/>
    <col min="6374" max="6384" width="0" style="4" hidden="1" customWidth="1"/>
    <col min="6385" max="6385" width="11.5703125" style="4" customWidth="1"/>
    <col min="6386" max="6386" width="11" style="4" customWidth="1"/>
    <col min="6387" max="6387" width="13.140625" style="4" customWidth="1"/>
    <col min="6388" max="6388" width="13.85546875" style="4" customWidth="1"/>
    <col min="6389" max="6389" width="13.28515625" style="4" customWidth="1"/>
    <col min="6390" max="6390" width="16.140625" style="4" customWidth="1"/>
    <col min="6391" max="6393" width="7.140625" style="4" customWidth="1"/>
    <col min="6394" max="6394" width="8.5703125" style="4" customWidth="1"/>
    <col min="6395" max="6395" width="12.42578125" style="4" customWidth="1"/>
    <col min="6396" max="6396" width="12.7109375" style="4" customWidth="1"/>
    <col min="6397" max="6397" width="13.85546875" style="4" customWidth="1"/>
    <col min="6398" max="6398" width="23.28515625" style="4" customWidth="1"/>
    <col min="6399" max="6399" width="11.5703125" style="4" customWidth="1"/>
    <col min="6400" max="6400" width="10.140625" style="4" customWidth="1"/>
    <col min="6401" max="6401" width="10.85546875" style="4" customWidth="1"/>
    <col min="6402" max="6402" width="12.5703125" style="4" customWidth="1"/>
    <col min="6403" max="6403" width="14.28515625" style="4" customWidth="1"/>
    <col min="6404" max="6404" width="12.5703125" style="4" customWidth="1"/>
    <col min="6405" max="6405" width="17.28515625" style="4" customWidth="1"/>
    <col min="6406" max="6406" width="18.85546875" style="4" customWidth="1"/>
    <col min="6407" max="6407" width="15.140625" style="4" customWidth="1"/>
    <col min="6408" max="6408" width="17.7109375" style="4" customWidth="1"/>
    <col min="6409" max="6409" width="23.140625" style="4" customWidth="1"/>
    <col min="6410" max="6410" width="27.42578125" style="4" customWidth="1"/>
    <col min="6411" max="6411" width="13.28515625" style="4" customWidth="1"/>
    <col min="6412" max="6412" width="12.7109375" style="4" customWidth="1"/>
    <col min="6413" max="6413" width="13.85546875" style="4" customWidth="1"/>
    <col min="6414" max="6422" width="11.42578125" style="4"/>
    <col min="6423" max="6423" width="14.140625" style="4" customWidth="1"/>
    <col min="6424" max="6424" width="13.28515625" style="4" customWidth="1"/>
    <col min="6425" max="6425" width="13.85546875" style="4" customWidth="1"/>
    <col min="6426" max="6426" width="16.5703125" style="4" customWidth="1"/>
    <col min="6427" max="6427" width="11.42578125" style="4"/>
    <col min="6428" max="6428" width="15" style="4" customWidth="1"/>
    <col min="6429" max="6429" width="14.85546875" style="4" customWidth="1"/>
    <col min="6430" max="6430" width="12.7109375" style="4" customWidth="1"/>
    <col min="6431" max="6431" width="11.42578125" style="4"/>
    <col min="6432" max="6432" width="15.7109375" style="4" customWidth="1"/>
    <col min="6433" max="6433" width="14.7109375" style="4" customWidth="1"/>
    <col min="6434" max="6618" width="11.42578125" style="4"/>
    <col min="6619" max="6619" width="10.42578125" style="4" customWidth="1"/>
    <col min="6620" max="6620" width="17.7109375" style="4" customWidth="1"/>
    <col min="6621" max="6621" width="0" style="4" hidden="1" customWidth="1"/>
    <col min="6622" max="6622" width="23.5703125" style="4" customWidth="1"/>
    <col min="6623" max="6623" width="25.85546875" style="4" customWidth="1"/>
    <col min="6624" max="6624" width="44" style="4" customWidth="1"/>
    <col min="6625" max="6625" width="21.7109375" style="4" customWidth="1"/>
    <col min="6626" max="6626" width="11.85546875" style="4" customWidth="1"/>
    <col min="6627" max="6627" width="9.85546875" style="4" customWidth="1"/>
    <col min="6628" max="6628" width="10" style="4" customWidth="1"/>
    <col min="6629" max="6629" width="21.140625" style="4" customWidth="1"/>
    <col min="6630" max="6640" width="0" style="4" hidden="1" customWidth="1"/>
    <col min="6641" max="6641" width="11.5703125" style="4" customWidth="1"/>
    <col min="6642" max="6642" width="11" style="4" customWidth="1"/>
    <col min="6643" max="6643" width="13.140625" style="4" customWidth="1"/>
    <col min="6644" max="6644" width="13.85546875" style="4" customWidth="1"/>
    <col min="6645" max="6645" width="13.28515625" style="4" customWidth="1"/>
    <col min="6646" max="6646" width="16.140625" style="4" customWidth="1"/>
    <col min="6647" max="6649" width="7.140625" style="4" customWidth="1"/>
    <col min="6650" max="6650" width="8.5703125" style="4" customWidth="1"/>
    <col min="6651" max="6651" width="12.42578125" style="4" customWidth="1"/>
    <col min="6652" max="6652" width="12.7109375" style="4" customWidth="1"/>
    <col min="6653" max="6653" width="13.85546875" style="4" customWidth="1"/>
    <col min="6654" max="6654" width="23.28515625" style="4" customWidth="1"/>
    <col min="6655" max="6655" width="11.5703125" style="4" customWidth="1"/>
    <col min="6656" max="6656" width="10.140625" style="4" customWidth="1"/>
    <col min="6657" max="6657" width="10.85546875" style="4" customWidth="1"/>
    <col min="6658" max="6658" width="12.5703125" style="4" customWidth="1"/>
    <col min="6659" max="6659" width="14.28515625" style="4" customWidth="1"/>
    <col min="6660" max="6660" width="12.5703125" style="4" customWidth="1"/>
    <col min="6661" max="6661" width="17.28515625" style="4" customWidth="1"/>
    <col min="6662" max="6662" width="18.85546875" style="4" customWidth="1"/>
    <col min="6663" max="6663" width="15.140625" style="4" customWidth="1"/>
    <col min="6664" max="6664" width="17.7109375" style="4" customWidth="1"/>
    <col min="6665" max="6665" width="23.140625" style="4" customWidth="1"/>
    <col min="6666" max="6666" width="27.42578125" style="4" customWidth="1"/>
    <col min="6667" max="6667" width="13.28515625" style="4" customWidth="1"/>
    <col min="6668" max="6668" width="12.7109375" style="4" customWidth="1"/>
    <col min="6669" max="6669" width="13.85546875" style="4" customWidth="1"/>
    <col min="6670" max="6678" width="11.42578125" style="4"/>
    <col min="6679" max="6679" width="14.140625" style="4" customWidth="1"/>
    <col min="6680" max="6680" width="13.28515625" style="4" customWidth="1"/>
    <col min="6681" max="6681" width="13.85546875" style="4" customWidth="1"/>
    <col min="6682" max="6682" width="16.5703125" style="4" customWidth="1"/>
    <col min="6683" max="6683" width="11.42578125" style="4"/>
    <col min="6684" max="6684" width="15" style="4" customWidth="1"/>
    <col min="6685" max="6685" width="14.85546875" style="4" customWidth="1"/>
    <col min="6686" max="6686" width="12.7109375" style="4" customWidth="1"/>
    <col min="6687" max="6687" width="11.42578125" style="4"/>
    <col min="6688" max="6688" width="15.7109375" style="4" customWidth="1"/>
    <col min="6689" max="6689" width="14.7109375" style="4" customWidth="1"/>
    <col min="6690" max="6874" width="11.42578125" style="4"/>
    <col min="6875" max="6875" width="10.42578125" style="4" customWidth="1"/>
    <col min="6876" max="6876" width="17.7109375" style="4" customWidth="1"/>
    <col min="6877" max="6877" width="0" style="4" hidden="1" customWidth="1"/>
    <col min="6878" max="6878" width="23.5703125" style="4" customWidth="1"/>
    <col min="6879" max="6879" width="25.85546875" style="4" customWidth="1"/>
    <col min="6880" max="6880" width="44" style="4" customWidth="1"/>
    <col min="6881" max="6881" width="21.7109375" style="4" customWidth="1"/>
    <col min="6882" max="6882" width="11.85546875" style="4" customWidth="1"/>
    <col min="6883" max="6883" width="9.85546875" style="4" customWidth="1"/>
    <col min="6884" max="6884" width="10" style="4" customWidth="1"/>
    <col min="6885" max="6885" width="21.140625" style="4" customWidth="1"/>
    <col min="6886" max="6896" width="0" style="4" hidden="1" customWidth="1"/>
    <col min="6897" max="6897" width="11.5703125" style="4" customWidth="1"/>
    <col min="6898" max="6898" width="11" style="4" customWidth="1"/>
    <col min="6899" max="6899" width="13.140625" style="4" customWidth="1"/>
    <col min="6900" max="6900" width="13.85546875" style="4" customWidth="1"/>
    <col min="6901" max="6901" width="13.28515625" style="4" customWidth="1"/>
    <col min="6902" max="6902" width="16.140625" style="4" customWidth="1"/>
    <col min="6903" max="6905" width="7.140625" style="4" customWidth="1"/>
    <col min="6906" max="6906" width="8.5703125" style="4" customWidth="1"/>
    <col min="6907" max="6907" width="12.42578125" style="4" customWidth="1"/>
    <col min="6908" max="6908" width="12.7109375" style="4" customWidth="1"/>
    <col min="6909" max="6909" width="13.85546875" style="4" customWidth="1"/>
    <col min="6910" max="6910" width="23.28515625" style="4" customWidth="1"/>
    <col min="6911" max="6911" width="11.5703125" style="4" customWidth="1"/>
    <col min="6912" max="6912" width="10.140625" style="4" customWidth="1"/>
    <col min="6913" max="6913" width="10.85546875" style="4" customWidth="1"/>
    <col min="6914" max="6914" width="12.5703125" style="4" customWidth="1"/>
    <col min="6915" max="6915" width="14.28515625" style="4" customWidth="1"/>
    <col min="6916" max="6916" width="12.5703125" style="4" customWidth="1"/>
    <col min="6917" max="6917" width="17.28515625" style="4" customWidth="1"/>
    <col min="6918" max="6918" width="18.85546875" style="4" customWidth="1"/>
    <col min="6919" max="6919" width="15.140625" style="4" customWidth="1"/>
    <col min="6920" max="6920" width="17.7109375" style="4" customWidth="1"/>
    <col min="6921" max="6921" width="23.140625" style="4" customWidth="1"/>
    <col min="6922" max="6922" width="27.42578125" style="4" customWidth="1"/>
    <col min="6923" max="6923" width="13.28515625" style="4" customWidth="1"/>
    <col min="6924" max="6924" width="12.7109375" style="4" customWidth="1"/>
    <col min="6925" max="6925" width="13.85546875" style="4" customWidth="1"/>
    <col min="6926" max="6934" width="11.42578125" style="4"/>
    <col min="6935" max="6935" width="14.140625" style="4" customWidth="1"/>
    <col min="6936" max="6936" width="13.28515625" style="4" customWidth="1"/>
    <col min="6937" max="6937" width="13.85546875" style="4" customWidth="1"/>
    <col min="6938" max="6938" width="16.5703125" style="4" customWidth="1"/>
    <col min="6939" max="6939" width="11.42578125" style="4"/>
    <col min="6940" max="6940" width="15" style="4" customWidth="1"/>
    <col min="6941" max="6941" width="14.85546875" style="4" customWidth="1"/>
    <col min="6942" max="6942" width="12.7109375" style="4" customWidth="1"/>
    <col min="6943" max="6943" width="11.42578125" style="4"/>
    <col min="6944" max="6944" width="15.7109375" style="4" customWidth="1"/>
    <col min="6945" max="6945" width="14.7109375" style="4" customWidth="1"/>
    <col min="6946" max="7130" width="11.42578125" style="4"/>
    <col min="7131" max="7131" width="10.42578125" style="4" customWidth="1"/>
    <col min="7132" max="7132" width="17.7109375" style="4" customWidth="1"/>
    <col min="7133" max="7133" width="0" style="4" hidden="1" customWidth="1"/>
    <col min="7134" max="7134" width="23.5703125" style="4" customWidth="1"/>
    <col min="7135" max="7135" width="25.85546875" style="4" customWidth="1"/>
    <col min="7136" max="7136" width="44" style="4" customWidth="1"/>
    <col min="7137" max="7137" width="21.7109375" style="4" customWidth="1"/>
    <col min="7138" max="7138" width="11.85546875" style="4" customWidth="1"/>
    <col min="7139" max="7139" width="9.85546875" style="4" customWidth="1"/>
    <col min="7140" max="7140" width="10" style="4" customWidth="1"/>
    <col min="7141" max="7141" width="21.140625" style="4" customWidth="1"/>
    <col min="7142" max="7152" width="0" style="4" hidden="1" customWidth="1"/>
    <col min="7153" max="7153" width="11.5703125" style="4" customWidth="1"/>
    <col min="7154" max="7154" width="11" style="4" customWidth="1"/>
    <col min="7155" max="7155" width="13.140625" style="4" customWidth="1"/>
    <col min="7156" max="7156" width="13.85546875" style="4" customWidth="1"/>
    <col min="7157" max="7157" width="13.28515625" style="4" customWidth="1"/>
    <col min="7158" max="7158" width="16.140625" style="4" customWidth="1"/>
    <col min="7159" max="7161" width="7.140625" style="4" customWidth="1"/>
    <col min="7162" max="7162" width="8.5703125" style="4" customWidth="1"/>
    <col min="7163" max="7163" width="12.42578125" style="4" customWidth="1"/>
    <col min="7164" max="7164" width="12.7109375" style="4" customWidth="1"/>
    <col min="7165" max="7165" width="13.85546875" style="4" customWidth="1"/>
    <col min="7166" max="7166" width="23.28515625" style="4" customWidth="1"/>
    <col min="7167" max="7167" width="11.5703125" style="4" customWidth="1"/>
    <col min="7168" max="7168" width="10.140625" style="4" customWidth="1"/>
    <col min="7169" max="7169" width="10.85546875" style="4" customWidth="1"/>
    <col min="7170" max="7170" width="12.5703125" style="4" customWidth="1"/>
    <col min="7171" max="7171" width="14.28515625" style="4" customWidth="1"/>
    <col min="7172" max="7172" width="12.5703125" style="4" customWidth="1"/>
    <col min="7173" max="7173" width="17.28515625" style="4" customWidth="1"/>
    <col min="7174" max="7174" width="18.85546875" style="4" customWidth="1"/>
    <col min="7175" max="7175" width="15.140625" style="4" customWidth="1"/>
    <col min="7176" max="7176" width="17.7109375" style="4" customWidth="1"/>
    <col min="7177" max="7177" width="23.140625" style="4" customWidth="1"/>
    <col min="7178" max="7178" width="27.42578125" style="4" customWidth="1"/>
    <col min="7179" max="7179" width="13.28515625" style="4" customWidth="1"/>
    <col min="7180" max="7180" width="12.7109375" style="4" customWidth="1"/>
    <col min="7181" max="7181" width="13.85546875" style="4" customWidth="1"/>
    <col min="7182" max="7190" width="11.42578125" style="4"/>
    <col min="7191" max="7191" width="14.140625" style="4" customWidth="1"/>
    <col min="7192" max="7192" width="13.28515625" style="4" customWidth="1"/>
    <col min="7193" max="7193" width="13.85546875" style="4" customWidth="1"/>
    <col min="7194" max="7194" width="16.5703125" style="4" customWidth="1"/>
    <col min="7195" max="7195" width="11.42578125" style="4"/>
    <col min="7196" max="7196" width="15" style="4" customWidth="1"/>
    <col min="7197" max="7197" width="14.85546875" style="4" customWidth="1"/>
    <col min="7198" max="7198" width="12.7109375" style="4" customWidth="1"/>
    <col min="7199" max="7199" width="11.42578125" style="4"/>
    <col min="7200" max="7200" width="15.7109375" style="4" customWidth="1"/>
    <col min="7201" max="7201" width="14.7109375" style="4" customWidth="1"/>
    <col min="7202" max="7386" width="11.42578125" style="4"/>
    <col min="7387" max="7387" width="10.42578125" style="4" customWidth="1"/>
    <col min="7388" max="7388" width="17.7109375" style="4" customWidth="1"/>
    <col min="7389" max="7389" width="0" style="4" hidden="1" customWidth="1"/>
    <col min="7390" max="7390" width="23.5703125" style="4" customWidth="1"/>
    <col min="7391" max="7391" width="25.85546875" style="4" customWidth="1"/>
    <col min="7392" max="7392" width="44" style="4" customWidth="1"/>
    <col min="7393" max="7393" width="21.7109375" style="4" customWidth="1"/>
    <col min="7394" max="7394" width="11.85546875" style="4" customWidth="1"/>
    <col min="7395" max="7395" width="9.85546875" style="4" customWidth="1"/>
    <col min="7396" max="7396" width="10" style="4" customWidth="1"/>
    <col min="7397" max="7397" width="21.140625" style="4" customWidth="1"/>
    <col min="7398" max="7408" width="0" style="4" hidden="1" customWidth="1"/>
    <col min="7409" max="7409" width="11.5703125" style="4" customWidth="1"/>
    <col min="7410" max="7410" width="11" style="4" customWidth="1"/>
    <col min="7411" max="7411" width="13.140625" style="4" customWidth="1"/>
    <col min="7412" max="7412" width="13.85546875" style="4" customWidth="1"/>
    <col min="7413" max="7413" width="13.28515625" style="4" customWidth="1"/>
    <col min="7414" max="7414" width="16.140625" style="4" customWidth="1"/>
    <col min="7415" max="7417" width="7.140625" style="4" customWidth="1"/>
    <col min="7418" max="7418" width="8.5703125" style="4" customWidth="1"/>
    <col min="7419" max="7419" width="12.42578125" style="4" customWidth="1"/>
    <col min="7420" max="7420" width="12.7109375" style="4" customWidth="1"/>
    <col min="7421" max="7421" width="13.85546875" style="4" customWidth="1"/>
    <col min="7422" max="7422" width="23.28515625" style="4" customWidth="1"/>
    <col min="7423" max="7423" width="11.5703125" style="4" customWidth="1"/>
    <col min="7424" max="7424" width="10.140625" style="4" customWidth="1"/>
    <col min="7425" max="7425" width="10.85546875" style="4" customWidth="1"/>
    <col min="7426" max="7426" width="12.5703125" style="4" customWidth="1"/>
    <col min="7427" max="7427" width="14.28515625" style="4" customWidth="1"/>
    <col min="7428" max="7428" width="12.5703125" style="4" customWidth="1"/>
    <col min="7429" max="7429" width="17.28515625" style="4" customWidth="1"/>
    <col min="7430" max="7430" width="18.85546875" style="4" customWidth="1"/>
    <col min="7431" max="7431" width="15.140625" style="4" customWidth="1"/>
    <col min="7432" max="7432" width="17.7109375" style="4" customWidth="1"/>
    <col min="7433" max="7433" width="23.140625" style="4" customWidth="1"/>
    <col min="7434" max="7434" width="27.42578125" style="4" customWidth="1"/>
    <col min="7435" max="7435" width="13.28515625" style="4" customWidth="1"/>
    <col min="7436" max="7436" width="12.7109375" style="4" customWidth="1"/>
    <col min="7437" max="7437" width="13.85546875" style="4" customWidth="1"/>
    <col min="7438" max="7446" width="11.42578125" style="4"/>
    <col min="7447" max="7447" width="14.140625" style="4" customWidth="1"/>
    <col min="7448" max="7448" width="13.28515625" style="4" customWidth="1"/>
    <col min="7449" max="7449" width="13.85546875" style="4" customWidth="1"/>
    <col min="7450" max="7450" width="16.5703125" style="4" customWidth="1"/>
    <col min="7451" max="7451" width="11.42578125" style="4"/>
    <col min="7452" max="7452" width="15" style="4" customWidth="1"/>
    <col min="7453" max="7453" width="14.85546875" style="4" customWidth="1"/>
    <col min="7454" max="7454" width="12.7109375" style="4" customWidth="1"/>
    <col min="7455" max="7455" width="11.42578125" style="4"/>
    <col min="7456" max="7456" width="15.7109375" style="4" customWidth="1"/>
    <col min="7457" max="7457" width="14.7109375" style="4" customWidth="1"/>
    <col min="7458" max="7642" width="11.42578125" style="4"/>
    <col min="7643" max="7643" width="10.42578125" style="4" customWidth="1"/>
    <col min="7644" max="7644" width="17.7109375" style="4" customWidth="1"/>
    <col min="7645" max="7645" width="0" style="4" hidden="1" customWidth="1"/>
    <col min="7646" max="7646" width="23.5703125" style="4" customWidth="1"/>
    <col min="7647" max="7647" width="25.85546875" style="4" customWidth="1"/>
    <col min="7648" max="7648" width="44" style="4" customWidth="1"/>
    <col min="7649" max="7649" width="21.7109375" style="4" customWidth="1"/>
    <col min="7650" max="7650" width="11.85546875" style="4" customWidth="1"/>
    <col min="7651" max="7651" width="9.85546875" style="4" customWidth="1"/>
    <col min="7652" max="7652" width="10" style="4" customWidth="1"/>
    <col min="7653" max="7653" width="21.140625" style="4" customWidth="1"/>
    <col min="7654" max="7664" width="0" style="4" hidden="1" customWidth="1"/>
    <col min="7665" max="7665" width="11.5703125" style="4" customWidth="1"/>
    <col min="7666" max="7666" width="11" style="4" customWidth="1"/>
    <col min="7667" max="7667" width="13.140625" style="4" customWidth="1"/>
    <col min="7668" max="7668" width="13.85546875" style="4" customWidth="1"/>
    <col min="7669" max="7669" width="13.28515625" style="4" customWidth="1"/>
    <col min="7670" max="7670" width="16.140625" style="4" customWidth="1"/>
    <col min="7671" max="7673" width="7.140625" style="4" customWidth="1"/>
    <col min="7674" max="7674" width="8.5703125" style="4" customWidth="1"/>
    <col min="7675" max="7675" width="12.42578125" style="4" customWidth="1"/>
    <col min="7676" max="7676" width="12.7109375" style="4" customWidth="1"/>
    <col min="7677" max="7677" width="13.85546875" style="4" customWidth="1"/>
    <col min="7678" max="7678" width="23.28515625" style="4" customWidth="1"/>
    <col min="7679" max="7679" width="11.5703125" style="4" customWidth="1"/>
    <col min="7680" max="7680" width="10.140625" style="4" customWidth="1"/>
    <col min="7681" max="7681" width="10.85546875" style="4" customWidth="1"/>
    <col min="7682" max="7682" width="12.5703125" style="4" customWidth="1"/>
    <col min="7683" max="7683" width="14.28515625" style="4" customWidth="1"/>
    <col min="7684" max="7684" width="12.5703125" style="4" customWidth="1"/>
    <col min="7685" max="7685" width="17.28515625" style="4" customWidth="1"/>
    <col min="7686" max="7686" width="18.85546875" style="4" customWidth="1"/>
    <col min="7687" max="7687" width="15.140625" style="4" customWidth="1"/>
    <col min="7688" max="7688" width="17.7109375" style="4" customWidth="1"/>
    <col min="7689" max="7689" width="23.140625" style="4" customWidth="1"/>
    <col min="7690" max="7690" width="27.42578125" style="4" customWidth="1"/>
    <col min="7691" max="7691" width="13.28515625" style="4" customWidth="1"/>
    <col min="7692" max="7692" width="12.7109375" style="4" customWidth="1"/>
    <col min="7693" max="7693" width="13.85546875" style="4" customWidth="1"/>
    <col min="7694" max="7702" width="11.42578125" style="4"/>
    <col min="7703" max="7703" width="14.140625" style="4" customWidth="1"/>
    <col min="7704" max="7704" width="13.28515625" style="4" customWidth="1"/>
    <col min="7705" max="7705" width="13.85546875" style="4" customWidth="1"/>
    <col min="7706" max="7706" width="16.5703125" style="4" customWidth="1"/>
    <col min="7707" max="7707" width="11.42578125" style="4"/>
    <col min="7708" max="7708" width="15" style="4" customWidth="1"/>
    <col min="7709" max="7709" width="14.85546875" style="4" customWidth="1"/>
    <col min="7710" max="7710" width="12.7109375" style="4" customWidth="1"/>
    <col min="7711" max="7711" width="11.42578125" style="4"/>
    <col min="7712" max="7712" width="15.7109375" style="4" customWidth="1"/>
    <col min="7713" max="7713" width="14.7109375" style="4" customWidth="1"/>
    <col min="7714" max="7898" width="11.42578125" style="4"/>
    <col min="7899" max="7899" width="10.42578125" style="4" customWidth="1"/>
    <col min="7900" max="7900" width="17.7109375" style="4" customWidth="1"/>
    <col min="7901" max="7901" width="0" style="4" hidden="1" customWidth="1"/>
    <col min="7902" max="7902" width="23.5703125" style="4" customWidth="1"/>
    <col min="7903" max="7903" width="25.85546875" style="4" customWidth="1"/>
    <col min="7904" max="7904" width="44" style="4" customWidth="1"/>
    <col min="7905" max="7905" width="21.7109375" style="4" customWidth="1"/>
    <col min="7906" max="7906" width="11.85546875" style="4" customWidth="1"/>
    <col min="7907" max="7907" width="9.85546875" style="4" customWidth="1"/>
    <col min="7908" max="7908" width="10" style="4" customWidth="1"/>
    <col min="7909" max="7909" width="21.140625" style="4" customWidth="1"/>
    <col min="7910" max="7920" width="0" style="4" hidden="1" customWidth="1"/>
    <col min="7921" max="7921" width="11.5703125" style="4" customWidth="1"/>
    <col min="7922" max="7922" width="11" style="4" customWidth="1"/>
    <col min="7923" max="7923" width="13.140625" style="4" customWidth="1"/>
    <col min="7924" max="7924" width="13.85546875" style="4" customWidth="1"/>
    <col min="7925" max="7925" width="13.28515625" style="4" customWidth="1"/>
    <col min="7926" max="7926" width="16.140625" style="4" customWidth="1"/>
    <col min="7927" max="7929" width="7.140625" style="4" customWidth="1"/>
    <col min="7930" max="7930" width="8.5703125" style="4" customWidth="1"/>
    <col min="7931" max="7931" width="12.42578125" style="4" customWidth="1"/>
    <col min="7932" max="7932" width="12.7109375" style="4" customWidth="1"/>
    <col min="7933" max="7933" width="13.85546875" style="4" customWidth="1"/>
    <col min="7934" max="7934" width="23.28515625" style="4" customWidth="1"/>
    <col min="7935" max="7935" width="11.5703125" style="4" customWidth="1"/>
    <col min="7936" max="7936" width="10.140625" style="4" customWidth="1"/>
    <col min="7937" max="7937" width="10.85546875" style="4" customWidth="1"/>
    <col min="7938" max="7938" width="12.5703125" style="4" customWidth="1"/>
    <col min="7939" max="7939" width="14.28515625" style="4" customWidth="1"/>
    <col min="7940" max="7940" width="12.5703125" style="4" customWidth="1"/>
    <col min="7941" max="7941" width="17.28515625" style="4" customWidth="1"/>
    <col min="7942" max="7942" width="18.85546875" style="4" customWidth="1"/>
    <col min="7943" max="7943" width="15.140625" style="4" customWidth="1"/>
    <col min="7944" max="7944" width="17.7109375" style="4" customWidth="1"/>
    <col min="7945" max="7945" width="23.140625" style="4" customWidth="1"/>
    <col min="7946" max="7946" width="27.42578125" style="4" customWidth="1"/>
    <col min="7947" max="7947" width="13.28515625" style="4" customWidth="1"/>
    <col min="7948" max="7948" width="12.7109375" style="4" customWidth="1"/>
    <col min="7949" max="7949" width="13.85546875" style="4" customWidth="1"/>
    <col min="7950" max="7958" width="11.42578125" style="4"/>
    <col min="7959" max="7959" width="14.140625" style="4" customWidth="1"/>
    <col min="7960" max="7960" width="13.28515625" style="4" customWidth="1"/>
    <col min="7961" max="7961" width="13.85546875" style="4" customWidth="1"/>
    <col min="7962" max="7962" width="16.5703125" style="4" customWidth="1"/>
    <col min="7963" max="7963" width="11.42578125" style="4"/>
    <col min="7964" max="7964" width="15" style="4" customWidth="1"/>
    <col min="7965" max="7965" width="14.85546875" style="4" customWidth="1"/>
    <col min="7966" max="7966" width="12.7109375" style="4" customWidth="1"/>
    <col min="7967" max="7967" width="11.42578125" style="4"/>
    <col min="7968" max="7968" width="15.7109375" style="4" customWidth="1"/>
    <col min="7969" max="7969" width="14.7109375" style="4" customWidth="1"/>
    <col min="7970" max="8154" width="11.42578125" style="4"/>
    <col min="8155" max="8155" width="10.42578125" style="4" customWidth="1"/>
    <col min="8156" max="8156" width="17.7109375" style="4" customWidth="1"/>
    <col min="8157" max="8157" width="0" style="4" hidden="1" customWidth="1"/>
    <col min="8158" max="8158" width="23.5703125" style="4" customWidth="1"/>
    <col min="8159" max="8159" width="25.85546875" style="4" customWidth="1"/>
    <col min="8160" max="8160" width="44" style="4" customWidth="1"/>
    <col min="8161" max="8161" width="21.7109375" style="4" customWidth="1"/>
    <col min="8162" max="8162" width="11.85546875" style="4" customWidth="1"/>
    <col min="8163" max="8163" width="9.85546875" style="4" customWidth="1"/>
    <col min="8164" max="8164" width="10" style="4" customWidth="1"/>
    <col min="8165" max="8165" width="21.140625" style="4" customWidth="1"/>
    <col min="8166" max="8176" width="0" style="4" hidden="1" customWidth="1"/>
    <col min="8177" max="8177" width="11.5703125" style="4" customWidth="1"/>
    <col min="8178" max="8178" width="11" style="4" customWidth="1"/>
    <col min="8179" max="8179" width="13.140625" style="4" customWidth="1"/>
    <col min="8180" max="8180" width="13.85546875" style="4" customWidth="1"/>
    <col min="8181" max="8181" width="13.28515625" style="4" customWidth="1"/>
    <col min="8182" max="8182" width="16.140625" style="4" customWidth="1"/>
    <col min="8183" max="8185" width="7.140625" style="4" customWidth="1"/>
    <col min="8186" max="8186" width="8.5703125" style="4" customWidth="1"/>
    <col min="8187" max="8187" width="12.42578125" style="4" customWidth="1"/>
    <col min="8188" max="8188" width="12.7109375" style="4" customWidth="1"/>
    <col min="8189" max="8189" width="13.85546875" style="4" customWidth="1"/>
    <col min="8190" max="8190" width="23.28515625" style="4" customWidth="1"/>
    <col min="8191" max="8191" width="11.5703125" style="4" customWidth="1"/>
    <col min="8192" max="8192" width="10.140625" style="4" customWidth="1"/>
    <col min="8193" max="8193" width="10.85546875" style="4" customWidth="1"/>
    <col min="8194" max="8194" width="12.5703125" style="4" customWidth="1"/>
    <col min="8195" max="8195" width="14.28515625" style="4" customWidth="1"/>
    <col min="8196" max="8196" width="12.5703125" style="4" customWidth="1"/>
    <col min="8197" max="8197" width="17.28515625" style="4" customWidth="1"/>
    <col min="8198" max="8198" width="18.85546875" style="4" customWidth="1"/>
    <col min="8199" max="8199" width="15.140625" style="4" customWidth="1"/>
    <col min="8200" max="8200" width="17.7109375" style="4" customWidth="1"/>
    <col min="8201" max="8201" width="23.140625" style="4" customWidth="1"/>
    <col min="8202" max="8202" width="27.42578125" style="4" customWidth="1"/>
    <col min="8203" max="8203" width="13.28515625" style="4" customWidth="1"/>
    <col min="8204" max="8204" width="12.7109375" style="4" customWidth="1"/>
    <col min="8205" max="8205" width="13.85546875" style="4" customWidth="1"/>
    <col min="8206" max="8214" width="11.42578125" style="4"/>
    <col min="8215" max="8215" width="14.140625" style="4" customWidth="1"/>
    <col min="8216" max="8216" width="13.28515625" style="4" customWidth="1"/>
    <col min="8217" max="8217" width="13.85546875" style="4" customWidth="1"/>
    <col min="8218" max="8218" width="16.5703125" style="4" customWidth="1"/>
    <col min="8219" max="8219" width="11.42578125" style="4"/>
    <col min="8220" max="8220" width="15" style="4" customWidth="1"/>
    <col min="8221" max="8221" width="14.85546875" style="4" customWidth="1"/>
    <col min="8222" max="8222" width="12.7109375" style="4" customWidth="1"/>
    <col min="8223" max="8223" width="11.42578125" style="4"/>
    <col min="8224" max="8224" width="15.7109375" style="4" customWidth="1"/>
    <col min="8225" max="8225" width="14.7109375" style="4" customWidth="1"/>
    <col min="8226" max="8410" width="11.42578125" style="4"/>
    <col min="8411" max="8411" width="10.42578125" style="4" customWidth="1"/>
    <col min="8412" max="8412" width="17.7109375" style="4" customWidth="1"/>
    <col min="8413" max="8413" width="0" style="4" hidden="1" customWidth="1"/>
    <col min="8414" max="8414" width="23.5703125" style="4" customWidth="1"/>
    <col min="8415" max="8415" width="25.85546875" style="4" customWidth="1"/>
    <col min="8416" max="8416" width="44" style="4" customWidth="1"/>
    <col min="8417" max="8417" width="21.7109375" style="4" customWidth="1"/>
    <col min="8418" max="8418" width="11.85546875" style="4" customWidth="1"/>
    <col min="8419" max="8419" width="9.85546875" style="4" customWidth="1"/>
    <col min="8420" max="8420" width="10" style="4" customWidth="1"/>
    <col min="8421" max="8421" width="21.140625" style="4" customWidth="1"/>
    <col min="8422" max="8432" width="0" style="4" hidden="1" customWidth="1"/>
    <col min="8433" max="8433" width="11.5703125" style="4" customWidth="1"/>
    <col min="8434" max="8434" width="11" style="4" customWidth="1"/>
    <col min="8435" max="8435" width="13.140625" style="4" customWidth="1"/>
    <col min="8436" max="8436" width="13.85546875" style="4" customWidth="1"/>
    <col min="8437" max="8437" width="13.28515625" style="4" customWidth="1"/>
    <col min="8438" max="8438" width="16.140625" style="4" customWidth="1"/>
    <col min="8439" max="8441" width="7.140625" style="4" customWidth="1"/>
    <col min="8442" max="8442" width="8.5703125" style="4" customWidth="1"/>
    <col min="8443" max="8443" width="12.42578125" style="4" customWidth="1"/>
    <col min="8444" max="8444" width="12.7109375" style="4" customWidth="1"/>
    <col min="8445" max="8445" width="13.85546875" style="4" customWidth="1"/>
    <col min="8446" max="8446" width="23.28515625" style="4" customWidth="1"/>
    <col min="8447" max="8447" width="11.5703125" style="4" customWidth="1"/>
    <col min="8448" max="8448" width="10.140625" style="4" customWidth="1"/>
    <col min="8449" max="8449" width="10.85546875" style="4" customWidth="1"/>
    <col min="8450" max="8450" width="12.5703125" style="4" customWidth="1"/>
    <col min="8451" max="8451" width="14.28515625" style="4" customWidth="1"/>
    <col min="8452" max="8452" width="12.5703125" style="4" customWidth="1"/>
    <col min="8453" max="8453" width="17.28515625" style="4" customWidth="1"/>
    <col min="8454" max="8454" width="18.85546875" style="4" customWidth="1"/>
    <col min="8455" max="8455" width="15.140625" style="4" customWidth="1"/>
    <col min="8456" max="8456" width="17.7109375" style="4" customWidth="1"/>
    <col min="8457" max="8457" width="23.140625" style="4" customWidth="1"/>
    <col min="8458" max="8458" width="27.42578125" style="4" customWidth="1"/>
    <col min="8459" max="8459" width="13.28515625" style="4" customWidth="1"/>
    <col min="8460" max="8460" width="12.7109375" style="4" customWidth="1"/>
    <col min="8461" max="8461" width="13.85546875" style="4" customWidth="1"/>
    <col min="8462" max="8470" width="11.42578125" style="4"/>
    <col min="8471" max="8471" width="14.140625" style="4" customWidth="1"/>
    <col min="8472" max="8472" width="13.28515625" style="4" customWidth="1"/>
    <col min="8473" max="8473" width="13.85546875" style="4" customWidth="1"/>
    <col min="8474" max="8474" width="16.5703125" style="4" customWidth="1"/>
    <col min="8475" max="8475" width="11.42578125" style="4"/>
    <col min="8476" max="8476" width="15" style="4" customWidth="1"/>
    <col min="8477" max="8477" width="14.85546875" style="4" customWidth="1"/>
    <col min="8478" max="8478" width="12.7109375" style="4" customWidth="1"/>
    <col min="8479" max="8479" width="11.42578125" style="4"/>
    <col min="8480" max="8480" width="15.7109375" style="4" customWidth="1"/>
    <col min="8481" max="8481" width="14.7109375" style="4" customWidth="1"/>
    <col min="8482" max="8666" width="11.42578125" style="4"/>
    <col min="8667" max="8667" width="10.42578125" style="4" customWidth="1"/>
    <col min="8668" max="8668" width="17.7109375" style="4" customWidth="1"/>
    <col min="8669" max="8669" width="0" style="4" hidden="1" customWidth="1"/>
    <col min="8670" max="8670" width="23.5703125" style="4" customWidth="1"/>
    <col min="8671" max="8671" width="25.85546875" style="4" customWidth="1"/>
    <col min="8672" max="8672" width="44" style="4" customWidth="1"/>
    <col min="8673" max="8673" width="21.7109375" style="4" customWidth="1"/>
    <col min="8674" max="8674" width="11.85546875" style="4" customWidth="1"/>
    <col min="8675" max="8675" width="9.85546875" style="4" customWidth="1"/>
    <col min="8676" max="8676" width="10" style="4" customWidth="1"/>
    <col min="8677" max="8677" width="21.140625" style="4" customWidth="1"/>
    <col min="8678" max="8688" width="0" style="4" hidden="1" customWidth="1"/>
    <col min="8689" max="8689" width="11.5703125" style="4" customWidth="1"/>
    <col min="8690" max="8690" width="11" style="4" customWidth="1"/>
    <col min="8691" max="8691" width="13.140625" style="4" customWidth="1"/>
    <col min="8692" max="8692" width="13.85546875" style="4" customWidth="1"/>
    <col min="8693" max="8693" width="13.28515625" style="4" customWidth="1"/>
    <col min="8694" max="8694" width="16.140625" style="4" customWidth="1"/>
    <col min="8695" max="8697" width="7.140625" style="4" customWidth="1"/>
    <col min="8698" max="8698" width="8.5703125" style="4" customWidth="1"/>
    <col min="8699" max="8699" width="12.42578125" style="4" customWidth="1"/>
    <col min="8700" max="8700" width="12.7109375" style="4" customWidth="1"/>
    <col min="8701" max="8701" width="13.85546875" style="4" customWidth="1"/>
    <col min="8702" max="8702" width="23.28515625" style="4" customWidth="1"/>
    <col min="8703" max="8703" width="11.5703125" style="4" customWidth="1"/>
    <col min="8704" max="8704" width="10.140625" style="4" customWidth="1"/>
    <col min="8705" max="8705" width="10.85546875" style="4" customWidth="1"/>
    <col min="8706" max="8706" width="12.5703125" style="4" customWidth="1"/>
    <col min="8707" max="8707" width="14.28515625" style="4" customWidth="1"/>
    <col min="8708" max="8708" width="12.5703125" style="4" customWidth="1"/>
    <col min="8709" max="8709" width="17.28515625" style="4" customWidth="1"/>
    <col min="8710" max="8710" width="18.85546875" style="4" customWidth="1"/>
    <col min="8711" max="8711" width="15.140625" style="4" customWidth="1"/>
    <col min="8712" max="8712" width="17.7109375" style="4" customWidth="1"/>
    <col min="8713" max="8713" width="23.140625" style="4" customWidth="1"/>
    <col min="8714" max="8714" width="27.42578125" style="4" customWidth="1"/>
    <col min="8715" max="8715" width="13.28515625" style="4" customWidth="1"/>
    <col min="8716" max="8716" width="12.7109375" style="4" customWidth="1"/>
    <col min="8717" max="8717" width="13.85546875" style="4" customWidth="1"/>
    <col min="8718" max="8726" width="11.42578125" style="4"/>
    <col min="8727" max="8727" width="14.140625" style="4" customWidth="1"/>
    <col min="8728" max="8728" width="13.28515625" style="4" customWidth="1"/>
    <col min="8729" max="8729" width="13.85546875" style="4" customWidth="1"/>
    <col min="8730" max="8730" width="16.5703125" style="4" customWidth="1"/>
    <col min="8731" max="8731" width="11.42578125" style="4"/>
    <col min="8732" max="8732" width="15" style="4" customWidth="1"/>
    <col min="8733" max="8733" width="14.85546875" style="4" customWidth="1"/>
    <col min="8734" max="8734" width="12.7109375" style="4" customWidth="1"/>
    <col min="8735" max="8735" width="11.42578125" style="4"/>
    <col min="8736" max="8736" width="15.7109375" style="4" customWidth="1"/>
    <col min="8737" max="8737" width="14.7109375" style="4" customWidth="1"/>
    <col min="8738" max="8922" width="11.42578125" style="4"/>
    <col min="8923" max="8923" width="10.42578125" style="4" customWidth="1"/>
    <col min="8924" max="8924" width="17.7109375" style="4" customWidth="1"/>
    <col min="8925" max="8925" width="0" style="4" hidden="1" customWidth="1"/>
    <col min="8926" max="8926" width="23.5703125" style="4" customWidth="1"/>
    <col min="8927" max="8927" width="25.85546875" style="4" customWidth="1"/>
    <col min="8928" max="8928" width="44" style="4" customWidth="1"/>
    <col min="8929" max="8929" width="21.7109375" style="4" customWidth="1"/>
    <col min="8930" max="8930" width="11.85546875" style="4" customWidth="1"/>
    <col min="8931" max="8931" width="9.85546875" style="4" customWidth="1"/>
    <col min="8932" max="8932" width="10" style="4" customWidth="1"/>
    <col min="8933" max="8933" width="21.140625" style="4" customWidth="1"/>
    <col min="8934" max="8944" width="0" style="4" hidden="1" customWidth="1"/>
    <col min="8945" max="8945" width="11.5703125" style="4" customWidth="1"/>
    <col min="8946" max="8946" width="11" style="4" customWidth="1"/>
    <col min="8947" max="8947" width="13.140625" style="4" customWidth="1"/>
    <col min="8948" max="8948" width="13.85546875" style="4" customWidth="1"/>
    <col min="8949" max="8949" width="13.28515625" style="4" customWidth="1"/>
    <col min="8950" max="8950" width="16.140625" style="4" customWidth="1"/>
    <col min="8951" max="8953" width="7.140625" style="4" customWidth="1"/>
    <col min="8954" max="8954" width="8.5703125" style="4" customWidth="1"/>
    <col min="8955" max="8955" width="12.42578125" style="4" customWidth="1"/>
    <col min="8956" max="8956" width="12.7109375" style="4" customWidth="1"/>
    <col min="8957" max="8957" width="13.85546875" style="4" customWidth="1"/>
    <col min="8958" max="8958" width="23.28515625" style="4" customWidth="1"/>
    <col min="8959" max="8959" width="11.5703125" style="4" customWidth="1"/>
    <col min="8960" max="8960" width="10.140625" style="4" customWidth="1"/>
    <col min="8961" max="8961" width="10.85546875" style="4" customWidth="1"/>
    <col min="8962" max="8962" width="12.5703125" style="4" customWidth="1"/>
    <col min="8963" max="8963" width="14.28515625" style="4" customWidth="1"/>
    <col min="8964" max="8964" width="12.5703125" style="4" customWidth="1"/>
    <col min="8965" max="8965" width="17.28515625" style="4" customWidth="1"/>
    <col min="8966" max="8966" width="18.85546875" style="4" customWidth="1"/>
    <col min="8967" max="8967" width="15.140625" style="4" customWidth="1"/>
    <col min="8968" max="8968" width="17.7109375" style="4" customWidth="1"/>
    <col min="8969" max="8969" width="23.140625" style="4" customWidth="1"/>
    <col min="8970" max="8970" width="27.42578125" style="4" customWidth="1"/>
    <col min="8971" max="8971" width="13.28515625" style="4" customWidth="1"/>
    <col min="8972" max="8972" width="12.7109375" style="4" customWidth="1"/>
    <col min="8973" max="8973" width="13.85546875" style="4" customWidth="1"/>
    <col min="8974" max="8982" width="11.42578125" style="4"/>
    <col min="8983" max="8983" width="14.140625" style="4" customWidth="1"/>
    <col min="8984" max="8984" width="13.28515625" style="4" customWidth="1"/>
    <col min="8985" max="8985" width="13.85546875" style="4" customWidth="1"/>
    <col min="8986" max="8986" width="16.5703125" style="4" customWidth="1"/>
    <col min="8987" max="8987" width="11.42578125" style="4"/>
    <col min="8988" max="8988" width="15" style="4" customWidth="1"/>
    <col min="8989" max="8989" width="14.85546875" style="4" customWidth="1"/>
    <col min="8990" max="8990" width="12.7109375" style="4" customWidth="1"/>
    <col min="8991" max="8991" width="11.42578125" style="4"/>
    <col min="8992" max="8992" width="15.7109375" style="4" customWidth="1"/>
    <col min="8993" max="8993" width="14.7109375" style="4" customWidth="1"/>
    <col min="8994" max="9178" width="11.42578125" style="4"/>
    <col min="9179" max="9179" width="10.42578125" style="4" customWidth="1"/>
    <col min="9180" max="9180" width="17.7109375" style="4" customWidth="1"/>
    <col min="9181" max="9181" width="0" style="4" hidden="1" customWidth="1"/>
    <col min="9182" max="9182" width="23.5703125" style="4" customWidth="1"/>
    <col min="9183" max="9183" width="25.85546875" style="4" customWidth="1"/>
    <col min="9184" max="9184" width="44" style="4" customWidth="1"/>
    <col min="9185" max="9185" width="21.7109375" style="4" customWidth="1"/>
    <col min="9186" max="9186" width="11.85546875" style="4" customWidth="1"/>
    <col min="9187" max="9187" width="9.85546875" style="4" customWidth="1"/>
    <col min="9188" max="9188" width="10" style="4" customWidth="1"/>
    <col min="9189" max="9189" width="21.140625" style="4" customWidth="1"/>
    <col min="9190" max="9200" width="0" style="4" hidden="1" customWidth="1"/>
    <col min="9201" max="9201" width="11.5703125" style="4" customWidth="1"/>
    <col min="9202" max="9202" width="11" style="4" customWidth="1"/>
    <col min="9203" max="9203" width="13.140625" style="4" customWidth="1"/>
    <col min="9204" max="9204" width="13.85546875" style="4" customWidth="1"/>
    <col min="9205" max="9205" width="13.28515625" style="4" customWidth="1"/>
    <col min="9206" max="9206" width="16.140625" style="4" customWidth="1"/>
    <col min="9207" max="9209" width="7.140625" style="4" customWidth="1"/>
    <col min="9210" max="9210" width="8.5703125" style="4" customWidth="1"/>
    <col min="9211" max="9211" width="12.42578125" style="4" customWidth="1"/>
    <col min="9212" max="9212" width="12.7109375" style="4" customWidth="1"/>
    <col min="9213" max="9213" width="13.85546875" style="4" customWidth="1"/>
    <col min="9214" max="9214" width="23.28515625" style="4" customWidth="1"/>
    <col min="9215" max="9215" width="11.5703125" style="4" customWidth="1"/>
    <col min="9216" max="9216" width="10.140625" style="4" customWidth="1"/>
    <col min="9217" max="9217" width="10.85546875" style="4" customWidth="1"/>
    <col min="9218" max="9218" width="12.5703125" style="4" customWidth="1"/>
    <col min="9219" max="9219" width="14.28515625" style="4" customWidth="1"/>
    <col min="9220" max="9220" width="12.5703125" style="4" customWidth="1"/>
    <col min="9221" max="9221" width="17.28515625" style="4" customWidth="1"/>
    <col min="9222" max="9222" width="18.85546875" style="4" customWidth="1"/>
    <col min="9223" max="9223" width="15.140625" style="4" customWidth="1"/>
    <col min="9224" max="9224" width="17.7109375" style="4" customWidth="1"/>
    <col min="9225" max="9225" width="23.140625" style="4" customWidth="1"/>
    <col min="9226" max="9226" width="27.42578125" style="4" customWidth="1"/>
    <col min="9227" max="9227" width="13.28515625" style="4" customWidth="1"/>
    <col min="9228" max="9228" width="12.7109375" style="4" customWidth="1"/>
    <col min="9229" max="9229" width="13.85546875" style="4" customWidth="1"/>
    <col min="9230" max="9238" width="11.42578125" style="4"/>
    <col min="9239" max="9239" width="14.140625" style="4" customWidth="1"/>
    <col min="9240" max="9240" width="13.28515625" style="4" customWidth="1"/>
    <col min="9241" max="9241" width="13.85546875" style="4" customWidth="1"/>
    <col min="9242" max="9242" width="16.5703125" style="4" customWidth="1"/>
    <col min="9243" max="9243" width="11.42578125" style="4"/>
    <col min="9244" max="9244" width="15" style="4" customWidth="1"/>
    <col min="9245" max="9245" width="14.85546875" style="4" customWidth="1"/>
    <col min="9246" max="9246" width="12.7109375" style="4" customWidth="1"/>
    <col min="9247" max="9247" width="11.42578125" style="4"/>
    <col min="9248" max="9248" width="15.7109375" style="4" customWidth="1"/>
    <col min="9249" max="9249" width="14.7109375" style="4" customWidth="1"/>
    <col min="9250" max="9434" width="11.42578125" style="4"/>
    <col min="9435" max="9435" width="10.42578125" style="4" customWidth="1"/>
    <col min="9436" max="9436" width="17.7109375" style="4" customWidth="1"/>
    <col min="9437" max="9437" width="0" style="4" hidden="1" customWidth="1"/>
    <col min="9438" max="9438" width="23.5703125" style="4" customWidth="1"/>
    <col min="9439" max="9439" width="25.85546875" style="4" customWidth="1"/>
    <col min="9440" max="9440" width="44" style="4" customWidth="1"/>
    <col min="9441" max="9441" width="21.7109375" style="4" customWidth="1"/>
    <col min="9442" max="9442" width="11.85546875" style="4" customWidth="1"/>
    <col min="9443" max="9443" width="9.85546875" style="4" customWidth="1"/>
    <col min="9444" max="9444" width="10" style="4" customWidth="1"/>
    <col min="9445" max="9445" width="21.140625" style="4" customWidth="1"/>
    <col min="9446" max="9456" width="0" style="4" hidden="1" customWidth="1"/>
    <col min="9457" max="9457" width="11.5703125" style="4" customWidth="1"/>
    <col min="9458" max="9458" width="11" style="4" customWidth="1"/>
    <col min="9459" max="9459" width="13.140625" style="4" customWidth="1"/>
    <col min="9460" max="9460" width="13.85546875" style="4" customWidth="1"/>
    <col min="9461" max="9461" width="13.28515625" style="4" customWidth="1"/>
    <col min="9462" max="9462" width="16.140625" style="4" customWidth="1"/>
    <col min="9463" max="9465" width="7.140625" style="4" customWidth="1"/>
    <col min="9466" max="9466" width="8.5703125" style="4" customWidth="1"/>
    <col min="9467" max="9467" width="12.42578125" style="4" customWidth="1"/>
    <col min="9468" max="9468" width="12.7109375" style="4" customWidth="1"/>
    <col min="9469" max="9469" width="13.85546875" style="4" customWidth="1"/>
    <col min="9470" max="9470" width="23.28515625" style="4" customWidth="1"/>
    <col min="9471" max="9471" width="11.5703125" style="4" customWidth="1"/>
    <col min="9472" max="9472" width="10.140625" style="4" customWidth="1"/>
    <col min="9473" max="9473" width="10.85546875" style="4" customWidth="1"/>
    <col min="9474" max="9474" width="12.5703125" style="4" customWidth="1"/>
    <col min="9475" max="9475" width="14.28515625" style="4" customWidth="1"/>
    <col min="9476" max="9476" width="12.5703125" style="4" customWidth="1"/>
    <col min="9477" max="9477" width="17.28515625" style="4" customWidth="1"/>
    <col min="9478" max="9478" width="18.85546875" style="4" customWidth="1"/>
    <col min="9479" max="9479" width="15.140625" style="4" customWidth="1"/>
    <col min="9480" max="9480" width="17.7109375" style="4" customWidth="1"/>
    <col min="9481" max="9481" width="23.140625" style="4" customWidth="1"/>
    <col min="9482" max="9482" width="27.42578125" style="4" customWidth="1"/>
    <col min="9483" max="9483" width="13.28515625" style="4" customWidth="1"/>
    <col min="9484" max="9484" width="12.7109375" style="4" customWidth="1"/>
    <col min="9485" max="9485" width="13.85546875" style="4" customWidth="1"/>
    <col min="9486" max="9494" width="11.42578125" style="4"/>
    <col min="9495" max="9495" width="14.140625" style="4" customWidth="1"/>
    <col min="9496" max="9496" width="13.28515625" style="4" customWidth="1"/>
    <col min="9497" max="9497" width="13.85546875" style="4" customWidth="1"/>
    <col min="9498" max="9498" width="16.5703125" style="4" customWidth="1"/>
    <col min="9499" max="9499" width="11.42578125" style="4"/>
    <col min="9500" max="9500" width="15" style="4" customWidth="1"/>
    <col min="9501" max="9501" width="14.85546875" style="4" customWidth="1"/>
    <col min="9502" max="9502" width="12.7109375" style="4" customWidth="1"/>
    <col min="9503" max="9503" width="11.42578125" style="4"/>
    <col min="9504" max="9504" width="15.7109375" style="4" customWidth="1"/>
    <col min="9505" max="9505" width="14.7109375" style="4" customWidth="1"/>
    <col min="9506" max="9690" width="11.42578125" style="4"/>
    <col min="9691" max="9691" width="10.42578125" style="4" customWidth="1"/>
    <col min="9692" max="9692" width="17.7109375" style="4" customWidth="1"/>
    <col min="9693" max="9693" width="0" style="4" hidden="1" customWidth="1"/>
    <col min="9694" max="9694" width="23.5703125" style="4" customWidth="1"/>
    <col min="9695" max="9695" width="25.85546875" style="4" customWidth="1"/>
    <col min="9696" max="9696" width="44" style="4" customWidth="1"/>
    <col min="9697" max="9697" width="21.7109375" style="4" customWidth="1"/>
    <col min="9698" max="9698" width="11.85546875" style="4" customWidth="1"/>
    <col min="9699" max="9699" width="9.85546875" style="4" customWidth="1"/>
    <col min="9700" max="9700" width="10" style="4" customWidth="1"/>
    <col min="9701" max="9701" width="21.140625" style="4" customWidth="1"/>
    <col min="9702" max="9712" width="0" style="4" hidden="1" customWidth="1"/>
    <col min="9713" max="9713" width="11.5703125" style="4" customWidth="1"/>
    <col min="9714" max="9714" width="11" style="4" customWidth="1"/>
    <col min="9715" max="9715" width="13.140625" style="4" customWidth="1"/>
    <col min="9716" max="9716" width="13.85546875" style="4" customWidth="1"/>
    <col min="9717" max="9717" width="13.28515625" style="4" customWidth="1"/>
    <col min="9718" max="9718" width="16.140625" style="4" customWidth="1"/>
    <col min="9719" max="9721" width="7.140625" style="4" customWidth="1"/>
    <col min="9722" max="9722" width="8.5703125" style="4" customWidth="1"/>
    <col min="9723" max="9723" width="12.42578125" style="4" customWidth="1"/>
    <col min="9724" max="9724" width="12.7109375" style="4" customWidth="1"/>
    <col min="9725" max="9725" width="13.85546875" style="4" customWidth="1"/>
    <col min="9726" max="9726" width="23.28515625" style="4" customWidth="1"/>
    <col min="9727" max="9727" width="11.5703125" style="4" customWidth="1"/>
    <col min="9728" max="9728" width="10.140625" style="4" customWidth="1"/>
    <col min="9729" max="9729" width="10.85546875" style="4" customWidth="1"/>
    <col min="9730" max="9730" width="12.5703125" style="4" customWidth="1"/>
    <col min="9731" max="9731" width="14.28515625" style="4" customWidth="1"/>
    <col min="9732" max="9732" width="12.5703125" style="4" customWidth="1"/>
    <col min="9733" max="9733" width="17.28515625" style="4" customWidth="1"/>
    <col min="9734" max="9734" width="18.85546875" style="4" customWidth="1"/>
    <col min="9735" max="9735" width="15.140625" style="4" customWidth="1"/>
    <col min="9736" max="9736" width="17.7109375" style="4" customWidth="1"/>
    <col min="9737" max="9737" width="23.140625" style="4" customWidth="1"/>
    <col min="9738" max="9738" width="27.42578125" style="4" customWidth="1"/>
    <col min="9739" max="9739" width="13.28515625" style="4" customWidth="1"/>
    <col min="9740" max="9740" width="12.7109375" style="4" customWidth="1"/>
    <col min="9741" max="9741" width="13.85546875" style="4" customWidth="1"/>
    <col min="9742" max="9750" width="11.42578125" style="4"/>
    <col min="9751" max="9751" width="14.140625" style="4" customWidth="1"/>
    <col min="9752" max="9752" width="13.28515625" style="4" customWidth="1"/>
    <col min="9753" max="9753" width="13.85546875" style="4" customWidth="1"/>
    <col min="9754" max="9754" width="16.5703125" style="4" customWidth="1"/>
    <col min="9755" max="9755" width="11.42578125" style="4"/>
    <col min="9756" max="9756" width="15" style="4" customWidth="1"/>
    <col min="9757" max="9757" width="14.85546875" style="4" customWidth="1"/>
    <col min="9758" max="9758" width="12.7109375" style="4" customWidth="1"/>
    <col min="9759" max="9759" width="11.42578125" style="4"/>
    <col min="9760" max="9760" width="15.7109375" style="4" customWidth="1"/>
    <col min="9761" max="9761" width="14.7109375" style="4" customWidth="1"/>
    <col min="9762" max="9946" width="11.42578125" style="4"/>
    <col min="9947" max="9947" width="10.42578125" style="4" customWidth="1"/>
    <col min="9948" max="9948" width="17.7109375" style="4" customWidth="1"/>
    <col min="9949" max="9949" width="0" style="4" hidden="1" customWidth="1"/>
    <col min="9950" max="9950" width="23.5703125" style="4" customWidth="1"/>
    <col min="9951" max="9951" width="25.85546875" style="4" customWidth="1"/>
    <col min="9952" max="9952" width="44" style="4" customWidth="1"/>
    <col min="9953" max="9953" width="21.7109375" style="4" customWidth="1"/>
    <col min="9954" max="9954" width="11.85546875" style="4" customWidth="1"/>
    <col min="9955" max="9955" width="9.85546875" style="4" customWidth="1"/>
    <col min="9956" max="9956" width="10" style="4" customWidth="1"/>
    <col min="9957" max="9957" width="21.140625" style="4" customWidth="1"/>
    <col min="9958" max="9968" width="0" style="4" hidden="1" customWidth="1"/>
    <col min="9969" max="9969" width="11.5703125" style="4" customWidth="1"/>
    <col min="9970" max="9970" width="11" style="4" customWidth="1"/>
    <col min="9971" max="9971" width="13.140625" style="4" customWidth="1"/>
    <col min="9972" max="9972" width="13.85546875" style="4" customWidth="1"/>
    <col min="9973" max="9973" width="13.28515625" style="4" customWidth="1"/>
    <col min="9974" max="9974" width="16.140625" style="4" customWidth="1"/>
    <col min="9975" max="9977" width="7.140625" style="4" customWidth="1"/>
    <col min="9978" max="9978" width="8.5703125" style="4" customWidth="1"/>
    <col min="9979" max="9979" width="12.42578125" style="4" customWidth="1"/>
    <col min="9980" max="9980" width="12.7109375" style="4" customWidth="1"/>
    <col min="9981" max="9981" width="13.85546875" style="4" customWidth="1"/>
    <col min="9982" max="9982" width="23.28515625" style="4" customWidth="1"/>
    <col min="9983" max="9983" width="11.5703125" style="4" customWidth="1"/>
    <col min="9984" max="9984" width="10.140625" style="4" customWidth="1"/>
    <col min="9985" max="9985" width="10.85546875" style="4" customWidth="1"/>
    <col min="9986" max="9986" width="12.5703125" style="4" customWidth="1"/>
    <col min="9987" max="9987" width="14.28515625" style="4" customWidth="1"/>
    <col min="9988" max="9988" width="12.5703125" style="4" customWidth="1"/>
    <col min="9989" max="9989" width="17.28515625" style="4" customWidth="1"/>
    <col min="9990" max="9990" width="18.85546875" style="4" customWidth="1"/>
    <col min="9991" max="9991" width="15.140625" style="4" customWidth="1"/>
    <col min="9992" max="9992" width="17.7109375" style="4" customWidth="1"/>
    <col min="9993" max="9993" width="23.140625" style="4" customWidth="1"/>
    <col min="9994" max="9994" width="27.42578125" style="4" customWidth="1"/>
    <col min="9995" max="9995" width="13.28515625" style="4" customWidth="1"/>
    <col min="9996" max="9996" width="12.7109375" style="4" customWidth="1"/>
    <col min="9997" max="9997" width="13.85546875" style="4" customWidth="1"/>
    <col min="9998" max="10006" width="11.42578125" style="4"/>
    <col min="10007" max="10007" width="14.140625" style="4" customWidth="1"/>
    <col min="10008" max="10008" width="13.28515625" style="4" customWidth="1"/>
    <col min="10009" max="10009" width="13.85546875" style="4" customWidth="1"/>
    <col min="10010" max="10010" width="16.5703125" style="4" customWidth="1"/>
    <col min="10011" max="10011" width="11.42578125" style="4"/>
    <col min="10012" max="10012" width="15" style="4" customWidth="1"/>
    <col min="10013" max="10013" width="14.85546875" style="4" customWidth="1"/>
    <col min="10014" max="10014" width="12.7109375" style="4" customWidth="1"/>
    <col min="10015" max="10015" width="11.42578125" style="4"/>
    <col min="10016" max="10016" width="15.7109375" style="4" customWidth="1"/>
    <col min="10017" max="10017" width="14.7109375" style="4" customWidth="1"/>
    <col min="10018" max="10202" width="11.42578125" style="4"/>
    <col min="10203" max="10203" width="10.42578125" style="4" customWidth="1"/>
    <col min="10204" max="10204" width="17.7109375" style="4" customWidth="1"/>
    <col min="10205" max="10205" width="0" style="4" hidden="1" customWidth="1"/>
    <col min="10206" max="10206" width="23.5703125" style="4" customWidth="1"/>
    <col min="10207" max="10207" width="25.85546875" style="4" customWidth="1"/>
    <col min="10208" max="10208" width="44" style="4" customWidth="1"/>
    <col min="10209" max="10209" width="21.7109375" style="4" customWidth="1"/>
    <col min="10210" max="10210" width="11.85546875" style="4" customWidth="1"/>
    <col min="10211" max="10211" width="9.85546875" style="4" customWidth="1"/>
    <col min="10212" max="10212" width="10" style="4" customWidth="1"/>
    <col min="10213" max="10213" width="21.140625" style="4" customWidth="1"/>
    <col min="10214" max="10224" width="0" style="4" hidden="1" customWidth="1"/>
    <col min="10225" max="10225" width="11.5703125" style="4" customWidth="1"/>
    <col min="10226" max="10226" width="11" style="4" customWidth="1"/>
    <col min="10227" max="10227" width="13.140625" style="4" customWidth="1"/>
    <col min="10228" max="10228" width="13.85546875" style="4" customWidth="1"/>
    <col min="10229" max="10229" width="13.28515625" style="4" customWidth="1"/>
    <col min="10230" max="10230" width="16.140625" style="4" customWidth="1"/>
    <col min="10231" max="10233" width="7.140625" style="4" customWidth="1"/>
    <col min="10234" max="10234" width="8.5703125" style="4" customWidth="1"/>
    <col min="10235" max="10235" width="12.42578125" style="4" customWidth="1"/>
    <col min="10236" max="10236" width="12.7109375" style="4" customWidth="1"/>
    <col min="10237" max="10237" width="13.85546875" style="4" customWidth="1"/>
    <col min="10238" max="10238" width="23.28515625" style="4" customWidth="1"/>
    <col min="10239" max="10239" width="11.5703125" style="4" customWidth="1"/>
    <col min="10240" max="10240" width="10.140625" style="4" customWidth="1"/>
    <col min="10241" max="10241" width="10.85546875" style="4" customWidth="1"/>
    <col min="10242" max="10242" width="12.5703125" style="4" customWidth="1"/>
    <col min="10243" max="10243" width="14.28515625" style="4" customWidth="1"/>
    <col min="10244" max="10244" width="12.5703125" style="4" customWidth="1"/>
    <col min="10245" max="10245" width="17.28515625" style="4" customWidth="1"/>
    <col min="10246" max="10246" width="18.85546875" style="4" customWidth="1"/>
    <col min="10247" max="10247" width="15.140625" style="4" customWidth="1"/>
    <col min="10248" max="10248" width="17.7109375" style="4" customWidth="1"/>
    <col min="10249" max="10249" width="23.140625" style="4" customWidth="1"/>
    <col min="10250" max="10250" width="27.42578125" style="4" customWidth="1"/>
    <col min="10251" max="10251" width="13.28515625" style="4" customWidth="1"/>
    <col min="10252" max="10252" width="12.7109375" style="4" customWidth="1"/>
    <col min="10253" max="10253" width="13.85546875" style="4" customWidth="1"/>
    <col min="10254" max="10262" width="11.42578125" style="4"/>
    <col min="10263" max="10263" width="14.140625" style="4" customWidth="1"/>
    <col min="10264" max="10264" width="13.28515625" style="4" customWidth="1"/>
    <col min="10265" max="10265" width="13.85546875" style="4" customWidth="1"/>
    <col min="10266" max="10266" width="16.5703125" style="4" customWidth="1"/>
    <col min="10267" max="10267" width="11.42578125" style="4"/>
    <col min="10268" max="10268" width="15" style="4" customWidth="1"/>
    <col min="10269" max="10269" width="14.85546875" style="4" customWidth="1"/>
    <col min="10270" max="10270" width="12.7109375" style="4" customWidth="1"/>
    <col min="10271" max="10271" width="11.42578125" style="4"/>
    <col min="10272" max="10272" width="15.7109375" style="4" customWidth="1"/>
    <col min="10273" max="10273" width="14.7109375" style="4" customWidth="1"/>
    <col min="10274" max="10458" width="11.42578125" style="4"/>
    <col min="10459" max="10459" width="10.42578125" style="4" customWidth="1"/>
    <col min="10460" max="10460" width="17.7109375" style="4" customWidth="1"/>
    <col min="10461" max="10461" width="0" style="4" hidden="1" customWidth="1"/>
    <col min="10462" max="10462" width="23.5703125" style="4" customWidth="1"/>
    <col min="10463" max="10463" width="25.85546875" style="4" customWidth="1"/>
    <col min="10464" max="10464" width="44" style="4" customWidth="1"/>
    <col min="10465" max="10465" width="21.7109375" style="4" customWidth="1"/>
    <col min="10466" max="10466" width="11.85546875" style="4" customWidth="1"/>
    <col min="10467" max="10467" width="9.85546875" style="4" customWidth="1"/>
    <col min="10468" max="10468" width="10" style="4" customWidth="1"/>
    <col min="10469" max="10469" width="21.140625" style="4" customWidth="1"/>
    <col min="10470" max="10480" width="0" style="4" hidden="1" customWidth="1"/>
    <col min="10481" max="10481" width="11.5703125" style="4" customWidth="1"/>
    <col min="10482" max="10482" width="11" style="4" customWidth="1"/>
    <col min="10483" max="10483" width="13.140625" style="4" customWidth="1"/>
    <col min="10484" max="10484" width="13.85546875" style="4" customWidth="1"/>
    <col min="10485" max="10485" width="13.28515625" style="4" customWidth="1"/>
    <col min="10486" max="10486" width="16.140625" style="4" customWidth="1"/>
    <col min="10487" max="10489" width="7.140625" style="4" customWidth="1"/>
    <col min="10490" max="10490" width="8.5703125" style="4" customWidth="1"/>
    <col min="10491" max="10491" width="12.42578125" style="4" customWidth="1"/>
    <col min="10492" max="10492" width="12.7109375" style="4" customWidth="1"/>
    <col min="10493" max="10493" width="13.85546875" style="4" customWidth="1"/>
    <col min="10494" max="10494" width="23.28515625" style="4" customWidth="1"/>
    <col min="10495" max="10495" width="11.5703125" style="4" customWidth="1"/>
    <col min="10496" max="10496" width="10.140625" style="4" customWidth="1"/>
    <col min="10497" max="10497" width="10.85546875" style="4" customWidth="1"/>
    <col min="10498" max="10498" width="12.5703125" style="4" customWidth="1"/>
    <col min="10499" max="10499" width="14.28515625" style="4" customWidth="1"/>
    <col min="10500" max="10500" width="12.5703125" style="4" customWidth="1"/>
    <col min="10501" max="10501" width="17.28515625" style="4" customWidth="1"/>
    <col min="10502" max="10502" width="18.85546875" style="4" customWidth="1"/>
    <col min="10503" max="10503" width="15.140625" style="4" customWidth="1"/>
    <col min="10504" max="10504" width="17.7109375" style="4" customWidth="1"/>
    <col min="10505" max="10505" width="23.140625" style="4" customWidth="1"/>
    <col min="10506" max="10506" width="27.42578125" style="4" customWidth="1"/>
    <col min="10507" max="10507" width="13.28515625" style="4" customWidth="1"/>
    <col min="10508" max="10508" width="12.7109375" style="4" customWidth="1"/>
    <col min="10509" max="10509" width="13.85546875" style="4" customWidth="1"/>
    <col min="10510" max="10518" width="11.42578125" style="4"/>
    <col min="10519" max="10519" width="14.140625" style="4" customWidth="1"/>
    <col min="10520" max="10520" width="13.28515625" style="4" customWidth="1"/>
    <col min="10521" max="10521" width="13.85546875" style="4" customWidth="1"/>
    <col min="10522" max="10522" width="16.5703125" style="4" customWidth="1"/>
    <col min="10523" max="10523" width="11.42578125" style="4"/>
    <col min="10524" max="10524" width="15" style="4" customWidth="1"/>
    <col min="10525" max="10525" width="14.85546875" style="4" customWidth="1"/>
    <col min="10526" max="10526" width="12.7109375" style="4" customWidth="1"/>
    <col min="10527" max="10527" width="11.42578125" style="4"/>
    <col min="10528" max="10528" width="15.7109375" style="4" customWidth="1"/>
    <col min="10529" max="10529" width="14.7109375" style="4" customWidth="1"/>
    <col min="10530" max="10714" width="11.42578125" style="4"/>
    <col min="10715" max="10715" width="10.42578125" style="4" customWidth="1"/>
    <col min="10716" max="10716" width="17.7109375" style="4" customWidth="1"/>
    <col min="10717" max="10717" width="0" style="4" hidden="1" customWidth="1"/>
    <col min="10718" max="10718" width="23.5703125" style="4" customWidth="1"/>
    <col min="10719" max="10719" width="25.85546875" style="4" customWidth="1"/>
    <col min="10720" max="10720" width="44" style="4" customWidth="1"/>
    <col min="10721" max="10721" width="21.7109375" style="4" customWidth="1"/>
    <col min="10722" max="10722" width="11.85546875" style="4" customWidth="1"/>
    <col min="10723" max="10723" width="9.85546875" style="4" customWidth="1"/>
    <col min="10724" max="10724" width="10" style="4" customWidth="1"/>
    <col min="10725" max="10725" width="21.140625" style="4" customWidth="1"/>
    <col min="10726" max="10736" width="0" style="4" hidden="1" customWidth="1"/>
    <col min="10737" max="10737" width="11.5703125" style="4" customWidth="1"/>
    <col min="10738" max="10738" width="11" style="4" customWidth="1"/>
    <col min="10739" max="10739" width="13.140625" style="4" customWidth="1"/>
    <col min="10740" max="10740" width="13.85546875" style="4" customWidth="1"/>
    <col min="10741" max="10741" width="13.28515625" style="4" customWidth="1"/>
    <col min="10742" max="10742" width="16.140625" style="4" customWidth="1"/>
    <col min="10743" max="10745" width="7.140625" style="4" customWidth="1"/>
    <col min="10746" max="10746" width="8.5703125" style="4" customWidth="1"/>
    <col min="10747" max="10747" width="12.42578125" style="4" customWidth="1"/>
    <col min="10748" max="10748" width="12.7109375" style="4" customWidth="1"/>
    <col min="10749" max="10749" width="13.85546875" style="4" customWidth="1"/>
    <col min="10750" max="10750" width="23.28515625" style="4" customWidth="1"/>
    <col min="10751" max="10751" width="11.5703125" style="4" customWidth="1"/>
    <col min="10752" max="10752" width="10.140625" style="4" customWidth="1"/>
    <col min="10753" max="10753" width="10.85546875" style="4" customWidth="1"/>
    <col min="10754" max="10754" width="12.5703125" style="4" customWidth="1"/>
    <col min="10755" max="10755" width="14.28515625" style="4" customWidth="1"/>
    <col min="10756" max="10756" width="12.5703125" style="4" customWidth="1"/>
    <col min="10757" max="10757" width="17.28515625" style="4" customWidth="1"/>
    <col min="10758" max="10758" width="18.85546875" style="4" customWidth="1"/>
    <col min="10759" max="10759" width="15.140625" style="4" customWidth="1"/>
    <col min="10760" max="10760" width="17.7109375" style="4" customWidth="1"/>
    <col min="10761" max="10761" width="23.140625" style="4" customWidth="1"/>
    <col min="10762" max="10762" width="27.42578125" style="4" customWidth="1"/>
    <col min="10763" max="10763" width="13.28515625" style="4" customWidth="1"/>
    <col min="10764" max="10764" width="12.7109375" style="4" customWidth="1"/>
    <col min="10765" max="10765" width="13.85546875" style="4" customWidth="1"/>
    <col min="10766" max="10774" width="11.42578125" style="4"/>
    <col min="10775" max="10775" width="14.140625" style="4" customWidth="1"/>
    <col min="10776" max="10776" width="13.28515625" style="4" customWidth="1"/>
    <col min="10777" max="10777" width="13.85546875" style="4" customWidth="1"/>
    <col min="10778" max="10778" width="16.5703125" style="4" customWidth="1"/>
    <col min="10779" max="10779" width="11.42578125" style="4"/>
    <col min="10780" max="10780" width="15" style="4" customWidth="1"/>
    <col min="10781" max="10781" width="14.85546875" style="4" customWidth="1"/>
    <col min="10782" max="10782" width="12.7109375" style="4" customWidth="1"/>
    <col min="10783" max="10783" width="11.42578125" style="4"/>
    <col min="10784" max="10784" width="15.7109375" style="4" customWidth="1"/>
    <col min="10785" max="10785" width="14.7109375" style="4" customWidth="1"/>
    <col min="10786" max="10970" width="11.42578125" style="4"/>
    <col min="10971" max="10971" width="10.42578125" style="4" customWidth="1"/>
    <col min="10972" max="10972" width="17.7109375" style="4" customWidth="1"/>
    <col min="10973" max="10973" width="0" style="4" hidden="1" customWidth="1"/>
    <col min="10974" max="10974" width="23.5703125" style="4" customWidth="1"/>
    <col min="10975" max="10975" width="25.85546875" style="4" customWidth="1"/>
    <col min="10976" max="10976" width="44" style="4" customWidth="1"/>
    <col min="10977" max="10977" width="21.7109375" style="4" customWidth="1"/>
    <col min="10978" max="10978" width="11.85546875" style="4" customWidth="1"/>
    <col min="10979" max="10979" width="9.85546875" style="4" customWidth="1"/>
    <col min="10980" max="10980" width="10" style="4" customWidth="1"/>
    <col min="10981" max="10981" width="21.140625" style="4" customWidth="1"/>
    <col min="10982" max="10992" width="0" style="4" hidden="1" customWidth="1"/>
    <col min="10993" max="10993" width="11.5703125" style="4" customWidth="1"/>
    <col min="10994" max="10994" width="11" style="4" customWidth="1"/>
    <col min="10995" max="10995" width="13.140625" style="4" customWidth="1"/>
    <col min="10996" max="10996" width="13.85546875" style="4" customWidth="1"/>
    <col min="10997" max="10997" width="13.28515625" style="4" customWidth="1"/>
    <col min="10998" max="10998" width="16.140625" style="4" customWidth="1"/>
    <col min="10999" max="11001" width="7.140625" style="4" customWidth="1"/>
    <col min="11002" max="11002" width="8.5703125" style="4" customWidth="1"/>
    <col min="11003" max="11003" width="12.42578125" style="4" customWidth="1"/>
    <col min="11004" max="11004" width="12.7109375" style="4" customWidth="1"/>
    <col min="11005" max="11005" width="13.85546875" style="4" customWidth="1"/>
    <col min="11006" max="11006" width="23.28515625" style="4" customWidth="1"/>
    <col min="11007" max="11007" width="11.5703125" style="4" customWidth="1"/>
    <col min="11008" max="11008" width="10.140625" style="4" customWidth="1"/>
    <col min="11009" max="11009" width="10.85546875" style="4" customWidth="1"/>
    <col min="11010" max="11010" width="12.5703125" style="4" customWidth="1"/>
    <col min="11011" max="11011" width="14.28515625" style="4" customWidth="1"/>
    <col min="11012" max="11012" width="12.5703125" style="4" customWidth="1"/>
    <col min="11013" max="11013" width="17.28515625" style="4" customWidth="1"/>
    <col min="11014" max="11014" width="18.85546875" style="4" customWidth="1"/>
    <col min="11015" max="11015" width="15.140625" style="4" customWidth="1"/>
    <col min="11016" max="11016" width="17.7109375" style="4" customWidth="1"/>
    <col min="11017" max="11017" width="23.140625" style="4" customWidth="1"/>
    <col min="11018" max="11018" width="27.42578125" style="4" customWidth="1"/>
    <col min="11019" max="11019" width="13.28515625" style="4" customWidth="1"/>
    <col min="11020" max="11020" width="12.7109375" style="4" customWidth="1"/>
    <col min="11021" max="11021" width="13.85546875" style="4" customWidth="1"/>
    <col min="11022" max="11030" width="11.42578125" style="4"/>
    <col min="11031" max="11031" width="14.140625" style="4" customWidth="1"/>
    <col min="11032" max="11032" width="13.28515625" style="4" customWidth="1"/>
    <col min="11033" max="11033" width="13.85546875" style="4" customWidth="1"/>
    <col min="11034" max="11034" width="16.5703125" style="4" customWidth="1"/>
    <col min="11035" max="11035" width="11.42578125" style="4"/>
    <col min="11036" max="11036" width="15" style="4" customWidth="1"/>
    <col min="11037" max="11037" width="14.85546875" style="4" customWidth="1"/>
    <col min="11038" max="11038" width="12.7109375" style="4" customWidth="1"/>
    <col min="11039" max="11039" width="11.42578125" style="4"/>
    <col min="11040" max="11040" width="15.7109375" style="4" customWidth="1"/>
    <col min="11041" max="11041" width="14.7109375" style="4" customWidth="1"/>
    <col min="11042" max="11226" width="11.42578125" style="4"/>
    <col min="11227" max="11227" width="10.42578125" style="4" customWidth="1"/>
    <col min="11228" max="11228" width="17.7109375" style="4" customWidth="1"/>
    <col min="11229" max="11229" width="0" style="4" hidden="1" customWidth="1"/>
    <col min="11230" max="11230" width="23.5703125" style="4" customWidth="1"/>
    <col min="11231" max="11231" width="25.85546875" style="4" customWidth="1"/>
    <col min="11232" max="11232" width="44" style="4" customWidth="1"/>
    <col min="11233" max="11233" width="21.7109375" style="4" customWidth="1"/>
    <col min="11234" max="11234" width="11.85546875" style="4" customWidth="1"/>
    <col min="11235" max="11235" width="9.85546875" style="4" customWidth="1"/>
    <col min="11236" max="11236" width="10" style="4" customWidth="1"/>
    <col min="11237" max="11237" width="21.140625" style="4" customWidth="1"/>
    <col min="11238" max="11248" width="0" style="4" hidden="1" customWidth="1"/>
    <col min="11249" max="11249" width="11.5703125" style="4" customWidth="1"/>
    <col min="11250" max="11250" width="11" style="4" customWidth="1"/>
    <col min="11251" max="11251" width="13.140625" style="4" customWidth="1"/>
    <col min="11252" max="11252" width="13.85546875" style="4" customWidth="1"/>
    <col min="11253" max="11253" width="13.28515625" style="4" customWidth="1"/>
    <col min="11254" max="11254" width="16.140625" style="4" customWidth="1"/>
    <col min="11255" max="11257" width="7.140625" style="4" customWidth="1"/>
    <col min="11258" max="11258" width="8.5703125" style="4" customWidth="1"/>
    <col min="11259" max="11259" width="12.42578125" style="4" customWidth="1"/>
    <col min="11260" max="11260" width="12.7109375" style="4" customWidth="1"/>
    <col min="11261" max="11261" width="13.85546875" style="4" customWidth="1"/>
    <col min="11262" max="11262" width="23.28515625" style="4" customWidth="1"/>
    <col min="11263" max="11263" width="11.5703125" style="4" customWidth="1"/>
    <col min="11264" max="11264" width="10.140625" style="4" customWidth="1"/>
    <col min="11265" max="11265" width="10.85546875" style="4" customWidth="1"/>
    <col min="11266" max="11266" width="12.5703125" style="4" customWidth="1"/>
    <col min="11267" max="11267" width="14.28515625" style="4" customWidth="1"/>
    <col min="11268" max="11268" width="12.5703125" style="4" customWidth="1"/>
    <col min="11269" max="11269" width="17.28515625" style="4" customWidth="1"/>
    <col min="11270" max="11270" width="18.85546875" style="4" customWidth="1"/>
    <col min="11271" max="11271" width="15.140625" style="4" customWidth="1"/>
    <col min="11272" max="11272" width="17.7109375" style="4" customWidth="1"/>
    <col min="11273" max="11273" width="23.140625" style="4" customWidth="1"/>
    <col min="11274" max="11274" width="27.42578125" style="4" customWidth="1"/>
    <col min="11275" max="11275" width="13.28515625" style="4" customWidth="1"/>
    <col min="11276" max="11276" width="12.7109375" style="4" customWidth="1"/>
    <col min="11277" max="11277" width="13.85546875" style="4" customWidth="1"/>
    <col min="11278" max="11286" width="11.42578125" style="4"/>
    <col min="11287" max="11287" width="14.140625" style="4" customWidth="1"/>
    <col min="11288" max="11288" width="13.28515625" style="4" customWidth="1"/>
    <col min="11289" max="11289" width="13.85546875" style="4" customWidth="1"/>
    <col min="11290" max="11290" width="16.5703125" style="4" customWidth="1"/>
    <col min="11291" max="11291" width="11.42578125" style="4"/>
    <col min="11292" max="11292" width="15" style="4" customWidth="1"/>
    <col min="11293" max="11293" width="14.85546875" style="4" customWidth="1"/>
    <col min="11294" max="11294" width="12.7109375" style="4" customWidth="1"/>
    <col min="11295" max="11295" width="11.42578125" style="4"/>
    <col min="11296" max="11296" width="15.7109375" style="4" customWidth="1"/>
    <col min="11297" max="11297" width="14.7109375" style="4" customWidth="1"/>
    <col min="11298" max="11482" width="11.42578125" style="4"/>
    <col min="11483" max="11483" width="10.42578125" style="4" customWidth="1"/>
    <col min="11484" max="11484" width="17.7109375" style="4" customWidth="1"/>
    <col min="11485" max="11485" width="0" style="4" hidden="1" customWidth="1"/>
    <col min="11486" max="11486" width="23.5703125" style="4" customWidth="1"/>
    <col min="11487" max="11487" width="25.85546875" style="4" customWidth="1"/>
    <col min="11488" max="11488" width="44" style="4" customWidth="1"/>
    <col min="11489" max="11489" width="21.7109375" style="4" customWidth="1"/>
    <col min="11490" max="11490" width="11.85546875" style="4" customWidth="1"/>
    <col min="11491" max="11491" width="9.85546875" style="4" customWidth="1"/>
    <col min="11492" max="11492" width="10" style="4" customWidth="1"/>
    <col min="11493" max="11493" width="21.140625" style="4" customWidth="1"/>
    <col min="11494" max="11504" width="0" style="4" hidden="1" customWidth="1"/>
    <col min="11505" max="11505" width="11.5703125" style="4" customWidth="1"/>
    <col min="11506" max="11506" width="11" style="4" customWidth="1"/>
    <col min="11507" max="11507" width="13.140625" style="4" customWidth="1"/>
    <col min="11508" max="11508" width="13.85546875" style="4" customWidth="1"/>
    <col min="11509" max="11509" width="13.28515625" style="4" customWidth="1"/>
    <col min="11510" max="11510" width="16.140625" style="4" customWidth="1"/>
    <col min="11511" max="11513" width="7.140625" style="4" customWidth="1"/>
    <col min="11514" max="11514" width="8.5703125" style="4" customWidth="1"/>
    <col min="11515" max="11515" width="12.42578125" style="4" customWidth="1"/>
    <col min="11516" max="11516" width="12.7109375" style="4" customWidth="1"/>
    <col min="11517" max="11517" width="13.85546875" style="4" customWidth="1"/>
    <col min="11518" max="11518" width="23.28515625" style="4" customWidth="1"/>
    <col min="11519" max="11519" width="11.5703125" style="4" customWidth="1"/>
    <col min="11520" max="11520" width="10.140625" style="4" customWidth="1"/>
    <col min="11521" max="11521" width="10.85546875" style="4" customWidth="1"/>
    <col min="11522" max="11522" width="12.5703125" style="4" customWidth="1"/>
    <col min="11523" max="11523" width="14.28515625" style="4" customWidth="1"/>
    <col min="11524" max="11524" width="12.5703125" style="4" customWidth="1"/>
    <col min="11525" max="11525" width="17.28515625" style="4" customWidth="1"/>
    <col min="11526" max="11526" width="18.85546875" style="4" customWidth="1"/>
    <col min="11527" max="11527" width="15.140625" style="4" customWidth="1"/>
    <col min="11528" max="11528" width="17.7109375" style="4" customWidth="1"/>
    <col min="11529" max="11529" width="23.140625" style="4" customWidth="1"/>
    <col min="11530" max="11530" width="27.42578125" style="4" customWidth="1"/>
    <col min="11531" max="11531" width="13.28515625" style="4" customWidth="1"/>
    <col min="11532" max="11532" width="12.7109375" style="4" customWidth="1"/>
    <col min="11533" max="11533" width="13.85546875" style="4" customWidth="1"/>
    <col min="11534" max="11542" width="11.42578125" style="4"/>
    <col min="11543" max="11543" width="14.140625" style="4" customWidth="1"/>
    <col min="11544" max="11544" width="13.28515625" style="4" customWidth="1"/>
    <col min="11545" max="11545" width="13.85546875" style="4" customWidth="1"/>
    <col min="11546" max="11546" width="16.5703125" style="4" customWidth="1"/>
    <col min="11547" max="11547" width="11.42578125" style="4"/>
    <col min="11548" max="11548" width="15" style="4" customWidth="1"/>
    <col min="11549" max="11549" width="14.85546875" style="4" customWidth="1"/>
    <col min="11550" max="11550" width="12.7109375" style="4" customWidth="1"/>
    <col min="11551" max="11551" width="11.42578125" style="4"/>
    <col min="11552" max="11552" width="15.7109375" style="4" customWidth="1"/>
    <col min="11553" max="11553" width="14.7109375" style="4" customWidth="1"/>
    <col min="11554" max="11738" width="11.42578125" style="4"/>
    <col min="11739" max="11739" width="10.42578125" style="4" customWidth="1"/>
    <col min="11740" max="11740" width="17.7109375" style="4" customWidth="1"/>
    <col min="11741" max="11741" width="0" style="4" hidden="1" customWidth="1"/>
    <col min="11742" max="11742" width="23.5703125" style="4" customWidth="1"/>
    <col min="11743" max="11743" width="25.85546875" style="4" customWidth="1"/>
    <col min="11744" max="11744" width="44" style="4" customWidth="1"/>
    <col min="11745" max="11745" width="21.7109375" style="4" customWidth="1"/>
    <col min="11746" max="11746" width="11.85546875" style="4" customWidth="1"/>
    <col min="11747" max="11747" width="9.85546875" style="4" customWidth="1"/>
    <col min="11748" max="11748" width="10" style="4" customWidth="1"/>
    <col min="11749" max="11749" width="21.140625" style="4" customWidth="1"/>
    <col min="11750" max="11760" width="0" style="4" hidden="1" customWidth="1"/>
    <col min="11761" max="11761" width="11.5703125" style="4" customWidth="1"/>
    <col min="11762" max="11762" width="11" style="4" customWidth="1"/>
    <col min="11763" max="11763" width="13.140625" style="4" customWidth="1"/>
    <col min="11764" max="11764" width="13.85546875" style="4" customWidth="1"/>
    <col min="11765" max="11765" width="13.28515625" style="4" customWidth="1"/>
    <col min="11766" max="11766" width="16.140625" style="4" customWidth="1"/>
    <col min="11767" max="11769" width="7.140625" style="4" customWidth="1"/>
    <col min="11770" max="11770" width="8.5703125" style="4" customWidth="1"/>
    <col min="11771" max="11771" width="12.42578125" style="4" customWidth="1"/>
    <col min="11772" max="11772" width="12.7109375" style="4" customWidth="1"/>
    <col min="11773" max="11773" width="13.85546875" style="4" customWidth="1"/>
    <col min="11774" max="11774" width="23.28515625" style="4" customWidth="1"/>
    <col min="11775" max="11775" width="11.5703125" style="4" customWidth="1"/>
    <col min="11776" max="11776" width="10.140625" style="4" customWidth="1"/>
    <col min="11777" max="11777" width="10.85546875" style="4" customWidth="1"/>
    <col min="11778" max="11778" width="12.5703125" style="4" customWidth="1"/>
    <col min="11779" max="11779" width="14.28515625" style="4" customWidth="1"/>
    <col min="11780" max="11780" width="12.5703125" style="4" customWidth="1"/>
    <col min="11781" max="11781" width="17.28515625" style="4" customWidth="1"/>
    <col min="11782" max="11782" width="18.85546875" style="4" customWidth="1"/>
    <col min="11783" max="11783" width="15.140625" style="4" customWidth="1"/>
    <col min="11784" max="11784" width="17.7109375" style="4" customWidth="1"/>
    <col min="11785" max="11785" width="23.140625" style="4" customWidth="1"/>
    <col min="11786" max="11786" width="27.42578125" style="4" customWidth="1"/>
    <col min="11787" max="11787" width="13.28515625" style="4" customWidth="1"/>
    <col min="11788" max="11788" width="12.7109375" style="4" customWidth="1"/>
    <col min="11789" max="11789" width="13.85546875" style="4" customWidth="1"/>
    <col min="11790" max="11798" width="11.42578125" style="4"/>
    <col min="11799" max="11799" width="14.140625" style="4" customWidth="1"/>
    <col min="11800" max="11800" width="13.28515625" style="4" customWidth="1"/>
    <col min="11801" max="11801" width="13.85546875" style="4" customWidth="1"/>
    <col min="11802" max="11802" width="16.5703125" style="4" customWidth="1"/>
    <col min="11803" max="11803" width="11.42578125" style="4"/>
    <col min="11804" max="11804" width="15" style="4" customWidth="1"/>
    <col min="11805" max="11805" width="14.85546875" style="4" customWidth="1"/>
    <col min="11806" max="11806" width="12.7109375" style="4" customWidth="1"/>
    <col min="11807" max="11807" width="11.42578125" style="4"/>
    <col min="11808" max="11808" width="15.7109375" style="4" customWidth="1"/>
    <col min="11809" max="11809" width="14.7109375" style="4" customWidth="1"/>
    <col min="11810" max="11994" width="11.42578125" style="4"/>
    <col min="11995" max="11995" width="10.42578125" style="4" customWidth="1"/>
    <col min="11996" max="11996" width="17.7109375" style="4" customWidth="1"/>
    <col min="11997" max="11997" width="0" style="4" hidden="1" customWidth="1"/>
    <col min="11998" max="11998" width="23.5703125" style="4" customWidth="1"/>
    <col min="11999" max="11999" width="25.85546875" style="4" customWidth="1"/>
    <col min="12000" max="12000" width="44" style="4" customWidth="1"/>
    <col min="12001" max="12001" width="21.7109375" style="4" customWidth="1"/>
    <col min="12002" max="12002" width="11.85546875" style="4" customWidth="1"/>
    <col min="12003" max="12003" width="9.85546875" style="4" customWidth="1"/>
    <col min="12004" max="12004" width="10" style="4" customWidth="1"/>
    <col min="12005" max="12005" width="21.140625" style="4" customWidth="1"/>
    <col min="12006" max="12016" width="0" style="4" hidden="1" customWidth="1"/>
    <col min="12017" max="12017" width="11.5703125" style="4" customWidth="1"/>
    <col min="12018" max="12018" width="11" style="4" customWidth="1"/>
    <col min="12019" max="12019" width="13.140625" style="4" customWidth="1"/>
    <col min="12020" max="12020" width="13.85546875" style="4" customWidth="1"/>
    <col min="12021" max="12021" width="13.28515625" style="4" customWidth="1"/>
    <col min="12022" max="12022" width="16.140625" style="4" customWidth="1"/>
    <col min="12023" max="12025" width="7.140625" style="4" customWidth="1"/>
    <col min="12026" max="12026" width="8.5703125" style="4" customWidth="1"/>
    <col min="12027" max="12027" width="12.42578125" style="4" customWidth="1"/>
    <col min="12028" max="12028" width="12.7109375" style="4" customWidth="1"/>
    <col min="12029" max="12029" width="13.85546875" style="4" customWidth="1"/>
    <col min="12030" max="12030" width="23.28515625" style="4" customWidth="1"/>
    <col min="12031" max="12031" width="11.5703125" style="4" customWidth="1"/>
    <col min="12032" max="12032" width="10.140625" style="4" customWidth="1"/>
    <col min="12033" max="12033" width="10.85546875" style="4" customWidth="1"/>
    <col min="12034" max="12034" width="12.5703125" style="4" customWidth="1"/>
    <col min="12035" max="12035" width="14.28515625" style="4" customWidth="1"/>
    <col min="12036" max="12036" width="12.5703125" style="4" customWidth="1"/>
    <col min="12037" max="12037" width="17.28515625" style="4" customWidth="1"/>
    <col min="12038" max="12038" width="18.85546875" style="4" customWidth="1"/>
    <col min="12039" max="12039" width="15.140625" style="4" customWidth="1"/>
    <col min="12040" max="12040" width="17.7109375" style="4" customWidth="1"/>
    <col min="12041" max="12041" width="23.140625" style="4" customWidth="1"/>
    <col min="12042" max="12042" width="27.42578125" style="4" customWidth="1"/>
    <col min="12043" max="12043" width="13.28515625" style="4" customWidth="1"/>
    <col min="12044" max="12044" width="12.7109375" style="4" customWidth="1"/>
    <col min="12045" max="12045" width="13.85546875" style="4" customWidth="1"/>
    <col min="12046" max="12054" width="11.42578125" style="4"/>
    <col min="12055" max="12055" width="14.140625" style="4" customWidth="1"/>
    <col min="12056" max="12056" width="13.28515625" style="4" customWidth="1"/>
    <col min="12057" max="12057" width="13.85546875" style="4" customWidth="1"/>
    <col min="12058" max="12058" width="16.5703125" style="4" customWidth="1"/>
    <col min="12059" max="12059" width="11.42578125" style="4"/>
    <col min="12060" max="12060" width="15" style="4" customWidth="1"/>
    <col min="12061" max="12061" width="14.85546875" style="4" customWidth="1"/>
    <col min="12062" max="12062" width="12.7109375" style="4" customWidth="1"/>
    <col min="12063" max="12063" width="11.42578125" style="4"/>
    <col min="12064" max="12064" width="15.7109375" style="4" customWidth="1"/>
    <col min="12065" max="12065" width="14.7109375" style="4" customWidth="1"/>
    <col min="12066" max="12250" width="11.42578125" style="4"/>
    <col min="12251" max="12251" width="10.42578125" style="4" customWidth="1"/>
    <col min="12252" max="12252" width="17.7109375" style="4" customWidth="1"/>
    <col min="12253" max="12253" width="0" style="4" hidden="1" customWidth="1"/>
    <col min="12254" max="12254" width="23.5703125" style="4" customWidth="1"/>
    <col min="12255" max="12255" width="25.85546875" style="4" customWidth="1"/>
    <col min="12256" max="12256" width="44" style="4" customWidth="1"/>
    <col min="12257" max="12257" width="21.7109375" style="4" customWidth="1"/>
    <col min="12258" max="12258" width="11.85546875" style="4" customWidth="1"/>
    <col min="12259" max="12259" width="9.85546875" style="4" customWidth="1"/>
    <col min="12260" max="12260" width="10" style="4" customWidth="1"/>
    <col min="12261" max="12261" width="21.140625" style="4" customWidth="1"/>
    <col min="12262" max="12272" width="0" style="4" hidden="1" customWidth="1"/>
    <col min="12273" max="12273" width="11.5703125" style="4" customWidth="1"/>
    <col min="12274" max="12274" width="11" style="4" customWidth="1"/>
    <col min="12275" max="12275" width="13.140625" style="4" customWidth="1"/>
    <col min="12276" max="12276" width="13.85546875" style="4" customWidth="1"/>
    <col min="12277" max="12277" width="13.28515625" style="4" customWidth="1"/>
    <col min="12278" max="12278" width="16.140625" style="4" customWidth="1"/>
    <col min="12279" max="12281" width="7.140625" style="4" customWidth="1"/>
    <col min="12282" max="12282" width="8.5703125" style="4" customWidth="1"/>
    <col min="12283" max="12283" width="12.42578125" style="4" customWidth="1"/>
    <col min="12284" max="12284" width="12.7109375" style="4" customWidth="1"/>
    <col min="12285" max="12285" width="13.85546875" style="4" customWidth="1"/>
    <col min="12286" max="12286" width="23.28515625" style="4" customWidth="1"/>
    <col min="12287" max="12287" width="11.5703125" style="4" customWidth="1"/>
    <col min="12288" max="12288" width="10.140625" style="4" customWidth="1"/>
    <col min="12289" max="12289" width="10.85546875" style="4" customWidth="1"/>
    <col min="12290" max="12290" width="12.5703125" style="4" customWidth="1"/>
    <col min="12291" max="12291" width="14.28515625" style="4" customWidth="1"/>
    <col min="12292" max="12292" width="12.5703125" style="4" customWidth="1"/>
    <col min="12293" max="12293" width="17.28515625" style="4" customWidth="1"/>
    <col min="12294" max="12294" width="18.85546875" style="4" customWidth="1"/>
    <col min="12295" max="12295" width="15.140625" style="4" customWidth="1"/>
    <col min="12296" max="12296" width="17.7109375" style="4" customWidth="1"/>
    <col min="12297" max="12297" width="23.140625" style="4" customWidth="1"/>
    <col min="12298" max="12298" width="27.42578125" style="4" customWidth="1"/>
    <col min="12299" max="12299" width="13.28515625" style="4" customWidth="1"/>
    <col min="12300" max="12300" width="12.7109375" style="4" customWidth="1"/>
    <col min="12301" max="12301" width="13.85546875" style="4" customWidth="1"/>
    <col min="12302" max="12310" width="11.42578125" style="4"/>
    <col min="12311" max="12311" width="14.140625" style="4" customWidth="1"/>
    <col min="12312" max="12312" width="13.28515625" style="4" customWidth="1"/>
    <col min="12313" max="12313" width="13.85546875" style="4" customWidth="1"/>
    <col min="12314" max="12314" width="16.5703125" style="4" customWidth="1"/>
    <col min="12315" max="12315" width="11.42578125" style="4"/>
    <col min="12316" max="12316" width="15" style="4" customWidth="1"/>
    <col min="12317" max="12317" width="14.85546875" style="4" customWidth="1"/>
    <col min="12318" max="12318" width="12.7109375" style="4" customWidth="1"/>
    <col min="12319" max="12319" width="11.42578125" style="4"/>
    <col min="12320" max="12320" width="15.7109375" style="4" customWidth="1"/>
    <col min="12321" max="12321" width="14.7109375" style="4" customWidth="1"/>
    <col min="12322" max="12506" width="11.42578125" style="4"/>
    <col min="12507" max="12507" width="10.42578125" style="4" customWidth="1"/>
    <col min="12508" max="12508" width="17.7109375" style="4" customWidth="1"/>
    <col min="12509" max="12509" width="0" style="4" hidden="1" customWidth="1"/>
    <col min="12510" max="12510" width="23.5703125" style="4" customWidth="1"/>
    <col min="12511" max="12511" width="25.85546875" style="4" customWidth="1"/>
    <col min="12512" max="12512" width="44" style="4" customWidth="1"/>
    <col min="12513" max="12513" width="21.7109375" style="4" customWidth="1"/>
    <col min="12514" max="12514" width="11.85546875" style="4" customWidth="1"/>
    <col min="12515" max="12515" width="9.85546875" style="4" customWidth="1"/>
    <col min="12516" max="12516" width="10" style="4" customWidth="1"/>
    <col min="12517" max="12517" width="21.140625" style="4" customWidth="1"/>
    <col min="12518" max="12528" width="0" style="4" hidden="1" customWidth="1"/>
    <col min="12529" max="12529" width="11.5703125" style="4" customWidth="1"/>
    <col min="12530" max="12530" width="11" style="4" customWidth="1"/>
    <col min="12531" max="12531" width="13.140625" style="4" customWidth="1"/>
    <col min="12532" max="12532" width="13.85546875" style="4" customWidth="1"/>
    <col min="12533" max="12533" width="13.28515625" style="4" customWidth="1"/>
    <col min="12534" max="12534" width="16.140625" style="4" customWidth="1"/>
    <col min="12535" max="12537" width="7.140625" style="4" customWidth="1"/>
    <col min="12538" max="12538" width="8.5703125" style="4" customWidth="1"/>
    <col min="12539" max="12539" width="12.42578125" style="4" customWidth="1"/>
    <col min="12540" max="12540" width="12.7109375" style="4" customWidth="1"/>
    <col min="12541" max="12541" width="13.85546875" style="4" customWidth="1"/>
    <col min="12542" max="12542" width="23.28515625" style="4" customWidth="1"/>
    <col min="12543" max="12543" width="11.5703125" style="4" customWidth="1"/>
    <col min="12544" max="12544" width="10.140625" style="4" customWidth="1"/>
    <col min="12545" max="12545" width="10.85546875" style="4" customWidth="1"/>
    <col min="12546" max="12546" width="12.5703125" style="4" customWidth="1"/>
    <col min="12547" max="12547" width="14.28515625" style="4" customWidth="1"/>
    <col min="12548" max="12548" width="12.5703125" style="4" customWidth="1"/>
    <col min="12549" max="12549" width="17.28515625" style="4" customWidth="1"/>
    <col min="12550" max="12550" width="18.85546875" style="4" customWidth="1"/>
    <col min="12551" max="12551" width="15.140625" style="4" customWidth="1"/>
    <col min="12552" max="12552" width="17.7109375" style="4" customWidth="1"/>
    <col min="12553" max="12553" width="23.140625" style="4" customWidth="1"/>
    <col min="12554" max="12554" width="27.42578125" style="4" customWidth="1"/>
    <col min="12555" max="12555" width="13.28515625" style="4" customWidth="1"/>
    <col min="12556" max="12556" width="12.7109375" style="4" customWidth="1"/>
    <col min="12557" max="12557" width="13.85546875" style="4" customWidth="1"/>
    <col min="12558" max="12566" width="11.42578125" style="4"/>
    <col min="12567" max="12567" width="14.140625" style="4" customWidth="1"/>
    <col min="12568" max="12568" width="13.28515625" style="4" customWidth="1"/>
    <col min="12569" max="12569" width="13.85546875" style="4" customWidth="1"/>
    <col min="12570" max="12570" width="16.5703125" style="4" customWidth="1"/>
    <col min="12571" max="12571" width="11.42578125" style="4"/>
    <col min="12572" max="12572" width="15" style="4" customWidth="1"/>
    <col min="12573" max="12573" width="14.85546875" style="4" customWidth="1"/>
    <col min="12574" max="12574" width="12.7109375" style="4" customWidth="1"/>
    <col min="12575" max="12575" width="11.42578125" style="4"/>
    <col min="12576" max="12576" width="15.7109375" style="4" customWidth="1"/>
    <col min="12577" max="12577" width="14.7109375" style="4" customWidth="1"/>
    <col min="12578" max="12762" width="11.42578125" style="4"/>
    <col min="12763" max="12763" width="10.42578125" style="4" customWidth="1"/>
    <col min="12764" max="12764" width="17.7109375" style="4" customWidth="1"/>
    <col min="12765" max="12765" width="0" style="4" hidden="1" customWidth="1"/>
    <col min="12766" max="12766" width="23.5703125" style="4" customWidth="1"/>
    <col min="12767" max="12767" width="25.85546875" style="4" customWidth="1"/>
    <col min="12768" max="12768" width="44" style="4" customWidth="1"/>
    <col min="12769" max="12769" width="21.7109375" style="4" customWidth="1"/>
    <col min="12770" max="12770" width="11.85546875" style="4" customWidth="1"/>
    <col min="12771" max="12771" width="9.85546875" style="4" customWidth="1"/>
    <col min="12772" max="12772" width="10" style="4" customWidth="1"/>
    <col min="12773" max="12773" width="21.140625" style="4" customWidth="1"/>
    <col min="12774" max="12784" width="0" style="4" hidden="1" customWidth="1"/>
    <col min="12785" max="12785" width="11.5703125" style="4" customWidth="1"/>
    <col min="12786" max="12786" width="11" style="4" customWidth="1"/>
    <col min="12787" max="12787" width="13.140625" style="4" customWidth="1"/>
    <col min="12788" max="12788" width="13.85546875" style="4" customWidth="1"/>
    <col min="12789" max="12789" width="13.28515625" style="4" customWidth="1"/>
    <col min="12790" max="12790" width="16.140625" style="4" customWidth="1"/>
    <col min="12791" max="12793" width="7.140625" style="4" customWidth="1"/>
    <col min="12794" max="12794" width="8.5703125" style="4" customWidth="1"/>
    <col min="12795" max="12795" width="12.42578125" style="4" customWidth="1"/>
    <col min="12796" max="12796" width="12.7109375" style="4" customWidth="1"/>
    <col min="12797" max="12797" width="13.85546875" style="4" customWidth="1"/>
    <col min="12798" max="12798" width="23.28515625" style="4" customWidth="1"/>
    <col min="12799" max="12799" width="11.5703125" style="4" customWidth="1"/>
    <col min="12800" max="12800" width="10.140625" style="4" customWidth="1"/>
    <col min="12801" max="12801" width="10.85546875" style="4" customWidth="1"/>
    <col min="12802" max="12802" width="12.5703125" style="4" customWidth="1"/>
    <col min="12803" max="12803" width="14.28515625" style="4" customWidth="1"/>
    <col min="12804" max="12804" width="12.5703125" style="4" customWidth="1"/>
    <col min="12805" max="12805" width="17.28515625" style="4" customWidth="1"/>
    <col min="12806" max="12806" width="18.85546875" style="4" customWidth="1"/>
    <col min="12807" max="12807" width="15.140625" style="4" customWidth="1"/>
    <col min="12808" max="12808" width="17.7109375" style="4" customWidth="1"/>
    <col min="12809" max="12809" width="23.140625" style="4" customWidth="1"/>
    <col min="12810" max="12810" width="27.42578125" style="4" customWidth="1"/>
    <col min="12811" max="12811" width="13.28515625" style="4" customWidth="1"/>
    <col min="12812" max="12812" width="12.7109375" style="4" customWidth="1"/>
    <col min="12813" max="12813" width="13.85546875" style="4" customWidth="1"/>
    <col min="12814" max="12822" width="11.42578125" style="4"/>
    <col min="12823" max="12823" width="14.140625" style="4" customWidth="1"/>
    <col min="12824" max="12824" width="13.28515625" style="4" customWidth="1"/>
    <col min="12825" max="12825" width="13.85546875" style="4" customWidth="1"/>
    <col min="12826" max="12826" width="16.5703125" style="4" customWidth="1"/>
    <col min="12827" max="12827" width="11.42578125" style="4"/>
    <col min="12828" max="12828" width="15" style="4" customWidth="1"/>
    <col min="12829" max="12829" width="14.85546875" style="4" customWidth="1"/>
    <col min="12830" max="12830" width="12.7109375" style="4" customWidth="1"/>
    <col min="12831" max="12831" width="11.42578125" style="4"/>
    <col min="12832" max="12832" width="15.7109375" style="4" customWidth="1"/>
    <col min="12833" max="12833" width="14.7109375" style="4" customWidth="1"/>
    <col min="12834" max="13018" width="11.42578125" style="4"/>
    <col min="13019" max="13019" width="10.42578125" style="4" customWidth="1"/>
    <col min="13020" max="13020" width="17.7109375" style="4" customWidth="1"/>
    <col min="13021" max="13021" width="0" style="4" hidden="1" customWidth="1"/>
    <col min="13022" max="13022" width="23.5703125" style="4" customWidth="1"/>
    <col min="13023" max="13023" width="25.85546875" style="4" customWidth="1"/>
    <col min="13024" max="13024" width="44" style="4" customWidth="1"/>
    <col min="13025" max="13025" width="21.7109375" style="4" customWidth="1"/>
    <col min="13026" max="13026" width="11.85546875" style="4" customWidth="1"/>
    <col min="13027" max="13027" width="9.85546875" style="4" customWidth="1"/>
    <col min="13028" max="13028" width="10" style="4" customWidth="1"/>
    <col min="13029" max="13029" width="21.140625" style="4" customWidth="1"/>
    <col min="13030" max="13040" width="0" style="4" hidden="1" customWidth="1"/>
    <col min="13041" max="13041" width="11.5703125" style="4" customWidth="1"/>
    <col min="13042" max="13042" width="11" style="4" customWidth="1"/>
    <col min="13043" max="13043" width="13.140625" style="4" customWidth="1"/>
    <col min="13044" max="13044" width="13.85546875" style="4" customWidth="1"/>
    <col min="13045" max="13045" width="13.28515625" style="4" customWidth="1"/>
    <col min="13046" max="13046" width="16.140625" style="4" customWidth="1"/>
    <col min="13047" max="13049" width="7.140625" style="4" customWidth="1"/>
    <col min="13050" max="13050" width="8.5703125" style="4" customWidth="1"/>
    <col min="13051" max="13051" width="12.42578125" style="4" customWidth="1"/>
    <col min="13052" max="13052" width="12.7109375" style="4" customWidth="1"/>
    <col min="13053" max="13053" width="13.85546875" style="4" customWidth="1"/>
    <col min="13054" max="13054" width="23.28515625" style="4" customWidth="1"/>
    <col min="13055" max="13055" width="11.5703125" style="4" customWidth="1"/>
    <col min="13056" max="13056" width="10.140625" style="4" customWidth="1"/>
    <col min="13057" max="13057" width="10.85546875" style="4" customWidth="1"/>
    <col min="13058" max="13058" width="12.5703125" style="4" customWidth="1"/>
    <col min="13059" max="13059" width="14.28515625" style="4" customWidth="1"/>
    <col min="13060" max="13060" width="12.5703125" style="4" customWidth="1"/>
    <col min="13061" max="13061" width="17.28515625" style="4" customWidth="1"/>
    <col min="13062" max="13062" width="18.85546875" style="4" customWidth="1"/>
    <col min="13063" max="13063" width="15.140625" style="4" customWidth="1"/>
    <col min="13064" max="13064" width="17.7109375" style="4" customWidth="1"/>
    <col min="13065" max="13065" width="23.140625" style="4" customWidth="1"/>
    <col min="13066" max="13066" width="27.42578125" style="4" customWidth="1"/>
    <col min="13067" max="13067" width="13.28515625" style="4" customWidth="1"/>
    <col min="13068" max="13068" width="12.7109375" style="4" customWidth="1"/>
    <col min="13069" max="13069" width="13.85546875" style="4" customWidth="1"/>
    <col min="13070" max="13078" width="11.42578125" style="4"/>
    <col min="13079" max="13079" width="14.140625" style="4" customWidth="1"/>
    <col min="13080" max="13080" width="13.28515625" style="4" customWidth="1"/>
    <col min="13081" max="13081" width="13.85546875" style="4" customWidth="1"/>
    <col min="13082" max="13082" width="16.5703125" style="4" customWidth="1"/>
    <col min="13083" max="13083" width="11.42578125" style="4"/>
    <col min="13084" max="13084" width="15" style="4" customWidth="1"/>
    <col min="13085" max="13085" width="14.85546875" style="4" customWidth="1"/>
    <col min="13086" max="13086" width="12.7109375" style="4" customWidth="1"/>
    <col min="13087" max="13087" width="11.42578125" style="4"/>
    <col min="13088" max="13088" width="15.7109375" style="4" customWidth="1"/>
    <col min="13089" max="13089" width="14.7109375" style="4" customWidth="1"/>
    <col min="13090" max="13274" width="11.42578125" style="4"/>
    <col min="13275" max="13275" width="10.42578125" style="4" customWidth="1"/>
    <col min="13276" max="13276" width="17.7109375" style="4" customWidth="1"/>
    <col min="13277" max="13277" width="0" style="4" hidden="1" customWidth="1"/>
    <col min="13278" max="13278" width="23.5703125" style="4" customWidth="1"/>
    <col min="13279" max="13279" width="25.85546875" style="4" customWidth="1"/>
    <col min="13280" max="13280" width="44" style="4" customWidth="1"/>
    <col min="13281" max="13281" width="21.7109375" style="4" customWidth="1"/>
    <col min="13282" max="13282" width="11.85546875" style="4" customWidth="1"/>
    <col min="13283" max="13283" width="9.85546875" style="4" customWidth="1"/>
    <col min="13284" max="13284" width="10" style="4" customWidth="1"/>
    <col min="13285" max="13285" width="21.140625" style="4" customWidth="1"/>
    <col min="13286" max="13296" width="0" style="4" hidden="1" customWidth="1"/>
    <col min="13297" max="13297" width="11.5703125" style="4" customWidth="1"/>
    <col min="13298" max="13298" width="11" style="4" customWidth="1"/>
    <col min="13299" max="13299" width="13.140625" style="4" customWidth="1"/>
    <col min="13300" max="13300" width="13.85546875" style="4" customWidth="1"/>
    <col min="13301" max="13301" width="13.28515625" style="4" customWidth="1"/>
    <col min="13302" max="13302" width="16.140625" style="4" customWidth="1"/>
    <col min="13303" max="13305" width="7.140625" style="4" customWidth="1"/>
    <col min="13306" max="13306" width="8.5703125" style="4" customWidth="1"/>
    <col min="13307" max="13307" width="12.42578125" style="4" customWidth="1"/>
    <col min="13308" max="13308" width="12.7109375" style="4" customWidth="1"/>
    <col min="13309" max="13309" width="13.85546875" style="4" customWidth="1"/>
    <col min="13310" max="13310" width="23.28515625" style="4" customWidth="1"/>
    <col min="13311" max="13311" width="11.5703125" style="4" customWidth="1"/>
    <col min="13312" max="13312" width="10.140625" style="4" customWidth="1"/>
    <col min="13313" max="13313" width="10.85546875" style="4" customWidth="1"/>
    <col min="13314" max="13314" width="12.5703125" style="4" customWidth="1"/>
    <col min="13315" max="13315" width="14.28515625" style="4" customWidth="1"/>
    <col min="13316" max="13316" width="12.5703125" style="4" customWidth="1"/>
    <col min="13317" max="13317" width="17.28515625" style="4" customWidth="1"/>
    <col min="13318" max="13318" width="18.85546875" style="4" customWidth="1"/>
    <col min="13319" max="13319" width="15.140625" style="4" customWidth="1"/>
    <col min="13320" max="13320" width="17.7109375" style="4" customWidth="1"/>
    <col min="13321" max="13321" width="23.140625" style="4" customWidth="1"/>
    <col min="13322" max="13322" width="27.42578125" style="4" customWidth="1"/>
    <col min="13323" max="13323" width="13.28515625" style="4" customWidth="1"/>
    <col min="13324" max="13324" width="12.7109375" style="4" customWidth="1"/>
    <col min="13325" max="13325" width="13.85546875" style="4" customWidth="1"/>
    <col min="13326" max="13334" width="11.42578125" style="4"/>
    <col min="13335" max="13335" width="14.140625" style="4" customWidth="1"/>
    <col min="13336" max="13336" width="13.28515625" style="4" customWidth="1"/>
    <col min="13337" max="13337" width="13.85546875" style="4" customWidth="1"/>
    <col min="13338" max="13338" width="16.5703125" style="4" customWidth="1"/>
    <col min="13339" max="13339" width="11.42578125" style="4"/>
    <col min="13340" max="13340" width="15" style="4" customWidth="1"/>
    <col min="13341" max="13341" width="14.85546875" style="4" customWidth="1"/>
    <col min="13342" max="13342" width="12.7109375" style="4" customWidth="1"/>
    <col min="13343" max="13343" width="11.42578125" style="4"/>
    <col min="13344" max="13344" width="15.7109375" style="4" customWidth="1"/>
    <col min="13345" max="13345" width="14.7109375" style="4" customWidth="1"/>
    <col min="13346" max="13530" width="11.42578125" style="4"/>
    <col min="13531" max="13531" width="10.42578125" style="4" customWidth="1"/>
    <col min="13532" max="13532" width="17.7109375" style="4" customWidth="1"/>
    <col min="13533" max="13533" width="0" style="4" hidden="1" customWidth="1"/>
    <col min="13534" max="13534" width="23.5703125" style="4" customWidth="1"/>
    <col min="13535" max="13535" width="25.85546875" style="4" customWidth="1"/>
    <col min="13536" max="13536" width="44" style="4" customWidth="1"/>
    <col min="13537" max="13537" width="21.7109375" style="4" customWidth="1"/>
    <col min="13538" max="13538" width="11.85546875" style="4" customWidth="1"/>
    <col min="13539" max="13539" width="9.85546875" style="4" customWidth="1"/>
    <col min="13540" max="13540" width="10" style="4" customWidth="1"/>
    <col min="13541" max="13541" width="21.140625" style="4" customWidth="1"/>
    <col min="13542" max="13552" width="0" style="4" hidden="1" customWidth="1"/>
    <col min="13553" max="13553" width="11.5703125" style="4" customWidth="1"/>
    <col min="13554" max="13554" width="11" style="4" customWidth="1"/>
    <col min="13555" max="13555" width="13.140625" style="4" customWidth="1"/>
    <col min="13556" max="13556" width="13.85546875" style="4" customWidth="1"/>
    <col min="13557" max="13557" width="13.28515625" style="4" customWidth="1"/>
    <col min="13558" max="13558" width="16.140625" style="4" customWidth="1"/>
    <col min="13559" max="13561" width="7.140625" style="4" customWidth="1"/>
    <col min="13562" max="13562" width="8.5703125" style="4" customWidth="1"/>
    <col min="13563" max="13563" width="12.42578125" style="4" customWidth="1"/>
    <col min="13564" max="13564" width="12.7109375" style="4" customWidth="1"/>
    <col min="13565" max="13565" width="13.85546875" style="4" customWidth="1"/>
    <col min="13566" max="13566" width="23.28515625" style="4" customWidth="1"/>
    <col min="13567" max="13567" width="11.5703125" style="4" customWidth="1"/>
    <col min="13568" max="13568" width="10.140625" style="4" customWidth="1"/>
    <col min="13569" max="13569" width="10.85546875" style="4" customWidth="1"/>
    <col min="13570" max="13570" width="12.5703125" style="4" customWidth="1"/>
    <col min="13571" max="13571" width="14.28515625" style="4" customWidth="1"/>
    <col min="13572" max="13572" width="12.5703125" style="4" customWidth="1"/>
    <col min="13573" max="13573" width="17.28515625" style="4" customWidth="1"/>
    <col min="13574" max="13574" width="18.85546875" style="4" customWidth="1"/>
    <col min="13575" max="13575" width="15.140625" style="4" customWidth="1"/>
    <col min="13576" max="13576" width="17.7109375" style="4" customWidth="1"/>
    <col min="13577" max="13577" width="23.140625" style="4" customWidth="1"/>
    <col min="13578" max="13578" width="27.42578125" style="4" customWidth="1"/>
    <col min="13579" max="13579" width="13.28515625" style="4" customWidth="1"/>
    <col min="13580" max="13580" width="12.7109375" style="4" customWidth="1"/>
    <col min="13581" max="13581" width="13.85546875" style="4" customWidth="1"/>
    <col min="13582" max="13590" width="11.42578125" style="4"/>
    <col min="13591" max="13591" width="14.140625" style="4" customWidth="1"/>
    <col min="13592" max="13592" width="13.28515625" style="4" customWidth="1"/>
    <col min="13593" max="13593" width="13.85546875" style="4" customWidth="1"/>
    <col min="13594" max="13594" width="16.5703125" style="4" customWidth="1"/>
    <col min="13595" max="13595" width="11.42578125" style="4"/>
    <col min="13596" max="13596" width="15" style="4" customWidth="1"/>
    <col min="13597" max="13597" width="14.85546875" style="4" customWidth="1"/>
    <col min="13598" max="13598" width="12.7109375" style="4" customWidth="1"/>
    <col min="13599" max="13599" width="11.42578125" style="4"/>
    <col min="13600" max="13600" width="15.7109375" style="4" customWidth="1"/>
    <col min="13601" max="13601" width="14.7109375" style="4" customWidth="1"/>
    <col min="13602" max="13786" width="11.42578125" style="4"/>
    <col min="13787" max="13787" width="10.42578125" style="4" customWidth="1"/>
    <col min="13788" max="13788" width="17.7109375" style="4" customWidth="1"/>
    <col min="13789" max="13789" width="0" style="4" hidden="1" customWidth="1"/>
    <col min="13790" max="13790" width="23.5703125" style="4" customWidth="1"/>
    <col min="13791" max="13791" width="25.85546875" style="4" customWidth="1"/>
    <col min="13792" max="13792" width="44" style="4" customWidth="1"/>
    <col min="13793" max="13793" width="21.7109375" style="4" customWidth="1"/>
    <col min="13794" max="13794" width="11.85546875" style="4" customWidth="1"/>
    <col min="13795" max="13795" width="9.85546875" style="4" customWidth="1"/>
    <col min="13796" max="13796" width="10" style="4" customWidth="1"/>
    <col min="13797" max="13797" width="21.140625" style="4" customWidth="1"/>
    <col min="13798" max="13808" width="0" style="4" hidden="1" customWidth="1"/>
    <col min="13809" max="13809" width="11.5703125" style="4" customWidth="1"/>
    <col min="13810" max="13810" width="11" style="4" customWidth="1"/>
    <col min="13811" max="13811" width="13.140625" style="4" customWidth="1"/>
    <col min="13812" max="13812" width="13.85546875" style="4" customWidth="1"/>
    <col min="13813" max="13813" width="13.28515625" style="4" customWidth="1"/>
    <col min="13814" max="13814" width="16.140625" style="4" customWidth="1"/>
    <col min="13815" max="13817" width="7.140625" style="4" customWidth="1"/>
    <col min="13818" max="13818" width="8.5703125" style="4" customWidth="1"/>
    <col min="13819" max="13819" width="12.42578125" style="4" customWidth="1"/>
    <col min="13820" max="13820" width="12.7109375" style="4" customWidth="1"/>
    <col min="13821" max="13821" width="13.85546875" style="4" customWidth="1"/>
    <col min="13822" max="13822" width="23.28515625" style="4" customWidth="1"/>
    <col min="13823" max="13823" width="11.5703125" style="4" customWidth="1"/>
    <col min="13824" max="13824" width="10.140625" style="4" customWidth="1"/>
    <col min="13825" max="13825" width="10.85546875" style="4" customWidth="1"/>
    <col min="13826" max="13826" width="12.5703125" style="4" customWidth="1"/>
    <col min="13827" max="13827" width="14.28515625" style="4" customWidth="1"/>
    <col min="13828" max="13828" width="12.5703125" style="4" customWidth="1"/>
    <col min="13829" max="13829" width="17.28515625" style="4" customWidth="1"/>
    <col min="13830" max="13830" width="18.85546875" style="4" customWidth="1"/>
    <col min="13831" max="13831" width="15.140625" style="4" customWidth="1"/>
    <col min="13832" max="13832" width="17.7109375" style="4" customWidth="1"/>
    <col min="13833" max="13833" width="23.140625" style="4" customWidth="1"/>
    <col min="13834" max="13834" width="27.42578125" style="4" customWidth="1"/>
    <col min="13835" max="13835" width="13.28515625" style="4" customWidth="1"/>
    <col min="13836" max="13836" width="12.7109375" style="4" customWidth="1"/>
    <col min="13837" max="13837" width="13.85546875" style="4" customWidth="1"/>
    <col min="13838" max="13846" width="11.42578125" style="4"/>
    <col min="13847" max="13847" width="14.140625" style="4" customWidth="1"/>
    <col min="13848" max="13848" width="13.28515625" style="4" customWidth="1"/>
    <col min="13849" max="13849" width="13.85546875" style="4" customWidth="1"/>
    <col min="13850" max="13850" width="16.5703125" style="4" customWidth="1"/>
    <col min="13851" max="13851" width="11.42578125" style="4"/>
    <col min="13852" max="13852" width="15" style="4" customWidth="1"/>
    <col min="13853" max="13853" width="14.85546875" style="4" customWidth="1"/>
    <col min="13854" max="13854" width="12.7109375" style="4" customWidth="1"/>
    <col min="13855" max="13855" width="11.42578125" style="4"/>
    <col min="13856" max="13856" width="15.7109375" style="4" customWidth="1"/>
    <col min="13857" max="13857" width="14.7109375" style="4" customWidth="1"/>
    <col min="13858" max="14042" width="11.42578125" style="4"/>
    <col min="14043" max="14043" width="10.42578125" style="4" customWidth="1"/>
    <col min="14044" max="14044" width="17.7109375" style="4" customWidth="1"/>
    <col min="14045" max="14045" width="0" style="4" hidden="1" customWidth="1"/>
    <col min="14046" max="14046" width="23.5703125" style="4" customWidth="1"/>
    <col min="14047" max="14047" width="25.85546875" style="4" customWidth="1"/>
    <col min="14048" max="14048" width="44" style="4" customWidth="1"/>
    <col min="14049" max="14049" width="21.7109375" style="4" customWidth="1"/>
    <col min="14050" max="14050" width="11.85546875" style="4" customWidth="1"/>
    <col min="14051" max="14051" width="9.85546875" style="4" customWidth="1"/>
    <col min="14052" max="14052" width="10" style="4" customWidth="1"/>
    <col min="14053" max="14053" width="21.140625" style="4" customWidth="1"/>
    <col min="14054" max="14064" width="0" style="4" hidden="1" customWidth="1"/>
    <col min="14065" max="14065" width="11.5703125" style="4" customWidth="1"/>
    <col min="14066" max="14066" width="11" style="4" customWidth="1"/>
    <col min="14067" max="14067" width="13.140625" style="4" customWidth="1"/>
    <col min="14068" max="14068" width="13.85546875" style="4" customWidth="1"/>
    <col min="14069" max="14069" width="13.28515625" style="4" customWidth="1"/>
    <col min="14070" max="14070" width="16.140625" style="4" customWidth="1"/>
    <col min="14071" max="14073" width="7.140625" style="4" customWidth="1"/>
    <col min="14074" max="14074" width="8.5703125" style="4" customWidth="1"/>
    <col min="14075" max="14075" width="12.42578125" style="4" customWidth="1"/>
    <col min="14076" max="14076" width="12.7109375" style="4" customWidth="1"/>
    <col min="14077" max="14077" width="13.85546875" style="4" customWidth="1"/>
    <col min="14078" max="14078" width="23.28515625" style="4" customWidth="1"/>
    <col min="14079" max="14079" width="11.5703125" style="4" customWidth="1"/>
    <col min="14080" max="14080" width="10.140625" style="4" customWidth="1"/>
    <col min="14081" max="14081" width="10.85546875" style="4" customWidth="1"/>
    <col min="14082" max="14082" width="12.5703125" style="4" customWidth="1"/>
    <col min="14083" max="14083" width="14.28515625" style="4" customWidth="1"/>
    <col min="14084" max="14084" width="12.5703125" style="4" customWidth="1"/>
    <col min="14085" max="14085" width="17.28515625" style="4" customWidth="1"/>
    <col min="14086" max="14086" width="18.85546875" style="4" customWidth="1"/>
    <col min="14087" max="14087" width="15.140625" style="4" customWidth="1"/>
    <col min="14088" max="14088" width="17.7109375" style="4" customWidth="1"/>
    <col min="14089" max="14089" width="23.140625" style="4" customWidth="1"/>
    <col min="14090" max="14090" width="27.42578125" style="4" customWidth="1"/>
    <col min="14091" max="14091" width="13.28515625" style="4" customWidth="1"/>
    <col min="14092" max="14092" width="12.7109375" style="4" customWidth="1"/>
    <col min="14093" max="14093" width="13.85546875" style="4" customWidth="1"/>
    <col min="14094" max="14102" width="11.42578125" style="4"/>
    <col min="14103" max="14103" width="14.140625" style="4" customWidth="1"/>
    <col min="14104" max="14104" width="13.28515625" style="4" customWidth="1"/>
    <col min="14105" max="14105" width="13.85546875" style="4" customWidth="1"/>
    <col min="14106" max="14106" width="16.5703125" style="4" customWidth="1"/>
    <col min="14107" max="14107" width="11.42578125" style="4"/>
    <col min="14108" max="14108" width="15" style="4" customWidth="1"/>
    <col min="14109" max="14109" width="14.85546875" style="4" customWidth="1"/>
    <col min="14110" max="14110" width="12.7109375" style="4" customWidth="1"/>
    <col min="14111" max="14111" width="11.42578125" style="4"/>
    <col min="14112" max="14112" width="15.7109375" style="4" customWidth="1"/>
    <col min="14113" max="14113" width="14.7109375" style="4" customWidth="1"/>
    <col min="14114" max="14298" width="11.42578125" style="4"/>
    <col min="14299" max="14299" width="10.42578125" style="4" customWidth="1"/>
    <col min="14300" max="14300" width="17.7109375" style="4" customWidth="1"/>
    <col min="14301" max="14301" width="0" style="4" hidden="1" customWidth="1"/>
    <col min="14302" max="14302" width="23.5703125" style="4" customWidth="1"/>
    <col min="14303" max="14303" width="25.85546875" style="4" customWidth="1"/>
    <col min="14304" max="14304" width="44" style="4" customWidth="1"/>
    <col min="14305" max="14305" width="21.7109375" style="4" customWidth="1"/>
    <col min="14306" max="14306" width="11.85546875" style="4" customWidth="1"/>
    <col min="14307" max="14307" width="9.85546875" style="4" customWidth="1"/>
    <col min="14308" max="14308" width="10" style="4" customWidth="1"/>
    <col min="14309" max="14309" width="21.140625" style="4" customWidth="1"/>
    <col min="14310" max="14320" width="0" style="4" hidden="1" customWidth="1"/>
    <col min="14321" max="14321" width="11.5703125" style="4" customWidth="1"/>
    <col min="14322" max="14322" width="11" style="4" customWidth="1"/>
    <col min="14323" max="14323" width="13.140625" style="4" customWidth="1"/>
    <col min="14324" max="14324" width="13.85546875" style="4" customWidth="1"/>
    <col min="14325" max="14325" width="13.28515625" style="4" customWidth="1"/>
    <col min="14326" max="14326" width="16.140625" style="4" customWidth="1"/>
    <col min="14327" max="14329" width="7.140625" style="4" customWidth="1"/>
    <col min="14330" max="14330" width="8.5703125" style="4" customWidth="1"/>
    <col min="14331" max="14331" width="12.42578125" style="4" customWidth="1"/>
    <col min="14332" max="14332" width="12.7109375" style="4" customWidth="1"/>
    <col min="14333" max="14333" width="13.85546875" style="4" customWidth="1"/>
    <col min="14334" max="14334" width="23.28515625" style="4" customWidth="1"/>
    <col min="14335" max="14335" width="11.5703125" style="4" customWidth="1"/>
    <col min="14336" max="14336" width="10.140625" style="4" customWidth="1"/>
    <col min="14337" max="14337" width="10.85546875" style="4" customWidth="1"/>
    <col min="14338" max="14338" width="12.5703125" style="4" customWidth="1"/>
    <col min="14339" max="14339" width="14.28515625" style="4" customWidth="1"/>
    <col min="14340" max="14340" width="12.5703125" style="4" customWidth="1"/>
    <col min="14341" max="14341" width="17.28515625" style="4" customWidth="1"/>
    <col min="14342" max="14342" width="18.85546875" style="4" customWidth="1"/>
    <col min="14343" max="14343" width="15.140625" style="4" customWidth="1"/>
    <col min="14344" max="14344" width="17.7109375" style="4" customWidth="1"/>
    <col min="14345" max="14345" width="23.140625" style="4" customWidth="1"/>
    <col min="14346" max="14346" width="27.42578125" style="4" customWidth="1"/>
    <col min="14347" max="14347" width="13.28515625" style="4" customWidth="1"/>
    <col min="14348" max="14348" width="12.7109375" style="4" customWidth="1"/>
    <col min="14349" max="14349" width="13.85546875" style="4" customWidth="1"/>
    <col min="14350" max="14358" width="11.42578125" style="4"/>
    <col min="14359" max="14359" width="14.140625" style="4" customWidth="1"/>
    <col min="14360" max="14360" width="13.28515625" style="4" customWidth="1"/>
    <col min="14361" max="14361" width="13.85546875" style="4" customWidth="1"/>
    <col min="14362" max="14362" width="16.5703125" style="4" customWidth="1"/>
    <col min="14363" max="14363" width="11.42578125" style="4"/>
    <col min="14364" max="14364" width="15" style="4" customWidth="1"/>
    <col min="14365" max="14365" width="14.85546875" style="4" customWidth="1"/>
    <col min="14366" max="14366" width="12.7109375" style="4" customWidth="1"/>
    <col min="14367" max="14367" width="11.42578125" style="4"/>
    <col min="14368" max="14368" width="15.7109375" style="4" customWidth="1"/>
    <col min="14369" max="14369" width="14.7109375" style="4" customWidth="1"/>
    <col min="14370" max="14554" width="11.42578125" style="4"/>
    <col min="14555" max="14555" width="10.42578125" style="4" customWidth="1"/>
    <col min="14556" max="14556" width="17.7109375" style="4" customWidth="1"/>
    <col min="14557" max="14557" width="0" style="4" hidden="1" customWidth="1"/>
    <col min="14558" max="14558" width="23.5703125" style="4" customWidth="1"/>
    <col min="14559" max="14559" width="25.85546875" style="4" customWidth="1"/>
    <col min="14560" max="14560" width="44" style="4" customWidth="1"/>
    <col min="14561" max="14561" width="21.7109375" style="4" customWidth="1"/>
    <col min="14562" max="14562" width="11.85546875" style="4" customWidth="1"/>
    <col min="14563" max="14563" width="9.85546875" style="4" customWidth="1"/>
    <col min="14564" max="14564" width="10" style="4" customWidth="1"/>
    <col min="14565" max="14565" width="21.140625" style="4" customWidth="1"/>
    <col min="14566" max="14576" width="0" style="4" hidden="1" customWidth="1"/>
    <col min="14577" max="14577" width="11.5703125" style="4" customWidth="1"/>
    <col min="14578" max="14578" width="11" style="4" customWidth="1"/>
    <col min="14579" max="14579" width="13.140625" style="4" customWidth="1"/>
    <col min="14580" max="14580" width="13.85546875" style="4" customWidth="1"/>
    <col min="14581" max="14581" width="13.28515625" style="4" customWidth="1"/>
    <col min="14582" max="14582" width="16.140625" style="4" customWidth="1"/>
    <col min="14583" max="14585" width="7.140625" style="4" customWidth="1"/>
    <col min="14586" max="14586" width="8.5703125" style="4" customWidth="1"/>
    <col min="14587" max="14587" width="12.42578125" style="4" customWidth="1"/>
    <col min="14588" max="14588" width="12.7109375" style="4" customWidth="1"/>
    <col min="14589" max="14589" width="13.85546875" style="4" customWidth="1"/>
    <col min="14590" max="14590" width="23.28515625" style="4" customWidth="1"/>
    <col min="14591" max="14591" width="11.5703125" style="4" customWidth="1"/>
    <col min="14592" max="14592" width="10.140625" style="4" customWidth="1"/>
    <col min="14593" max="14593" width="10.85546875" style="4" customWidth="1"/>
    <col min="14594" max="14594" width="12.5703125" style="4" customWidth="1"/>
    <col min="14595" max="14595" width="14.28515625" style="4" customWidth="1"/>
    <col min="14596" max="14596" width="12.5703125" style="4" customWidth="1"/>
    <col min="14597" max="14597" width="17.28515625" style="4" customWidth="1"/>
    <col min="14598" max="14598" width="18.85546875" style="4" customWidth="1"/>
    <col min="14599" max="14599" width="15.140625" style="4" customWidth="1"/>
    <col min="14600" max="14600" width="17.7109375" style="4" customWidth="1"/>
    <col min="14601" max="14601" width="23.140625" style="4" customWidth="1"/>
    <col min="14602" max="14602" width="27.42578125" style="4" customWidth="1"/>
    <col min="14603" max="14603" width="13.28515625" style="4" customWidth="1"/>
    <col min="14604" max="14604" width="12.7109375" style="4" customWidth="1"/>
    <col min="14605" max="14605" width="13.85546875" style="4" customWidth="1"/>
    <col min="14606" max="14614" width="11.42578125" style="4"/>
    <col min="14615" max="14615" width="14.140625" style="4" customWidth="1"/>
    <col min="14616" max="14616" width="13.28515625" style="4" customWidth="1"/>
    <col min="14617" max="14617" width="13.85546875" style="4" customWidth="1"/>
    <col min="14618" max="14618" width="16.5703125" style="4" customWidth="1"/>
    <col min="14619" max="14619" width="11.42578125" style="4"/>
    <col min="14620" max="14620" width="15" style="4" customWidth="1"/>
    <col min="14621" max="14621" width="14.85546875" style="4" customWidth="1"/>
    <col min="14622" max="14622" width="12.7109375" style="4" customWidth="1"/>
    <col min="14623" max="14623" width="11.42578125" style="4"/>
    <col min="14624" max="14624" width="15.7109375" style="4" customWidth="1"/>
    <col min="14625" max="14625" width="14.7109375" style="4" customWidth="1"/>
    <col min="14626" max="14810" width="11.42578125" style="4"/>
    <col min="14811" max="14811" width="10.42578125" style="4" customWidth="1"/>
    <col min="14812" max="14812" width="17.7109375" style="4" customWidth="1"/>
    <col min="14813" max="14813" width="0" style="4" hidden="1" customWidth="1"/>
    <col min="14814" max="14814" width="23.5703125" style="4" customWidth="1"/>
    <col min="14815" max="14815" width="25.85546875" style="4" customWidth="1"/>
    <col min="14816" max="14816" width="44" style="4" customWidth="1"/>
    <col min="14817" max="14817" width="21.7109375" style="4" customWidth="1"/>
    <col min="14818" max="14818" width="11.85546875" style="4" customWidth="1"/>
    <col min="14819" max="14819" width="9.85546875" style="4" customWidth="1"/>
    <col min="14820" max="14820" width="10" style="4" customWidth="1"/>
    <col min="14821" max="14821" width="21.140625" style="4" customWidth="1"/>
    <col min="14822" max="14832" width="0" style="4" hidden="1" customWidth="1"/>
    <col min="14833" max="14833" width="11.5703125" style="4" customWidth="1"/>
    <col min="14834" max="14834" width="11" style="4" customWidth="1"/>
    <col min="14835" max="14835" width="13.140625" style="4" customWidth="1"/>
    <col min="14836" max="14836" width="13.85546875" style="4" customWidth="1"/>
    <col min="14837" max="14837" width="13.28515625" style="4" customWidth="1"/>
    <col min="14838" max="14838" width="16.140625" style="4" customWidth="1"/>
    <col min="14839" max="14841" width="7.140625" style="4" customWidth="1"/>
    <col min="14842" max="14842" width="8.5703125" style="4" customWidth="1"/>
    <col min="14843" max="14843" width="12.42578125" style="4" customWidth="1"/>
    <col min="14844" max="14844" width="12.7109375" style="4" customWidth="1"/>
    <col min="14845" max="14845" width="13.85546875" style="4" customWidth="1"/>
    <col min="14846" max="14846" width="23.28515625" style="4" customWidth="1"/>
    <col min="14847" max="14847" width="11.5703125" style="4" customWidth="1"/>
    <col min="14848" max="14848" width="10.140625" style="4" customWidth="1"/>
    <col min="14849" max="14849" width="10.85546875" style="4" customWidth="1"/>
    <col min="14850" max="14850" width="12.5703125" style="4" customWidth="1"/>
    <col min="14851" max="14851" width="14.28515625" style="4" customWidth="1"/>
    <col min="14852" max="14852" width="12.5703125" style="4" customWidth="1"/>
    <col min="14853" max="14853" width="17.28515625" style="4" customWidth="1"/>
    <col min="14854" max="14854" width="18.85546875" style="4" customWidth="1"/>
    <col min="14855" max="14855" width="15.140625" style="4" customWidth="1"/>
    <col min="14856" max="14856" width="17.7109375" style="4" customWidth="1"/>
    <col min="14857" max="14857" width="23.140625" style="4" customWidth="1"/>
    <col min="14858" max="14858" width="27.42578125" style="4" customWidth="1"/>
    <col min="14859" max="14859" width="13.28515625" style="4" customWidth="1"/>
    <col min="14860" max="14860" width="12.7109375" style="4" customWidth="1"/>
    <col min="14861" max="14861" width="13.85546875" style="4" customWidth="1"/>
    <col min="14862" max="14870" width="11.42578125" style="4"/>
    <col min="14871" max="14871" width="14.140625" style="4" customWidth="1"/>
    <col min="14872" max="14872" width="13.28515625" style="4" customWidth="1"/>
    <col min="14873" max="14873" width="13.85546875" style="4" customWidth="1"/>
    <col min="14874" max="14874" width="16.5703125" style="4" customWidth="1"/>
    <col min="14875" max="14875" width="11.42578125" style="4"/>
    <col min="14876" max="14876" width="15" style="4" customWidth="1"/>
    <col min="14877" max="14877" width="14.85546875" style="4" customWidth="1"/>
    <col min="14878" max="14878" width="12.7109375" style="4" customWidth="1"/>
    <col min="14879" max="14879" width="11.42578125" style="4"/>
    <col min="14880" max="14880" width="15.7109375" style="4" customWidth="1"/>
    <col min="14881" max="14881" width="14.7109375" style="4" customWidth="1"/>
    <col min="14882" max="15066" width="11.42578125" style="4"/>
    <col min="15067" max="15067" width="10.42578125" style="4" customWidth="1"/>
    <col min="15068" max="15068" width="17.7109375" style="4" customWidth="1"/>
    <col min="15069" max="15069" width="0" style="4" hidden="1" customWidth="1"/>
    <col min="15070" max="15070" width="23.5703125" style="4" customWidth="1"/>
    <col min="15071" max="15071" width="25.85546875" style="4" customWidth="1"/>
    <col min="15072" max="15072" width="44" style="4" customWidth="1"/>
    <col min="15073" max="15073" width="21.7109375" style="4" customWidth="1"/>
    <col min="15074" max="15074" width="11.85546875" style="4" customWidth="1"/>
    <col min="15075" max="15075" width="9.85546875" style="4" customWidth="1"/>
    <col min="15076" max="15076" width="10" style="4" customWidth="1"/>
    <col min="15077" max="15077" width="21.140625" style="4" customWidth="1"/>
    <col min="15078" max="15088" width="0" style="4" hidden="1" customWidth="1"/>
    <col min="15089" max="15089" width="11.5703125" style="4" customWidth="1"/>
    <col min="15090" max="15090" width="11" style="4" customWidth="1"/>
    <col min="15091" max="15091" width="13.140625" style="4" customWidth="1"/>
    <col min="15092" max="15092" width="13.85546875" style="4" customWidth="1"/>
    <col min="15093" max="15093" width="13.28515625" style="4" customWidth="1"/>
    <col min="15094" max="15094" width="16.140625" style="4" customWidth="1"/>
    <col min="15095" max="15097" width="7.140625" style="4" customWidth="1"/>
    <col min="15098" max="15098" width="8.5703125" style="4" customWidth="1"/>
    <col min="15099" max="15099" width="12.42578125" style="4" customWidth="1"/>
    <col min="15100" max="15100" width="12.7109375" style="4" customWidth="1"/>
    <col min="15101" max="15101" width="13.85546875" style="4" customWidth="1"/>
    <col min="15102" max="15102" width="23.28515625" style="4" customWidth="1"/>
    <col min="15103" max="15103" width="11.5703125" style="4" customWidth="1"/>
    <col min="15104" max="15104" width="10.140625" style="4" customWidth="1"/>
    <col min="15105" max="15105" width="10.85546875" style="4" customWidth="1"/>
    <col min="15106" max="15106" width="12.5703125" style="4" customWidth="1"/>
    <col min="15107" max="15107" width="14.28515625" style="4" customWidth="1"/>
    <col min="15108" max="15108" width="12.5703125" style="4" customWidth="1"/>
    <col min="15109" max="15109" width="17.28515625" style="4" customWidth="1"/>
    <col min="15110" max="15110" width="18.85546875" style="4" customWidth="1"/>
    <col min="15111" max="15111" width="15.140625" style="4" customWidth="1"/>
    <col min="15112" max="15112" width="17.7109375" style="4" customWidth="1"/>
    <col min="15113" max="15113" width="23.140625" style="4" customWidth="1"/>
    <col min="15114" max="15114" width="27.42578125" style="4" customWidth="1"/>
    <col min="15115" max="15115" width="13.28515625" style="4" customWidth="1"/>
    <col min="15116" max="15116" width="12.7109375" style="4" customWidth="1"/>
    <col min="15117" max="15117" width="13.85546875" style="4" customWidth="1"/>
    <col min="15118" max="15126" width="11.42578125" style="4"/>
    <col min="15127" max="15127" width="14.140625" style="4" customWidth="1"/>
    <col min="15128" max="15128" width="13.28515625" style="4" customWidth="1"/>
    <col min="15129" max="15129" width="13.85546875" style="4" customWidth="1"/>
    <col min="15130" max="15130" width="16.5703125" style="4" customWidth="1"/>
    <col min="15131" max="15131" width="11.42578125" style="4"/>
    <col min="15132" max="15132" width="15" style="4" customWidth="1"/>
    <col min="15133" max="15133" width="14.85546875" style="4" customWidth="1"/>
    <col min="15134" max="15134" width="12.7109375" style="4" customWidth="1"/>
    <col min="15135" max="15135" width="11.42578125" style="4"/>
    <col min="15136" max="15136" width="15.7109375" style="4" customWidth="1"/>
    <col min="15137" max="15137" width="14.7109375" style="4" customWidth="1"/>
    <col min="15138" max="15322" width="11.42578125" style="4"/>
    <col min="15323" max="15323" width="10.42578125" style="4" customWidth="1"/>
    <col min="15324" max="15324" width="17.7109375" style="4" customWidth="1"/>
    <col min="15325" max="15325" width="0" style="4" hidden="1" customWidth="1"/>
    <col min="15326" max="15326" width="23.5703125" style="4" customWidth="1"/>
    <col min="15327" max="15327" width="25.85546875" style="4" customWidth="1"/>
    <col min="15328" max="15328" width="44" style="4" customWidth="1"/>
    <col min="15329" max="15329" width="21.7109375" style="4" customWidth="1"/>
    <col min="15330" max="15330" width="11.85546875" style="4" customWidth="1"/>
    <col min="15331" max="15331" width="9.85546875" style="4" customWidth="1"/>
    <col min="15332" max="15332" width="10" style="4" customWidth="1"/>
    <col min="15333" max="15333" width="21.140625" style="4" customWidth="1"/>
    <col min="15334" max="15344" width="0" style="4" hidden="1" customWidth="1"/>
    <col min="15345" max="15345" width="11.5703125" style="4" customWidth="1"/>
    <col min="15346" max="15346" width="11" style="4" customWidth="1"/>
    <col min="15347" max="15347" width="13.140625" style="4" customWidth="1"/>
    <col min="15348" max="15348" width="13.85546875" style="4" customWidth="1"/>
    <col min="15349" max="15349" width="13.28515625" style="4" customWidth="1"/>
    <col min="15350" max="15350" width="16.140625" style="4" customWidth="1"/>
    <col min="15351" max="15353" width="7.140625" style="4" customWidth="1"/>
    <col min="15354" max="15354" width="8.5703125" style="4" customWidth="1"/>
    <col min="15355" max="15355" width="12.42578125" style="4" customWidth="1"/>
    <col min="15356" max="15356" width="12.7109375" style="4" customWidth="1"/>
    <col min="15357" max="15357" width="13.85546875" style="4" customWidth="1"/>
    <col min="15358" max="15358" width="23.28515625" style="4" customWidth="1"/>
    <col min="15359" max="15359" width="11.5703125" style="4" customWidth="1"/>
    <col min="15360" max="15360" width="10.140625" style="4" customWidth="1"/>
    <col min="15361" max="15361" width="10.85546875" style="4" customWidth="1"/>
    <col min="15362" max="15362" width="12.5703125" style="4" customWidth="1"/>
    <col min="15363" max="15363" width="14.28515625" style="4" customWidth="1"/>
    <col min="15364" max="15364" width="12.5703125" style="4" customWidth="1"/>
    <col min="15365" max="15365" width="17.28515625" style="4" customWidth="1"/>
    <col min="15366" max="15366" width="18.85546875" style="4" customWidth="1"/>
    <col min="15367" max="15367" width="15.140625" style="4" customWidth="1"/>
    <col min="15368" max="15368" width="17.7109375" style="4" customWidth="1"/>
    <col min="15369" max="15369" width="23.140625" style="4" customWidth="1"/>
    <col min="15370" max="15370" width="27.42578125" style="4" customWidth="1"/>
    <col min="15371" max="15371" width="13.28515625" style="4" customWidth="1"/>
    <col min="15372" max="15372" width="12.7109375" style="4" customWidth="1"/>
    <col min="15373" max="15373" width="13.85546875" style="4" customWidth="1"/>
    <col min="15374" max="15382" width="11.42578125" style="4"/>
    <col min="15383" max="15383" width="14.140625" style="4" customWidth="1"/>
    <col min="15384" max="15384" width="13.28515625" style="4" customWidth="1"/>
    <col min="15385" max="15385" width="13.85546875" style="4" customWidth="1"/>
    <col min="15386" max="15386" width="16.5703125" style="4" customWidth="1"/>
    <col min="15387" max="15387" width="11.42578125" style="4"/>
    <col min="15388" max="15388" width="15" style="4" customWidth="1"/>
    <col min="15389" max="15389" width="14.85546875" style="4" customWidth="1"/>
    <col min="15390" max="15390" width="12.7109375" style="4" customWidth="1"/>
    <col min="15391" max="15391" width="11.42578125" style="4"/>
    <col min="15392" max="15392" width="15.7109375" style="4" customWidth="1"/>
    <col min="15393" max="15393" width="14.7109375" style="4" customWidth="1"/>
    <col min="15394" max="15578" width="11.42578125" style="4"/>
    <col min="15579" max="15579" width="10.42578125" style="4" customWidth="1"/>
    <col min="15580" max="15580" width="17.7109375" style="4" customWidth="1"/>
    <col min="15581" max="15581" width="0" style="4" hidden="1" customWidth="1"/>
    <col min="15582" max="15582" width="23.5703125" style="4" customWidth="1"/>
    <col min="15583" max="15583" width="25.85546875" style="4" customWidth="1"/>
    <col min="15584" max="15584" width="44" style="4" customWidth="1"/>
    <col min="15585" max="15585" width="21.7109375" style="4" customWidth="1"/>
    <col min="15586" max="15586" width="11.85546875" style="4" customWidth="1"/>
    <col min="15587" max="15587" width="9.85546875" style="4" customWidth="1"/>
    <col min="15588" max="15588" width="10" style="4" customWidth="1"/>
    <col min="15589" max="15589" width="21.140625" style="4" customWidth="1"/>
    <col min="15590" max="15600" width="0" style="4" hidden="1" customWidth="1"/>
    <col min="15601" max="15601" width="11.5703125" style="4" customWidth="1"/>
    <col min="15602" max="15602" width="11" style="4" customWidth="1"/>
    <col min="15603" max="15603" width="13.140625" style="4" customWidth="1"/>
    <col min="15604" max="15604" width="13.85546875" style="4" customWidth="1"/>
    <col min="15605" max="15605" width="13.28515625" style="4" customWidth="1"/>
    <col min="15606" max="15606" width="16.140625" style="4" customWidth="1"/>
    <col min="15607" max="15609" width="7.140625" style="4" customWidth="1"/>
    <col min="15610" max="15610" width="8.5703125" style="4" customWidth="1"/>
    <col min="15611" max="15611" width="12.42578125" style="4" customWidth="1"/>
    <col min="15612" max="15612" width="12.7109375" style="4" customWidth="1"/>
    <col min="15613" max="15613" width="13.85546875" style="4" customWidth="1"/>
    <col min="15614" max="15614" width="23.28515625" style="4" customWidth="1"/>
    <col min="15615" max="15615" width="11.5703125" style="4" customWidth="1"/>
    <col min="15616" max="15616" width="10.140625" style="4" customWidth="1"/>
    <col min="15617" max="15617" width="10.85546875" style="4" customWidth="1"/>
    <col min="15618" max="15618" width="12.5703125" style="4" customWidth="1"/>
    <col min="15619" max="15619" width="14.28515625" style="4" customWidth="1"/>
    <col min="15620" max="15620" width="12.5703125" style="4" customWidth="1"/>
    <col min="15621" max="15621" width="17.28515625" style="4" customWidth="1"/>
    <col min="15622" max="15622" width="18.85546875" style="4" customWidth="1"/>
    <col min="15623" max="15623" width="15.140625" style="4" customWidth="1"/>
    <col min="15624" max="15624" width="17.7109375" style="4" customWidth="1"/>
    <col min="15625" max="15625" width="23.140625" style="4" customWidth="1"/>
    <col min="15626" max="15626" width="27.42578125" style="4" customWidth="1"/>
    <col min="15627" max="15627" width="13.28515625" style="4" customWidth="1"/>
    <col min="15628" max="15628" width="12.7109375" style="4" customWidth="1"/>
    <col min="15629" max="15629" width="13.85546875" style="4" customWidth="1"/>
    <col min="15630" max="15638" width="11.42578125" style="4"/>
    <col min="15639" max="15639" width="14.140625" style="4" customWidth="1"/>
    <col min="15640" max="15640" width="13.28515625" style="4" customWidth="1"/>
    <col min="15641" max="15641" width="13.85546875" style="4" customWidth="1"/>
    <col min="15642" max="15642" width="16.5703125" style="4" customWidth="1"/>
    <col min="15643" max="15643" width="11.42578125" style="4"/>
    <col min="15644" max="15644" width="15" style="4" customWidth="1"/>
    <col min="15645" max="15645" width="14.85546875" style="4" customWidth="1"/>
    <col min="15646" max="15646" width="12.7109375" style="4" customWidth="1"/>
    <col min="15647" max="15647" width="11.42578125" style="4"/>
    <col min="15648" max="15648" width="15.7109375" style="4" customWidth="1"/>
    <col min="15649" max="15649" width="14.7109375" style="4" customWidth="1"/>
    <col min="15650" max="15834" width="11.42578125" style="4"/>
    <col min="15835" max="15835" width="10.42578125" style="4" customWidth="1"/>
    <col min="15836" max="15836" width="17.7109375" style="4" customWidth="1"/>
    <col min="15837" max="15837" width="0" style="4" hidden="1" customWidth="1"/>
    <col min="15838" max="15838" width="23.5703125" style="4" customWidth="1"/>
    <col min="15839" max="15839" width="25.85546875" style="4" customWidth="1"/>
    <col min="15840" max="15840" width="44" style="4" customWidth="1"/>
    <col min="15841" max="15841" width="21.7109375" style="4" customWidth="1"/>
    <col min="15842" max="15842" width="11.85546875" style="4" customWidth="1"/>
    <col min="15843" max="15843" width="9.85546875" style="4" customWidth="1"/>
    <col min="15844" max="15844" width="10" style="4" customWidth="1"/>
    <col min="15845" max="15845" width="21.140625" style="4" customWidth="1"/>
    <col min="15846" max="15856" width="0" style="4" hidden="1" customWidth="1"/>
    <col min="15857" max="15857" width="11.5703125" style="4" customWidth="1"/>
    <col min="15858" max="15858" width="11" style="4" customWidth="1"/>
    <col min="15859" max="15859" width="13.140625" style="4" customWidth="1"/>
    <col min="15860" max="15860" width="13.85546875" style="4" customWidth="1"/>
    <col min="15861" max="15861" width="13.28515625" style="4" customWidth="1"/>
    <col min="15862" max="15862" width="16.140625" style="4" customWidth="1"/>
    <col min="15863" max="15865" width="7.140625" style="4" customWidth="1"/>
    <col min="15866" max="15866" width="8.5703125" style="4" customWidth="1"/>
    <col min="15867" max="15867" width="12.42578125" style="4" customWidth="1"/>
    <col min="15868" max="15868" width="12.7109375" style="4" customWidth="1"/>
    <col min="15869" max="15869" width="13.85546875" style="4" customWidth="1"/>
    <col min="15870" max="15870" width="23.28515625" style="4" customWidth="1"/>
    <col min="15871" max="15871" width="11.5703125" style="4" customWidth="1"/>
    <col min="15872" max="15872" width="10.140625" style="4" customWidth="1"/>
    <col min="15873" max="15873" width="10.85546875" style="4" customWidth="1"/>
    <col min="15874" max="15874" width="12.5703125" style="4" customWidth="1"/>
    <col min="15875" max="15875" width="14.28515625" style="4" customWidth="1"/>
    <col min="15876" max="15876" width="12.5703125" style="4" customWidth="1"/>
    <col min="15877" max="15877" width="17.28515625" style="4" customWidth="1"/>
    <col min="15878" max="15878" width="18.85546875" style="4" customWidth="1"/>
    <col min="15879" max="15879" width="15.140625" style="4" customWidth="1"/>
    <col min="15880" max="15880" width="17.7109375" style="4" customWidth="1"/>
    <col min="15881" max="15881" width="23.140625" style="4" customWidth="1"/>
    <col min="15882" max="15882" width="27.42578125" style="4" customWidth="1"/>
    <col min="15883" max="15883" width="13.28515625" style="4" customWidth="1"/>
    <col min="15884" max="15884" width="12.7109375" style="4" customWidth="1"/>
    <col min="15885" max="15885" width="13.85546875" style="4" customWidth="1"/>
    <col min="15886" max="15894" width="11.42578125" style="4"/>
    <col min="15895" max="15895" width="14.140625" style="4" customWidth="1"/>
    <col min="15896" max="15896" width="13.28515625" style="4" customWidth="1"/>
    <col min="15897" max="15897" width="13.85546875" style="4" customWidth="1"/>
    <col min="15898" max="15898" width="16.5703125" style="4" customWidth="1"/>
    <col min="15899" max="15899" width="11.42578125" style="4"/>
    <col min="15900" max="15900" width="15" style="4" customWidth="1"/>
    <col min="15901" max="15901" width="14.85546875" style="4" customWidth="1"/>
    <col min="15902" max="15902" width="12.7109375" style="4" customWidth="1"/>
    <col min="15903" max="15903" width="11.42578125" style="4"/>
    <col min="15904" max="15904" width="15.7109375" style="4" customWidth="1"/>
    <col min="15905" max="15905" width="14.7109375" style="4" customWidth="1"/>
    <col min="15906" max="16090" width="11.42578125" style="4"/>
    <col min="16091" max="16091" width="10.42578125" style="4" customWidth="1"/>
    <col min="16092" max="16092" width="17.7109375" style="4" customWidth="1"/>
    <col min="16093" max="16093" width="0" style="4" hidden="1" customWidth="1"/>
    <col min="16094" max="16094" width="23.5703125" style="4" customWidth="1"/>
    <col min="16095" max="16095" width="25.85546875" style="4" customWidth="1"/>
    <col min="16096" max="16096" width="44" style="4" customWidth="1"/>
    <col min="16097" max="16097" width="21.7109375" style="4" customWidth="1"/>
    <col min="16098" max="16098" width="11.85546875" style="4" customWidth="1"/>
    <col min="16099" max="16099" width="9.85546875" style="4" customWidth="1"/>
    <col min="16100" max="16100" width="10" style="4" customWidth="1"/>
    <col min="16101" max="16101" width="21.140625" style="4" customWidth="1"/>
    <col min="16102" max="16112" width="0" style="4" hidden="1" customWidth="1"/>
    <col min="16113" max="16113" width="11.5703125" style="4" customWidth="1"/>
    <col min="16114" max="16114" width="11" style="4" customWidth="1"/>
    <col min="16115" max="16115" width="13.140625" style="4" customWidth="1"/>
    <col min="16116" max="16116" width="13.85546875" style="4" customWidth="1"/>
    <col min="16117" max="16117" width="13.28515625" style="4" customWidth="1"/>
    <col min="16118" max="16118" width="16.140625" style="4" customWidth="1"/>
    <col min="16119" max="16121" width="7.140625" style="4" customWidth="1"/>
    <col min="16122" max="16122" width="8.5703125" style="4" customWidth="1"/>
    <col min="16123" max="16123" width="12.42578125" style="4" customWidth="1"/>
    <col min="16124" max="16124" width="12.7109375" style="4" customWidth="1"/>
    <col min="16125" max="16125" width="13.85546875" style="4" customWidth="1"/>
    <col min="16126" max="16126" width="23.28515625" style="4" customWidth="1"/>
    <col min="16127" max="16127" width="11.5703125" style="4" customWidth="1"/>
    <col min="16128" max="16128" width="10.140625" style="4" customWidth="1"/>
    <col min="16129" max="16129" width="10.85546875" style="4" customWidth="1"/>
    <col min="16130" max="16130" width="12.5703125" style="4" customWidth="1"/>
    <col min="16131" max="16131" width="14.28515625" style="4" customWidth="1"/>
    <col min="16132" max="16132" width="12.5703125" style="4" customWidth="1"/>
    <col min="16133" max="16133" width="17.28515625" style="4" customWidth="1"/>
    <col min="16134" max="16134" width="18.85546875" style="4" customWidth="1"/>
    <col min="16135" max="16135" width="15.140625" style="4" customWidth="1"/>
    <col min="16136" max="16136" width="17.7109375" style="4" customWidth="1"/>
    <col min="16137" max="16137" width="23.140625" style="4" customWidth="1"/>
    <col min="16138" max="16138" width="27.42578125" style="4" customWidth="1"/>
    <col min="16139" max="16139" width="13.28515625" style="4" customWidth="1"/>
    <col min="16140" max="16140" width="12.7109375" style="4" customWidth="1"/>
    <col min="16141" max="16141" width="13.85546875" style="4" customWidth="1"/>
    <col min="16142" max="16150" width="11.42578125" style="4"/>
    <col min="16151" max="16151" width="14.140625" style="4" customWidth="1"/>
    <col min="16152" max="16152" width="13.28515625" style="4" customWidth="1"/>
    <col min="16153" max="16153" width="13.85546875" style="4" customWidth="1"/>
    <col min="16154" max="16154" width="16.5703125" style="4" customWidth="1"/>
    <col min="16155" max="16155" width="11.42578125" style="4"/>
    <col min="16156" max="16156" width="15" style="4" customWidth="1"/>
    <col min="16157" max="16157" width="14.85546875" style="4" customWidth="1"/>
    <col min="16158" max="16158" width="12.7109375" style="4" customWidth="1"/>
    <col min="16159" max="16159" width="11.42578125" style="4"/>
    <col min="16160" max="16160" width="15.7109375" style="4" customWidth="1"/>
    <col min="16161" max="16161" width="14.7109375" style="4" customWidth="1"/>
    <col min="16162" max="16384" width="11.42578125" style="4"/>
  </cols>
  <sheetData>
    <row r="1" spans="2:35" ht="21.75" hidden="1" customHeight="1" thickBot="1" x14ac:dyDescent="0.25">
      <c r="B1" s="296"/>
      <c r="C1" s="296"/>
      <c r="D1" s="296"/>
      <c r="E1" s="296"/>
      <c r="F1" s="296"/>
      <c r="G1" s="296"/>
      <c r="H1" s="296"/>
      <c r="I1" s="297"/>
      <c r="J1" s="1"/>
      <c r="K1" s="3"/>
      <c r="L1" s="3"/>
      <c r="M1" s="3"/>
      <c r="N1" s="3"/>
      <c r="O1" s="3"/>
      <c r="P1" s="3"/>
      <c r="Q1" s="3"/>
      <c r="R1" s="3"/>
      <c r="S1" s="3"/>
    </row>
    <row r="2" spans="2:35" ht="10.5" hidden="1" customHeight="1" x14ac:dyDescent="0.2"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</row>
    <row r="3" spans="2:35" ht="22.5" hidden="1" customHeight="1" x14ac:dyDescent="0.2">
      <c r="B3" s="2"/>
      <c r="C3" s="2"/>
      <c r="D3" s="2"/>
      <c r="E3" s="2"/>
      <c r="F3" s="2"/>
      <c r="G3" s="2"/>
      <c r="H3" s="2"/>
      <c r="I3" s="2"/>
      <c r="J3" s="2"/>
      <c r="K3" s="5" t="s">
        <v>131</v>
      </c>
      <c r="L3" s="4">
        <v>3.5999999999999999E-3</v>
      </c>
      <c r="R3" s="6"/>
      <c r="S3" s="6"/>
    </row>
    <row r="4" spans="2:35" s="10" customFormat="1" ht="42" customHeight="1" x14ac:dyDescent="0.2">
      <c r="B4" s="7"/>
      <c r="C4" s="7"/>
      <c r="D4" s="7"/>
      <c r="E4" s="7"/>
      <c r="F4" s="7"/>
      <c r="G4" s="298" t="s">
        <v>15</v>
      </c>
      <c r="H4" s="298"/>
      <c r="I4" s="298"/>
      <c r="L4" s="8" t="s">
        <v>17</v>
      </c>
      <c r="M4" s="8">
        <v>0.05</v>
      </c>
      <c r="N4" s="8" t="s">
        <v>18</v>
      </c>
      <c r="O4" s="8">
        <v>4.2000000000000003E-2</v>
      </c>
      <c r="P4" s="9" t="s">
        <v>19</v>
      </c>
      <c r="Q4" s="8">
        <v>24</v>
      </c>
      <c r="R4" s="6"/>
      <c r="S4" s="6"/>
    </row>
    <row r="5" spans="2:35" s="11" customFormat="1" ht="81.75" customHeight="1" x14ac:dyDescent="0.25">
      <c r="B5" s="299" t="s">
        <v>20</v>
      </c>
      <c r="C5" s="299" t="s">
        <v>21</v>
      </c>
      <c r="D5" s="299" t="s">
        <v>22</v>
      </c>
      <c r="E5" s="299" t="s">
        <v>1224</v>
      </c>
      <c r="F5" s="306" t="s">
        <v>280</v>
      </c>
      <c r="G5" s="304" t="s">
        <v>23</v>
      </c>
      <c r="H5" s="304" t="s">
        <v>24</v>
      </c>
      <c r="I5" s="304"/>
      <c r="J5" s="299" t="s">
        <v>16</v>
      </c>
      <c r="K5" s="305" t="s">
        <v>329</v>
      </c>
      <c r="L5" s="305"/>
      <c r="M5" s="251" t="s">
        <v>276</v>
      </c>
      <c r="N5" s="312" t="s">
        <v>25</v>
      </c>
      <c r="O5" s="314" t="s">
        <v>26</v>
      </c>
      <c r="P5" s="316" t="s">
        <v>334</v>
      </c>
      <c r="Q5" s="317"/>
      <c r="R5" s="303" t="s">
        <v>325</v>
      </c>
      <c r="S5" s="303"/>
      <c r="T5" s="302" t="s">
        <v>1121</v>
      </c>
      <c r="U5" s="302"/>
      <c r="V5" s="302" t="s">
        <v>1122</v>
      </c>
      <c r="W5" s="302"/>
    </row>
    <row r="6" spans="2:35" s="11" customFormat="1" ht="48.75" customHeight="1" x14ac:dyDescent="0.25">
      <c r="B6" s="299"/>
      <c r="C6" s="299"/>
      <c r="D6" s="299"/>
      <c r="E6" s="299"/>
      <c r="F6" s="307"/>
      <c r="G6" s="304"/>
      <c r="H6" s="251" t="s">
        <v>0</v>
      </c>
      <c r="I6" s="251" t="s">
        <v>1</v>
      </c>
      <c r="J6" s="299"/>
      <c r="K6" s="252" t="s">
        <v>28</v>
      </c>
      <c r="L6" s="252" t="s">
        <v>29</v>
      </c>
      <c r="M6" s="251" t="s">
        <v>27</v>
      </c>
      <c r="N6" s="313"/>
      <c r="O6" s="315"/>
      <c r="P6" s="253" t="s">
        <v>28</v>
      </c>
      <c r="Q6" s="253" t="s">
        <v>29</v>
      </c>
      <c r="R6" s="276" t="s">
        <v>28</v>
      </c>
      <c r="S6" s="276" t="s">
        <v>29</v>
      </c>
      <c r="T6" s="87" t="s">
        <v>0</v>
      </c>
      <c r="U6" s="87" t="s">
        <v>1</v>
      </c>
      <c r="V6" s="157" t="s">
        <v>0</v>
      </c>
      <c r="W6" s="157" t="s">
        <v>1</v>
      </c>
    </row>
    <row r="7" spans="2:35" s="10" customFormat="1" ht="24" customHeight="1" x14ac:dyDescent="0.2">
      <c r="B7" s="323" t="s">
        <v>30</v>
      </c>
      <c r="C7" s="300" t="s">
        <v>31</v>
      </c>
      <c r="D7" s="300" t="s">
        <v>32</v>
      </c>
      <c r="E7" s="201" t="s">
        <v>33</v>
      </c>
      <c r="F7" s="308">
        <v>42975</v>
      </c>
      <c r="G7" s="64">
        <v>3.63</v>
      </c>
      <c r="H7" s="65">
        <v>14</v>
      </c>
      <c r="I7" s="65">
        <v>70</v>
      </c>
      <c r="J7" s="287" t="s">
        <v>34</v>
      </c>
      <c r="K7" s="14">
        <f>(G7*H7*0.0036*$Q$4)*365</f>
        <v>1602.6595199999999</v>
      </c>
      <c r="L7" s="14">
        <f>(G7*I7*0.0036*$Q$4)*365</f>
        <v>8013.2975999999999</v>
      </c>
      <c r="M7" s="12"/>
      <c r="N7" s="12"/>
      <c r="O7" s="12"/>
      <c r="P7" s="12"/>
      <c r="Q7" s="12"/>
      <c r="R7" s="16"/>
      <c r="S7" s="16"/>
      <c r="T7" s="12"/>
      <c r="U7" s="12"/>
      <c r="V7" s="12"/>
      <c r="W7" s="12"/>
    </row>
    <row r="8" spans="2:35" s="10" customFormat="1" ht="36.75" customHeight="1" x14ac:dyDescent="0.2">
      <c r="B8" s="324"/>
      <c r="C8" s="300"/>
      <c r="D8" s="300"/>
      <c r="E8" s="201" t="s">
        <v>262</v>
      </c>
      <c r="F8" s="309"/>
      <c r="G8" s="64">
        <v>2.39</v>
      </c>
      <c r="H8" s="65">
        <v>40</v>
      </c>
      <c r="I8" s="65">
        <v>45</v>
      </c>
      <c r="J8" s="287"/>
      <c r="K8" s="14">
        <f>(G8*H8*0.0036*$Q$4)*365</f>
        <v>3014.8416000000002</v>
      </c>
      <c r="L8" s="14">
        <f>(G8*I8*0.0036*$Q$4)*365</f>
        <v>3391.6968000000002</v>
      </c>
      <c r="M8" s="14"/>
      <c r="N8" s="14"/>
      <c r="O8" s="14"/>
      <c r="P8" s="14"/>
      <c r="Q8" s="14"/>
      <c r="R8" s="16"/>
      <c r="S8" s="16"/>
      <c r="T8" s="12"/>
      <c r="U8" s="12"/>
      <c r="V8" s="12"/>
      <c r="W8" s="12"/>
    </row>
    <row r="9" spans="2:35" s="10" customFormat="1" ht="27" customHeight="1" x14ac:dyDescent="0.2">
      <c r="B9" s="324"/>
      <c r="C9" s="300"/>
      <c r="D9" s="300"/>
      <c r="E9" s="201" t="s">
        <v>35</v>
      </c>
      <c r="F9" s="310"/>
      <c r="G9" s="64">
        <v>6.47</v>
      </c>
      <c r="H9" s="65">
        <v>51</v>
      </c>
      <c r="I9" s="65">
        <v>38</v>
      </c>
      <c r="J9" s="287"/>
      <c r="K9" s="14">
        <f>(G9*H9*0.0036*$Q$4)*365</f>
        <v>10405.933919999999</v>
      </c>
      <c r="L9" s="14">
        <f>(G9*I9*0.0036*$Q$4)*365</f>
        <v>7753.440959999999</v>
      </c>
      <c r="M9" s="14"/>
      <c r="N9" s="14"/>
      <c r="O9" s="14"/>
      <c r="P9" s="14"/>
      <c r="Q9" s="14"/>
      <c r="R9" s="16"/>
      <c r="S9" s="16"/>
      <c r="T9" s="12"/>
      <c r="U9" s="12"/>
      <c r="V9" s="12"/>
      <c r="W9" s="12"/>
      <c r="AD9" s="50" t="s">
        <v>1126</v>
      </c>
      <c r="AE9" s="50" t="s">
        <v>28</v>
      </c>
      <c r="AF9" s="50" t="s">
        <v>29</v>
      </c>
    </row>
    <row r="10" spans="2:35" s="10" customFormat="1" ht="37.5" customHeight="1" x14ac:dyDescent="0.2">
      <c r="B10" s="324"/>
      <c r="C10" s="300"/>
      <c r="D10" s="300"/>
      <c r="E10" s="201" t="s">
        <v>36</v>
      </c>
      <c r="F10" s="201"/>
      <c r="G10" s="64">
        <v>7.51</v>
      </c>
      <c r="H10" s="65">
        <v>123</v>
      </c>
      <c r="I10" s="65">
        <v>54</v>
      </c>
      <c r="J10" s="287"/>
      <c r="K10" s="14">
        <f>(G10*H10*0.0036*$Q$4)*365</f>
        <v>29130.74928</v>
      </c>
      <c r="L10" s="14">
        <f>(G10*I10*0.0036*$Q$4)*365</f>
        <v>12789.109439999998</v>
      </c>
      <c r="M10" s="14"/>
      <c r="N10" s="14"/>
      <c r="O10" s="14"/>
      <c r="P10" s="14"/>
      <c r="Q10" s="14"/>
      <c r="R10" s="16"/>
      <c r="S10" s="16"/>
      <c r="T10" s="12"/>
      <c r="U10" s="152"/>
      <c r="V10" s="12"/>
      <c r="W10" s="12"/>
      <c r="AD10" s="180" t="s">
        <v>240</v>
      </c>
      <c r="AE10" s="176">
        <f>R14</f>
        <v>383459.50627212104</v>
      </c>
      <c r="AF10" s="176">
        <f>S14</f>
        <v>358360.33159500896</v>
      </c>
      <c r="AG10" s="183"/>
      <c r="AH10" s="183"/>
      <c r="AI10" s="183"/>
    </row>
    <row r="11" spans="2:35" s="10" customFormat="1" ht="24" customHeight="1" x14ac:dyDescent="0.2">
      <c r="B11" s="324"/>
      <c r="C11" s="300"/>
      <c r="D11" s="300"/>
      <c r="E11" s="199" t="s">
        <v>1181</v>
      </c>
      <c r="F11" s="199"/>
      <c r="G11" s="18">
        <f>SUM(G7:G10)</f>
        <v>20</v>
      </c>
      <c r="H11" s="13"/>
      <c r="I11" s="13"/>
      <c r="J11" s="287"/>
      <c r="K11" s="14">
        <f>SUM(K7:K10)</f>
        <v>44154.18432</v>
      </c>
      <c r="L11" s="14">
        <f>SUM(L7:L10)</f>
        <v>31947.544799999996</v>
      </c>
      <c r="M11" s="14">
        <v>12055</v>
      </c>
      <c r="N11" s="88">
        <v>0.9</v>
      </c>
      <c r="O11" s="14">
        <f>M11*N11</f>
        <v>10849.5</v>
      </c>
      <c r="P11" s="14">
        <f>O11*M4*365</f>
        <v>198003.375</v>
      </c>
      <c r="Q11" s="14">
        <f>O11*O4*365</f>
        <v>166322.83500000002</v>
      </c>
      <c r="R11" s="14">
        <f>K11</f>
        <v>44154.18432</v>
      </c>
      <c r="S11" s="14">
        <f>L11</f>
        <v>31947.544799999996</v>
      </c>
      <c r="T11" s="153">
        <f>R11/$R$255</f>
        <v>1.5454308670351323E-3</v>
      </c>
      <c r="U11" s="153">
        <f>S11/$S$255</f>
        <v>1.3529664444157769E-3</v>
      </c>
      <c r="V11" s="152">
        <f>R11/$R$14</f>
        <v>0.11514692841821503</v>
      </c>
      <c r="W11" s="171">
        <f>S11/$S$14</f>
        <v>8.9149222118994551E-2</v>
      </c>
      <c r="AD11" s="180" t="s">
        <v>241</v>
      </c>
      <c r="AE11" s="176">
        <f>R30</f>
        <v>1232428.841941464</v>
      </c>
      <c r="AF11" s="176">
        <f>S30</f>
        <v>2590238.3796788547</v>
      </c>
      <c r="AG11" s="183"/>
      <c r="AH11" s="183"/>
      <c r="AI11" s="183"/>
    </row>
    <row r="12" spans="2:35" s="10" customFormat="1" ht="24" customHeight="1" x14ac:dyDescent="0.2">
      <c r="B12" s="324"/>
      <c r="C12" s="198"/>
      <c r="D12" s="198" t="s">
        <v>20</v>
      </c>
      <c r="E12" s="199" t="s">
        <v>1182</v>
      </c>
      <c r="F12" s="199"/>
      <c r="G12" s="18"/>
      <c r="H12" s="13"/>
      <c r="I12" s="13"/>
      <c r="J12" s="190"/>
      <c r="K12" s="14"/>
      <c r="L12" s="14"/>
      <c r="M12" s="14"/>
      <c r="N12" s="88"/>
      <c r="O12" s="14"/>
      <c r="P12" s="14"/>
      <c r="Q12" s="14"/>
      <c r="R12" s="14">
        <f>'tabla PPT'!G7</f>
        <v>262149.42594728584</v>
      </c>
      <c r="S12" s="14">
        <f>'tabla PPT'!H7</f>
        <v>305370.26970278122</v>
      </c>
      <c r="T12" s="153">
        <f>R12/$R$255</f>
        <v>9.1754342396710847E-3</v>
      </c>
      <c r="U12" s="153">
        <f>S12/$S$255</f>
        <v>1.2932315475775115E-2</v>
      </c>
      <c r="V12" s="152">
        <f>R12/$R$14</f>
        <v>0.68364304876888926</v>
      </c>
      <c r="W12" s="171">
        <f>S12/$S$14</f>
        <v>0.85213189848224336</v>
      </c>
      <c r="AD12" s="180" t="s">
        <v>242</v>
      </c>
      <c r="AE12" s="181">
        <f>R38</f>
        <v>393063.01929085603</v>
      </c>
      <c r="AF12" s="181">
        <f>S38</f>
        <v>346599.44432154333</v>
      </c>
      <c r="AG12" s="183"/>
      <c r="AH12" s="183"/>
      <c r="AI12" s="183"/>
    </row>
    <row r="13" spans="2:35" s="10" customFormat="1" ht="24" customHeight="1" x14ac:dyDescent="0.2">
      <c r="B13" s="325"/>
      <c r="C13" s="198"/>
      <c r="D13" s="198" t="s">
        <v>335</v>
      </c>
      <c r="E13" s="199" t="s">
        <v>336</v>
      </c>
      <c r="F13" s="199"/>
      <c r="G13" s="18"/>
      <c r="H13" s="13"/>
      <c r="I13" s="13"/>
      <c r="J13" s="190" t="s">
        <v>132</v>
      </c>
      <c r="K13" s="14"/>
      <c r="L13" s="14"/>
      <c r="M13" s="14"/>
      <c r="N13" s="88"/>
      <c r="O13" s="14"/>
      <c r="P13" s="14"/>
      <c r="Q13" s="14"/>
      <c r="R13" s="14">
        <f>'Resumen cargas Cafeteros'!E3</f>
        <v>77155.896004835187</v>
      </c>
      <c r="S13" s="14">
        <f>'Resumen cargas Cafeteros'!F3</f>
        <v>21042.517092227776</v>
      </c>
      <c r="T13" s="153">
        <f>R13/$R$255</f>
        <v>2.7005164990810309E-3</v>
      </c>
      <c r="U13" s="153">
        <f>S13/$S$255</f>
        <v>8.9114264366974547E-4</v>
      </c>
      <c r="V13" s="171">
        <f>R13/$R$14</f>
        <v>0.20121002281289568</v>
      </c>
      <c r="W13" s="152">
        <f>S13/$S$14</f>
        <v>5.871887939876224E-2</v>
      </c>
      <c r="AD13" s="180" t="s">
        <v>243</v>
      </c>
      <c r="AE13" s="176">
        <f>R55</f>
        <v>604002.93155499664</v>
      </c>
      <c r="AF13" s="176">
        <f>S55</f>
        <v>467413.27044746198</v>
      </c>
      <c r="AG13" s="183"/>
      <c r="AH13" s="183"/>
      <c r="AI13" s="183"/>
    </row>
    <row r="14" spans="2:35" s="10" customFormat="1" ht="42.75" customHeight="1" x14ac:dyDescent="0.25">
      <c r="B14" s="300" t="s">
        <v>240</v>
      </c>
      <c r="C14" s="300"/>
      <c r="D14" s="300"/>
      <c r="E14" s="301"/>
      <c r="F14" s="301"/>
      <c r="G14" s="301"/>
      <c r="H14" s="301"/>
      <c r="I14" s="301"/>
      <c r="J14" s="301"/>
      <c r="K14" s="301"/>
      <c r="L14" s="301"/>
      <c r="M14" s="199"/>
      <c r="N14" s="199"/>
      <c r="O14" s="199"/>
      <c r="P14" s="199"/>
      <c r="Q14" s="199"/>
      <c r="R14" s="54">
        <f>SUM(R11:R13)</f>
        <v>383459.50627212104</v>
      </c>
      <c r="S14" s="54">
        <f>SUM(S11:S13)</f>
        <v>358360.33159500896</v>
      </c>
      <c r="T14" s="154">
        <f>R14/$R$255</f>
        <v>1.342138160578725E-2</v>
      </c>
      <c r="U14" s="154">
        <f>S14/$S$255</f>
        <v>1.5176424563860636E-2</v>
      </c>
      <c r="V14" s="12"/>
      <c r="W14" s="12"/>
      <c r="AD14" s="180" t="s">
        <v>244</v>
      </c>
      <c r="AE14" s="181">
        <f>R59</f>
        <v>212918.17426120321</v>
      </c>
      <c r="AF14" s="181">
        <f>S59</f>
        <v>239889.40785582399</v>
      </c>
      <c r="AG14" s="183"/>
      <c r="AH14" s="183"/>
      <c r="AI14" s="183"/>
    </row>
    <row r="15" spans="2:35" s="10" customFormat="1" ht="26.25" customHeight="1" x14ac:dyDescent="0.2">
      <c r="B15" s="284" t="s">
        <v>38</v>
      </c>
      <c r="C15" s="284" t="s">
        <v>39</v>
      </c>
      <c r="D15" s="284" t="s">
        <v>20</v>
      </c>
      <c r="E15" s="194" t="s">
        <v>1223</v>
      </c>
      <c r="F15" s="66">
        <v>43060</v>
      </c>
      <c r="G15" s="68">
        <v>1.3740000000000001</v>
      </c>
      <c r="H15" s="191">
        <v>22</v>
      </c>
      <c r="I15" s="191">
        <v>51</v>
      </c>
      <c r="J15" s="293" t="s">
        <v>34</v>
      </c>
      <c r="K15" s="14">
        <f>(G15*H15*0.0036*$Q$4)*365</f>
        <v>953.27020800000014</v>
      </c>
      <c r="L15" s="14">
        <f>(G15*I15*0.0036*$Q$4)*365</f>
        <v>2209.8536640000002</v>
      </c>
      <c r="M15" s="12"/>
      <c r="N15" s="12"/>
      <c r="O15" s="12"/>
      <c r="P15" s="12"/>
      <c r="Q15" s="12"/>
      <c r="R15" s="14"/>
      <c r="S15" s="14"/>
      <c r="T15" s="153"/>
      <c r="U15" s="153"/>
      <c r="V15" s="12"/>
      <c r="W15" s="12"/>
      <c r="AD15" s="180" t="s">
        <v>245</v>
      </c>
      <c r="AE15" s="181">
        <f>R63</f>
        <v>408533.02118575765</v>
      </c>
      <c r="AF15" s="181">
        <f>S63</f>
        <v>251396.02713620476</v>
      </c>
      <c r="AG15" s="183"/>
      <c r="AH15" s="183"/>
      <c r="AI15" s="183"/>
    </row>
    <row r="16" spans="2:35" s="10" customFormat="1" ht="26.25" customHeight="1" x14ac:dyDescent="0.2">
      <c r="B16" s="284"/>
      <c r="C16" s="284"/>
      <c r="D16" s="284"/>
      <c r="E16" s="194" t="s">
        <v>277</v>
      </c>
      <c r="F16" s="194"/>
      <c r="G16" s="68">
        <v>1.532</v>
      </c>
      <c r="H16" s="195">
        <v>103.2</v>
      </c>
      <c r="I16" s="191">
        <v>51</v>
      </c>
      <c r="J16" s="293"/>
      <c r="K16" s="14">
        <f>(G16*H16*0.0036*$Q$4)*365</f>
        <v>4985.9172864000002</v>
      </c>
      <c r="L16" s="14">
        <f>(G16*I16*0.0036*$Q$4)*365</f>
        <v>2463.9707519999997</v>
      </c>
      <c r="M16" s="14"/>
      <c r="N16" s="14"/>
      <c r="O16" s="14"/>
      <c r="P16" s="14"/>
      <c r="Q16" s="14"/>
      <c r="R16" s="14"/>
      <c r="S16" s="14"/>
      <c r="T16" s="153"/>
      <c r="U16" s="153"/>
      <c r="V16" s="12"/>
      <c r="W16" s="12"/>
      <c r="AD16" s="180" t="s">
        <v>246</v>
      </c>
      <c r="AE16" s="176">
        <f>R79</f>
        <v>1313077.760715961</v>
      </c>
      <c r="AF16" s="176">
        <f>S79</f>
        <v>1253685.8501102878</v>
      </c>
      <c r="AG16" s="183"/>
      <c r="AH16" s="183"/>
      <c r="AI16" s="183"/>
    </row>
    <row r="17" spans="2:36" s="10" customFormat="1" ht="22.5" customHeight="1" x14ac:dyDescent="0.2">
      <c r="B17" s="284"/>
      <c r="C17" s="284"/>
      <c r="D17" s="284"/>
      <c r="E17" s="194" t="s">
        <v>1181</v>
      </c>
      <c r="F17" s="194"/>
      <c r="G17" s="191"/>
      <c r="H17" s="190"/>
      <c r="I17" s="190"/>
      <c r="J17" s="293"/>
      <c r="K17" s="14">
        <f>SUM(K15:K15)</f>
        <v>953.27020800000014</v>
      </c>
      <c r="L17" s="14">
        <f>SUM(L15:L15)</f>
        <v>2209.8536640000002</v>
      </c>
      <c r="M17" s="17">
        <v>3057</v>
      </c>
      <c r="N17" s="88">
        <v>0.9</v>
      </c>
      <c r="O17" s="17">
        <f>M17*N17</f>
        <v>2751.3</v>
      </c>
      <c r="P17" s="21">
        <f>O17*M4*365</f>
        <v>50211.225000000013</v>
      </c>
      <c r="Q17" s="21">
        <f>O17*O4*365</f>
        <v>42177.429000000004</v>
      </c>
      <c r="R17" s="14">
        <f>P17</f>
        <v>50211.225000000013</v>
      </c>
      <c r="S17" s="14">
        <f>Q17</f>
        <v>42177.429000000004</v>
      </c>
      <c r="T17" s="153">
        <f>R17/$R$255</f>
        <v>1.7574320119757595E-3</v>
      </c>
      <c r="U17" s="153">
        <f>S17/$S$255</f>
        <v>1.786198172847664E-3</v>
      </c>
      <c r="V17" s="12"/>
      <c r="W17" s="12"/>
      <c r="AD17" s="180" t="s">
        <v>250</v>
      </c>
      <c r="AE17" s="176">
        <f>R137</f>
        <v>1415540.8243507913</v>
      </c>
      <c r="AF17" s="176">
        <f>S137</f>
        <v>1121980.7394763015</v>
      </c>
      <c r="AG17" s="183"/>
      <c r="AH17" s="183"/>
      <c r="AI17" s="183"/>
    </row>
    <row r="18" spans="2:36" s="10" customFormat="1" ht="22.5" customHeight="1" x14ac:dyDescent="0.2">
      <c r="B18" s="187"/>
      <c r="C18" s="187"/>
      <c r="D18" s="193"/>
      <c r="E18" s="194" t="s">
        <v>1182</v>
      </c>
      <c r="F18" s="194"/>
      <c r="G18" s="191"/>
      <c r="H18" s="190"/>
      <c r="I18" s="190"/>
      <c r="J18" s="191"/>
      <c r="K18" s="14"/>
      <c r="L18" s="14"/>
      <c r="M18" s="17"/>
      <c r="N18" s="88"/>
      <c r="O18" s="17"/>
      <c r="P18" s="21"/>
      <c r="Q18" s="21"/>
      <c r="R18" s="14">
        <f>'tabla PPT'!G19</f>
        <v>116263.41180429116</v>
      </c>
      <c r="S18" s="14">
        <f>'tabla PPT'!H19</f>
        <v>135431.87932206682</v>
      </c>
      <c r="T18" s="153">
        <f>R18/$R$255</f>
        <v>4.069310034287784E-3</v>
      </c>
      <c r="U18" s="153">
        <f>S18/$S$255</f>
        <v>5.7354888888652041E-3</v>
      </c>
      <c r="V18" s="12"/>
      <c r="W18" s="12"/>
      <c r="AD18" s="180" t="s">
        <v>251</v>
      </c>
      <c r="AE18" s="176">
        <f>R160</f>
        <v>871461.89885040501</v>
      </c>
      <c r="AF18" s="176">
        <f>S160</f>
        <v>460443.75975079217</v>
      </c>
      <c r="AG18" s="183"/>
      <c r="AH18" s="183"/>
      <c r="AI18" s="183"/>
    </row>
    <row r="19" spans="2:36" s="10" customFormat="1" ht="24" customHeight="1" x14ac:dyDescent="0.2">
      <c r="B19" s="277" t="s">
        <v>40</v>
      </c>
      <c r="C19" s="277" t="s">
        <v>41</v>
      </c>
      <c r="D19" s="284" t="s">
        <v>42</v>
      </c>
      <c r="E19" s="194" t="s">
        <v>5</v>
      </c>
      <c r="F19" s="66">
        <v>43063</v>
      </c>
      <c r="G19" s="254">
        <v>76.47</v>
      </c>
      <c r="H19" s="70">
        <v>30.9</v>
      </c>
      <c r="I19" s="14">
        <v>183</v>
      </c>
      <c r="J19" s="293" t="s">
        <v>34</v>
      </c>
      <c r="K19" s="14">
        <f>(G19*H19*0.0036*$Q$4)*365</f>
        <v>74517.139727999995</v>
      </c>
      <c r="L19" s="14">
        <f>(G19*I19*0.0036*$Q$4)*365</f>
        <v>441315.09936000005</v>
      </c>
      <c r="M19" s="14"/>
      <c r="N19" s="14"/>
      <c r="O19" s="14"/>
      <c r="P19" s="14"/>
      <c r="Q19" s="14"/>
      <c r="R19" s="14"/>
      <c r="S19" s="14"/>
      <c r="T19" s="153"/>
      <c r="U19" s="153"/>
      <c r="V19" s="12"/>
      <c r="W19" s="12"/>
      <c r="AD19" s="180" t="s">
        <v>252</v>
      </c>
      <c r="AE19" s="176">
        <f>R165</f>
        <v>853727.07535628323</v>
      </c>
      <c r="AF19" s="176">
        <f>S165</f>
        <v>431725.25371134718</v>
      </c>
      <c r="AG19" s="183"/>
      <c r="AH19" s="183"/>
      <c r="AI19" s="183"/>
    </row>
    <row r="20" spans="2:36" s="10" customFormat="1" ht="24" customHeight="1" x14ac:dyDescent="0.2">
      <c r="B20" s="278"/>
      <c r="C20" s="278"/>
      <c r="D20" s="284"/>
      <c r="E20" s="194" t="s">
        <v>12</v>
      </c>
      <c r="F20" s="194"/>
      <c r="G20" s="254">
        <v>161</v>
      </c>
      <c r="H20" s="255">
        <v>20.83</v>
      </c>
      <c r="I20" s="14">
        <v>212</v>
      </c>
      <c r="J20" s="293"/>
      <c r="K20" s="14">
        <f>(G20*H20*0.0036*$Q$4)*365</f>
        <v>105760.07567999999</v>
      </c>
      <c r="L20" s="14">
        <f>(G20*I20*0.0036*$Q$4)*365</f>
        <v>1076386.7519999999</v>
      </c>
      <c r="M20" s="14"/>
      <c r="N20" s="14"/>
      <c r="O20" s="14"/>
      <c r="P20" s="14"/>
      <c r="Q20" s="14"/>
      <c r="R20" s="14"/>
      <c r="S20" s="14"/>
      <c r="T20" s="153"/>
      <c r="U20" s="153"/>
      <c r="V20" s="12"/>
      <c r="W20" s="12"/>
      <c r="AD20" s="180" t="s">
        <v>253</v>
      </c>
      <c r="AE20" s="176">
        <f>R173</f>
        <v>971917.22822215641</v>
      </c>
      <c r="AF20" s="176">
        <f>S173</f>
        <v>408746.72728027124</v>
      </c>
      <c r="AG20" s="183"/>
      <c r="AH20" s="183"/>
      <c r="AI20" s="183"/>
    </row>
    <row r="21" spans="2:36" s="10" customFormat="1" ht="21.75" customHeight="1" x14ac:dyDescent="0.2">
      <c r="B21" s="278"/>
      <c r="C21" s="278"/>
      <c r="D21" s="284"/>
      <c r="E21" s="194" t="s">
        <v>263</v>
      </c>
      <c r="F21" s="194"/>
      <c r="G21" s="254">
        <v>11.91</v>
      </c>
      <c r="H21" s="255">
        <v>81.53</v>
      </c>
      <c r="I21" s="14">
        <v>18</v>
      </c>
      <c r="J21" s="293"/>
      <c r="K21" s="14">
        <f>(G21*H21*0.0036*$Q$4)*365</f>
        <v>30622.159252799996</v>
      </c>
      <c r="L21" s="14">
        <f>(G21*I21*0.0036*$Q$4)*365</f>
        <v>6760.6876800000009</v>
      </c>
      <c r="M21" s="14"/>
      <c r="N21" s="14"/>
      <c r="O21" s="14"/>
      <c r="P21" s="14"/>
      <c r="Q21" s="14"/>
      <c r="R21" s="14"/>
      <c r="S21" s="14"/>
      <c r="T21" s="153"/>
      <c r="U21" s="153"/>
      <c r="V21" s="12"/>
      <c r="W21" s="12"/>
      <c r="AD21" s="180" t="s">
        <v>254</v>
      </c>
      <c r="AE21" s="176">
        <f>R185</f>
        <v>1616778.2358493763</v>
      </c>
      <c r="AF21" s="176">
        <f>S185</f>
        <v>801995.64594189229</v>
      </c>
      <c r="AG21" s="183"/>
      <c r="AH21" s="183"/>
      <c r="AI21" s="183"/>
    </row>
    <row r="22" spans="2:36" s="10" customFormat="1" ht="27" customHeight="1" x14ac:dyDescent="0.2">
      <c r="B22" s="278"/>
      <c r="C22" s="278"/>
      <c r="D22" s="284"/>
      <c r="E22" s="194" t="s">
        <v>7</v>
      </c>
      <c r="F22" s="194"/>
      <c r="G22" s="254">
        <v>18.420000000000002</v>
      </c>
      <c r="H22" s="14">
        <v>110</v>
      </c>
      <c r="I22" s="14">
        <v>145</v>
      </c>
      <c r="J22" s="293"/>
      <c r="K22" s="14">
        <f>(G22*H22*0.0036*$Q$4)*365</f>
        <v>63898.243200000012</v>
      </c>
      <c r="L22" s="14">
        <f>(G22*I22*0.0036*$Q$4)*365</f>
        <v>84229.502399999998</v>
      </c>
      <c r="M22" s="14"/>
      <c r="N22" s="14"/>
      <c r="O22" s="14"/>
      <c r="P22" s="14"/>
      <c r="Q22" s="14"/>
      <c r="R22" s="14"/>
      <c r="S22" s="14"/>
      <c r="T22" s="153"/>
      <c r="U22" s="153"/>
      <c r="V22" s="12"/>
      <c r="W22" s="12"/>
      <c r="AD22" s="180" t="s">
        <v>255</v>
      </c>
      <c r="AE22" s="176">
        <f>R216</f>
        <v>6472449.808628276</v>
      </c>
      <c r="AF22" s="176">
        <f>S216</f>
        <v>6511583.8130271928</v>
      </c>
      <c r="AG22" s="183"/>
      <c r="AH22" s="183"/>
      <c r="AI22" s="183"/>
    </row>
    <row r="23" spans="2:36" s="10" customFormat="1" ht="21.75" customHeight="1" x14ac:dyDescent="0.2">
      <c r="B23" s="278"/>
      <c r="C23" s="278"/>
      <c r="D23" s="284"/>
      <c r="E23" s="194" t="s">
        <v>1181</v>
      </c>
      <c r="F23" s="194"/>
      <c r="G23" s="19">
        <f>SUM(G19:G22)</f>
        <v>267.8</v>
      </c>
      <c r="H23" s="20"/>
      <c r="I23" s="20"/>
      <c r="J23" s="293"/>
      <c r="K23" s="14">
        <f>SUM(K19:K22)</f>
        <v>274797.6178608</v>
      </c>
      <c r="L23" s="14">
        <f>SUM(L19:L22)</f>
        <v>1608692.0414399998</v>
      </c>
      <c r="M23" s="14">
        <v>78471</v>
      </c>
      <c r="N23" s="88">
        <v>0.9</v>
      </c>
      <c r="O23" s="17">
        <f>M23*N23</f>
        <v>70623.900000000009</v>
      </c>
      <c r="P23" s="21">
        <f>O23*M4*365</f>
        <v>1288886.1750000003</v>
      </c>
      <c r="Q23" s="21">
        <f>O23*O4*365</f>
        <v>1082664.3870000003</v>
      </c>
      <c r="R23" s="14">
        <f>K23</f>
        <v>274797.6178608</v>
      </c>
      <c r="S23" s="14">
        <f>L23</f>
        <v>1608692.0414399998</v>
      </c>
      <c r="T23" s="153">
        <f t="shared" ref="T23:T30" si="0">R23/$R$255</f>
        <v>9.6181308152360652E-3</v>
      </c>
      <c r="U23" s="153">
        <f t="shared" ref="U23:U30" si="1">S23/$S$255</f>
        <v>6.812749978417855E-2</v>
      </c>
      <c r="V23" s="171">
        <f>R23/$R$30</f>
        <v>0.22297240092815998</v>
      </c>
      <c r="W23" s="171">
        <f>S23/$S$30</f>
        <v>0.62105945694444165</v>
      </c>
      <c r="AD23" s="180" t="s">
        <v>256</v>
      </c>
      <c r="AE23" s="176">
        <f>R239</f>
        <v>2450721.0159516693</v>
      </c>
      <c r="AF23" s="176">
        <f>S239</f>
        <v>1002132.9315399143</v>
      </c>
      <c r="AG23" s="183"/>
      <c r="AH23" s="183"/>
      <c r="AI23" s="183"/>
    </row>
    <row r="24" spans="2:36" s="10" customFormat="1" ht="21.75" customHeight="1" x14ac:dyDescent="0.2">
      <c r="B24" s="278"/>
      <c r="C24" s="278"/>
      <c r="D24" s="193"/>
      <c r="E24" s="194" t="s">
        <v>1182</v>
      </c>
      <c r="F24" s="194"/>
      <c r="G24" s="19"/>
      <c r="H24" s="20"/>
      <c r="I24" s="20"/>
      <c r="J24" s="191"/>
      <c r="K24" s="14"/>
      <c r="L24" s="14"/>
      <c r="M24" s="14"/>
      <c r="N24" s="88"/>
      <c r="O24" s="17"/>
      <c r="P24" s="21"/>
      <c r="Q24" s="21"/>
      <c r="R24" s="14">
        <f>'tabla PPT'!G2</f>
        <v>654619.4492955507</v>
      </c>
      <c r="S24" s="14">
        <f>'tabla PPT'!H2</f>
        <v>762547.22687916725</v>
      </c>
      <c r="T24" s="153">
        <f t="shared" si="0"/>
        <v>2.2912190966341551E-2</v>
      </c>
      <c r="U24" s="153">
        <f t="shared" si="1"/>
        <v>3.2293586775088201E-2</v>
      </c>
      <c r="V24" s="171">
        <f>R24/$R$30</f>
        <v>0.53116206552284084</v>
      </c>
      <c r="W24" s="171">
        <f>S24/$S$30</f>
        <v>0.29439268326095536</v>
      </c>
      <c r="AD24" s="180" t="s">
        <v>257</v>
      </c>
      <c r="AE24" s="176">
        <f>R248</f>
        <v>2826532.1050333986</v>
      </c>
      <c r="AF24" s="176">
        <f>S248</f>
        <v>942337.04262983333</v>
      </c>
      <c r="AG24" s="183"/>
      <c r="AH24" s="183"/>
      <c r="AI24" s="183"/>
    </row>
    <row r="25" spans="2:36" s="10" customFormat="1" ht="21.75" customHeight="1" x14ac:dyDescent="0.2">
      <c r="B25" s="278"/>
      <c r="C25" s="278"/>
      <c r="D25" s="194" t="s">
        <v>300</v>
      </c>
      <c r="E25" s="194" t="s">
        <v>300</v>
      </c>
      <c r="F25" s="66">
        <v>43151</v>
      </c>
      <c r="G25" s="19">
        <v>1.1319999999999999</v>
      </c>
      <c r="H25" s="20">
        <v>367</v>
      </c>
      <c r="I25" s="20">
        <v>196</v>
      </c>
      <c r="J25" s="191"/>
      <c r="K25" s="14">
        <f>(G25*H25*0.0036*$Q$4)*365</f>
        <v>13101.441983999999</v>
      </c>
      <c r="L25" s="14">
        <f>(G25*I25*0.0036*$Q$4)*365</f>
        <v>6996.9553919999989</v>
      </c>
      <c r="M25" s="14"/>
      <c r="N25" s="14"/>
      <c r="O25" s="14"/>
      <c r="P25" s="14"/>
      <c r="Q25" s="14"/>
      <c r="R25" s="14">
        <f t="shared" ref="R25:S28" si="2">K25</f>
        <v>13101.441983999999</v>
      </c>
      <c r="S25" s="14">
        <f t="shared" si="2"/>
        <v>6996.9553919999989</v>
      </c>
      <c r="T25" s="153">
        <f t="shared" si="0"/>
        <v>4.5856068131627537E-4</v>
      </c>
      <c r="U25" s="153">
        <f t="shared" si="1"/>
        <v>2.9631841563142712E-4</v>
      </c>
      <c r="V25" s="152">
        <f t="shared" ref="V25:V29" si="3">R25/$R$30</f>
        <v>1.0630586966271494E-2</v>
      </c>
      <c r="W25" s="152">
        <f t="shared" ref="W25:W29" si="4">S25/$S$30</f>
        <v>2.7012785567896271E-3</v>
      </c>
      <c r="AD25" s="180" t="s">
        <v>258</v>
      </c>
      <c r="AE25" s="176">
        <f>R253</f>
        <v>3309412.0438886108</v>
      </c>
      <c r="AF25" s="176">
        <f>S253</f>
        <v>1027339.2581574795</v>
      </c>
      <c r="AG25" s="183"/>
      <c r="AH25" s="183"/>
      <c r="AI25" s="183"/>
    </row>
    <row r="26" spans="2:36" s="10" customFormat="1" ht="21.75" customHeight="1" x14ac:dyDescent="0.25">
      <c r="B26" s="278"/>
      <c r="C26" s="278"/>
      <c r="D26" s="194" t="s">
        <v>330</v>
      </c>
      <c r="E26" s="194" t="s">
        <v>330</v>
      </c>
      <c r="F26" s="66">
        <v>42858</v>
      </c>
      <c r="G26" s="19">
        <v>0.2</v>
      </c>
      <c r="H26" s="20">
        <v>5</v>
      </c>
      <c r="I26" s="20">
        <v>10</v>
      </c>
      <c r="J26" s="191" t="s">
        <v>34</v>
      </c>
      <c r="K26" s="14">
        <f>(G26*H26*0.0036*$Q$4)*365</f>
        <v>31.536000000000001</v>
      </c>
      <c r="L26" s="14">
        <f>(G26*I26*0.0036*$Q$4)*365</f>
        <v>63.072000000000003</v>
      </c>
      <c r="M26" s="14"/>
      <c r="N26" s="14"/>
      <c r="O26" s="14"/>
      <c r="P26" s="14"/>
      <c r="Q26" s="14"/>
      <c r="R26" s="14">
        <f t="shared" si="2"/>
        <v>31.536000000000001</v>
      </c>
      <c r="S26" s="14">
        <f t="shared" si="2"/>
        <v>63.072000000000003</v>
      </c>
      <c r="T26" s="153">
        <f t="shared" si="0"/>
        <v>1.103784580632469E-6</v>
      </c>
      <c r="U26" s="153">
        <f t="shared" si="1"/>
        <v>2.671075355443023E-6</v>
      </c>
      <c r="V26" s="175">
        <f t="shared" si="3"/>
        <v>2.558849560054182E-5</v>
      </c>
      <c r="W26" s="175">
        <f t="shared" si="4"/>
        <v>2.4349882425809727E-5</v>
      </c>
      <c r="AD26" s="246" t="s">
        <v>1127</v>
      </c>
      <c r="AE26" s="247">
        <f>SUM(AE10:AE25)</f>
        <v>25336023.491353326</v>
      </c>
      <c r="AF26" s="247">
        <f>SUM(AF10:AF25)</f>
        <v>18215867.88266021</v>
      </c>
      <c r="AG26" s="183"/>
      <c r="AH26" s="183"/>
      <c r="AI26" s="243">
        <f>AE30+R254</f>
        <v>0</v>
      </c>
      <c r="AJ26" s="243">
        <f>AF30+S254</f>
        <v>0</v>
      </c>
    </row>
    <row r="27" spans="2:36" s="10" customFormat="1" ht="21.75" customHeight="1" x14ac:dyDescent="0.2">
      <c r="B27" s="278"/>
      <c r="C27" s="278"/>
      <c r="D27" s="194" t="s">
        <v>331</v>
      </c>
      <c r="E27" s="194" t="s">
        <v>331</v>
      </c>
      <c r="F27" s="66">
        <v>42642</v>
      </c>
      <c r="G27" s="19">
        <v>0.49</v>
      </c>
      <c r="H27" s="20">
        <v>0.9</v>
      </c>
      <c r="I27" s="20">
        <v>43.2</v>
      </c>
      <c r="J27" s="191" t="s">
        <v>34</v>
      </c>
      <c r="K27" s="14">
        <f>(G27*H27*0.0036*$Q$4)*365</f>
        <v>13.907376000000001</v>
      </c>
      <c r="L27" s="14">
        <f>(G27*I27*0.0036*$Q$4)*365</f>
        <v>667.55404799999985</v>
      </c>
      <c r="M27" s="14"/>
      <c r="N27" s="14"/>
      <c r="O27" s="14"/>
      <c r="P27" s="14"/>
      <c r="Q27" s="14"/>
      <c r="R27" s="14">
        <f t="shared" si="2"/>
        <v>13.907376000000001</v>
      </c>
      <c r="S27" s="14">
        <f t="shared" si="2"/>
        <v>667.55404799999985</v>
      </c>
      <c r="T27" s="153">
        <f t="shared" si="0"/>
        <v>4.867690000589188E-7</v>
      </c>
      <c r="U27" s="153">
        <f t="shared" si="1"/>
        <v>2.8270661562008946E-5</v>
      </c>
      <c r="V27" s="175">
        <f t="shared" si="3"/>
        <v>1.1284526559838943E-5</v>
      </c>
      <c r="W27" s="175">
        <f t="shared" si="4"/>
        <v>2.5771915559477004E-4</v>
      </c>
      <c r="AE27" s="243">
        <f>AE26+AI26</f>
        <v>25336023.491353326</v>
      </c>
      <c r="AF27" s="243">
        <f>AF26+AJ26</f>
        <v>18215867.88266021</v>
      </c>
      <c r="AG27" s="183"/>
      <c r="AH27" s="183"/>
      <c r="AI27" s="183"/>
    </row>
    <row r="28" spans="2:36" s="10" customFormat="1" ht="21.75" customHeight="1" x14ac:dyDescent="0.2">
      <c r="B28" s="279"/>
      <c r="C28" s="279"/>
      <c r="D28" s="194" t="s">
        <v>332</v>
      </c>
      <c r="E28" s="194" t="s">
        <v>332</v>
      </c>
      <c r="F28" s="66">
        <v>42691</v>
      </c>
      <c r="G28" s="19">
        <v>4.5400000000000003E-2</v>
      </c>
      <c r="H28" s="20">
        <v>10.199999999999999</v>
      </c>
      <c r="I28" s="20">
        <v>10</v>
      </c>
      <c r="J28" s="191" t="s">
        <v>34</v>
      </c>
      <c r="K28" s="14">
        <f>(G28*H28*0.0036*$Q$4)*365</f>
        <v>14.60369088</v>
      </c>
      <c r="L28" s="14">
        <f>(G28*I28*0.0036*$Q$4)*365</f>
        <v>14.317344</v>
      </c>
      <c r="M28" s="14"/>
      <c r="N28" s="14"/>
      <c r="O28" s="14"/>
      <c r="P28" s="14"/>
      <c r="Q28" s="14"/>
      <c r="R28" s="14">
        <f t="shared" si="2"/>
        <v>14.60369088</v>
      </c>
      <c r="S28" s="14">
        <f t="shared" si="2"/>
        <v>14.317344</v>
      </c>
      <c r="T28" s="153">
        <f t="shared" si="0"/>
        <v>5.1114056359928369E-7</v>
      </c>
      <c r="U28" s="153">
        <f t="shared" si="1"/>
        <v>6.063341056855662E-7</v>
      </c>
      <c r="V28" s="175">
        <f t="shared" si="3"/>
        <v>1.1849520542698906E-5</v>
      </c>
      <c r="W28" s="175">
        <f t="shared" si="4"/>
        <v>5.5274233106588077E-6</v>
      </c>
      <c r="AG28" s="183"/>
      <c r="AH28" s="183"/>
      <c r="AI28" s="183"/>
    </row>
    <row r="29" spans="2:36" s="10" customFormat="1" ht="21.75" customHeight="1" x14ac:dyDescent="0.25">
      <c r="B29" s="189"/>
      <c r="C29" s="189"/>
      <c r="D29" s="29" t="s">
        <v>335</v>
      </c>
      <c r="E29" s="194" t="s">
        <v>336</v>
      </c>
      <c r="F29" s="66"/>
      <c r="G29" s="19"/>
      <c r="H29" s="20"/>
      <c r="I29" s="20"/>
      <c r="J29" s="191"/>
      <c r="K29" s="14"/>
      <c r="L29" s="14"/>
      <c r="M29" s="14"/>
      <c r="N29" s="14"/>
      <c r="O29" s="14"/>
      <c r="P29" s="14"/>
      <c r="Q29" s="14"/>
      <c r="R29" s="14">
        <f>'Resumen cargas Cafeteros'!E7</f>
        <v>123375.64892994241</v>
      </c>
      <c r="S29" s="14">
        <f>'Resumen cargas Cafeteros'!F7</f>
        <v>33647.904253620654</v>
      </c>
      <c r="T29" s="153">
        <f t="shared" si="0"/>
        <v>4.3182438772956366E-3</v>
      </c>
      <c r="U29" s="153">
        <f t="shared" si="1"/>
        <v>1.4249760244506688E-3</v>
      </c>
      <c r="V29" s="171">
        <f t="shared" si="3"/>
        <v>0.10010772608630845</v>
      </c>
      <c r="W29" s="171">
        <f t="shared" si="4"/>
        <v>1.2990273218711407E-2</v>
      </c>
    </row>
    <row r="30" spans="2:36" s="10" customFormat="1" ht="27" customHeight="1" x14ac:dyDescent="0.25">
      <c r="B30" s="284" t="s">
        <v>241</v>
      </c>
      <c r="C30" s="284"/>
      <c r="D30" s="284"/>
      <c r="E30" s="286"/>
      <c r="F30" s="286"/>
      <c r="G30" s="286"/>
      <c r="H30" s="286"/>
      <c r="I30" s="286"/>
      <c r="J30" s="286"/>
      <c r="K30" s="286"/>
      <c r="L30" s="286"/>
      <c r="M30" s="194"/>
      <c r="N30" s="194"/>
      <c r="O30" s="194"/>
      <c r="P30" s="194"/>
      <c r="Q30" s="194"/>
      <c r="R30" s="54">
        <f>SUM(R17:R29)</f>
        <v>1232428.841941464</v>
      </c>
      <c r="S30" s="54">
        <f>SUM(S17:S29)</f>
        <v>2590238.3796788547</v>
      </c>
      <c r="T30" s="154">
        <f t="shared" si="0"/>
        <v>4.3135970080597351E-2</v>
      </c>
      <c r="U30" s="154">
        <f t="shared" si="1"/>
        <v>0.10969561613208485</v>
      </c>
      <c r="V30" s="12"/>
      <c r="W30" s="12"/>
      <c r="AE30" s="243"/>
      <c r="AF30" s="243"/>
    </row>
    <row r="31" spans="2:36" s="10" customFormat="1" ht="27" customHeight="1" x14ac:dyDescent="0.2">
      <c r="B31" s="284" t="s">
        <v>43</v>
      </c>
      <c r="C31" s="284" t="s">
        <v>44</v>
      </c>
      <c r="D31" s="284" t="s">
        <v>235</v>
      </c>
      <c r="E31" s="48" t="s">
        <v>265</v>
      </c>
      <c r="F31" s="288">
        <v>42979</v>
      </c>
      <c r="G31" s="61">
        <v>2.15</v>
      </c>
      <c r="H31" s="194">
        <v>207</v>
      </c>
      <c r="I31" s="194">
        <v>100</v>
      </c>
      <c r="J31" s="286" t="s">
        <v>34</v>
      </c>
      <c r="K31" s="84">
        <f>(G31*H31*0.0036*$Q$4)*365</f>
        <v>14035.096799999998</v>
      </c>
      <c r="L31" s="84">
        <f>(G31*I31*0.0036*$Q$4)*365</f>
        <v>6780.24</v>
      </c>
      <c r="M31" s="84"/>
      <c r="N31" s="84"/>
      <c r="O31" s="84"/>
      <c r="P31" s="84"/>
      <c r="Q31" s="84"/>
      <c r="R31" s="54"/>
      <c r="S31" s="54"/>
      <c r="T31" s="153"/>
      <c r="U31" s="153"/>
      <c r="V31" s="12"/>
      <c r="W31" s="12"/>
    </row>
    <row r="32" spans="2:36" s="10" customFormat="1" ht="27" customHeight="1" x14ac:dyDescent="0.2">
      <c r="B32" s="284"/>
      <c r="C32" s="284"/>
      <c r="D32" s="284"/>
      <c r="E32" s="48" t="s">
        <v>264</v>
      </c>
      <c r="F32" s="289"/>
      <c r="G32" s="61">
        <v>1.75</v>
      </c>
      <c r="H32" s="194">
        <v>157</v>
      </c>
      <c r="I32" s="194">
        <v>83</v>
      </c>
      <c r="J32" s="286"/>
      <c r="K32" s="84">
        <f>(G32*H32*0.0036*$Q$4)*365</f>
        <v>8664.5159999999996</v>
      </c>
      <c r="L32" s="84">
        <f>(G32*I32*0.0036*$Q$4)*365</f>
        <v>4580.6040000000003</v>
      </c>
      <c r="M32" s="84"/>
      <c r="N32" s="84"/>
      <c r="O32" s="84"/>
      <c r="P32" s="84"/>
      <c r="Q32" s="84"/>
      <c r="R32" s="54"/>
      <c r="S32" s="54"/>
      <c r="T32" s="153"/>
      <c r="U32" s="153"/>
      <c r="V32" s="12"/>
      <c r="W32" s="12"/>
    </row>
    <row r="33" spans="2:23" s="10" customFormat="1" ht="27" customHeight="1" x14ac:dyDescent="0.2">
      <c r="B33" s="284"/>
      <c r="C33" s="284"/>
      <c r="D33" s="284"/>
      <c r="E33" s="197" t="s">
        <v>1181</v>
      </c>
      <c r="F33" s="197"/>
      <c r="G33" s="61">
        <f>SUM(G31:G32)</f>
        <v>3.9</v>
      </c>
      <c r="H33" s="17"/>
      <c r="I33" s="17"/>
      <c r="J33" s="286"/>
      <c r="K33" s="84">
        <f>SUM(K31:K32)</f>
        <v>22699.612799999995</v>
      </c>
      <c r="L33" s="84">
        <f>SUM(L31:L32)</f>
        <v>11360.844000000001</v>
      </c>
      <c r="M33" s="138">
        <v>7800</v>
      </c>
      <c r="N33" s="88">
        <v>0.9</v>
      </c>
      <c r="O33" s="17">
        <f>M33*N33</f>
        <v>7020</v>
      </c>
      <c r="P33" s="21">
        <f>O33*M4*365</f>
        <v>128115</v>
      </c>
      <c r="Q33" s="21">
        <f>O33*O4*365</f>
        <v>107616.6</v>
      </c>
      <c r="R33" s="21">
        <f>K33</f>
        <v>22699.612799999995</v>
      </c>
      <c r="S33" s="21">
        <f>L33</f>
        <v>11360.844000000001</v>
      </c>
      <c r="T33" s="153">
        <f t="shared" ref="T33:T38" si="5">R33/$R$255</f>
        <v>7.9450414113925092E-4</v>
      </c>
      <c r="U33" s="153">
        <f t="shared" ref="U33:U38" si="6">S33/$S$255</f>
        <v>4.8112744839917448E-4</v>
      </c>
      <c r="V33" s="171">
        <f>R33/$R$38</f>
        <v>5.7750568448167582E-2</v>
      </c>
      <c r="W33" s="171">
        <f>S33/$S$38</f>
        <v>3.2778021390768436E-2</v>
      </c>
    </row>
    <row r="34" spans="2:23" s="10" customFormat="1" ht="27" customHeight="1" x14ac:dyDescent="0.2">
      <c r="B34" s="284"/>
      <c r="C34" s="284"/>
      <c r="D34" s="284"/>
      <c r="E34" s="197" t="s">
        <v>1183</v>
      </c>
      <c r="F34" s="197"/>
      <c r="G34" s="61"/>
      <c r="H34" s="17"/>
      <c r="I34" s="17"/>
      <c r="J34" s="194"/>
      <c r="K34" s="84"/>
      <c r="L34" s="84"/>
      <c r="M34" s="138"/>
      <c r="N34" s="88"/>
      <c r="O34" s="17"/>
      <c r="P34" s="21"/>
      <c r="Q34" s="21"/>
      <c r="R34" s="21">
        <f>'tabla PPT'!G6</f>
        <v>262479.35151032626</v>
      </c>
      <c r="S34" s="21">
        <f>'tabla PPT'!H6</f>
        <v>305754.5904305625</v>
      </c>
      <c r="T34" s="153">
        <f t="shared" si="5"/>
        <v>9.1869818915369054E-3</v>
      </c>
      <c r="U34" s="153">
        <f t="shared" si="6"/>
        <v>1.2948591313303059E-2</v>
      </c>
      <c r="V34" s="171">
        <f>R34/$R$38</f>
        <v>0.66777930924124562</v>
      </c>
      <c r="W34" s="171">
        <f>S34/$S$38</f>
        <v>0.8821554547759497</v>
      </c>
    </row>
    <row r="35" spans="2:23" s="10" customFormat="1" ht="27" customHeight="1" x14ac:dyDescent="0.2">
      <c r="B35" s="284"/>
      <c r="C35" s="284"/>
      <c r="D35" s="284"/>
      <c r="E35" s="197" t="s">
        <v>278</v>
      </c>
      <c r="F35" s="66">
        <v>42928</v>
      </c>
      <c r="G35" s="61">
        <v>0.25600000000000001</v>
      </c>
      <c r="H35" s="17">
        <v>26.6</v>
      </c>
      <c r="I35" s="17">
        <v>18.5</v>
      </c>
      <c r="J35" s="194" t="s">
        <v>34</v>
      </c>
      <c r="K35" s="84">
        <f>(G35*H35*0.0036*$Q$4)*365</f>
        <v>214.7475456</v>
      </c>
      <c r="L35" s="84">
        <f>(G35*I35*0.0036*$Q$4)*365</f>
        <v>149.35449599999998</v>
      </c>
      <c r="M35" s="84"/>
      <c r="N35" s="84"/>
      <c r="O35" s="84"/>
      <c r="P35" s="84"/>
      <c r="Q35" s="84"/>
      <c r="R35" s="21">
        <f>K35</f>
        <v>214.7475456</v>
      </c>
      <c r="S35" s="21">
        <f>L35</f>
        <v>149.35449599999998</v>
      </c>
      <c r="T35" s="153">
        <f t="shared" si="5"/>
        <v>7.5163314802748599E-6</v>
      </c>
      <c r="U35" s="153">
        <f t="shared" si="6"/>
        <v>6.3251064416890772E-6</v>
      </c>
      <c r="V35" s="152">
        <f>R35/$R$38</f>
        <v>5.463438050911948E-4</v>
      </c>
      <c r="W35" s="152">
        <f>S35/$S$38</f>
        <v>4.3091383568821454E-4</v>
      </c>
    </row>
    <row r="36" spans="2:23" s="10" customFormat="1" ht="27" customHeight="1" x14ac:dyDescent="0.2">
      <c r="B36" s="284"/>
      <c r="C36" s="284"/>
      <c r="D36" s="284"/>
      <c r="E36" s="197" t="s">
        <v>326</v>
      </c>
      <c r="F36" s="66">
        <v>43296</v>
      </c>
      <c r="G36" s="197">
        <v>0.14000000000000001</v>
      </c>
      <c r="H36" s="197">
        <v>76</v>
      </c>
      <c r="I36" s="197">
        <v>14</v>
      </c>
      <c r="J36" s="197" t="s">
        <v>34</v>
      </c>
      <c r="K36" s="84">
        <f>(G36*H36*0.0036*$Q$4)*365</f>
        <v>335.54303999999996</v>
      </c>
      <c r="L36" s="84">
        <f>(G36*I36*0.0036*$Q$4)*365</f>
        <v>61.810560000000009</v>
      </c>
      <c r="M36" s="84"/>
      <c r="N36" s="84"/>
      <c r="O36" s="84"/>
      <c r="P36" s="84"/>
      <c r="Q36" s="84"/>
      <c r="R36" s="21">
        <f>K36</f>
        <v>335.54303999999996</v>
      </c>
      <c r="S36" s="21">
        <f>L36</f>
        <v>61.810560000000009</v>
      </c>
      <c r="T36" s="153">
        <f t="shared" si="5"/>
        <v>1.1744267937929467E-5</v>
      </c>
      <c r="U36" s="153">
        <f t="shared" si="6"/>
        <v>2.6176538483341628E-6</v>
      </c>
      <c r="V36" s="152">
        <f>R36/$R$38</f>
        <v>8.5366219545499186E-4</v>
      </c>
      <c r="W36" s="152">
        <f>S36/$S$38</f>
        <v>1.7833427321556182E-4</v>
      </c>
    </row>
    <row r="37" spans="2:23" s="10" customFormat="1" ht="27" customHeight="1" x14ac:dyDescent="0.25">
      <c r="B37" s="193"/>
      <c r="C37" s="193"/>
      <c r="D37" s="29" t="s">
        <v>335</v>
      </c>
      <c r="E37" s="194" t="s">
        <v>336</v>
      </c>
      <c r="F37" s="66"/>
      <c r="G37" s="197"/>
      <c r="H37" s="197"/>
      <c r="I37" s="197"/>
      <c r="J37" s="197"/>
      <c r="K37" s="84"/>
      <c r="L37" s="84"/>
      <c r="M37" s="84"/>
      <c r="N37" s="84"/>
      <c r="O37" s="84"/>
      <c r="P37" s="84"/>
      <c r="Q37" s="84"/>
      <c r="R37" s="21">
        <f>'Resumen cargas Cafeteros'!E5</f>
        <v>107333.76439492973</v>
      </c>
      <c r="S37" s="21">
        <f>'Resumen cargas Cafeteros'!F5</f>
        <v>29272.844834980839</v>
      </c>
      <c r="T37" s="153">
        <f t="shared" si="5"/>
        <v>3.7567654147755499E-3</v>
      </c>
      <c r="U37" s="153">
        <f t="shared" si="6"/>
        <v>1.2396939120754835E-3</v>
      </c>
      <c r="V37" s="152">
        <f>R37/$R$38</f>
        <v>0.27307011631004047</v>
      </c>
      <c r="W37" s="152">
        <f>S37/$S$38</f>
        <v>8.4457275724378153E-2</v>
      </c>
    </row>
    <row r="38" spans="2:23" s="10" customFormat="1" ht="39" customHeight="1" x14ac:dyDescent="0.25">
      <c r="B38" s="284" t="s">
        <v>242</v>
      </c>
      <c r="C38" s="284"/>
      <c r="D38" s="284"/>
      <c r="E38" s="285"/>
      <c r="F38" s="285"/>
      <c r="G38" s="285"/>
      <c r="H38" s="285"/>
      <c r="I38" s="285"/>
      <c r="J38" s="285"/>
      <c r="K38" s="285"/>
      <c r="L38" s="285"/>
      <c r="M38" s="197"/>
      <c r="N38" s="197"/>
      <c r="O38" s="197"/>
      <c r="P38" s="197"/>
      <c r="Q38" s="197"/>
      <c r="R38" s="256">
        <f>SUM(R33:R37)</f>
        <v>393063.01929085603</v>
      </c>
      <c r="S38" s="256">
        <f>SUM(S33:S37)</f>
        <v>346599.44432154333</v>
      </c>
      <c r="T38" s="154">
        <f t="shared" si="5"/>
        <v>1.3757512046869912E-2</v>
      </c>
      <c r="U38" s="154">
        <f t="shared" si="6"/>
        <v>1.4678355434067741E-2</v>
      </c>
      <c r="V38" s="12"/>
      <c r="W38" s="12"/>
    </row>
    <row r="39" spans="2:23" s="10" customFormat="1" ht="24.75" customHeight="1" x14ac:dyDescent="0.2">
      <c r="B39" s="284" t="s">
        <v>46</v>
      </c>
      <c r="C39" s="284" t="s">
        <v>47</v>
      </c>
      <c r="D39" s="284" t="s">
        <v>235</v>
      </c>
      <c r="E39" s="194" t="s">
        <v>260</v>
      </c>
      <c r="F39" s="290">
        <v>43000</v>
      </c>
      <c r="G39" s="62">
        <v>9.11</v>
      </c>
      <c r="H39" s="191">
        <v>211</v>
      </c>
      <c r="I39" s="191">
        <v>72</v>
      </c>
      <c r="J39" s="285" t="s">
        <v>34</v>
      </c>
      <c r="K39" s="28">
        <f>(G39*H39*0.0036*$Q$4)*365</f>
        <v>60618.814559999992</v>
      </c>
      <c r="L39" s="28">
        <f>(G39*I39*0.0036*$Q$4)*365</f>
        <v>20685.093119999998</v>
      </c>
      <c r="M39" s="28"/>
      <c r="N39" s="28"/>
      <c r="O39" s="28"/>
      <c r="P39" s="28"/>
      <c r="Q39" s="28"/>
      <c r="R39" s="12"/>
      <c r="S39" s="12"/>
      <c r="T39" s="153"/>
      <c r="U39" s="153"/>
      <c r="V39" s="12"/>
      <c r="W39" s="12"/>
    </row>
    <row r="40" spans="2:23" s="10" customFormat="1" ht="24.75" customHeight="1" x14ac:dyDescent="0.2">
      <c r="B40" s="284"/>
      <c r="C40" s="284"/>
      <c r="D40" s="284"/>
      <c r="E40" s="204" t="s">
        <v>279</v>
      </c>
      <c r="F40" s="291"/>
      <c r="G40" s="22">
        <v>0.82</v>
      </c>
      <c r="H40" s="17">
        <v>150</v>
      </c>
      <c r="I40" s="17">
        <v>120</v>
      </c>
      <c r="J40" s="285"/>
      <c r="K40" s="28">
        <f>(G40*H40*0.0036*$Q$4)*365</f>
        <v>3878.9279999999994</v>
      </c>
      <c r="L40" s="28">
        <f>(G40*I40*0.0036*$Q$4)*365</f>
        <v>3103.1423999999997</v>
      </c>
      <c r="M40" s="28"/>
      <c r="N40" s="28"/>
      <c r="O40" s="28"/>
      <c r="P40" s="28"/>
      <c r="Q40" s="28"/>
      <c r="R40" s="14"/>
      <c r="S40" s="14"/>
      <c r="T40" s="153"/>
      <c r="U40" s="153"/>
      <c r="V40" s="12"/>
      <c r="W40" s="12"/>
    </row>
    <row r="41" spans="2:23" s="10" customFormat="1" ht="24.75" customHeight="1" x14ac:dyDescent="0.2">
      <c r="B41" s="193"/>
      <c r="C41" s="193"/>
      <c r="D41" s="193"/>
      <c r="E41" s="204" t="s">
        <v>1184</v>
      </c>
      <c r="F41" s="81"/>
      <c r="G41" s="82">
        <f>SUM(G39:G40)</f>
        <v>9.93</v>
      </c>
      <c r="H41" s="17"/>
      <c r="I41" s="17"/>
      <c r="J41" s="197"/>
      <c r="K41" s="28">
        <f>SUM(K39:K40)</f>
        <v>64497.742559999991</v>
      </c>
      <c r="L41" s="28">
        <f>SUM(L39:L40)</f>
        <v>23788.235519999998</v>
      </c>
      <c r="M41" s="138">
        <v>3054</v>
      </c>
      <c r="N41" s="88">
        <v>0.9</v>
      </c>
      <c r="O41" s="17">
        <f>M41*N41</f>
        <v>2748.6</v>
      </c>
      <c r="P41" s="21">
        <f>O41*M4*365</f>
        <v>50161.950000000004</v>
      </c>
      <c r="Q41" s="21">
        <f>O41*O4*365</f>
        <v>42136.038</v>
      </c>
      <c r="R41" s="14">
        <f>K41</f>
        <v>64497.742559999991</v>
      </c>
      <c r="S41" s="14">
        <f>L41</f>
        <v>23788.235519999998</v>
      </c>
      <c r="T41" s="153">
        <f>R41/$R$255</f>
        <v>2.2574712621553313E-3</v>
      </c>
      <c r="U41" s="153">
        <f>S41/$S$255</f>
        <v>1.0074227810588903E-3</v>
      </c>
      <c r="V41" s="152">
        <f>R41/R55</f>
        <v>0.10678382370421863</v>
      </c>
      <c r="W41" s="152">
        <f>S41/S55</f>
        <v>5.0893367869566802E-2</v>
      </c>
    </row>
    <row r="42" spans="2:23" s="10" customFormat="1" ht="24.75" customHeight="1" x14ac:dyDescent="0.2">
      <c r="B42" s="193"/>
      <c r="C42" s="193"/>
      <c r="D42" s="193"/>
      <c r="E42" s="204" t="s">
        <v>1183</v>
      </c>
      <c r="F42" s="81"/>
      <c r="G42" s="82"/>
      <c r="H42" s="17"/>
      <c r="I42" s="17"/>
      <c r="J42" s="197"/>
      <c r="K42" s="28"/>
      <c r="L42" s="28"/>
      <c r="M42" s="138"/>
      <c r="N42" s="88"/>
      <c r="O42" s="17"/>
      <c r="P42" s="21"/>
      <c r="Q42" s="21"/>
      <c r="R42" s="14">
        <f>'tabla PPT'!G21</f>
        <v>105694.01073117378</v>
      </c>
      <c r="S42" s="14">
        <f>'tabla PPT'!H21</f>
        <v>123119.890292788</v>
      </c>
      <c r="T42" s="153">
        <f>R42/$R$255</f>
        <v>3.6993727584434398E-3</v>
      </c>
      <c r="U42" s="153">
        <f>S42/$S$255</f>
        <v>5.214080808059276E-3</v>
      </c>
      <c r="V42" s="152"/>
      <c r="W42" s="152"/>
    </row>
    <row r="43" spans="2:23" s="10" customFormat="1" ht="25.5" customHeight="1" x14ac:dyDescent="0.2">
      <c r="B43" s="277" t="s">
        <v>48</v>
      </c>
      <c r="C43" s="284" t="s">
        <v>49</v>
      </c>
      <c r="D43" s="277" t="s">
        <v>20</v>
      </c>
      <c r="E43" s="48" t="s">
        <v>266</v>
      </c>
      <c r="F43" s="288">
        <v>43005</v>
      </c>
      <c r="G43" s="190">
        <v>3.8</v>
      </c>
      <c r="H43" s="190">
        <v>92</v>
      </c>
      <c r="I43" s="190">
        <v>71</v>
      </c>
      <c r="J43" s="287" t="s">
        <v>34</v>
      </c>
      <c r="K43" s="28">
        <f>(G43*H43*0.0036*$Q$4)*365</f>
        <v>11024.985599999998</v>
      </c>
      <c r="L43" s="28">
        <f>(G43*I43*0.0036*$Q$4)*365</f>
        <v>8508.4128000000001</v>
      </c>
      <c r="M43" s="28"/>
      <c r="N43" s="28"/>
      <c r="O43" s="28"/>
      <c r="P43" s="28"/>
      <c r="Q43" s="28"/>
      <c r="R43" s="14"/>
      <c r="S43" s="14"/>
      <c r="T43" s="153"/>
      <c r="U43" s="153"/>
      <c r="V43" s="152"/>
      <c r="W43" s="152"/>
    </row>
    <row r="44" spans="2:23" s="10" customFormat="1" ht="25.5" customHeight="1" x14ac:dyDescent="0.2">
      <c r="B44" s="278"/>
      <c r="C44" s="284"/>
      <c r="D44" s="278"/>
      <c r="E44" s="48" t="s">
        <v>270</v>
      </c>
      <c r="F44" s="292"/>
      <c r="G44" s="195">
        <v>1.75</v>
      </c>
      <c r="H44" s="190">
        <v>77</v>
      </c>
      <c r="I44" s="190">
        <v>58</v>
      </c>
      <c r="J44" s="287"/>
      <c r="K44" s="28">
        <f>(G44*H44*0.0036*$Q$4)*365</f>
        <v>4249.4759999999997</v>
      </c>
      <c r="L44" s="28">
        <f>(G44*I44*0.0036*$Q$4)*365</f>
        <v>3200.904</v>
      </c>
      <c r="M44" s="28"/>
      <c r="N44" s="28"/>
      <c r="O44" s="28"/>
      <c r="P44" s="28"/>
      <c r="Q44" s="28"/>
      <c r="R44" s="14"/>
      <c r="S44" s="14"/>
      <c r="T44" s="153"/>
      <c r="U44" s="153"/>
      <c r="V44" s="152"/>
      <c r="W44" s="152"/>
    </row>
    <row r="45" spans="2:23" s="10" customFormat="1" ht="25.5" customHeight="1" x14ac:dyDescent="0.2">
      <c r="B45" s="278"/>
      <c r="C45" s="284"/>
      <c r="D45" s="278"/>
      <c r="E45" s="197" t="s">
        <v>271</v>
      </c>
      <c r="F45" s="292"/>
      <c r="G45" s="195">
        <v>6.88</v>
      </c>
      <c r="H45" s="190">
        <v>351</v>
      </c>
      <c r="I45" s="190">
        <v>197</v>
      </c>
      <c r="J45" s="287"/>
      <c r="K45" s="28">
        <f>(G45*H45*0.0036*$Q$4)*365</f>
        <v>76155.655680000011</v>
      </c>
      <c r="L45" s="28">
        <f>(G45*I45*0.0036*$Q$4)*365</f>
        <v>42742.632959999988</v>
      </c>
      <c r="M45" s="28"/>
      <c r="N45" s="28"/>
      <c r="O45" s="28"/>
      <c r="P45" s="28"/>
      <c r="Q45" s="28"/>
      <c r="R45" s="14"/>
      <c r="S45" s="14"/>
      <c r="T45" s="153"/>
      <c r="U45" s="153"/>
      <c r="V45" s="152"/>
      <c r="W45" s="152"/>
    </row>
    <row r="46" spans="2:23" s="10" customFormat="1" ht="27" customHeight="1" x14ac:dyDescent="0.2">
      <c r="B46" s="278"/>
      <c r="C46" s="284"/>
      <c r="D46" s="278"/>
      <c r="E46" s="204" t="s">
        <v>1185</v>
      </c>
      <c r="F46" s="289"/>
      <c r="G46" s="19">
        <f>SUM(G39:G45)</f>
        <v>32.29</v>
      </c>
      <c r="H46" s="17"/>
      <c r="I46" s="17"/>
      <c r="J46" s="197" t="s">
        <v>132</v>
      </c>
      <c r="K46" s="14">
        <f>SUM(K43:K45)</f>
        <v>91430.117280000006</v>
      </c>
      <c r="L46" s="14">
        <f>SUM(L43:L45)</f>
        <v>54451.949759999989</v>
      </c>
      <c r="M46" s="138">
        <v>3691</v>
      </c>
      <c r="N46" s="88">
        <v>0.9</v>
      </c>
      <c r="O46" s="17">
        <f>M46*N46</f>
        <v>3321.9</v>
      </c>
      <c r="P46" s="21">
        <f>O46*M4*365</f>
        <v>60624.67500000001</v>
      </c>
      <c r="Q46" s="21">
        <f>O46*O4*365</f>
        <v>50924.726999999999</v>
      </c>
      <c r="R46" s="21">
        <f>K46</f>
        <v>91430.117280000006</v>
      </c>
      <c r="S46" s="21">
        <f>L46</f>
        <v>54451.949759999989</v>
      </c>
      <c r="T46" s="153">
        <f>R46/$R$255</f>
        <v>3.200125369707073E-3</v>
      </c>
      <c r="U46" s="153">
        <f>S46/$S$255</f>
        <v>2.3060194866146243E-3</v>
      </c>
      <c r="V46" s="152">
        <f>R46/R55</f>
        <v>0.15137363165542014</v>
      </c>
      <c r="W46" s="152">
        <f>S46/S55</f>
        <v>0.11649637099064879</v>
      </c>
    </row>
    <row r="47" spans="2:23" s="10" customFormat="1" ht="27" customHeight="1" x14ac:dyDescent="0.2">
      <c r="B47" s="279"/>
      <c r="C47" s="193"/>
      <c r="D47" s="279"/>
      <c r="E47" s="204" t="s">
        <v>1182</v>
      </c>
      <c r="F47" s="203"/>
      <c r="G47" s="19"/>
      <c r="H47" s="17"/>
      <c r="I47" s="17"/>
      <c r="J47" s="197"/>
      <c r="K47" s="14"/>
      <c r="L47" s="14"/>
      <c r="M47" s="138"/>
      <c r="N47" s="88"/>
      <c r="O47" s="17"/>
      <c r="P47" s="21"/>
      <c r="Q47" s="21"/>
      <c r="R47" s="21">
        <f>'tabla PPT'!G17</f>
        <v>123839.91669839871</v>
      </c>
      <c r="S47" s="21">
        <f>'tabla PPT'!H17</f>
        <v>144257.53032075829</v>
      </c>
      <c r="T47" s="153">
        <f>R47/$R$255</f>
        <v>4.3344936110636069E-3</v>
      </c>
      <c r="U47" s="153">
        <f>S47/$S$255</f>
        <v>6.1092518720962091E-3</v>
      </c>
      <c r="V47" s="152">
        <f t="shared" ref="V47:W47" si="7">R47/R56</f>
        <v>33.667163904260605</v>
      </c>
      <c r="W47" s="152">
        <f t="shared" si="7"/>
        <v>26.064822100073265</v>
      </c>
    </row>
    <row r="48" spans="2:23" s="10" customFormat="1" ht="31.5" customHeight="1" x14ac:dyDescent="0.2">
      <c r="B48" s="277" t="s">
        <v>50</v>
      </c>
      <c r="C48" s="193" t="s">
        <v>49</v>
      </c>
      <c r="D48" s="277" t="s">
        <v>20</v>
      </c>
      <c r="E48" s="194" t="s">
        <v>260</v>
      </c>
      <c r="F48" s="66">
        <v>42643</v>
      </c>
      <c r="G48" s="190">
        <v>2.4900000000000002</v>
      </c>
      <c r="H48" s="191">
        <v>78</v>
      </c>
      <c r="I48" s="191">
        <v>113</v>
      </c>
      <c r="J48" s="191" t="s">
        <v>34</v>
      </c>
      <c r="K48" s="28">
        <f>(G48*H48*0.0036*$Q$4)*365</f>
        <v>6124.9219200000007</v>
      </c>
      <c r="L48" s="28">
        <f>(G48*I48*0.0036*$Q$4)*365</f>
        <v>8873.2843199999988</v>
      </c>
      <c r="M48" s="28"/>
      <c r="N48" s="28"/>
      <c r="O48" s="28"/>
      <c r="P48" s="28"/>
      <c r="Q48" s="28"/>
      <c r="R48" s="14">
        <f>K48</f>
        <v>6124.9219200000007</v>
      </c>
      <c r="S48" s="14">
        <f>L48</f>
        <v>8873.2843199999988</v>
      </c>
      <c r="T48" s="153">
        <f>R48/$R$255</f>
        <v>2.1437704125043812E-4</v>
      </c>
      <c r="U48" s="153">
        <f>S48/$S$255</f>
        <v>3.7578023638050158E-4</v>
      </c>
      <c r="V48" s="152">
        <f t="shared" ref="V48:W48" si="8">R48/R58</f>
        <v>0.10762759865403863</v>
      </c>
      <c r="W48" s="152">
        <f t="shared" si="8"/>
        <v>0.15592203394751747</v>
      </c>
    </row>
    <row r="49" spans="2:38" s="10" customFormat="1" ht="31.5" customHeight="1" x14ac:dyDescent="0.2">
      <c r="B49" s="279"/>
      <c r="C49" s="193"/>
      <c r="D49" s="279"/>
      <c r="E49" s="194" t="s">
        <v>1182</v>
      </c>
      <c r="F49" s="66"/>
      <c r="G49" s="190"/>
      <c r="H49" s="191"/>
      <c r="I49" s="191"/>
      <c r="J49" s="191"/>
      <c r="K49" s="28"/>
      <c r="L49" s="28"/>
      <c r="M49" s="28"/>
      <c r="N49" s="28"/>
      <c r="O49" s="28"/>
      <c r="P49" s="28"/>
      <c r="Q49" s="28"/>
      <c r="R49" s="14">
        <f>'tabla PPT'!G35</f>
        <v>33982.332993166681</v>
      </c>
      <c r="S49" s="14">
        <f>'tabla PPT'!H35</f>
        <v>39585.03496147164</v>
      </c>
      <c r="T49" s="153">
        <f>R49/$R$255</f>
        <v>1.189408142179585E-3</v>
      </c>
      <c r="U49" s="153">
        <f>S49/$S$255</f>
        <v>1.6764112653782557E-3</v>
      </c>
      <c r="V49" s="152">
        <f t="shared" ref="V49:W49" si="9">R49/R59</f>
        <v>0.15960278220063037</v>
      </c>
      <c r="W49" s="152">
        <f t="shared" si="9"/>
        <v>0.16501368407755065</v>
      </c>
    </row>
    <row r="50" spans="2:38" s="10" customFormat="1" ht="19.5" customHeight="1" x14ac:dyDescent="0.2">
      <c r="B50" s="277" t="s">
        <v>51</v>
      </c>
      <c r="C50" s="284" t="s">
        <v>49</v>
      </c>
      <c r="D50" s="284" t="s">
        <v>52</v>
      </c>
      <c r="E50" s="192" t="s">
        <v>53</v>
      </c>
      <c r="F50" s="69">
        <v>43053</v>
      </c>
      <c r="G50" s="190">
        <v>1.1299999999999999</v>
      </c>
      <c r="H50" s="191">
        <v>5</v>
      </c>
      <c r="I50" s="191">
        <v>16</v>
      </c>
      <c r="J50" s="293" t="s">
        <v>34</v>
      </c>
      <c r="K50" s="28">
        <f>(G50*H50*0.0036*$Q$4)*365</f>
        <v>178.17839999999998</v>
      </c>
      <c r="L50" s="28">
        <f>(G50*I50*0.0036*$Q$4)*365</f>
        <v>570.17088000000001</v>
      </c>
      <c r="M50" s="28"/>
      <c r="N50" s="28"/>
      <c r="O50" s="28"/>
      <c r="P50" s="28"/>
      <c r="Q50" s="28"/>
      <c r="R50" s="14"/>
      <c r="S50" s="14"/>
      <c r="T50" s="153"/>
      <c r="U50" s="153"/>
      <c r="V50" s="152"/>
      <c r="W50" s="152"/>
    </row>
    <row r="51" spans="2:38" s="10" customFormat="1" ht="23.25" customHeight="1" x14ac:dyDescent="0.2">
      <c r="B51" s="278"/>
      <c r="C51" s="284"/>
      <c r="D51" s="284"/>
      <c r="E51" s="197" t="s">
        <v>4</v>
      </c>
      <c r="F51" s="197"/>
      <c r="G51" s="190">
        <v>2.48</v>
      </c>
      <c r="H51" s="191">
        <v>5</v>
      </c>
      <c r="I51" s="191">
        <v>17</v>
      </c>
      <c r="J51" s="293"/>
      <c r="K51" s="28">
        <f>(G51*H51*0.0036*$Q$4)*365</f>
        <v>391.04639999999995</v>
      </c>
      <c r="L51" s="28">
        <f>(G51*I51*0.0036*$Q$4)*365</f>
        <v>1329.5577599999999</v>
      </c>
      <c r="M51" s="28"/>
      <c r="N51" s="28"/>
      <c r="O51" s="28"/>
      <c r="P51" s="28"/>
      <c r="Q51" s="28"/>
      <c r="R51" s="14"/>
      <c r="S51" s="14"/>
      <c r="T51" s="153"/>
      <c r="U51" s="153"/>
      <c r="V51" s="152"/>
      <c r="W51" s="152"/>
    </row>
    <row r="52" spans="2:38" s="10" customFormat="1" ht="22.5" customHeight="1" x14ac:dyDescent="0.2">
      <c r="B52" s="278"/>
      <c r="C52" s="284"/>
      <c r="D52" s="284"/>
      <c r="E52" s="192" t="s">
        <v>1184</v>
      </c>
      <c r="F52" s="192"/>
      <c r="G52" s="19">
        <f>SUM(G50:G51)</f>
        <v>3.61</v>
      </c>
      <c r="H52" s="20"/>
      <c r="I52" s="20"/>
      <c r="J52" s="293"/>
      <c r="K52" s="14">
        <f>SUM(K48:K51)</f>
        <v>6694.1467200000006</v>
      </c>
      <c r="L52" s="14">
        <f>SUM(L48:L51)</f>
        <v>10773.012959999998</v>
      </c>
      <c r="M52" s="138">
        <v>2561</v>
      </c>
      <c r="N52" s="88">
        <v>0.9</v>
      </c>
      <c r="O52" s="17">
        <f>M52*N52</f>
        <v>2304.9</v>
      </c>
      <c r="P52" s="21">
        <f>O52*M4*365</f>
        <v>42064.425000000003</v>
      </c>
      <c r="Q52" s="21">
        <f>O52*O4*365</f>
        <v>35334.116999999998</v>
      </c>
      <c r="R52" s="14">
        <f>K52</f>
        <v>6694.1467200000006</v>
      </c>
      <c r="S52" s="14">
        <f>L52</f>
        <v>10773.012959999998</v>
      </c>
      <c r="T52" s="153">
        <f t="shared" ref="T52:T63" si="10">R52/$R$255</f>
        <v>2.343003529308542E-4</v>
      </c>
      <c r="U52" s="153">
        <f t="shared" ref="U52:U63" si="11">S52/$S$255</f>
        <v>4.562330260864454E-4</v>
      </c>
      <c r="V52" s="152">
        <f>R52/R55</f>
        <v>1.1082970578910964E-2</v>
      </c>
      <c r="W52" s="152">
        <f>S52/S55</f>
        <v>2.3048153831162786E-2</v>
      </c>
      <c r="AG52" s="283" t="s">
        <v>1131</v>
      </c>
      <c r="AH52" s="283"/>
    </row>
    <row r="53" spans="2:38" s="10" customFormat="1" ht="22.5" customHeight="1" x14ac:dyDescent="0.2">
      <c r="B53" s="278"/>
      <c r="C53" s="193"/>
      <c r="D53" s="193" t="s">
        <v>20</v>
      </c>
      <c r="E53" s="192" t="s">
        <v>1182</v>
      </c>
      <c r="F53" s="192"/>
      <c r="G53" s="19"/>
      <c r="H53" s="20"/>
      <c r="I53" s="20"/>
      <c r="J53" s="191"/>
      <c r="K53" s="14"/>
      <c r="L53" s="14"/>
      <c r="M53" s="138"/>
      <c r="N53" s="88"/>
      <c r="O53" s="17"/>
      <c r="P53" s="21"/>
      <c r="Q53" s="21"/>
      <c r="R53" s="14">
        <f>'tabla PPT'!G37</f>
        <v>17627.451511018502</v>
      </c>
      <c r="S53" s="14">
        <f>'tabla PPT'!H37</f>
        <v>20533.707455742569</v>
      </c>
      <c r="T53" s="153">
        <f t="shared" si="10"/>
        <v>6.1697454254530497E-4</v>
      </c>
      <c r="U53" s="153">
        <f t="shared" si="11"/>
        <v>8.6959474792159164E-4</v>
      </c>
      <c r="V53" s="152">
        <f>R53/R55</f>
        <v>2.9184380720863205E-2</v>
      </c>
      <c r="W53" s="152">
        <f>S53/S55</f>
        <v>4.3930518780704135E-2</v>
      </c>
      <c r="AG53" s="185"/>
      <c r="AH53" s="185"/>
      <c r="AK53" s="10" t="s">
        <v>1193</v>
      </c>
    </row>
    <row r="54" spans="2:38" s="10" customFormat="1" ht="42.75" customHeight="1" x14ac:dyDescent="0.25">
      <c r="B54" s="279"/>
      <c r="C54" s="193"/>
      <c r="D54" s="29" t="s">
        <v>335</v>
      </c>
      <c r="E54" s="194" t="s">
        <v>336</v>
      </c>
      <c r="F54" s="192"/>
      <c r="G54" s="19"/>
      <c r="H54" s="20"/>
      <c r="I54" s="20"/>
      <c r="J54" s="191"/>
      <c r="K54" s="14"/>
      <c r="L54" s="14"/>
      <c r="M54" s="138"/>
      <c r="N54" s="88"/>
      <c r="O54" s="17"/>
      <c r="P54" s="21"/>
      <c r="Q54" s="21"/>
      <c r="R54" s="14">
        <f>'Resumen cargas Cafeteros'!E9</f>
        <v>154112.29114123888</v>
      </c>
      <c r="S54" s="14">
        <f>'Resumen cargas Cafeteros'!F9</f>
        <v>42030.624856701506</v>
      </c>
      <c r="T54" s="153">
        <f t="shared" si="10"/>
        <v>5.394050312266657E-3</v>
      </c>
      <c r="U54" s="153">
        <f t="shared" si="11"/>
        <v>1.7799810728787151E-3</v>
      </c>
      <c r="V54" s="152">
        <f>R54/R55</f>
        <v>0.25515156150729112</v>
      </c>
      <c r="W54" s="152">
        <f>S54/S55</f>
        <v>8.9921761991192367E-2</v>
      </c>
      <c r="AD54" s="244" t="s">
        <v>1128</v>
      </c>
      <c r="AE54" s="50" t="s">
        <v>28</v>
      </c>
      <c r="AF54" s="50" t="s">
        <v>29</v>
      </c>
      <c r="AG54" s="170" t="s">
        <v>0</v>
      </c>
      <c r="AH54" s="170" t="s">
        <v>1</v>
      </c>
      <c r="AK54" s="250">
        <v>5761537.2395987269</v>
      </c>
      <c r="AL54" s="250">
        <v>6711447.7722055679</v>
      </c>
    </row>
    <row r="55" spans="2:38" s="10" customFormat="1" ht="30" customHeight="1" x14ac:dyDescent="0.25">
      <c r="B55" s="284" t="s">
        <v>243</v>
      </c>
      <c r="C55" s="284"/>
      <c r="D55" s="284"/>
      <c r="E55" s="311"/>
      <c r="F55" s="311"/>
      <c r="G55" s="311"/>
      <c r="H55" s="311"/>
      <c r="I55" s="311"/>
      <c r="J55" s="311"/>
      <c r="K55" s="311"/>
      <c r="L55" s="311"/>
      <c r="M55" s="192"/>
      <c r="N55" s="192"/>
      <c r="O55" s="192"/>
      <c r="P55" s="192"/>
      <c r="Q55" s="192"/>
      <c r="R55" s="54">
        <f>SUM(R41:R54)</f>
        <v>604002.93155499664</v>
      </c>
      <c r="S55" s="54">
        <f>SUM(S41:S54)</f>
        <v>467413.27044746198</v>
      </c>
      <c r="T55" s="154">
        <f t="shared" si="10"/>
        <v>2.1140573392542293E-2</v>
      </c>
      <c r="U55" s="154">
        <f t="shared" si="11"/>
        <v>1.9794775296474509E-2</v>
      </c>
      <c r="V55" s="12"/>
      <c r="W55" s="12"/>
      <c r="AD55" s="12" t="s">
        <v>1194</v>
      </c>
      <c r="AE55" s="176">
        <f>R11+R12+R17+R18+R23+R24+R33+R34+R41+R42+R46+R47+R48+R49+R52+R53+R56+R57+R60+R61+R68+R69+R71+R72+R76+R77+R82+R83+R84+R96+R97+R100+R101+R105+R106+R107+R115+R116+R122+R123+R128+R129+R131+R132+R134+R135+R141+R142+R145+R146+R150+R151+R152+R153+R156+R157+R161+R162+R170+R171+R176+R177+R201+R202+R203+R206+R207+R208+R209+R211+R212+R213+R219+R220+R226+R227+R229+R231+R232+R235+R236+R240+R241+R245+R246+R250+R251</f>
        <v>13998436.837019525</v>
      </c>
      <c r="AF55" s="176">
        <f>S11+S12+S17+S18+S23+S24+S33+S34+S41+S42+S46+S47+S48+S49+S52+S53+S56+S57+S60+S61+S68+S69+S71+S72+S76+S77+S82+S83+S84+S96+S97+S100+S101+S105+S106+S107+S115+S116+S122+S123+S128+S129+S131+S132+S134+S135+S141+S142+S145+S146+S150+S151+S152+S153+S156+S157+S161+S162+S170+S171+S176+S177+S201+S202+S203+S206+S207+S208+S209+S211+S212+S213+S219+S220+S226+S227+S229+S231+S232+S235+S236+S240+S241+S245+S246+S250+S251</f>
        <v>16258969.271616446</v>
      </c>
      <c r="AG55" s="173">
        <f t="shared" ref="AG55:AG60" si="12">AE55/$AE$61</f>
        <v>0.48995620033167492</v>
      </c>
      <c r="AH55" s="173">
        <f t="shared" ref="AH55:AH60" si="13">AF55/$AF$61</f>
        <v>0.68856120190132064</v>
      </c>
    </row>
    <row r="56" spans="2:38" s="10" customFormat="1" ht="36" customHeight="1" x14ac:dyDescent="0.2">
      <c r="B56" s="277" t="s">
        <v>54</v>
      </c>
      <c r="C56" s="193" t="s">
        <v>55</v>
      </c>
      <c r="D56" s="193" t="s">
        <v>232</v>
      </c>
      <c r="E56" s="60" t="s">
        <v>1181</v>
      </c>
      <c r="F56" s="67">
        <v>42825</v>
      </c>
      <c r="G56" s="23">
        <v>13.5</v>
      </c>
      <c r="H56" s="63">
        <v>8.64</v>
      </c>
      <c r="I56" s="23">
        <v>13</v>
      </c>
      <c r="J56" s="60" t="s">
        <v>34</v>
      </c>
      <c r="K56" s="24">
        <f>(G56*H56*0.0036*$Q$4)*365</f>
        <v>3678.3590400000003</v>
      </c>
      <c r="L56" s="24">
        <f>(G56*I56*0.0036*$Q$4)*365</f>
        <v>5534.5680000000002</v>
      </c>
      <c r="M56" s="138">
        <v>7434</v>
      </c>
      <c r="N56" s="88">
        <v>0.9</v>
      </c>
      <c r="O56" s="17">
        <f>M56*N56</f>
        <v>6690.6</v>
      </c>
      <c r="P56" s="21">
        <f>O56*M4*365</f>
        <v>122103.45000000001</v>
      </c>
      <c r="Q56" s="21">
        <f>O56*O4*365</f>
        <v>102566.89800000002</v>
      </c>
      <c r="R56" s="14">
        <f>K56</f>
        <v>3678.3590400000003</v>
      </c>
      <c r="S56" s="14">
        <f>L56</f>
        <v>5534.5680000000002</v>
      </c>
      <c r="T56" s="153">
        <f t="shared" si="10"/>
        <v>1.2874543348497119E-4</v>
      </c>
      <c r="U56" s="153">
        <f t="shared" si="11"/>
        <v>2.3438686244012526E-4</v>
      </c>
      <c r="V56" s="172">
        <f>R56/$R$59</f>
        <v>1.7275927960416722E-2</v>
      </c>
      <c r="W56" s="172">
        <f>S56/$S$59</f>
        <v>2.3071331283315073E-2</v>
      </c>
      <c r="AD56" s="12" t="s">
        <v>1195</v>
      </c>
      <c r="AE56" s="176">
        <f>R13+R29+R37+R54+R58+R62+R78+R93+R102+R113+R136+R159+R164+R172+R184+R215+R238+R247+R252+R254</f>
        <v>13988181.547279513</v>
      </c>
      <c r="AF56" s="176">
        <f>S13+S29+S37+S54+S58+S62+S78+S93+S102+S113+S136+S159+S164+S172+S184+S215+S238+S247+S252+S254</f>
        <v>3856346.5816530283</v>
      </c>
      <c r="AG56" s="173">
        <f t="shared" si="12"/>
        <v>0.48959725719732233</v>
      </c>
      <c r="AH56" s="173">
        <f t="shared" si="13"/>
        <v>0.16331481982972398</v>
      </c>
    </row>
    <row r="57" spans="2:38" s="10" customFormat="1" ht="36" customHeight="1" x14ac:dyDescent="0.2">
      <c r="B57" s="278"/>
      <c r="C57" s="193"/>
      <c r="D57" s="193" t="s">
        <v>20</v>
      </c>
      <c r="E57" s="60" t="s">
        <v>1182</v>
      </c>
      <c r="F57" s="67"/>
      <c r="G57" s="23"/>
      <c r="H57" s="63"/>
      <c r="I57" s="23"/>
      <c r="J57" s="60"/>
      <c r="K57" s="24"/>
      <c r="L57" s="24"/>
      <c r="M57" s="138"/>
      <c r="N57" s="88"/>
      <c r="O57" s="17"/>
      <c r="P57" s="21"/>
      <c r="Q57" s="21"/>
      <c r="R57" s="14">
        <f>'tabla PPT'!G14</f>
        <v>152331.34567810642</v>
      </c>
      <c r="S57" s="14">
        <f>'tabla PPT'!H14</f>
        <v>177446.37031272723</v>
      </c>
      <c r="T57" s="153">
        <f t="shared" si="10"/>
        <v>5.3317158329048812E-3</v>
      </c>
      <c r="U57" s="153">
        <f t="shared" si="11"/>
        <v>7.5147866986165351E-3</v>
      </c>
      <c r="V57" s="172"/>
      <c r="W57" s="172"/>
      <c r="AD57" s="12" t="s">
        <v>1192</v>
      </c>
      <c r="AE57" s="176">
        <f>R26+R27+R28+R85+R86+R87+R88+R89+R90+R91+R108+R109+R110+R111+R112</f>
        <v>305284.99032590399</v>
      </c>
      <c r="AF57" s="176">
        <f>S26+S27+S28+S85+S86+S87+S88+S89+S90+S91+S108+S109+S110+S111+S112</f>
        <v>3123633.0676881601</v>
      </c>
      <c r="AG57" s="173">
        <f t="shared" si="12"/>
        <v>1.0685212614797858E-2</v>
      </c>
      <c r="AH57" s="173">
        <f t="shared" si="13"/>
        <v>0.13228467951783254</v>
      </c>
    </row>
    <row r="58" spans="2:38" s="10" customFormat="1" ht="36" customHeight="1" x14ac:dyDescent="0.25">
      <c r="B58" s="279"/>
      <c r="C58" s="193"/>
      <c r="D58" s="29" t="s">
        <v>335</v>
      </c>
      <c r="E58" s="194" t="s">
        <v>336</v>
      </c>
      <c r="F58" s="67"/>
      <c r="G58" s="23"/>
      <c r="H58" s="63"/>
      <c r="I58" s="23"/>
      <c r="J58" s="60"/>
      <c r="K58" s="24"/>
      <c r="L58" s="24"/>
      <c r="M58" s="138"/>
      <c r="N58" s="88"/>
      <c r="O58" s="17"/>
      <c r="P58" s="21"/>
      <c r="Q58" s="21"/>
      <c r="R58" s="14">
        <f>'Resumen cargas Cafeteros'!E10</f>
        <v>56908.469543096769</v>
      </c>
      <c r="S58" s="14">
        <f>'Resumen cargas Cafeteros'!F10</f>
        <v>56908.469543096769</v>
      </c>
      <c r="T58" s="153">
        <f t="shared" si="10"/>
        <v>1.9918407911295884E-3</v>
      </c>
      <c r="U58" s="153">
        <f t="shared" si="11"/>
        <v>2.4100521707341709E-3</v>
      </c>
      <c r="V58" s="177">
        <f>R58/$R$59</f>
        <v>0.26727859066310961</v>
      </c>
      <c r="W58" s="177">
        <f>S58/$S$59</f>
        <v>0.23722793787251895</v>
      </c>
      <c r="AD58" s="12" t="s">
        <v>239</v>
      </c>
      <c r="AE58" s="176">
        <f>R35+R158+R178+R179+R180+R181+R182+R183+R210+R214+R228+R230+R233+R237+R242+R209</f>
        <v>205714.10044799992</v>
      </c>
      <c r="AF58" s="176">
        <f>S35+S158+S178+S179+S180+S181+S182+S183+S210+S214+S228+S230+S233+S237+S242+S209</f>
        <v>329429.74645440001</v>
      </c>
      <c r="AG58" s="173">
        <f t="shared" si="12"/>
        <v>7.2001538588654605E-3</v>
      </c>
      <c r="AH58" s="173">
        <f t="shared" si="13"/>
        <v>1.3951225220449512E-2</v>
      </c>
    </row>
    <row r="59" spans="2:38" s="10" customFormat="1" ht="27" customHeight="1" x14ac:dyDescent="0.25">
      <c r="B59" s="284" t="s">
        <v>244</v>
      </c>
      <c r="C59" s="284"/>
      <c r="D59" s="284"/>
      <c r="E59" s="285"/>
      <c r="F59" s="285"/>
      <c r="G59" s="285"/>
      <c r="H59" s="285"/>
      <c r="I59" s="285"/>
      <c r="J59" s="285"/>
      <c r="K59" s="285"/>
      <c r="L59" s="285"/>
      <c r="M59" s="197"/>
      <c r="N59" s="197"/>
      <c r="O59" s="197"/>
      <c r="P59" s="197"/>
      <c r="Q59" s="197"/>
      <c r="R59" s="256">
        <f>SUM(R56:R58)</f>
        <v>212918.17426120321</v>
      </c>
      <c r="S59" s="256">
        <f>SUM(S56:S58)</f>
        <v>239889.40785582399</v>
      </c>
      <c r="T59" s="154">
        <f t="shared" si="10"/>
        <v>7.4523020575194415E-3</v>
      </c>
      <c r="U59" s="154">
        <f t="shared" si="11"/>
        <v>1.015922573179083E-2</v>
      </c>
      <c r="V59" s="12"/>
      <c r="W59" s="12"/>
      <c r="AD59" s="12" t="s">
        <v>1130</v>
      </c>
      <c r="AE59" s="182">
        <f>R25+R36+R73+R92+R98+R124+R163+R234</f>
        <v>70949.252794879998</v>
      </c>
      <c r="AF59" s="182">
        <f>S25+S36+S73+S92+S98+S124+S163+S234</f>
        <v>43618.290143999999</v>
      </c>
      <c r="AG59" s="173">
        <f t="shared" si="12"/>
        <v>2.4832791489847678E-3</v>
      </c>
      <c r="AH59" s="173">
        <f t="shared" si="13"/>
        <v>1.8472180975742283E-3</v>
      </c>
    </row>
    <row r="60" spans="2:38" s="10" customFormat="1" ht="33.75" customHeight="1" x14ac:dyDescent="0.2">
      <c r="B60" s="277" t="s">
        <v>56</v>
      </c>
      <c r="C60" s="193" t="s">
        <v>57</v>
      </c>
      <c r="D60" s="193" t="s">
        <v>231</v>
      </c>
      <c r="E60" s="194" t="s">
        <v>1181</v>
      </c>
      <c r="F60" s="66">
        <v>42395</v>
      </c>
      <c r="G60" s="190">
        <v>12.66</v>
      </c>
      <c r="H60" s="195">
        <v>110.5</v>
      </c>
      <c r="I60" s="191">
        <v>29</v>
      </c>
      <c r="J60" s="191" t="s">
        <v>34</v>
      </c>
      <c r="K60" s="14">
        <f>(G60*H60*0.0036*$Q$4)*365</f>
        <v>44116.656479999998</v>
      </c>
      <c r="L60" s="14">
        <f>(G60*I60*0.0036*$Q$4)*365</f>
        <v>11578.127039999999</v>
      </c>
      <c r="M60" s="138">
        <v>5544</v>
      </c>
      <c r="N60" s="88">
        <v>0.9</v>
      </c>
      <c r="O60" s="17">
        <f>M60*N60</f>
        <v>4989.6000000000004</v>
      </c>
      <c r="P60" s="21">
        <f>O60*M4*365</f>
        <v>91060.200000000012</v>
      </c>
      <c r="Q60" s="21">
        <f>O60*O4*365</f>
        <v>76490.568000000014</v>
      </c>
      <c r="R60" s="14">
        <v>42406.46</v>
      </c>
      <c r="S60" s="14">
        <v>15011.14</v>
      </c>
      <c r="T60" s="153">
        <f t="shared" si="10"/>
        <v>1.4842591535771045E-3</v>
      </c>
      <c r="U60" s="153">
        <f t="shared" si="11"/>
        <v>6.3571610399392711E-4</v>
      </c>
      <c r="V60" s="172">
        <f>R60/$R$63</f>
        <v>0.10380179275818691</v>
      </c>
      <c r="W60" s="172">
        <f>S60/$S$63</f>
        <v>5.9711126587800291E-2</v>
      </c>
      <c r="AD60" s="12" t="s">
        <v>1129</v>
      </c>
      <c r="AE60" s="176">
        <f>R125</f>
        <v>2225.5746753599997</v>
      </c>
      <c r="AF60" s="176">
        <f>S125</f>
        <v>964.71777600000007</v>
      </c>
      <c r="AG60" s="173">
        <f t="shared" si="12"/>
        <v>7.7896848354530709E-5</v>
      </c>
      <c r="AH60" s="173">
        <f t="shared" si="13"/>
        <v>4.0855433099178768E-5</v>
      </c>
    </row>
    <row r="61" spans="2:38" s="10" customFormat="1" ht="33.75" customHeight="1" x14ac:dyDescent="0.3">
      <c r="B61" s="278"/>
      <c r="C61" s="193"/>
      <c r="D61" s="193" t="s">
        <v>20</v>
      </c>
      <c r="E61" s="194" t="s">
        <v>1182</v>
      </c>
      <c r="F61" s="66"/>
      <c r="G61" s="190"/>
      <c r="H61" s="195"/>
      <c r="I61" s="191"/>
      <c r="J61" s="191"/>
      <c r="K61" s="14"/>
      <c r="L61" s="14"/>
      <c r="M61" s="138"/>
      <c r="N61" s="88"/>
      <c r="O61" s="17"/>
      <c r="P61" s="21"/>
      <c r="Q61" s="21"/>
      <c r="R61" s="14">
        <f>'tabla PPT'!G13</f>
        <v>153038.32902747879</v>
      </c>
      <c r="S61" s="14">
        <f>'tabla PPT'!H13</f>
        <v>178269.91472940141</v>
      </c>
      <c r="T61" s="153">
        <f t="shared" si="10"/>
        <v>5.3564608011887832E-3</v>
      </c>
      <c r="U61" s="153">
        <f t="shared" si="11"/>
        <v>7.5496634933192733E-3</v>
      </c>
      <c r="V61" s="172"/>
      <c r="W61" s="172"/>
      <c r="AD61" s="184" t="s">
        <v>130</v>
      </c>
      <c r="AE61" s="245">
        <f>AE55+AE56+AE57+AE58+AE59+AE60</f>
        <v>28570792.302543186</v>
      </c>
      <c r="AF61" s="245">
        <f>AF55+AF56+AF57+AF58+AF59+AF60</f>
        <v>23612961.675332032</v>
      </c>
      <c r="AG61" s="173"/>
      <c r="AH61" s="173"/>
    </row>
    <row r="62" spans="2:38" s="10" customFormat="1" ht="33.75" customHeight="1" x14ac:dyDescent="0.25">
      <c r="B62" s="279"/>
      <c r="C62" s="193"/>
      <c r="D62" s="29" t="s">
        <v>335</v>
      </c>
      <c r="E62" s="194" t="s">
        <v>336</v>
      </c>
      <c r="F62" s="66"/>
      <c r="G62" s="190"/>
      <c r="H62" s="195"/>
      <c r="I62" s="191"/>
      <c r="J62" s="191"/>
      <c r="K62" s="14"/>
      <c r="L62" s="14"/>
      <c r="M62" s="138"/>
      <c r="N62" s="88"/>
      <c r="O62" s="17"/>
      <c r="P62" s="21"/>
      <c r="Q62" s="21"/>
      <c r="R62" s="14">
        <f>'Resumen cargas Cafeteros'!E11</f>
        <v>213088.23215827887</v>
      </c>
      <c r="S62" s="14">
        <f>'Resumen cargas Cafeteros'!F11</f>
        <v>58114.972406803325</v>
      </c>
      <c r="T62" s="153">
        <f t="shared" si="10"/>
        <v>7.4582542164681638E-3</v>
      </c>
      <c r="U62" s="153">
        <f t="shared" si="11"/>
        <v>2.4611471108901516E-3</v>
      </c>
      <c r="V62" s="177">
        <f>R62/$R$63</f>
        <v>0.52159365610103003</v>
      </c>
      <c r="W62" s="177">
        <f>S62/$S$63</f>
        <v>0.2311690167455073</v>
      </c>
    </row>
    <row r="63" spans="2:38" s="10" customFormat="1" ht="27" customHeight="1" x14ac:dyDescent="0.25">
      <c r="B63" s="284" t="s">
        <v>245</v>
      </c>
      <c r="C63" s="284"/>
      <c r="D63" s="284"/>
      <c r="E63" s="285"/>
      <c r="F63" s="285"/>
      <c r="G63" s="285"/>
      <c r="H63" s="285"/>
      <c r="I63" s="285"/>
      <c r="J63" s="285"/>
      <c r="K63" s="285"/>
      <c r="L63" s="285"/>
      <c r="M63" s="197"/>
      <c r="N63" s="197"/>
      <c r="O63" s="197"/>
      <c r="P63" s="197"/>
      <c r="Q63" s="197"/>
      <c r="R63" s="256">
        <f>SUM(R60:R62)</f>
        <v>408533.02118575765</v>
      </c>
      <c r="S63" s="256">
        <f>SUM(S60:S62)</f>
        <v>251396.02713620476</v>
      </c>
      <c r="T63" s="154">
        <f t="shared" si="10"/>
        <v>1.429897417123405E-2</v>
      </c>
      <c r="U63" s="154">
        <f t="shared" si="11"/>
        <v>1.0646526708203354E-2</v>
      </c>
      <c r="V63" s="12"/>
      <c r="W63" s="12"/>
      <c r="AD63" s="248"/>
      <c r="AE63" s="249"/>
      <c r="AF63" s="249"/>
    </row>
    <row r="64" spans="2:38" s="10" customFormat="1" ht="35.25" customHeight="1" x14ac:dyDescent="0.25">
      <c r="B64" s="277" t="s">
        <v>58</v>
      </c>
      <c r="C64" s="284" t="s">
        <v>59</v>
      </c>
      <c r="D64" s="284" t="s">
        <v>150</v>
      </c>
      <c r="E64" s="48" t="s">
        <v>273</v>
      </c>
      <c r="F64" s="71">
        <v>42998</v>
      </c>
      <c r="G64" s="195">
        <v>9.6999999999999993</v>
      </c>
      <c r="H64" s="190">
        <v>405</v>
      </c>
      <c r="I64" s="190">
        <v>233</v>
      </c>
      <c r="J64" s="287" t="s">
        <v>34</v>
      </c>
      <c r="K64" s="14">
        <f>(G64*H64*0.0036*$Q$4)*365</f>
        <v>123889.17599999998</v>
      </c>
      <c r="L64" s="14">
        <f>(G64*I64*0.0036*$Q$4)*365</f>
        <v>71274.513599999991</v>
      </c>
      <c r="M64" s="14"/>
      <c r="N64" s="14"/>
      <c r="O64" s="14"/>
      <c r="P64" s="14"/>
      <c r="Q64" s="14"/>
      <c r="R64" s="14"/>
      <c r="S64" s="14"/>
      <c r="T64" s="153"/>
      <c r="U64" s="153"/>
      <c r="V64" s="12"/>
      <c r="W64" s="12"/>
      <c r="AD64" s="183"/>
      <c r="AE64" s="249">
        <f>AE61-R255</f>
        <v>0</v>
      </c>
      <c r="AF64" s="249">
        <f>AF61-S255</f>
        <v>0</v>
      </c>
    </row>
    <row r="65" spans="2:23" s="10" customFormat="1" ht="24.75" customHeight="1" x14ac:dyDescent="0.2">
      <c r="B65" s="278"/>
      <c r="C65" s="284"/>
      <c r="D65" s="284"/>
      <c r="E65" s="48" t="s">
        <v>267</v>
      </c>
      <c r="F65" s="48"/>
      <c r="G65" s="190">
        <v>1.83</v>
      </c>
      <c r="H65" s="190">
        <v>110</v>
      </c>
      <c r="I65" s="190">
        <v>133</v>
      </c>
      <c r="J65" s="287"/>
      <c r="K65" s="14">
        <f>(G65*H65*0.0036*$Q$4)*365</f>
        <v>6348.1967999999997</v>
      </c>
      <c r="L65" s="14">
        <f>(G65*I65*0.0036*$Q$4)*365</f>
        <v>7675.5470399999995</v>
      </c>
      <c r="M65" s="14"/>
      <c r="N65" s="14"/>
      <c r="O65" s="14"/>
      <c r="P65" s="14"/>
      <c r="Q65" s="14"/>
      <c r="R65" s="14"/>
      <c r="S65" s="14"/>
      <c r="T65" s="153"/>
      <c r="U65" s="153"/>
      <c r="V65" s="12"/>
      <c r="W65" s="12"/>
    </row>
    <row r="66" spans="2:23" s="10" customFormat="1" ht="24.75" customHeight="1" x14ac:dyDescent="0.2">
      <c r="B66" s="278"/>
      <c r="C66" s="284"/>
      <c r="D66" s="284"/>
      <c r="E66" s="48" t="s">
        <v>272</v>
      </c>
      <c r="F66" s="48"/>
      <c r="G66" s="190">
        <v>1.37</v>
      </c>
      <c r="H66" s="190">
        <v>145</v>
      </c>
      <c r="I66" s="190">
        <v>120</v>
      </c>
      <c r="J66" s="287"/>
      <c r="K66" s="14">
        <f>(G66*H66*0.0036*$Q$4)*365</f>
        <v>6264.6264000000001</v>
      </c>
      <c r="L66" s="14">
        <f>(G66*I66*0.0036*$Q$4)*365</f>
        <v>5184.5184000000008</v>
      </c>
      <c r="M66" s="14"/>
      <c r="N66" s="14"/>
      <c r="O66" s="14"/>
      <c r="P66" s="14"/>
      <c r="Q66" s="14"/>
      <c r="R66" s="14"/>
      <c r="S66" s="14"/>
      <c r="T66" s="153"/>
      <c r="U66" s="153"/>
      <c r="V66" s="12"/>
      <c r="W66" s="12"/>
    </row>
    <row r="67" spans="2:23" s="10" customFormat="1" ht="24.75" customHeight="1" x14ac:dyDescent="0.2">
      <c r="B67" s="278"/>
      <c r="C67" s="284"/>
      <c r="D67" s="284"/>
      <c r="E67" s="48" t="s">
        <v>274</v>
      </c>
      <c r="F67" s="48"/>
      <c r="G67" s="190">
        <v>2.39</v>
      </c>
      <c r="H67" s="190">
        <v>151</v>
      </c>
      <c r="I67" s="190">
        <v>156</v>
      </c>
      <c r="J67" s="287"/>
      <c r="K67" s="14">
        <f>(G67*H67*0.0036*$Q$4)*365</f>
        <v>11381.027040000001</v>
      </c>
      <c r="L67" s="14">
        <f>(G67*I67*0.0036*$Q$4)*365</f>
        <v>11757.882240000001</v>
      </c>
      <c r="M67" s="14"/>
      <c r="N67" s="14"/>
      <c r="O67" s="14"/>
      <c r="P67" s="14"/>
      <c r="Q67" s="14"/>
      <c r="R67" s="14"/>
      <c r="S67" s="14"/>
      <c r="T67" s="153"/>
      <c r="U67" s="153"/>
      <c r="V67" s="12"/>
      <c r="W67" s="12"/>
    </row>
    <row r="68" spans="2:23" s="10" customFormat="1" ht="24.75" customHeight="1" x14ac:dyDescent="0.2">
      <c r="B68" s="278"/>
      <c r="C68" s="284"/>
      <c r="D68" s="284"/>
      <c r="E68" s="48" t="s">
        <v>1184</v>
      </c>
      <c r="F68" s="48"/>
      <c r="G68" s="190">
        <f>SUM(G64:G67)</f>
        <v>15.29</v>
      </c>
      <c r="H68" s="190"/>
      <c r="I68" s="190"/>
      <c r="J68" s="287"/>
      <c r="K68" s="14">
        <f>SUM(K64:K67)</f>
        <v>147883.02623999998</v>
      </c>
      <c r="L68" s="14">
        <f>SUM(L64:L67)</f>
        <v>95892.461280000003</v>
      </c>
      <c r="M68" s="138">
        <v>8147</v>
      </c>
      <c r="N68" s="88">
        <v>0.9</v>
      </c>
      <c r="O68" s="17">
        <f>M68*N68</f>
        <v>7332.3</v>
      </c>
      <c r="P68" s="21">
        <f>O68*M4*365</f>
        <v>133814.47500000001</v>
      </c>
      <c r="Q68" s="21">
        <f>O68*O4*365</f>
        <v>112404.15900000001</v>
      </c>
      <c r="R68" s="14">
        <f>K68</f>
        <v>147883.02623999998</v>
      </c>
      <c r="S68" s="14">
        <f>L68</f>
        <v>95892.461280000003</v>
      </c>
      <c r="T68" s="153">
        <f>R68/$R$255</f>
        <v>5.1760211853430606E-3</v>
      </c>
      <c r="U68" s="153">
        <f>S68/$S$255</f>
        <v>4.0610094827781317E-3</v>
      </c>
      <c r="V68" s="152">
        <f>R68/$R$79</f>
        <v>0.11262320531524816</v>
      </c>
      <c r="W68" s="152">
        <f>S68/$S$79</f>
        <v>7.6488429116085388E-2</v>
      </c>
    </row>
    <row r="69" spans="2:23" s="10" customFormat="1" ht="24.75" customHeight="1" x14ac:dyDescent="0.2">
      <c r="B69" s="279"/>
      <c r="C69" s="193"/>
      <c r="D69" s="193" t="s">
        <v>20</v>
      </c>
      <c r="E69" s="48" t="s">
        <v>1182</v>
      </c>
      <c r="F69" s="241"/>
      <c r="G69" s="190"/>
      <c r="H69" s="190"/>
      <c r="I69" s="190"/>
      <c r="J69" s="190"/>
      <c r="K69" s="14"/>
      <c r="L69" s="14"/>
      <c r="M69" s="138"/>
      <c r="N69" s="88"/>
      <c r="O69" s="17"/>
      <c r="P69" s="21"/>
      <c r="Q69" s="21"/>
      <c r="R69" s="14">
        <f>'tabla PPT'!G5</f>
        <v>339740.84854090674</v>
      </c>
      <c r="S69" s="14">
        <f>'tabla PPT'!H5</f>
        <v>395754.26943277108</v>
      </c>
      <c r="T69" s="153">
        <f>R69/$R$255</f>
        <v>1.1891194508829398E-2</v>
      </c>
      <c r="U69" s="153">
        <f>S69/$S$255</f>
        <v>1.6760043694400571E-2</v>
      </c>
      <c r="V69" s="152">
        <f>R69/$R$79</f>
        <v>0.25873627496033569</v>
      </c>
      <c r="W69" s="152">
        <f>S69/$S$79</f>
        <v>0.31567259804197062</v>
      </c>
    </row>
    <row r="70" spans="2:23" s="10" customFormat="1" ht="21" customHeight="1" x14ac:dyDescent="0.2">
      <c r="B70" s="284" t="s">
        <v>61</v>
      </c>
      <c r="C70" s="284" t="s">
        <v>62</v>
      </c>
      <c r="D70" s="284" t="s">
        <v>149</v>
      </c>
      <c r="E70" s="60" t="s">
        <v>133</v>
      </c>
      <c r="F70" s="308">
        <v>42663</v>
      </c>
      <c r="G70" s="190">
        <v>6.75</v>
      </c>
      <c r="H70" s="195">
        <v>7.03</v>
      </c>
      <c r="I70" s="195">
        <v>153</v>
      </c>
      <c r="J70" s="318" t="s">
        <v>34</v>
      </c>
      <c r="K70" s="17"/>
      <c r="L70" s="17"/>
      <c r="M70" s="17"/>
      <c r="N70" s="17"/>
      <c r="O70" s="17"/>
      <c r="P70" s="17"/>
      <c r="Q70" s="17"/>
      <c r="R70" s="14"/>
      <c r="S70" s="14"/>
      <c r="T70" s="153"/>
      <c r="U70" s="153"/>
      <c r="V70" s="152"/>
      <c r="W70" s="152"/>
    </row>
    <row r="71" spans="2:23" s="10" customFormat="1" ht="18.75" customHeight="1" x14ac:dyDescent="0.2">
      <c r="B71" s="284"/>
      <c r="C71" s="284"/>
      <c r="D71" s="284"/>
      <c r="E71" s="194" t="s">
        <v>1181</v>
      </c>
      <c r="F71" s="310"/>
      <c r="G71" s="25"/>
      <c r="H71" s="15"/>
      <c r="I71" s="15"/>
      <c r="J71" s="318"/>
      <c r="K71" s="14">
        <f>(G70*H70*0.0036*$Q$4)*365</f>
        <v>1496.4620400000001</v>
      </c>
      <c r="L71" s="14">
        <f>(G70*I70*0.0036*$Q$4)*365</f>
        <v>32568.803999999996</v>
      </c>
      <c r="M71" s="138">
        <v>4202</v>
      </c>
      <c r="N71" s="88">
        <v>0.9</v>
      </c>
      <c r="O71" s="17">
        <f>M71*N71</f>
        <v>3781.8</v>
      </c>
      <c r="P71" s="21">
        <f>O71*M4*365</f>
        <v>69017.850000000006</v>
      </c>
      <c r="Q71" s="21">
        <f>O71*O4*365</f>
        <v>57974.994000000013</v>
      </c>
      <c r="R71" s="14">
        <f>K71</f>
        <v>1496.4620400000001</v>
      </c>
      <c r="S71" s="14">
        <f>L71</f>
        <v>32568.803999999996</v>
      </c>
      <c r="T71" s="153">
        <f>R71/$R$255</f>
        <v>5.2377337812462231E-5</v>
      </c>
      <c r="U71" s="153">
        <f>S71/$S$255</f>
        <v>1.3792765366668906E-3</v>
      </c>
      <c r="V71" s="172">
        <f>R71/$R$79</f>
        <v>1.1396598775567169E-3</v>
      </c>
      <c r="W71" s="172">
        <f>S71/$S$79</f>
        <v>2.5978441088040431E-2</v>
      </c>
    </row>
    <row r="72" spans="2:23" s="10" customFormat="1" ht="18.75" customHeight="1" x14ac:dyDescent="0.2">
      <c r="B72" s="284"/>
      <c r="C72" s="284"/>
      <c r="D72" s="193"/>
      <c r="E72" s="194" t="s">
        <v>1182</v>
      </c>
      <c r="F72" s="196"/>
      <c r="G72" s="25"/>
      <c r="H72" s="15"/>
      <c r="I72" s="15"/>
      <c r="J72" s="195"/>
      <c r="K72" s="14"/>
      <c r="L72" s="14"/>
      <c r="M72" s="138"/>
      <c r="N72" s="88"/>
      <c r="O72" s="17"/>
      <c r="P72" s="21"/>
      <c r="Q72" s="21"/>
      <c r="R72" s="14">
        <f>'tabla PPT'!G11</f>
        <v>191745.66740561769</v>
      </c>
      <c r="S72" s="14">
        <f>'tabla PPT'!H11</f>
        <v>223358.97154231207</v>
      </c>
      <c r="T72" s="153">
        <f>R72/$R$255</f>
        <v>6.7112478147324508E-3</v>
      </c>
      <c r="U72" s="153">
        <f>S72/$S$255</f>
        <v>9.4591680032941588E-3</v>
      </c>
      <c r="V72" s="172"/>
      <c r="W72" s="172"/>
    </row>
    <row r="73" spans="2:23" s="10" customFormat="1" ht="27" customHeight="1" x14ac:dyDescent="0.2">
      <c r="B73" s="284"/>
      <c r="C73" s="284"/>
      <c r="D73" s="193" t="s">
        <v>20</v>
      </c>
      <c r="E73" s="197" t="s">
        <v>281</v>
      </c>
      <c r="F73" s="66">
        <v>43082</v>
      </c>
      <c r="G73" s="17">
        <v>9.93</v>
      </c>
      <c r="H73" s="17">
        <v>65.72</v>
      </c>
      <c r="I73" s="17">
        <v>63</v>
      </c>
      <c r="J73" s="197" t="s">
        <v>34</v>
      </c>
      <c r="K73" s="14">
        <f>(G73*H73*0.0036*$Q$4)*365</f>
        <v>20580.380985599997</v>
      </c>
      <c r="L73" s="14">
        <f>(G73*I73*0.0036*$Q$4)*365</f>
        <v>19728.606240000001</v>
      </c>
      <c r="M73" s="14"/>
      <c r="N73" s="14"/>
      <c r="O73" s="14"/>
      <c r="P73" s="14"/>
      <c r="Q73" s="14"/>
      <c r="R73" s="21">
        <f>K73</f>
        <v>20580.380985599997</v>
      </c>
      <c r="S73" s="21">
        <f>L73</f>
        <v>19728.606240000001</v>
      </c>
      <c r="T73" s="153">
        <f>R73/$R$255</f>
        <v>7.2032937580691686E-4</v>
      </c>
      <c r="U73" s="153">
        <f>S73/$S$255</f>
        <v>8.3549901580580032E-4</v>
      </c>
      <c r="V73" s="152">
        <f>R73/$R$79</f>
        <v>1.5673390869386485E-2</v>
      </c>
      <c r="W73" s="152">
        <f>S73/$S$79</f>
        <v>1.5736483137513645E-2</v>
      </c>
    </row>
    <row r="74" spans="2:23" s="10" customFormat="1" ht="27" customHeight="1" x14ac:dyDescent="0.2">
      <c r="B74" s="284" t="s">
        <v>63</v>
      </c>
      <c r="C74" s="284" t="s">
        <v>62</v>
      </c>
      <c r="D74" s="284" t="s">
        <v>64</v>
      </c>
      <c r="E74" s="48" t="s">
        <v>3</v>
      </c>
      <c r="F74" s="71">
        <v>42956</v>
      </c>
      <c r="G74" s="17">
        <v>14.5</v>
      </c>
      <c r="H74" s="17">
        <v>177</v>
      </c>
      <c r="I74" s="17">
        <v>104</v>
      </c>
      <c r="J74" s="285" t="s">
        <v>34</v>
      </c>
      <c r="K74" s="14">
        <f>(G74*H74*0.0036*$Q$4)*365</f>
        <v>80937.144</v>
      </c>
      <c r="L74" s="14">
        <f>(G74*I74*0.0036*$Q$4)*365</f>
        <v>47556.288</v>
      </c>
      <c r="M74" s="14"/>
      <c r="N74" s="14"/>
      <c r="O74" s="14"/>
      <c r="P74" s="14"/>
      <c r="Q74" s="14"/>
      <c r="R74" s="21"/>
      <c r="S74" s="21"/>
      <c r="T74" s="153"/>
      <c r="U74" s="153"/>
      <c r="V74" s="152"/>
      <c r="W74" s="152"/>
    </row>
    <row r="75" spans="2:23" s="10" customFormat="1" ht="27" customHeight="1" x14ac:dyDescent="0.2">
      <c r="B75" s="284"/>
      <c r="C75" s="284"/>
      <c r="D75" s="284"/>
      <c r="E75" s="48" t="s">
        <v>4</v>
      </c>
      <c r="F75" s="48"/>
      <c r="G75" s="17">
        <v>6.11</v>
      </c>
      <c r="H75" s="17">
        <v>280</v>
      </c>
      <c r="I75" s="17">
        <v>640</v>
      </c>
      <c r="J75" s="285"/>
      <c r="K75" s="14">
        <f>(G75*H75*0.0036*$Q$4)*365</f>
        <v>53951.788800000009</v>
      </c>
      <c r="L75" s="14">
        <f>(G75*I75*0.0036*$Q$4)*365</f>
        <v>123318.3744</v>
      </c>
      <c r="M75" s="14"/>
      <c r="N75" s="14"/>
      <c r="O75" s="14"/>
      <c r="P75" s="14"/>
      <c r="Q75" s="14"/>
      <c r="R75" s="21"/>
      <c r="S75" s="21"/>
      <c r="T75" s="153"/>
      <c r="U75" s="153"/>
      <c r="V75" s="152"/>
      <c r="W75" s="152"/>
    </row>
    <row r="76" spans="2:23" s="10" customFormat="1" ht="32.25" customHeight="1" x14ac:dyDescent="0.2">
      <c r="B76" s="284"/>
      <c r="C76" s="284"/>
      <c r="D76" s="284"/>
      <c r="E76" s="194" t="s">
        <v>1181</v>
      </c>
      <c r="F76" s="194"/>
      <c r="G76" s="190">
        <f>SUM(G74:G75)</f>
        <v>20.61</v>
      </c>
      <c r="H76" s="191"/>
      <c r="I76" s="191"/>
      <c r="J76" s="285"/>
      <c r="K76" s="14">
        <f t="shared" ref="K76:L76" si="14">SUM(K74:K75)</f>
        <v>134888.93280000001</v>
      </c>
      <c r="L76" s="14">
        <f t="shared" si="14"/>
        <v>170874.6624</v>
      </c>
      <c r="M76" s="138">
        <v>5751</v>
      </c>
      <c r="N76" s="88">
        <v>0.9</v>
      </c>
      <c r="O76" s="17">
        <f>M76*N76</f>
        <v>5175.9000000000005</v>
      </c>
      <c r="P76" s="21">
        <f>O76*M4*365</f>
        <v>94460.175000000003</v>
      </c>
      <c r="Q76" s="21">
        <f>O76*O4*365</f>
        <v>79346.547000000006</v>
      </c>
      <c r="R76" s="14">
        <f>K76</f>
        <v>134888.93280000001</v>
      </c>
      <c r="S76" s="14">
        <f>L76</f>
        <v>170874.6624</v>
      </c>
      <c r="T76" s="153">
        <f>R76/$R$255</f>
        <v>4.7212177867392595E-3</v>
      </c>
      <c r="U76" s="153">
        <f>S76/$S$255</f>
        <v>7.2364773529662368E-3</v>
      </c>
      <c r="V76" s="152">
        <f>R76/$R$79</f>
        <v>0.10272729981082862</v>
      </c>
      <c r="W76" s="152">
        <f>S76/$S$79</f>
        <v>0.13629783121901554</v>
      </c>
    </row>
    <row r="77" spans="2:23" s="10" customFormat="1" ht="32.25" customHeight="1" x14ac:dyDescent="0.2">
      <c r="B77" s="193"/>
      <c r="C77" s="193"/>
      <c r="D77" s="193"/>
      <c r="E77" s="194" t="s">
        <v>1182</v>
      </c>
      <c r="F77" s="194"/>
      <c r="G77" s="190"/>
      <c r="H77" s="191"/>
      <c r="I77" s="191"/>
      <c r="J77" s="197"/>
      <c r="K77" s="14"/>
      <c r="L77" s="14"/>
      <c r="M77" s="138"/>
      <c r="N77" s="88"/>
      <c r="O77" s="17"/>
      <c r="P77" s="21"/>
      <c r="Q77" s="21"/>
      <c r="R77" s="14">
        <f>'tabla PPT'!G10</f>
        <v>207912.01999459989</v>
      </c>
      <c r="S77" s="14">
        <f>'tabla PPT'!H10</f>
        <v>242190.68720359469</v>
      </c>
      <c r="T77" s="153">
        <f>R77/$R$255</f>
        <v>7.2770827561576901E-3</v>
      </c>
      <c r="U77" s="153">
        <f>S77/$S$255</f>
        <v>1.0256684042163426E-2</v>
      </c>
      <c r="V77" s="152"/>
      <c r="W77" s="152"/>
    </row>
    <row r="78" spans="2:23" s="10" customFormat="1" ht="32.25" customHeight="1" x14ac:dyDescent="0.25">
      <c r="B78" s="193"/>
      <c r="C78" s="193"/>
      <c r="D78" s="29" t="s">
        <v>335</v>
      </c>
      <c r="E78" s="194" t="s">
        <v>336</v>
      </c>
      <c r="F78" s="194"/>
      <c r="G78" s="190"/>
      <c r="H78" s="191"/>
      <c r="I78" s="191"/>
      <c r="J78" s="197"/>
      <c r="K78" s="14"/>
      <c r="L78" s="14"/>
      <c r="M78" s="138"/>
      <c r="N78" s="88"/>
      <c r="O78" s="17"/>
      <c r="P78" s="21"/>
      <c r="Q78" s="21"/>
      <c r="R78" s="14">
        <f>'Resumen cargas Cafeteros'!E12</f>
        <v>268830.42270923679</v>
      </c>
      <c r="S78" s="14">
        <f>'Resumen cargas Cafeteros'!F12</f>
        <v>73317.388011610019</v>
      </c>
      <c r="T78" s="153">
        <f>R78/$R$255</f>
        <v>9.4092743338205307E-3</v>
      </c>
      <c r="U78" s="153">
        <f>S78/$S$255</f>
        <v>3.1049636644353319E-3</v>
      </c>
      <c r="V78" s="171">
        <f>R78/$R$79</f>
        <v>0.20473305599407601</v>
      </c>
      <c r="W78" s="171">
        <f>S78/$S$79</f>
        <v>5.8481467271214893E-2</v>
      </c>
    </row>
    <row r="79" spans="2:23" s="10" customFormat="1" ht="31.5" customHeight="1" x14ac:dyDescent="0.25">
      <c r="B79" s="284" t="s">
        <v>246</v>
      </c>
      <c r="C79" s="284"/>
      <c r="D79" s="284"/>
      <c r="E79" s="286"/>
      <c r="F79" s="286"/>
      <c r="G79" s="286"/>
      <c r="H79" s="286"/>
      <c r="I79" s="286"/>
      <c r="J79" s="286"/>
      <c r="K79" s="286"/>
      <c r="L79" s="286"/>
      <c r="M79" s="194"/>
      <c r="N79" s="194"/>
      <c r="O79" s="194"/>
      <c r="P79" s="194"/>
      <c r="Q79" s="194"/>
      <c r="R79" s="54">
        <f>SUM(R68:R78)</f>
        <v>1313077.760715961</v>
      </c>
      <c r="S79" s="54">
        <f>SUM(S68:S78)</f>
        <v>1253685.8501102878</v>
      </c>
      <c r="T79" s="154">
        <f>R79/$R$255</f>
        <v>4.5958745099241763E-2</v>
      </c>
      <c r="U79" s="154">
        <f>S79/$S$255</f>
        <v>5.3093121792510543E-2</v>
      </c>
      <c r="V79" s="12"/>
      <c r="W79" s="12"/>
    </row>
    <row r="80" spans="2:23" s="10" customFormat="1" ht="37.5" customHeight="1" x14ac:dyDescent="0.2">
      <c r="B80" s="277" t="s">
        <v>65</v>
      </c>
      <c r="C80" s="277" t="s">
        <v>66</v>
      </c>
      <c r="D80" s="284" t="s">
        <v>67</v>
      </c>
      <c r="E80" s="48" t="s">
        <v>11</v>
      </c>
      <c r="F80" s="71">
        <v>43028</v>
      </c>
      <c r="G80" s="257">
        <v>128.1</v>
      </c>
      <c r="H80" s="14">
        <v>231</v>
      </c>
      <c r="I80" s="14">
        <v>178</v>
      </c>
      <c r="J80" s="287" t="s">
        <v>34</v>
      </c>
      <c r="K80" s="14">
        <f>(G80*H80*0.0036*$Q$4)*365</f>
        <v>933184.92959999992</v>
      </c>
      <c r="L80" s="14">
        <f>(G80*I80*0.0036*$Q$4)*365</f>
        <v>719077.56479999993</v>
      </c>
      <c r="M80" s="14"/>
      <c r="N80" s="14"/>
      <c r="O80" s="14"/>
      <c r="P80" s="14"/>
      <c r="Q80" s="14"/>
      <c r="R80" s="14"/>
      <c r="S80" s="14"/>
      <c r="T80" s="153"/>
      <c r="U80" s="153"/>
      <c r="V80" s="12"/>
      <c r="W80" s="12"/>
    </row>
    <row r="81" spans="2:23" s="10" customFormat="1" ht="18" customHeight="1" x14ac:dyDescent="0.2">
      <c r="B81" s="278"/>
      <c r="C81" s="278"/>
      <c r="D81" s="284"/>
      <c r="E81" s="48" t="s">
        <v>10</v>
      </c>
      <c r="F81" s="48"/>
      <c r="G81" s="70">
        <v>15.6</v>
      </c>
      <c r="H81" s="191">
        <v>15</v>
      </c>
      <c r="I81" s="191">
        <v>229</v>
      </c>
      <c r="J81" s="287"/>
      <c r="K81" s="14">
        <f>(G81*H81*0.0036*$Q$4)*365</f>
        <v>7379.4239999999991</v>
      </c>
      <c r="L81" s="14">
        <f>(G81*I81*0.0036*$Q$4)*365</f>
        <v>112659.2064</v>
      </c>
      <c r="M81" s="14"/>
      <c r="N81" s="14"/>
      <c r="O81" s="14"/>
      <c r="P81" s="14"/>
      <c r="Q81" s="14"/>
      <c r="R81" s="14"/>
      <c r="S81" s="14"/>
      <c r="T81" s="153"/>
      <c r="U81" s="153"/>
      <c r="V81" s="12"/>
      <c r="W81" s="12"/>
    </row>
    <row r="82" spans="2:23" s="10" customFormat="1" ht="23.25" customHeight="1" x14ac:dyDescent="0.2">
      <c r="B82" s="278"/>
      <c r="C82" s="278"/>
      <c r="D82" s="284"/>
      <c r="E82" s="201" t="s">
        <v>1181</v>
      </c>
      <c r="F82" s="201"/>
      <c r="G82" s="190">
        <f>SUM(G80:G81)</f>
        <v>143.69999999999999</v>
      </c>
      <c r="H82" s="190"/>
      <c r="I82" s="190"/>
      <c r="J82" s="287"/>
      <c r="K82" s="14">
        <f>SUM(K80:K81)</f>
        <v>940564.35359999991</v>
      </c>
      <c r="L82" s="14">
        <f>SUM(L80:L81)</f>
        <v>831736.77119999996</v>
      </c>
      <c r="M82" s="14"/>
      <c r="N82" s="14"/>
      <c r="O82" s="14"/>
      <c r="P82" s="14"/>
      <c r="Q82" s="14"/>
      <c r="R82" s="14">
        <f>K82</f>
        <v>940564.35359999991</v>
      </c>
      <c r="S82" s="14">
        <f>L82</f>
        <v>831736.77119999996</v>
      </c>
      <c r="T82" s="153">
        <f t="shared" ref="T82:T98" si="15">R82/$R$255</f>
        <v>3.2920485495821446E-2</v>
      </c>
      <c r="U82" s="153">
        <f t="shared" ref="U82:U98" si="16">S82/$S$255</f>
        <v>3.5223737819762679E-2</v>
      </c>
      <c r="V82" s="177">
        <f t="shared" ref="V82:V93" si="17">R82/$R$94</f>
        <v>0.4407667760591048</v>
      </c>
      <c r="W82" s="177">
        <f t="shared" ref="W82:W93" si="18">S82/$S$94</f>
        <v>0.17928245689453176</v>
      </c>
    </row>
    <row r="83" spans="2:23" s="10" customFormat="1" ht="23.25" customHeight="1" x14ac:dyDescent="0.2">
      <c r="B83" s="278"/>
      <c r="C83" s="278"/>
      <c r="D83" s="197" t="s">
        <v>154</v>
      </c>
      <c r="E83" s="201" t="s">
        <v>141</v>
      </c>
      <c r="F83" s="67">
        <v>42575</v>
      </c>
      <c r="G83" s="190">
        <v>2.39</v>
      </c>
      <c r="H83" s="190">
        <v>54.1</v>
      </c>
      <c r="I83" s="190">
        <v>40</v>
      </c>
      <c r="J83" s="190" t="s">
        <v>34</v>
      </c>
      <c r="K83" s="14">
        <f>(G83*H83*0.0036*$Q$4)*365</f>
        <v>4077.5732640000001</v>
      </c>
      <c r="L83" s="14">
        <f>(G83*I83*0.0036*$Q$4)*365</f>
        <v>3014.8416000000002</v>
      </c>
      <c r="M83" s="138">
        <v>5751</v>
      </c>
      <c r="N83" s="88">
        <v>0.9</v>
      </c>
      <c r="O83" s="17">
        <f>M83*N83</f>
        <v>5175.9000000000005</v>
      </c>
      <c r="P83" s="21">
        <f>O83*M4*365</f>
        <v>94460.175000000003</v>
      </c>
      <c r="Q83" s="21">
        <f>O83*O4*365</f>
        <v>79346.547000000006</v>
      </c>
      <c r="R83" s="14">
        <f>K83</f>
        <v>4077.5732640000001</v>
      </c>
      <c r="S83" s="14">
        <f>L83</f>
        <v>3014.8416000000002</v>
      </c>
      <c r="T83" s="153">
        <f t="shared" si="15"/>
        <v>1.427182424911976E-4</v>
      </c>
      <c r="U83" s="153">
        <f t="shared" si="16"/>
        <v>1.276774019901765E-4</v>
      </c>
      <c r="V83" s="172">
        <f t="shared" si="17"/>
        <v>1.9108302529636512E-3</v>
      </c>
      <c r="W83" s="172">
        <f t="shared" si="18"/>
        <v>6.4985489148930539E-4</v>
      </c>
    </row>
    <row r="84" spans="2:23" s="10" customFormat="1" ht="23.25" customHeight="1" x14ac:dyDescent="0.2">
      <c r="B84" s="278"/>
      <c r="C84" s="278"/>
      <c r="D84" s="197" t="s">
        <v>20</v>
      </c>
      <c r="E84" s="201" t="s">
        <v>1182</v>
      </c>
      <c r="F84" s="67"/>
      <c r="G84" s="190"/>
      <c r="H84" s="190"/>
      <c r="I84" s="190"/>
      <c r="J84" s="190"/>
      <c r="K84" s="14"/>
      <c r="L84" s="14"/>
      <c r="M84" s="138"/>
      <c r="N84" s="88"/>
      <c r="O84" s="17"/>
      <c r="P84" s="21"/>
      <c r="Q84" s="21"/>
      <c r="R84" s="14">
        <f>'tabla PPT'!G3</f>
        <v>588269.06195695105</v>
      </c>
      <c r="S84" s="14">
        <f>'tabla PPT'!H3</f>
        <v>685257.58337429666</v>
      </c>
      <c r="T84" s="153">
        <f t="shared" si="15"/>
        <v>2.0589875692897292E-2</v>
      </c>
      <c r="U84" s="153">
        <f t="shared" si="16"/>
        <v>2.9020399592236273E-2</v>
      </c>
      <c r="V84" s="172">
        <f t="shared" si="17"/>
        <v>0.27567434051870188</v>
      </c>
      <c r="W84" s="172">
        <f t="shared" si="18"/>
        <v>0.14770858690749364</v>
      </c>
    </row>
    <row r="85" spans="2:23" s="10" customFormat="1" ht="30" customHeight="1" x14ac:dyDescent="0.2">
      <c r="B85" s="278"/>
      <c r="C85" s="278"/>
      <c r="D85" s="242" t="s">
        <v>284</v>
      </c>
      <c r="E85" s="201" t="s">
        <v>259</v>
      </c>
      <c r="F85" s="201"/>
      <c r="G85" s="190">
        <v>5</v>
      </c>
      <c r="H85" s="190">
        <v>22</v>
      </c>
      <c r="I85" s="190">
        <v>25</v>
      </c>
      <c r="J85" s="190" t="s">
        <v>34</v>
      </c>
      <c r="K85" s="14">
        <f t="shared" ref="K85:K90" si="19">(G85*H85*0.0036*$Q$4)*365</f>
        <v>3468.96</v>
      </c>
      <c r="L85" s="85">
        <f t="shared" ref="L85:L90" si="20">(G85*I85*0.0036*$Q$4)*365</f>
        <v>3942.0000000000005</v>
      </c>
      <c r="M85" s="85"/>
      <c r="N85" s="85"/>
      <c r="O85" s="85"/>
      <c r="P85" s="85"/>
      <c r="Q85" s="85"/>
      <c r="R85" s="258">
        <f t="shared" ref="R85:S90" si="21">K85</f>
        <v>3468.96</v>
      </c>
      <c r="S85" s="258">
        <f t="shared" si="21"/>
        <v>3942.0000000000005</v>
      </c>
      <c r="T85" s="153">
        <f t="shared" si="15"/>
        <v>1.2141630386957157E-4</v>
      </c>
      <c r="U85" s="153">
        <f t="shared" si="16"/>
        <v>1.6694220971518893E-4</v>
      </c>
      <c r="V85" s="172">
        <f t="shared" si="17"/>
        <v>1.625622223110787E-3</v>
      </c>
      <c r="W85" s="172">
        <f t="shared" si="18"/>
        <v>8.497056635581922E-4</v>
      </c>
    </row>
    <row r="86" spans="2:23" s="10" customFormat="1" ht="27" customHeight="1" x14ac:dyDescent="0.2">
      <c r="B86" s="278"/>
      <c r="C86" s="278"/>
      <c r="D86" s="197" t="s">
        <v>153</v>
      </c>
      <c r="E86" s="201" t="s">
        <v>259</v>
      </c>
      <c r="F86" s="201"/>
      <c r="G86" s="190">
        <v>2.6480000000000001</v>
      </c>
      <c r="H86" s="190">
        <v>1.508</v>
      </c>
      <c r="I86" s="190">
        <v>555</v>
      </c>
      <c r="J86" s="190" t="s">
        <v>34</v>
      </c>
      <c r="K86" s="14">
        <f t="shared" si="19"/>
        <v>125.92905062400001</v>
      </c>
      <c r="L86" s="85">
        <f t="shared" si="20"/>
        <v>46346.567040000002</v>
      </c>
      <c r="M86" s="85"/>
      <c r="N86" s="85"/>
      <c r="O86" s="85"/>
      <c r="P86" s="85"/>
      <c r="Q86" s="85"/>
      <c r="R86" s="258">
        <f t="shared" si="21"/>
        <v>125.92905062400001</v>
      </c>
      <c r="S86" s="258">
        <f t="shared" si="21"/>
        <v>46346.567040000002</v>
      </c>
      <c r="T86" s="153">
        <f t="shared" si="15"/>
        <v>4.4076149268282848E-6</v>
      </c>
      <c r="U86" s="153">
        <f t="shared" si="16"/>
        <v>1.9627595926866421E-3</v>
      </c>
      <c r="V86" s="172">
        <f t="shared" si="17"/>
        <v>5.9012805921549321E-5</v>
      </c>
      <c r="W86" s="172">
        <f t="shared" si="18"/>
        <v>9.9900914511332917E-3</v>
      </c>
    </row>
    <row r="87" spans="2:23" s="10" customFormat="1" ht="27" customHeight="1" x14ac:dyDescent="0.2">
      <c r="B87" s="278"/>
      <c r="C87" s="278"/>
      <c r="D87" s="197" t="s">
        <v>158</v>
      </c>
      <c r="E87" s="201" t="s">
        <v>259</v>
      </c>
      <c r="F87" s="67">
        <v>43088</v>
      </c>
      <c r="G87" s="190">
        <v>29.15</v>
      </c>
      <c r="H87" s="190">
        <v>7.17</v>
      </c>
      <c r="I87" s="190">
        <v>33</v>
      </c>
      <c r="J87" s="190" t="s">
        <v>261</v>
      </c>
      <c r="K87" s="14">
        <f t="shared" si="19"/>
        <v>6591.197447999999</v>
      </c>
      <c r="L87" s="85">
        <f t="shared" si="20"/>
        <v>30336.055199999995</v>
      </c>
      <c r="M87" s="85"/>
      <c r="N87" s="85"/>
      <c r="O87" s="85"/>
      <c r="P87" s="85"/>
      <c r="Q87" s="85"/>
      <c r="R87" s="258">
        <f t="shared" si="21"/>
        <v>6591.197447999999</v>
      </c>
      <c r="S87" s="258">
        <f t="shared" si="21"/>
        <v>30336.055199999995</v>
      </c>
      <c r="T87" s="153">
        <f t="shared" si="15"/>
        <v>2.3069704816737943E-4</v>
      </c>
      <c r="U87" s="153">
        <f t="shared" si="16"/>
        <v>1.2847204690842077E-3</v>
      </c>
      <c r="V87" s="172">
        <f t="shared" si="17"/>
        <v>3.0887635050216504E-3</v>
      </c>
      <c r="W87" s="172">
        <f t="shared" si="18"/>
        <v>6.5389949044784221E-3</v>
      </c>
    </row>
    <row r="88" spans="2:23" s="10" customFormat="1" ht="27" customHeight="1" x14ac:dyDescent="0.2">
      <c r="B88" s="278"/>
      <c r="C88" s="278"/>
      <c r="D88" s="197" t="s">
        <v>159</v>
      </c>
      <c r="E88" s="201" t="s">
        <v>259</v>
      </c>
      <c r="F88" s="67">
        <v>42965</v>
      </c>
      <c r="G88" s="68">
        <v>3.649</v>
      </c>
      <c r="H88" s="190">
        <v>5</v>
      </c>
      <c r="I88" s="190">
        <v>15</v>
      </c>
      <c r="J88" s="190" t="s">
        <v>261</v>
      </c>
      <c r="K88" s="14">
        <f t="shared" si="19"/>
        <v>575.37432000000001</v>
      </c>
      <c r="L88" s="85">
        <f t="shared" si="20"/>
        <v>1726.1229599999999</v>
      </c>
      <c r="M88" s="85"/>
      <c r="N88" s="85"/>
      <c r="O88" s="85"/>
      <c r="P88" s="85"/>
      <c r="Q88" s="85"/>
      <c r="R88" s="258">
        <f t="shared" si="21"/>
        <v>575.37432000000001</v>
      </c>
      <c r="S88" s="258">
        <f t="shared" si="21"/>
        <v>1726.1229599999999</v>
      </c>
      <c r="T88" s="153">
        <f t="shared" si="15"/>
        <v>2.0138549673639395E-5</v>
      </c>
      <c r="U88" s="153">
        <f t="shared" si="16"/>
        <v>7.3100654790086926E-5</v>
      </c>
      <c r="V88" s="172">
        <f t="shared" si="17"/>
        <v>2.6963161327869372E-4</v>
      </c>
      <c r="W88" s="172">
        <f t="shared" si="18"/>
        <v>3.7206911595886116E-4</v>
      </c>
    </row>
    <row r="89" spans="2:23" s="10" customFormat="1" ht="27" customHeight="1" x14ac:dyDescent="0.2">
      <c r="B89" s="278"/>
      <c r="C89" s="278"/>
      <c r="D89" s="60" t="s">
        <v>230</v>
      </c>
      <c r="E89" s="201" t="s">
        <v>259</v>
      </c>
      <c r="F89" s="67">
        <v>42965</v>
      </c>
      <c r="G89" s="68">
        <v>0.17799999999999999</v>
      </c>
      <c r="H89" s="190">
        <v>24</v>
      </c>
      <c r="I89" s="190">
        <v>21</v>
      </c>
      <c r="J89" s="190" t="s">
        <v>261</v>
      </c>
      <c r="K89" s="14">
        <f t="shared" si="19"/>
        <v>134.72179199999999</v>
      </c>
      <c r="L89" s="85">
        <f t="shared" si="20"/>
        <v>117.881568</v>
      </c>
      <c r="M89" s="85"/>
      <c r="N89" s="85"/>
      <c r="O89" s="85"/>
      <c r="P89" s="85"/>
      <c r="Q89" s="85"/>
      <c r="R89" s="258">
        <f t="shared" si="21"/>
        <v>134.72179199999999</v>
      </c>
      <c r="S89" s="258">
        <f t="shared" si="21"/>
        <v>117.881568</v>
      </c>
      <c r="T89" s="153">
        <f t="shared" si="15"/>
        <v>4.715367728461907E-6</v>
      </c>
      <c r="U89" s="153">
        <f t="shared" si="16"/>
        <v>4.9922398393230097E-6</v>
      </c>
      <c r="V89" s="172">
        <f t="shared" si="17"/>
        <v>6.3133255792084379E-5</v>
      </c>
      <c r="W89" s="172">
        <f t="shared" si="18"/>
        <v>2.5409598163044175E-5</v>
      </c>
    </row>
    <row r="90" spans="2:23" s="10" customFormat="1" ht="27" customHeight="1" x14ac:dyDescent="0.2">
      <c r="B90" s="278"/>
      <c r="C90" s="278"/>
      <c r="D90" s="60" t="s">
        <v>282</v>
      </c>
      <c r="E90" s="201" t="s">
        <v>259</v>
      </c>
      <c r="F90" s="67">
        <v>42965</v>
      </c>
      <c r="G90" s="190">
        <v>0.75700000000000001</v>
      </c>
      <c r="H90" s="190">
        <v>5</v>
      </c>
      <c r="I90" s="190">
        <v>0.01</v>
      </c>
      <c r="J90" s="190" t="s">
        <v>34</v>
      </c>
      <c r="K90" s="14">
        <f t="shared" si="19"/>
        <v>119.36376000000001</v>
      </c>
      <c r="L90" s="85">
        <f t="shared" si="20"/>
        <v>0.23872751999999997</v>
      </c>
      <c r="M90" s="14"/>
      <c r="N90" s="14"/>
      <c r="O90" s="14"/>
      <c r="P90" s="14"/>
      <c r="Q90" s="14"/>
      <c r="R90" s="258">
        <f t="shared" si="21"/>
        <v>119.36376000000001</v>
      </c>
      <c r="S90" s="258">
        <f t="shared" si="21"/>
        <v>0.23872751999999997</v>
      </c>
      <c r="T90" s="153">
        <f t="shared" si="15"/>
        <v>4.1778246376938948E-6</v>
      </c>
      <c r="U90" s="153">
        <f t="shared" si="16"/>
        <v>1.011002022035184E-8</v>
      </c>
      <c r="V90" s="172">
        <f t="shared" si="17"/>
        <v>5.593618285885754E-5</v>
      </c>
      <c r="W90" s="172">
        <f t="shared" si="18"/>
        <v>5.145817498508411E-8</v>
      </c>
    </row>
    <row r="91" spans="2:23" s="10" customFormat="1" ht="27" customHeight="1" x14ac:dyDescent="0.2">
      <c r="B91" s="278"/>
      <c r="C91" s="278"/>
      <c r="D91" s="60" t="s">
        <v>1120</v>
      </c>
      <c r="E91" s="201" t="s">
        <v>259</v>
      </c>
      <c r="F91" s="201" t="s">
        <v>132</v>
      </c>
      <c r="G91" s="190"/>
      <c r="H91" s="190"/>
      <c r="I91" s="190"/>
      <c r="J91" s="190"/>
      <c r="K91" s="14"/>
      <c r="L91" s="85"/>
      <c r="M91" s="85"/>
      <c r="N91" s="85"/>
      <c r="O91" s="85"/>
      <c r="P91" s="85"/>
      <c r="Q91" s="85"/>
      <c r="R91" s="258">
        <f>LB_CC_PISCI_GARZON!G178</f>
        <v>280242.24124679994</v>
      </c>
      <c r="S91" s="258">
        <f>LB_CC_PISCI_GARZON!H178</f>
        <v>2946546.9936806401</v>
      </c>
      <c r="T91" s="153">
        <f t="shared" si="15"/>
        <v>9.8086968775400254E-3</v>
      </c>
      <c r="U91" s="153">
        <f t="shared" si="16"/>
        <v>0.1247851512315304</v>
      </c>
      <c r="V91" s="172">
        <f t="shared" si="17"/>
        <v>0.13132697270224286</v>
      </c>
      <c r="W91" s="172">
        <f t="shared" si="18"/>
        <v>0.63513385805956479</v>
      </c>
    </row>
    <row r="92" spans="2:23" s="10" customFormat="1" ht="27" customHeight="1" x14ac:dyDescent="0.2">
      <c r="B92" s="278"/>
      <c r="C92" s="278"/>
      <c r="D92" s="60" t="s">
        <v>301</v>
      </c>
      <c r="E92" s="201" t="s">
        <v>45</v>
      </c>
      <c r="F92" s="201"/>
      <c r="G92" s="190"/>
      <c r="H92" s="190"/>
      <c r="I92" s="190"/>
      <c r="J92" s="190" t="s">
        <v>132</v>
      </c>
      <c r="K92" s="85">
        <f>30402+780</f>
        <v>31182</v>
      </c>
      <c r="L92" s="85">
        <f>13834+419</f>
        <v>14253</v>
      </c>
      <c r="M92" s="85"/>
      <c r="N92" s="85"/>
      <c r="O92" s="85"/>
      <c r="P92" s="85"/>
      <c r="Q92" s="85"/>
      <c r="R92" s="258">
        <f>K92</f>
        <v>31182</v>
      </c>
      <c r="S92" s="258">
        <f>L92</f>
        <v>14253</v>
      </c>
      <c r="T92" s="153">
        <f t="shared" si="15"/>
        <v>1.091394304708322E-3</v>
      </c>
      <c r="U92" s="153">
        <f t="shared" si="16"/>
        <v>6.0360916161100655E-4</v>
      </c>
      <c r="V92" s="172">
        <f t="shared" si="17"/>
        <v>1.4612492551381554E-2</v>
      </c>
      <c r="W92" s="172">
        <f t="shared" si="18"/>
        <v>3.0722614973858224E-3</v>
      </c>
    </row>
    <row r="93" spans="2:23" s="10" customFormat="1" ht="27" customHeight="1" x14ac:dyDescent="0.25">
      <c r="B93" s="279"/>
      <c r="C93" s="279"/>
      <c r="D93" s="29" t="s">
        <v>335</v>
      </c>
      <c r="E93" s="194" t="s">
        <v>336</v>
      </c>
      <c r="F93" s="201"/>
      <c r="G93" s="190"/>
      <c r="H93" s="190"/>
      <c r="I93" s="190"/>
      <c r="J93" s="190"/>
      <c r="K93" s="85"/>
      <c r="L93" s="85"/>
      <c r="M93" s="85"/>
      <c r="N93" s="85"/>
      <c r="O93" s="85"/>
      <c r="P93" s="85"/>
      <c r="Q93" s="85"/>
      <c r="R93" s="258">
        <f>'Resumen cargas Cafeteros'!E13</f>
        <v>278576.74416466296</v>
      </c>
      <c r="S93" s="258">
        <f>'Resumen cargas Cafeteros'!F13</f>
        <v>75975.475681271724</v>
      </c>
      <c r="T93" s="153">
        <f t="shared" si="15"/>
        <v>9.750403181498956E-3</v>
      </c>
      <c r="U93" s="153">
        <f t="shared" si="16"/>
        <v>3.2175326723475647E-3</v>
      </c>
      <c r="V93" s="172">
        <f t="shared" si="17"/>
        <v>0.13054648832962165</v>
      </c>
      <c r="W93" s="172">
        <f t="shared" si="18"/>
        <v>1.6376659558068055E-2</v>
      </c>
    </row>
    <row r="94" spans="2:23" s="10" customFormat="1" ht="37.5" customHeight="1" x14ac:dyDescent="0.25">
      <c r="B94" s="284" t="s">
        <v>247</v>
      </c>
      <c r="C94" s="284"/>
      <c r="D94" s="284"/>
      <c r="E94" s="295"/>
      <c r="F94" s="295"/>
      <c r="G94" s="295"/>
      <c r="H94" s="295"/>
      <c r="I94" s="295"/>
      <c r="J94" s="295"/>
      <c r="K94" s="295"/>
      <c r="L94" s="295"/>
      <c r="M94" s="201"/>
      <c r="N94" s="201"/>
      <c r="O94" s="201"/>
      <c r="P94" s="201"/>
      <c r="Q94" s="201"/>
      <c r="R94" s="54">
        <f>SUM(R82:R93)</f>
        <v>2133927.5206030379</v>
      </c>
      <c r="S94" s="54">
        <f>SUM(S82:S93)</f>
        <v>4639253.5310317278</v>
      </c>
      <c r="T94" s="154">
        <f t="shared" si="15"/>
        <v>7.4689126503960812E-2</v>
      </c>
      <c r="U94" s="154">
        <f t="shared" si="16"/>
        <v>0.19647063315561375</v>
      </c>
      <c r="V94" s="12"/>
      <c r="W94" s="12"/>
    </row>
    <row r="95" spans="2:23" s="10" customFormat="1" ht="20.25" customHeight="1" x14ac:dyDescent="0.2">
      <c r="B95" s="284" t="s">
        <v>68</v>
      </c>
      <c r="C95" s="284" t="s">
        <v>69</v>
      </c>
      <c r="D95" s="284" t="s">
        <v>70</v>
      </c>
      <c r="E95" s="197" t="s">
        <v>2</v>
      </c>
      <c r="F95" s="66">
        <v>42703</v>
      </c>
      <c r="G95" s="259">
        <v>13.02</v>
      </c>
      <c r="H95" s="195">
        <v>115</v>
      </c>
      <c r="I95" s="195">
        <v>101</v>
      </c>
      <c r="J95" s="318" t="s">
        <v>34</v>
      </c>
      <c r="K95" s="14">
        <f>(G95*H95*0.0036*$Q$4)*365</f>
        <v>47218.852799999993</v>
      </c>
      <c r="L95" s="14">
        <f>(G95*I95*0.0036*$Q$4)*365</f>
        <v>41470.470719999998</v>
      </c>
      <c r="M95" s="14"/>
      <c r="N95" s="14"/>
      <c r="O95" s="14"/>
      <c r="P95" s="14"/>
      <c r="Q95" s="14"/>
      <c r="R95" s="14"/>
      <c r="S95" s="14"/>
      <c r="T95" s="153">
        <f t="shared" si="15"/>
        <v>0</v>
      </c>
      <c r="U95" s="153">
        <f t="shared" si="16"/>
        <v>0</v>
      </c>
      <c r="V95" s="12"/>
      <c r="W95" s="12"/>
    </row>
    <row r="96" spans="2:23" s="10" customFormat="1" ht="20.25" customHeight="1" x14ac:dyDescent="0.2">
      <c r="B96" s="284"/>
      <c r="C96" s="284"/>
      <c r="D96" s="284"/>
      <c r="E96" s="200" t="s">
        <v>1181</v>
      </c>
      <c r="F96" s="200"/>
      <c r="G96" s="191"/>
      <c r="H96" s="190"/>
      <c r="I96" s="190"/>
      <c r="J96" s="318"/>
      <c r="K96" s="14">
        <f>SUM(K95:K95)</f>
        <v>47218.852799999993</v>
      </c>
      <c r="L96" s="14">
        <f>SUM(L95:L95)</f>
        <v>41470.470719999998</v>
      </c>
      <c r="M96" s="138">
        <v>5526</v>
      </c>
      <c r="N96" s="88">
        <v>0.9</v>
      </c>
      <c r="O96" s="17">
        <f>M96*N96</f>
        <v>4973.4000000000005</v>
      </c>
      <c r="P96" s="21">
        <f>O96*M4*365</f>
        <v>90764.550000000017</v>
      </c>
      <c r="Q96" s="21">
        <f>O96*O4*365</f>
        <v>76242.222000000009</v>
      </c>
      <c r="R96" s="14">
        <f>K96</f>
        <v>47218.852799999993</v>
      </c>
      <c r="S96" s="14">
        <f>L96</f>
        <v>41470.470719999998</v>
      </c>
      <c r="T96" s="153">
        <f t="shared" si="15"/>
        <v>1.6526966525809955E-3</v>
      </c>
      <c r="U96" s="153">
        <f t="shared" si="16"/>
        <v>1.7562587569573418E-3</v>
      </c>
      <c r="V96" s="152">
        <f>R96/$R$103</f>
        <v>9.3977822846066164E-2</v>
      </c>
      <c r="W96" s="152">
        <f>S96/$S$103</f>
        <v>0.13263338538874689</v>
      </c>
    </row>
    <row r="97" spans="2:23" s="10" customFormat="1" ht="20.25" customHeight="1" x14ac:dyDescent="0.2">
      <c r="B97" s="284"/>
      <c r="C97" s="284"/>
      <c r="D97" s="193" t="s">
        <v>20</v>
      </c>
      <c r="E97" s="200" t="s">
        <v>1182</v>
      </c>
      <c r="F97" s="200"/>
      <c r="G97" s="191"/>
      <c r="H97" s="190"/>
      <c r="I97" s="190"/>
      <c r="J97" s="195"/>
      <c r="K97" s="14"/>
      <c r="L97" s="14"/>
      <c r="M97" s="138"/>
      <c r="N97" s="88"/>
      <c r="O97" s="17"/>
      <c r="P97" s="21"/>
      <c r="Q97" s="21"/>
      <c r="R97" s="14">
        <f>'tabla PPT'!G23</f>
        <v>102170.87704013464</v>
      </c>
      <c r="S97" s="14">
        <f>'tabla PPT'!H23</f>
        <v>119015.89394969508</v>
      </c>
      <c r="T97" s="153">
        <f t="shared" si="15"/>
        <v>3.5760603331619913E-3</v>
      </c>
      <c r="U97" s="153">
        <f t="shared" si="16"/>
        <v>5.0402781144573009E-3</v>
      </c>
      <c r="V97" s="152">
        <f>R97/$R$103</f>
        <v>0.2033466722110831</v>
      </c>
      <c r="W97" s="152">
        <f>S97/$S$103</f>
        <v>0.38064388118949566</v>
      </c>
    </row>
    <row r="98" spans="2:23" s="10" customFormat="1" ht="27" customHeight="1" x14ac:dyDescent="0.2">
      <c r="B98" s="284"/>
      <c r="C98" s="284"/>
      <c r="D98" s="193" t="s">
        <v>20</v>
      </c>
      <c r="E98" s="197" t="s">
        <v>302</v>
      </c>
      <c r="F98" s="197"/>
      <c r="G98" s="17"/>
      <c r="H98" s="17"/>
      <c r="I98" s="17"/>
      <c r="J98" s="197" t="s">
        <v>132</v>
      </c>
      <c r="K98" s="14">
        <v>1128</v>
      </c>
      <c r="L98" s="14">
        <v>468</v>
      </c>
      <c r="M98" s="14"/>
      <c r="N98" s="14"/>
      <c r="O98" s="14"/>
      <c r="P98" s="14"/>
      <c r="Q98" s="14"/>
      <c r="R98" s="21">
        <f>K98</f>
        <v>1128</v>
      </c>
      <c r="S98" s="21">
        <f>L98</f>
        <v>468</v>
      </c>
      <c r="T98" s="153">
        <f t="shared" si="15"/>
        <v>3.9480879215925448E-5</v>
      </c>
      <c r="U98" s="153">
        <f t="shared" si="16"/>
        <v>1.9819623071209642E-5</v>
      </c>
      <c r="V98" s="172">
        <f>R98/$R$103</f>
        <v>2.2450139697244541E-3</v>
      </c>
      <c r="W98" s="172">
        <f>S98/$S$103</f>
        <v>1.4967861054925964E-3</v>
      </c>
    </row>
    <row r="99" spans="2:23" s="10" customFormat="1" ht="21.75" customHeight="1" x14ac:dyDescent="0.2">
      <c r="B99" s="277" t="s">
        <v>71</v>
      </c>
      <c r="C99" s="284" t="s">
        <v>69</v>
      </c>
      <c r="D99" s="284" t="s">
        <v>70</v>
      </c>
      <c r="E99" s="197" t="s">
        <v>134</v>
      </c>
      <c r="F99" s="66">
        <v>42703</v>
      </c>
      <c r="G99" s="190">
        <v>11.84</v>
      </c>
      <c r="H99" s="190">
        <v>49</v>
      </c>
      <c r="I99" s="190">
        <v>57</v>
      </c>
      <c r="J99" s="287" t="s">
        <v>34</v>
      </c>
      <c r="K99" s="83"/>
      <c r="L99" s="83"/>
      <c r="M99" s="83"/>
      <c r="N99" s="83"/>
      <c r="O99" s="83"/>
      <c r="P99" s="83"/>
      <c r="Q99" s="83"/>
      <c r="R99" s="14"/>
      <c r="S99" s="14"/>
      <c r="T99" s="153"/>
      <c r="U99" s="153"/>
      <c r="V99" s="152"/>
      <c r="W99" s="152"/>
    </row>
    <row r="100" spans="2:23" s="10" customFormat="1" ht="21.75" customHeight="1" x14ac:dyDescent="0.2">
      <c r="B100" s="278"/>
      <c r="C100" s="284"/>
      <c r="D100" s="284"/>
      <c r="E100" s="200" t="s">
        <v>1181</v>
      </c>
      <c r="F100" s="200"/>
      <c r="G100" s="26"/>
      <c r="H100" s="15"/>
      <c r="I100" s="15"/>
      <c r="J100" s="287"/>
      <c r="K100" s="143">
        <f>(G99*H99*0.0036*$Q$4)*365</f>
        <v>18295.925759999998</v>
      </c>
      <c r="L100" s="14">
        <f>(G99*I99*0.0036*$Q$4)*365</f>
        <v>21283.015679999997</v>
      </c>
      <c r="M100" s="138">
        <v>6172</v>
      </c>
      <c r="N100" s="88">
        <v>0.9</v>
      </c>
      <c r="O100" s="17">
        <f>M100*N100</f>
        <v>5554.8</v>
      </c>
      <c r="P100" s="21">
        <f>O100*M4*365</f>
        <v>101375.1</v>
      </c>
      <c r="Q100" s="21">
        <f>O100*O4*365</f>
        <v>85155.084000000017</v>
      </c>
      <c r="R100" s="14">
        <f>K100</f>
        <v>18295.925759999998</v>
      </c>
      <c r="S100" s="14">
        <f>L100</f>
        <v>21283.015679999997</v>
      </c>
      <c r="T100" s="153">
        <f>R100/$R$255</f>
        <v>6.4037166229973311E-4</v>
      </c>
      <c r="U100" s="153">
        <f>S100/$S$255</f>
        <v>9.0132766794069348E-4</v>
      </c>
      <c r="V100" s="152">
        <f>R100/$R$103</f>
        <v>3.6413660390285013E-2</v>
      </c>
      <c r="W100" s="152">
        <f>S100/$S$103</f>
        <v>6.8068637078643288E-2</v>
      </c>
    </row>
    <row r="101" spans="2:23" s="10" customFormat="1" ht="21.75" customHeight="1" x14ac:dyDescent="0.2">
      <c r="B101" s="278"/>
      <c r="C101" s="193"/>
      <c r="D101" s="193" t="s">
        <v>20</v>
      </c>
      <c r="E101" s="200" t="s">
        <v>1186</v>
      </c>
      <c r="F101" s="200"/>
      <c r="G101" s="26"/>
      <c r="H101" s="15"/>
      <c r="I101" s="15"/>
      <c r="J101" s="190"/>
      <c r="K101" s="143"/>
      <c r="L101" s="14"/>
      <c r="M101" s="138"/>
      <c r="N101" s="88"/>
      <c r="O101" s="17"/>
      <c r="P101" s="21"/>
      <c r="Q101" s="21"/>
      <c r="R101" s="14">
        <f>'tabla PPT'!G33</f>
        <v>44210.025447420732</v>
      </c>
      <c r="S101" s="14">
        <f>'tabla PPT'!H33</f>
        <v>51498.977522691261</v>
      </c>
      <c r="T101" s="153">
        <f>R101/$R$255</f>
        <v>1.5473853500200428E-3</v>
      </c>
      <c r="U101" s="153">
        <f>S101/$S$255</f>
        <v>2.1809622287445266E-3</v>
      </c>
      <c r="V101" s="152">
        <f>R101/$R$103</f>
        <v>8.798947227955066E-2</v>
      </c>
      <c r="W101" s="152">
        <f>S101/$S$103</f>
        <v>0.16470716667316199</v>
      </c>
    </row>
    <row r="102" spans="2:23" s="10" customFormat="1" ht="21.75" customHeight="1" x14ac:dyDescent="0.25">
      <c r="B102" s="279"/>
      <c r="C102" s="193"/>
      <c r="D102" s="29" t="s">
        <v>335</v>
      </c>
      <c r="E102" s="194" t="s">
        <v>336</v>
      </c>
      <c r="F102" s="200"/>
      <c r="G102" s="26"/>
      <c r="H102" s="15"/>
      <c r="I102" s="15"/>
      <c r="J102" s="190"/>
      <c r="K102" s="143"/>
      <c r="L102" s="14"/>
      <c r="M102" s="138"/>
      <c r="N102" s="88"/>
      <c r="O102" s="17"/>
      <c r="P102" s="21"/>
      <c r="Q102" s="21"/>
      <c r="R102" s="14">
        <f>'Resumen cargas Cafeteros'!E14</f>
        <v>289423.08107145596</v>
      </c>
      <c r="S102" s="14">
        <f>'Resumen cargas Cafeteros'!F14</f>
        <v>78933.567564942525</v>
      </c>
      <c r="T102" s="153">
        <f>R102/$R$255</f>
        <v>1.0130033427378679E-2</v>
      </c>
      <c r="U102" s="153">
        <f>S102/$S$255</f>
        <v>3.3428067453055983E-3</v>
      </c>
      <c r="V102" s="171">
        <f>R102/$R$103</f>
        <v>0.57602735830329066</v>
      </c>
      <c r="W102" s="171">
        <f>S102/$S$103</f>
        <v>0.25245014356445949</v>
      </c>
    </row>
    <row r="103" spans="2:23" s="10" customFormat="1" ht="27" customHeight="1" x14ac:dyDescent="0.25">
      <c r="B103" s="284" t="s">
        <v>248</v>
      </c>
      <c r="C103" s="284"/>
      <c r="D103" s="284"/>
      <c r="E103" s="285"/>
      <c r="F103" s="285"/>
      <c r="G103" s="285"/>
      <c r="H103" s="285"/>
      <c r="I103" s="285"/>
      <c r="J103" s="285"/>
      <c r="K103" s="285"/>
      <c r="L103" s="285"/>
      <c r="M103" s="197"/>
      <c r="N103" s="197"/>
      <c r="O103" s="197"/>
      <c r="P103" s="197"/>
      <c r="Q103" s="197"/>
      <c r="R103" s="256">
        <f>SUM(R96:R102)</f>
        <v>502446.76211901131</v>
      </c>
      <c r="S103" s="256">
        <f>SUM(S96:S102)</f>
        <v>312669.92543732887</v>
      </c>
      <c r="T103" s="154">
        <f>R103/$R$255</f>
        <v>1.7586028304657369E-2</v>
      </c>
      <c r="U103" s="154">
        <f>S103/$S$255</f>
        <v>1.324145313647667E-2</v>
      </c>
      <c r="V103" s="12"/>
      <c r="W103" s="12"/>
    </row>
    <row r="104" spans="2:23" s="10" customFormat="1" ht="29.25" customHeight="1" x14ac:dyDescent="0.2">
      <c r="B104" s="277" t="s">
        <v>72</v>
      </c>
      <c r="C104" s="277" t="s">
        <v>73</v>
      </c>
      <c r="D104" s="284" t="s">
        <v>150</v>
      </c>
      <c r="E104" s="194" t="s">
        <v>134</v>
      </c>
      <c r="F104" s="66">
        <v>42649</v>
      </c>
      <c r="G104" s="70">
        <v>26.6</v>
      </c>
      <c r="H104" s="190">
        <v>24</v>
      </c>
      <c r="I104" s="190">
        <v>40</v>
      </c>
      <c r="J104" s="287" t="s">
        <v>34</v>
      </c>
      <c r="K104" s="14"/>
      <c r="L104" s="14"/>
      <c r="M104" s="14"/>
      <c r="N104" s="14"/>
      <c r="O104" s="14"/>
      <c r="P104" s="14"/>
      <c r="Q104" s="14"/>
      <c r="R104" s="14"/>
      <c r="S104" s="14"/>
      <c r="T104" s="153"/>
      <c r="U104" s="153"/>
      <c r="V104" s="12"/>
      <c r="W104" s="12"/>
    </row>
    <row r="105" spans="2:23" s="10" customFormat="1" ht="29.25" customHeight="1" x14ac:dyDescent="0.2">
      <c r="B105" s="278"/>
      <c r="C105" s="278"/>
      <c r="D105" s="284"/>
      <c r="E105" s="194" t="s">
        <v>1181</v>
      </c>
      <c r="F105" s="194"/>
      <c r="G105" s="190">
        <f>SUM(G104:G104)</f>
        <v>26.6</v>
      </c>
      <c r="H105" s="190">
        <v>26.94</v>
      </c>
      <c r="I105" s="190">
        <v>34</v>
      </c>
      <c r="J105" s="287"/>
      <c r="K105" s="14">
        <f>(G105*H105*0.0036*$Q$4)*365</f>
        <v>22598.823744000005</v>
      </c>
      <c r="L105" s="14">
        <f>(G105*I105*0.0036*$Q$4)*365</f>
        <v>28521.158400000004</v>
      </c>
      <c r="M105" s="138">
        <v>16090</v>
      </c>
      <c r="N105" s="88">
        <v>0.9</v>
      </c>
      <c r="O105" s="17">
        <f>M105*N105</f>
        <v>14481</v>
      </c>
      <c r="P105" s="21">
        <f>O105*M4*365</f>
        <v>264278.25</v>
      </c>
      <c r="Q105" s="21">
        <f>O105*O4*365</f>
        <v>221993.73</v>
      </c>
      <c r="R105" s="14">
        <f>K105</f>
        <v>22598.823744000005</v>
      </c>
      <c r="S105" s="14">
        <f>L105</f>
        <v>28521.158400000004</v>
      </c>
      <c r="T105" s="153">
        <f t="shared" ref="T105:T116" si="22">R105/$R$255</f>
        <v>7.9097644561954992E-4</v>
      </c>
      <c r="U105" s="153">
        <f t="shared" ref="U105:U116" si="23">S105/$S$255</f>
        <v>1.207860275731335E-3</v>
      </c>
      <c r="V105" s="152">
        <f>R105/$R$114</f>
        <v>3.7765759325815419E-2</v>
      </c>
      <c r="W105" s="152">
        <f>S105/$S$114</f>
        <v>6.4067966979293206E-2</v>
      </c>
    </row>
    <row r="106" spans="2:23" s="10" customFormat="1" ht="29.25" customHeight="1" x14ac:dyDescent="0.2">
      <c r="B106" s="278"/>
      <c r="C106" s="278"/>
      <c r="D106" s="193"/>
      <c r="E106" s="194" t="s">
        <v>1182</v>
      </c>
      <c r="F106" s="194"/>
      <c r="G106" s="190"/>
      <c r="H106" s="190"/>
      <c r="I106" s="190"/>
      <c r="J106" s="190"/>
      <c r="K106" s="14"/>
      <c r="L106" s="14"/>
      <c r="M106" s="138"/>
      <c r="N106" s="88"/>
      <c r="O106" s="17"/>
      <c r="P106" s="21"/>
      <c r="Q106" s="21"/>
      <c r="R106" s="14">
        <f>'tabla PPT'!G12</f>
        <v>190048.90736712396</v>
      </c>
      <c r="S106" s="14">
        <f>'tabla PPT'!H12</f>
        <v>221382.46494229406</v>
      </c>
      <c r="T106" s="153">
        <f t="shared" si="22"/>
        <v>6.651859890851086E-3</v>
      </c>
      <c r="U106" s="153">
        <f t="shared" si="23"/>
        <v>9.3754636960075889E-3</v>
      </c>
      <c r="V106" s="152">
        <f>R106/$R$114</f>
        <v>0.3175980031999045</v>
      </c>
      <c r="W106" s="152">
        <f>S106/$S$114</f>
        <v>0.49729833041134219</v>
      </c>
    </row>
    <row r="107" spans="2:23" s="10" customFormat="1" ht="29.25" customHeight="1" x14ac:dyDescent="0.2">
      <c r="B107" s="278"/>
      <c r="C107" s="278"/>
      <c r="D107" s="193" t="s">
        <v>147</v>
      </c>
      <c r="E107" s="194" t="s">
        <v>303</v>
      </c>
      <c r="F107" s="200"/>
      <c r="G107" s="190"/>
      <c r="H107" s="190"/>
      <c r="I107" s="190"/>
      <c r="J107" s="190" t="s">
        <v>34</v>
      </c>
      <c r="K107" s="14"/>
      <c r="L107" s="14"/>
      <c r="M107" s="14"/>
      <c r="N107" s="14"/>
      <c r="O107" s="14"/>
      <c r="P107" s="14"/>
      <c r="Q107" s="14"/>
      <c r="R107" s="14"/>
      <c r="S107" s="14"/>
      <c r="T107" s="153">
        <f t="shared" si="22"/>
        <v>0</v>
      </c>
      <c r="U107" s="153">
        <f t="shared" si="23"/>
        <v>0</v>
      </c>
      <c r="V107" s="152">
        <f t="shared" ref="V107:V113" si="24">R107/$R$114</f>
        <v>0</v>
      </c>
      <c r="W107" s="152">
        <f t="shared" ref="W107:W113" si="25">S107/$S$114</f>
        <v>0</v>
      </c>
    </row>
    <row r="108" spans="2:23" s="10" customFormat="1" ht="29.25" customHeight="1" x14ac:dyDescent="0.2">
      <c r="B108" s="278"/>
      <c r="C108" s="278"/>
      <c r="D108" s="320" t="s">
        <v>304</v>
      </c>
      <c r="E108" s="12"/>
      <c r="F108" s="69">
        <v>43245</v>
      </c>
      <c r="G108" s="190">
        <f>21*0.2</f>
        <v>4.2</v>
      </c>
      <c r="H108" s="190">
        <v>12</v>
      </c>
      <c r="I108" s="190">
        <v>26</v>
      </c>
      <c r="J108" s="190"/>
      <c r="K108" s="14">
        <f>(G108*H108*0.0036*$Q$4)*365</f>
        <v>1589.4144000000001</v>
      </c>
      <c r="L108" s="14">
        <f>(G108*I108*0.0036*$Q$4)*365</f>
        <v>3443.7311999999997</v>
      </c>
      <c r="M108" s="14"/>
      <c r="N108" s="14"/>
      <c r="O108" s="14"/>
      <c r="P108" s="14"/>
      <c r="Q108" s="14"/>
      <c r="R108" s="14">
        <f t="shared" ref="R108:S112" si="26">K108</f>
        <v>1589.4144000000001</v>
      </c>
      <c r="S108" s="14">
        <f t="shared" si="26"/>
        <v>3443.7311999999997</v>
      </c>
      <c r="T108" s="153">
        <f t="shared" si="22"/>
        <v>5.5630742863876439E-5</v>
      </c>
      <c r="U108" s="153">
        <f t="shared" si="23"/>
        <v>1.4584071440718903E-4</v>
      </c>
      <c r="V108" s="152">
        <f t="shared" si="24"/>
        <v>2.6561312384819186E-3</v>
      </c>
      <c r="W108" s="152">
        <f t="shared" si="25"/>
        <v>7.7357607188620258E-3</v>
      </c>
    </row>
    <row r="109" spans="2:23" s="10" customFormat="1" ht="29.25" customHeight="1" x14ac:dyDescent="0.2">
      <c r="B109" s="278"/>
      <c r="C109" s="278"/>
      <c r="D109" s="321"/>
      <c r="E109" s="12"/>
      <c r="F109" s="69"/>
      <c r="G109" s="190"/>
      <c r="H109" s="190">
        <v>26</v>
      </c>
      <c r="I109" s="190">
        <v>27</v>
      </c>
      <c r="J109" s="190"/>
      <c r="K109" s="14">
        <f>(G109*H109*0.0036*$Q$4)*365</f>
        <v>0</v>
      </c>
      <c r="L109" s="14">
        <f>(G109*I109*0.0036*$Q$4)*365</f>
        <v>0</v>
      </c>
      <c r="M109" s="14"/>
      <c r="N109" s="14"/>
      <c r="O109" s="14"/>
      <c r="P109" s="14"/>
      <c r="Q109" s="14"/>
      <c r="R109" s="14">
        <f t="shared" si="26"/>
        <v>0</v>
      </c>
      <c r="S109" s="14">
        <f t="shared" si="26"/>
        <v>0</v>
      </c>
      <c r="T109" s="153">
        <f t="shared" si="22"/>
        <v>0</v>
      </c>
      <c r="U109" s="153">
        <f t="shared" si="23"/>
        <v>0</v>
      </c>
      <c r="V109" s="152">
        <f t="shared" si="24"/>
        <v>0</v>
      </c>
      <c r="W109" s="152">
        <f t="shared" si="25"/>
        <v>0</v>
      </c>
    </row>
    <row r="110" spans="2:23" s="10" customFormat="1" ht="29.25" customHeight="1" x14ac:dyDescent="0.25">
      <c r="B110" s="278"/>
      <c r="C110" s="278"/>
      <c r="D110" s="200" t="s">
        <v>305</v>
      </c>
      <c r="E110" s="12"/>
      <c r="F110" s="69"/>
      <c r="G110" s="190">
        <v>6</v>
      </c>
      <c r="H110" s="260">
        <v>17.5</v>
      </c>
      <c r="I110" s="42">
        <v>184</v>
      </c>
      <c r="J110" s="190"/>
      <c r="K110" s="14">
        <f>(G110*H110*0.0036*$Q$4)*365</f>
        <v>3311.2799999999997</v>
      </c>
      <c r="L110" s="14">
        <f>(G110*I110*0.0036*$Q$4)*365</f>
        <v>34815.743999999999</v>
      </c>
      <c r="M110" s="14"/>
      <c r="N110" s="14"/>
      <c r="O110" s="14"/>
      <c r="P110" s="14"/>
      <c r="Q110" s="14"/>
      <c r="R110" s="14">
        <f t="shared" si="26"/>
        <v>3311.2799999999997</v>
      </c>
      <c r="S110" s="14">
        <f t="shared" si="26"/>
        <v>34815.743999999999</v>
      </c>
      <c r="T110" s="153">
        <f t="shared" si="22"/>
        <v>1.1589738096640922E-4</v>
      </c>
      <c r="U110" s="153">
        <f t="shared" si="23"/>
        <v>1.4744335962045484E-3</v>
      </c>
      <c r="V110" s="152">
        <f t="shared" si="24"/>
        <v>5.5336067468373298E-3</v>
      </c>
      <c r="W110" s="152">
        <f t="shared" si="25"/>
        <v>7.8207690784099601E-2</v>
      </c>
    </row>
    <row r="111" spans="2:23" s="10" customFormat="1" ht="29.25" customHeight="1" x14ac:dyDescent="0.2">
      <c r="B111" s="278"/>
      <c r="C111" s="278"/>
      <c r="D111" s="200" t="s">
        <v>306</v>
      </c>
      <c r="E111" s="12"/>
      <c r="F111" s="69"/>
      <c r="G111" s="190">
        <f>14.53*0.2</f>
        <v>2.9060000000000001</v>
      </c>
      <c r="H111" s="190">
        <v>30.1</v>
      </c>
      <c r="I111" s="190">
        <v>170</v>
      </c>
      <c r="J111" s="190" t="s">
        <v>132</v>
      </c>
      <c r="K111" s="14">
        <f>(G111*H111*0.0036*$Q$4)*365</f>
        <v>2758.4728416000003</v>
      </c>
      <c r="L111" s="14">
        <f>(G111*I111*0.0036*$Q$4)*365</f>
        <v>15579.414720000001</v>
      </c>
      <c r="M111" s="14"/>
      <c r="N111" s="14"/>
      <c r="O111" s="14"/>
      <c r="P111" s="14"/>
      <c r="Q111" s="14"/>
      <c r="R111" s="14">
        <f t="shared" si="26"/>
        <v>2758.4728416000003</v>
      </c>
      <c r="S111" s="14">
        <f t="shared" si="26"/>
        <v>15579.414720000001</v>
      </c>
      <c r="T111" s="153">
        <f t="shared" si="22"/>
        <v>9.6548699538670437E-5</v>
      </c>
      <c r="U111" s="153">
        <f t="shared" si="23"/>
        <v>6.5978232354798108E-4</v>
      </c>
      <c r="V111" s="152">
        <f t="shared" si="24"/>
        <v>4.6097895458086608E-3</v>
      </c>
      <c r="W111" s="152">
        <f t="shared" si="25"/>
        <v>3.4996524819892114E-2</v>
      </c>
    </row>
    <row r="112" spans="2:23" s="10" customFormat="1" ht="29.25" customHeight="1" x14ac:dyDescent="0.2">
      <c r="B112" s="278"/>
      <c r="C112" s="278"/>
      <c r="D112" s="200" t="s">
        <v>307</v>
      </c>
      <c r="E112" s="12"/>
      <c r="F112" s="69">
        <v>42353</v>
      </c>
      <c r="G112" s="190">
        <v>31.5</v>
      </c>
      <c r="H112" s="190">
        <v>6.35</v>
      </c>
      <c r="I112" s="190">
        <v>40.299999999999997</v>
      </c>
      <c r="J112" s="190" t="s">
        <v>34</v>
      </c>
      <c r="K112" s="14">
        <f>(G112*H112*0.0036*$Q$4)*365</f>
        <v>6307.9883999999993</v>
      </c>
      <c r="L112" s="14">
        <f>(G112*I112*0.0036*$Q$4)*365</f>
        <v>40033.375199999995</v>
      </c>
      <c r="M112" s="14"/>
      <c r="N112" s="14"/>
      <c r="O112" s="14"/>
      <c r="P112" s="14"/>
      <c r="Q112" s="14"/>
      <c r="R112" s="14">
        <f t="shared" si="26"/>
        <v>6307.9883999999993</v>
      </c>
      <c r="S112" s="14">
        <f t="shared" si="26"/>
        <v>40033.375199999995</v>
      </c>
      <c r="T112" s="153">
        <f t="shared" si="22"/>
        <v>2.2078451074100956E-4</v>
      </c>
      <c r="U112" s="153">
        <f t="shared" si="23"/>
        <v>1.6953983049835723E-3</v>
      </c>
      <c r="V112" s="152">
        <f t="shared" si="24"/>
        <v>1.0541520852725111E-2</v>
      </c>
      <c r="W112" s="152">
        <f t="shared" si="25"/>
        <v>8.9928218356771047E-2</v>
      </c>
    </row>
    <row r="113" spans="2:23" s="10" customFormat="1" ht="29.25" customHeight="1" x14ac:dyDescent="0.2">
      <c r="B113" s="279"/>
      <c r="C113" s="279"/>
      <c r="D113" s="194" t="s">
        <v>1123</v>
      </c>
      <c r="E113" s="12"/>
      <c r="F113" s="69"/>
      <c r="G113" s="190"/>
      <c r="H113" s="190"/>
      <c r="I113" s="190"/>
      <c r="J113" s="190"/>
      <c r="K113" s="14"/>
      <c r="L113" s="14"/>
      <c r="M113" s="14"/>
      <c r="N113" s="14"/>
      <c r="O113" s="14"/>
      <c r="P113" s="14"/>
      <c r="Q113" s="14"/>
      <c r="R113" s="14">
        <f>'Resumen cargas Cafeteros'!E15</f>
        <v>371779.64171508315</v>
      </c>
      <c r="S113" s="14">
        <f>'Resumen cargas Cafeteros'!F15</f>
        <v>101394.44774047719</v>
      </c>
      <c r="T113" s="153">
        <f t="shared" si="22"/>
        <v>1.3012577242458542E-2</v>
      </c>
      <c r="U113" s="153">
        <f t="shared" si="23"/>
        <v>4.2940165293370129E-3</v>
      </c>
      <c r="V113" s="171">
        <f t="shared" si="24"/>
        <v>0.62129518909042702</v>
      </c>
      <c r="W113" s="171">
        <f t="shared" si="25"/>
        <v>0.22776550792973971</v>
      </c>
    </row>
    <row r="114" spans="2:23" s="10" customFormat="1" ht="29.25" customHeight="1" x14ac:dyDescent="0.25">
      <c r="B114" s="284" t="s">
        <v>249</v>
      </c>
      <c r="C114" s="284"/>
      <c r="D114" s="284"/>
      <c r="E114" s="294"/>
      <c r="F114" s="294"/>
      <c r="G114" s="294"/>
      <c r="H114" s="294"/>
      <c r="I114" s="294"/>
      <c r="J114" s="294"/>
      <c r="K114" s="294"/>
      <c r="L114" s="294"/>
      <c r="M114" s="200"/>
      <c r="N114" s="200"/>
      <c r="O114" s="200"/>
      <c r="P114" s="200"/>
      <c r="Q114" s="200"/>
      <c r="R114" s="54">
        <f>SUM(R105:R113)</f>
        <v>598394.5284678071</v>
      </c>
      <c r="S114" s="54">
        <f>SUM(S105:S113)</f>
        <v>445170.33620277129</v>
      </c>
      <c r="T114" s="154">
        <f t="shared" si="22"/>
        <v>2.0944274913039143E-2</v>
      </c>
      <c r="U114" s="154">
        <f t="shared" si="23"/>
        <v>1.8852795440219228E-2</v>
      </c>
      <c r="V114" s="12"/>
      <c r="W114" s="12"/>
    </row>
    <row r="115" spans="2:23" s="10" customFormat="1" ht="25.5" customHeight="1" x14ac:dyDescent="0.2">
      <c r="B115" s="277" t="s">
        <v>74</v>
      </c>
      <c r="C115" s="193" t="s">
        <v>75</v>
      </c>
      <c r="D115" s="50" t="s">
        <v>233</v>
      </c>
      <c r="E115" s="194" t="s">
        <v>1187</v>
      </c>
      <c r="F115" s="66">
        <v>42997</v>
      </c>
      <c r="G115" s="190">
        <v>7.07</v>
      </c>
      <c r="H115" s="190">
        <v>47</v>
      </c>
      <c r="I115" s="190">
        <v>38.700000000000003</v>
      </c>
      <c r="J115" s="190" t="s">
        <v>34</v>
      </c>
      <c r="K115" s="14">
        <f>(G115*H115*0.0036*$Q$4)*365</f>
        <v>10479.097440000001</v>
      </c>
      <c r="L115" s="14">
        <f>(G115*I115*0.0036*$Q$4)*365</f>
        <v>8628.5334240000011</v>
      </c>
      <c r="M115" s="138">
        <v>5286</v>
      </c>
      <c r="N115" s="88">
        <v>0.9</v>
      </c>
      <c r="O115" s="17">
        <f>M115*N115</f>
        <v>4757.4000000000005</v>
      </c>
      <c r="P115" s="21">
        <f>O115*M4*365</f>
        <v>86822.550000000017</v>
      </c>
      <c r="Q115" s="21">
        <f>O115*O4*365</f>
        <v>72930.94200000001</v>
      </c>
      <c r="R115" s="14">
        <f>K115</f>
        <v>10479.097440000001</v>
      </c>
      <c r="S115" s="14">
        <f>L115</f>
        <v>8628.5334240000011</v>
      </c>
      <c r="T115" s="153">
        <f t="shared" si="22"/>
        <v>3.6677657829836311E-4</v>
      </c>
      <c r="U115" s="153">
        <f t="shared" si="23"/>
        <v>3.6541512846370502E-4</v>
      </c>
      <c r="V115" s="172">
        <f>R115/$R$137</f>
        <v>7.4028931273006724E-3</v>
      </c>
      <c r="W115" s="172">
        <f>S115/$S$137</f>
        <v>7.6904470107280777E-3</v>
      </c>
    </row>
    <row r="116" spans="2:23" s="10" customFormat="1" ht="25.5" customHeight="1" x14ac:dyDescent="0.2">
      <c r="B116" s="279"/>
      <c r="C116" s="193"/>
      <c r="D116" s="50" t="s">
        <v>20</v>
      </c>
      <c r="E116" s="194" t="s">
        <v>1182</v>
      </c>
      <c r="F116" s="66"/>
      <c r="G116" s="190"/>
      <c r="H116" s="190"/>
      <c r="I116" s="190"/>
      <c r="J116" s="190"/>
      <c r="K116" s="14"/>
      <c r="L116" s="14"/>
      <c r="M116" s="138"/>
      <c r="N116" s="88"/>
      <c r="O116" s="17"/>
      <c r="P116" s="21"/>
      <c r="Q116" s="21"/>
      <c r="R116" s="14">
        <f>'tabla PPT'!G20</f>
        <v>115049.75705453519</v>
      </c>
      <c r="S116" s="14">
        <f>'tabla PPT'!H20</f>
        <v>134018.12807344281</v>
      </c>
      <c r="T116" s="153">
        <f t="shared" si="22"/>
        <v>4.0268311720670835E-3</v>
      </c>
      <c r="U116" s="153">
        <f t="shared" si="23"/>
        <v>5.6756170579588374E-3</v>
      </c>
      <c r="V116" s="172">
        <f>R116/$R$137</f>
        <v>8.1276184392138878E-2</v>
      </c>
      <c r="W116" s="172">
        <f>S116/$S$137</f>
        <v>0.11944779741584285</v>
      </c>
    </row>
    <row r="117" spans="2:23" s="10" customFormat="1" ht="23.25" customHeight="1" x14ac:dyDescent="0.2">
      <c r="B117" s="277" t="s">
        <v>76</v>
      </c>
      <c r="C117" s="284" t="s">
        <v>75</v>
      </c>
      <c r="D117" s="284" t="s">
        <v>77</v>
      </c>
      <c r="E117" s="27" t="s">
        <v>78</v>
      </c>
      <c r="F117" s="66">
        <v>42986</v>
      </c>
      <c r="G117" s="261">
        <v>40.700000000000003</v>
      </c>
      <c r="H117" s="191">
        <v>84</v>
      </c>
      <c r="I117" s="191">
        <v>38</v>
      </c>
      <c r="J117" s="293" t="s">
        <v>34</v>
      </c>
      <c r="K117" s="14">
        <f>(G117*H117*0.0036*$Q$4)*365</f>
        <v>107815.27680000001</v>
      </c>
      <c r="L117" s="14">
        <f>(G117*I117*0.0036*$Q$4)*365</f>
        <v>48773.577600000011</v>
      </c>
      <c r="M117" s="14"/>
      <c r="N117" s="14"/>
      <c r="O117" s="14"/>
      <c r="P117" s="14"/>
      <c r="Q117" s="14"/>
      <c r="R117" s="14"/>
      <c r="S117" s="14"/>
      <c r="T117" s="153"/>
      <c r="U117" s="153"/>
      <c r="V117" s="172"/>
      <c r="W117" s="172"/>
    </row>
    <row r="118" spans="2:23" s="10" customFormat="1" ht="26.25" customHeight="1" x14ac:dyDescent="0.2">
      <c r="B118" s="278"/>
      <c r="C118" s="284"/>
      <c r="D118" s="284"/>
      <c r="E118" s="27" t="s">
        <v>292</v>
      </c>
      <c r="F118" s="27"/>
      <c r="G118" s="262">
        <v>10.37</v>
      </c>
      <c r="H118" s="191">
        <v>112</v>
      </c>
      <c r="I118" s="191">
        <v>84</v>
      </c>
      <c r="J118" s="293"/>
      <c r="K118" s="14">
        <f>(G118*H118*0.0036*$Q$4)*365</f>
        <v>36627.171839999995</v>
      </c>
      <c r="L118" s="14">
        <f>(G118*I118*0.0036*$Q$4)*365</f>
        <v>27470.378879999997</v>
      </c>
      <c r="M118" s="14"/>
      <c r="N118" s="14"/>
      <c r="O118" s="14"/>
      <c r="P118" s="14"/>
      <c r="Q118" s="14"/>
      <c r="R118" s="14"/>
      <c r="S118" s="14"/>
      <c r="T118" s="153"/>
      <c r="U118" s="153"/>
      <c r="V118" s="172"/>
      <c r="W118" s="172"/>
    </row>
    <row r="119" spans="2:23" s="10" customFormat="1" ht="28.5" customHeight="1" x14ac:dyDescent="0.2">
      <c r="B119" s="278"/>
      <c r="C119" s="284"/>
      <c r="D119" s="284"/>
      <c r="E119" s="27" t="s">
        <v>79</v>
      </c>
      <c r="F119" s="27"/>
      <c r="G119" s="262">
        <v>4.08</v>
      </c>
      <c r="H119" s="191">
        <v>155</v>
      </c>
      <c r="I119" s="191">
        <v>98</v>
      </c>
      <c r="J119" s="293"/>
      <c r="K119" s="14">
        <f>(G119*H119*0.0036*$Q$4)*365</f>
        <v>19943.366399999999</v>
      </c>
      <c r="L119" s="14">
        <f>(G119*I119*0.0036*$Q$4)*365</f>
        <v>12609.354240000001</v>
      </c>
      <c r="M119" s="14"/>
      <c r="N119" s="14"/>
      <c r="O119" s="14"/>
      <c r="P119" s="14"/>
      <c r="Q119" s="14"/>
      <c r="R119" s="14"/>
      <c r="S119" s="14"/>
      <c r="T119" s="153"/>
      <c r="U119" s="153"/>
      <c r="V119" s="172"/>
      <c r="W119" s="172"/>
    </row>
    <row r="120" spans="2:23" s="10" customFormat="1" ht="25.5" customHeight="1" x14ac:dyDescent="0.2">
      <c r="B120" s="278"/>
      <c r="C120" s="284"/>
      <c r="D120" s="284"/>
      <c r="E120" s="27" t="s">
        <v>80</v>
      </c>
      <c r="F120" s="27"/>
      <c r="G120" s="262">
        <v>2.78</v>
      </c>
      <c r="H120" s="191">
        <v>143</v>
      </c>
      <c r="I120" s="191">
        <v>475</v>
      </c>
      <c r="J120" s="293"/>
      <c r="K120" s="14">
        <f>(G120*H120*0.0036*$Q$4)*365</f>
        <v>12536.821439999998</v>
      </c>
      <c r="L120" s="14">
        <f>(G120*I120*0.0036*$Q$4)*365</f>
        <v>41643.288</v>
      </c>
      <c r="M120" s="14"/>
      <c r="N120" s="14"/>
      <c r="O120" s="14"/>
      <c r="P120" s="14"/>
      <c r="Q120" s="14"/>
      <c r="R120" s="14"/>
      <c r="S120" s="14"/>
      <c r="T120" s="153"/>
      <c r="U120" s="153"/>
      <c r="V120" s="172"/>
      <c r="W120" s="172"/>
    </row>
    <row r="121" spans="2:23" s="10" customFormat="1" ht="28.5" customHeight="1" x14ac:dyDescent="0.2">
      <c r="B121" s="278"/>
      <c r="C121" s="284"/>
      <c r="D121" s="284"/>
      <c r="E121" s="27" t="s">
        <v>293</v>
      </c>
      <c r="F121" s="27"/>
      <c r="G121" s="262">
        <v>4.28</v>
      </c>
      <c r="H121" s="191">
        <v>60</v>
      </c>
      <c r="I121" s="191">
        <v>42</v>
      </c>
      <c r="J121" s="293"/>
      <c r="K121" s="14">
        <f>(G121*H121*0.0036*$Q$4)*365</f>
        <v>8098.4447999999993</v>
      </c>
      <c r="L121" s="14">
        <f>(G121*I121*0.0036*$Q$4)*365</f>
        <v>5668.9113600000001</v>
      </c>
      <c r="M121" s="14"/>
      <c r="N121" s="14"/>
      <c r="O121" s="14"/>
      <c r="P121" s="14"/>
      <c r="Q121" s="14"/>
      <c r="R121" s="14"/>
      <c r="S121" s="14"/>
      <c r="T121" s="153"/>
      <c r="U121" s="153"/>
      <c r="V121" s="172"/>
      <c r="W121" s="172"/>
    </row>
    <row r="122" spans="2:23" s="10" customFormat="1" ht="27.75" customHeight="1" x14ac:dyDescent="0.2">
      <c r="B122" s="278"/>
      <c r="C122" s="284"/>
      <c r="D122" s="284"/>
      <c r="E122" s="27" t="s">
        <v>1181</v>
      </c>
      <c r="F122" s="27"/>
      <c r="G122" s="51">
        <f>SUM(G117:G121)</f>
        <v>62.21</v>
      </c>
      <c r="H122" s="191"/>
      <c r="I122" s="191"/>
      <c r="J122" s="293"/>
      <c r="K122" s="14">
        <f>SUM(K117:K121)</f>
        <v>185021.08128000001</v>
      </c>
      <c r="L122" s="14">
        <f>SUM(L117:L121)</f>
        <v>136165.51008000001</v>
      </c>
      <c r="M122" s="138">
        <v>23763</v>
      </c>
      <c r="N122" s="88">
        <v>0.9</v>
      </c>
      <c r="O122" s="17">
        <f>M122*N122</f>
        <v>21386.7</v>
      </c>
      <c r="P122" s="21">
        <f>O122*M4*365</f>
        <v>390307.27500000002</v>
      </c>
      <c r="Q122" s="21">
        <f>O122*O4*365</f>
        <v>327858.11100000003</v>
      </c>
      <c r="R122" s="14">
        <f>K122</f>
        <v>185021.08128000001</v>
      </c>
      <c r="S122" s="14">
        <f>L122</f>
        <v>136165.51008000001</v>
      </c>
      <c r="T122" s="153">
        <f>R122/$R$255</f>
        <v>6.4758820588790827E-3</v>
      </c>
      <c r="U122" s="153">
        <f>S122/$S$255</f>
        <v>5.7665578741123878E-3</v>
      </c>
      <c r="V122" s="172"/>
      <c r="W122" s="172"/>
    </row>
    <row r="123" spans="2:23" s="10" customFormat="1" ht="27.75" customHeight="1" x14ac:dyDescent="0.2">
      <c r="B123" s="278"/>
      <c r="C123" s="193"/>
      <c r="D123" s="193" t="s">
        <v>20</v>
      </c>
      <c r="E123" s="27" t="s">
        <v>1182</v>
      </c>
      <c r="F123" s="27"/>
      <c r="G123" s="51"/>
      <c r="H123" s="191"/>
      <c r="I123" s="191"/>
      <c r="J123" s="191"/>
      <c r="K123" s="14"/>
      <c r="L123" s="14"/>
      <c r="M123" s="138"/>
      <c r="N123" s="88"/>
      <c r="O123" s="17"/>
      <c r="P123" s="21"/>
      <c r="Q123" s="21"/>
      <c r="R123" s="14">
        <f>'tabla PPT'!G4</f>
        <v>457158.9998158394</v>
      </c>
      <c r="S123" s="14">
        <f>'tabla PPT'!H4</f>
        <v>532531.27130207233</v>
      </c>
      <c r="T123" s="153">
        <f>R123/$R$255</f>
        <v>1.6000921324647553E-2</v>
      </c>
      <c r="U123" s="153">
        <f>S123/$S$255</f>
        <v>2.2552498014613578E-2</v>
      </c>
      <c r="V123" s="172"/>
      <c r="W123" s="172"/>
    </row>
    <row r="124" spans="2:23" s="10" customFormat="1" ht="27.75" customHeight="1" x14ac:dyDescent="0.2">
      <c r="B124" s="278"/>
      <c r="C124" s="193"/>
      <c r="D124" s="193"/>
      <c r="E124" s="27" t="s">
        <v>308</v>
      </c>
      <c r="F124" s="66">
        <v>42650</v>
      </c>
      <c r="G124" s="77">
        <v>0.216</v>
      </c>
      <c r="H124" s="191">
        <v>7.03</v>
      </c>
      <c r="I124" s="191">
        <v>27</v>
      </c>
      <c r="J124" s="191" t="s">
        <v>34</v>
      </c>
      <c r="K124" s="14">
        <f>(G124*H124*0.0036*$Q$4)*365</f>
        <v>47.886785280000005</v>
      </c>
      <c r="L124" s="14">
        <f>(G124*I124*0.0036*$Q$4)*365</f>
        <v>183.91795200000001</v>
      </c>
      <c r="M124" s="14"/>
      <c r="N124" s="14"/>
      <c r="O124" s="14"/>
      <c r="P124" s="14"/>
      <c r="Q124" s="14"/>
      <c r="R124" s="14">
        <f>K124</f>
        <v>47.886785280000005</v>
      </c>
      <c r="S124" s="14">
        <f>L124</f>
        <v>183.91795200000001</v>
      </c>
      <c r="T124" s="153">
        <f>R124/$R$255</f>
        <v>1.6760748099987915E-6</v>
      </c>
      <c r="U124" s="153">
        <f>S124/$S$255</f>
        <v>7.7888557364718554E-6</v>
      </c>
      <c r="V124" s="174"/>
      <c r="W124" s="174"/>
    </row>
    <row r="125" spans="2:23" s="10" customFormat="1" ht="27.75" customHeight="1" x14ac:dyDescent="0.2">
      <c r="B125" s="279"/>
      <c r="C125" s="193"/>
      <c r="D125" s="193" t="s">
        <v>1188</v>
      </c>
      <c r="E125" s="27" t="s">
        <v>309</v>
      </c>
      <c r="F125" s="66">
        <v>43097</v>
      </c>
      <c r="G125" s="77">
        <v>0.92700000000000005</v>
      </c>
      <c r="H125" s="195">
        <v>76.13</v>
      </c>
      <c r="I125" s="191">
        <v>33</v>
      </c>
      <c r="J125" s="191" t="s">
        <v>34</v>
      </c>
      <c r="K125" s="14">
        <f>(G125*H125*0.0036*$Q$4)*365</f>
        <v>2225.5746753599997</v>
      </c>
      <c r="L125" s="14">
        <f>(G125*I125*0.0036*$Q$4)*365</f>
        <v>964.71777600000007</v>
      </c>
      <c r="M125" s="14"/>
      <c r="N125" s="14"/>
      <c r="O125" s="14"/>
      <c r="P125" s="14"/>
      <c r="Q125" s="14"/>
      <c r="R125" s="14">
        <f>K125</f>
        <v>2225.5746753599997</v>
      </c>
      <c r="S125" s="14">
        <f>L125</f>
        <v>964.71777600000007</v>
      </c>
      <c r="T125" s="153">
        <f>R125/$R$255</f>
        <v>7.7896848354530709E-5</v>
      </c>
      <c r="U125" s="153">
        <f>S125/$S$255</f>
        <v>4.0855433099178755E-5</v>
      </c>
      <c r="V125" s="172"/>
      <c r="W125" s="172"/>
    </row>
    <row r="126" spans="2:23" s="10" customFormat="1" ht="23.25" customHeight="1" x14ac:dyDescent="0.2">
      <c r="B126" s="284"/>
      <c r="C126" s="284"/>
      <c r="D126" s="284"/>
      <c r="E126" s="286"/>
      <c r="F126" s="286"/>
      <c r="G126" s="286"/>
      <c r="H126" s="286"/>
      <c r="I126" s="286"/>
      <c r="J126" s="286"/>
      <c r="K126" s="286"/>
      <c r="L126" s="286"/>
      <c r="M126" s="194"/>
      <c r="N126" s="194"/>
      <c r="O126" s="194"/>
      <c r="P126" s="194"/>
      <c r="Q126" s="194"/>
      <c r="R126" s="54">
        <f>SUM(R122:R125)</f>
        <v>644453.54255647934</v>
      </c>
      <c r="S126" s="54">
        <f>SUM(S122:S125)</f>
        <v>669845.41711007245</v>
      </c>
      <c r="T126" s="153">
        <f>R126/$R$255</f>
        <v>2.2556376306691162E-2</v>
      </c>
      <c r="U126" s="153">
        <f>S126/$S$255</f>
        <v>2.8367700177561621E-2</v>
      </c>
      <c r="V126" s="172">
        <f>R126/$R$137</f>
        <v>0.45527019176719591</v>
      </c>
      <c r="W126" s="172">
        <f>S126/$S$137</f>
        <v>0.59702042427460134</v>
      </c>
    </row>
    <row r="127" spans="2:23" s="10" customFormat="1" ht="26.25" customHeight="1" x14ac:dyDescent="0.2">
      <c r="B127" s="277" t="s">
        <v>81</v>
      </c>
      <c r="C127" s="284" t="s">
        <v>75</v>
      </c>
      <c r="D127" s="284" t="s">
        <v>64</v>
      </c>
      <c r="E127" s="197" t="s">
        <v>8</v>
      </c>
      <c r="F127" s="66">
        <v>43069</v>
      </c>
      <c r="G127" s="190">
        <v>9.33</v>
      </c>
      <c r="H127" s="195">
        <v>241</v>
      </c>
      <c r="I127" s="195">
        <v>85</v>
      </c>
      <c r="J127" s="318" t="s">
        <v>34</v>
      </c>
      <c r="K127" s="14">
        <f>(G127*H127*0.0036*$Q$4)*365</f>
        <v>70909.642080000005</v>
      </c>
      <c r="L127" s="14">
        <f>(G127*I127*0.0036*$Q$4)*365</f>
        <v>25009.624800000001</v>
      </c>
      <c r="M127" s="14"/>
      <c r="N127" s="14"/>
      <c r="O127" s="14"/>
      <c r="P127" s="14"/>
      <c r="Q127" s="14"/>
      <c r="R127" s="14"/>
      <c r="S127" s="14"/>
      <c r="T127" s="153"/>
      <c r="U127" s="153"/>
      <c r="V127" s="172"/>
      <c r="W127" s="172"/>
    </row>
    <row r="128" spans="2:23" s="10" customFormat="1" ht="18.75" customHeight="1" x14ac:dyDescent="0.2">
      <c r="B128" s="278"/>
      <c r="C128" s="284"/>
      <c r="D128" s="284"/>
      <c r="E128" s="194" t="s">
        <v>1181</v>
      </c>
      <c r="F128" s="194"/>
      <c r="G128" s="190"/>
      <c r="H128" s="190"/>
      <c r="I128" s="190"/>
      <c r="J128" s="318"/>
      <c r="K128" s="14"/>
      <c r="L128" s="14"/>
      <c r="M128" s="138">
        <v>2739</v>
      </c>
      <c r="N128" s="88">
        <v>0.9</v>
      </c>
      <c r="O128" s="17">
        <f>M128*N128</f>
        <v>2465.1</v>
      </c>
      <c r="P128" s="21">
        <f>O128*M4*365</f>
        <v>44988.074999999997</v>
      </c>
      <c r="Q128" s="21">
        <f>O128*O4*365</f>
        <v>37789.983</v>
      </c>
      <c r="R128" s="14">
        <f>K127</f>
        <v>70909.642080000005</v>
      </c>
      <c r="S128" s="14">
        <f>L127</f>
        <v>25009.624800000001</v>
      </c>
      <c r="T128" s="153">
        <f>R128/$R$255</f>
        <v>2.4818927430895255E-3</v>
      </c>
      <c r="U128" s="153">
        <f>S128/$S$255</f>
        <v>1.0591481553170446E-3</v>
      </c>
      <c r="V128" s="172">
        <f>R128/$R$137</f>
        <v>5.0093675053505614E-2</v>
      </c>
      <c r="W128" s="172">
        <f>S128/$S$137</f>
        <v>2.2290600827669784E-2</v>
      </c>
    </row>
    <row r="129" spans="2:23" s="10" customFormat="1" ht="18.75" customHeight="1" x14ac:dyDescent="0.2">
      <c r="B129" s="279"/>
      <c r="C129" s="187"/>
      <c r="D129" s="187" t="s">
        <v>1189</v>
      </c>
      <c r="E129" s="194" t="s">
        <v>1182</v>
      </c>
      <c r="F129" s="194"/>
      <c r="G129" s="190"/>
      <c r="H129" s="190"/>
      <c r="I129" s="190"/>
      <c r="J129" s="195"/>
      <c r="K129" s="14"/>
      <c r="L129" s="14"/>
      <c r="M129" s="138"/>
      <c r="N129" s="88"/>
      <c r="O129" s="17"/>
      <c r="P129" s="21"/>
      <c r="Q129" s="21"/>
      <c r="R129" s="14">
        <f>'tabla PPT'!G31</f>
        <v>50030.85502392015</v>
      </c>
      <c r="S129" s="14">
        <f>'tabla PPT'!H31</f>
        <v>58279.493219975237</v>
      </c>
      <c r="T129" s="153">
        <f>R129/$R$255</f>
        <v>1.7511189222241741E-3</v>
      </c>
      <c r="U129" s="153">
        <f>S129/$S$255</f>
        <v>2.4681145051303997E-3</v>
      </c>
      <c r="V129" s="172"/>
      <c r="W129" s="172"/>
    </row>
    <row r="130" spans="2:23" s="10" customFormat="1" ht="18.75" customHeight="1" x14ac:dyDescent="0.2">
      <c r="B130" s="277" t="s">
        <v>82</v>
      </c>
      <c r="C130" s="277" t="s">
        <v>75</v>
      </c>
      <c r="D130" s="277" t="s">
        <v>231</v>
      </c>
      <c r="E130" s="194" t="s">
        <v>275</v>
      </c>
      <c r="F130" s="66">
        <v>43074</v>
      </c>
      <c r="G130" s="70">
        <v>9.8000000000000007</v>
      </c>
      <c r="H130" s="190">
        <v>204.75</v>
      </c>
      <c r="I130" s="195">
        <v>85</v>
      </c>
      <c r="J130" s="195"/>
      <c r="K130" s="14">
        <f>(G130*H130*0.0036*$Q$4)*365</f>
        <v>63278.560800000007</v>
      </c>
      <c r="L130" s="14">
        <f>(G130*I130*0.0036*$Q$4)*365</f>
        <v>26269.488000000005</v>
      </c>
      <c r="M130" s="14"/>
      <c r="N130" s="14"/>
      <c r="O130" s="14"/>
      <c r="P130" s="14"/>
      <c r="Q130" s="14"/>
      <c r="R130" s="14"/>
      <c r="S130" s="14"/>
      <c r="T130" s="153"/>
      <c r="U130" s="153"/>
      <c r="V130" s="172"/>
      <c r="W130" s="172"/>
    </row>
    <row r="131" spans="2:23" s="10" customFormat="1" ht="27" customHeight="1" x14ac:dyDescent="0.2">
      <c r="B131" s="278"/>
      <c r="C131" s="279"/>
      <c r="D131" s="279"/>
      <c r="E131" s="194" t="s">
        <v>1181</v>
      </c>
      <c r="F131" s="194"/>
      <c r="G131" s="195"/>
      <c r="H131" s="190"/>
      <c r="I131" s="190"/>
      <c r="J131" s="190" t="s">
        <v>34</v>
      </c>
      <c r="K131" s="14"/>
      <c r="L131" s="14"/>
      <c r="M131" s="138">
        <v>2449</v>
      </c>
      <c r="N131" s="88">
        <v>0.9</v>
      </c>
      <c r="O131" s="17">
        <f>M131*N131</f>
        <v>2204.1</v>
      </c>
      <c r="P131" s="21">
        <f>O131*M4*365</f>
        <v>40224.824999999997</v>
      </c>
      <c r="Q131" s="21">
        <f>O131*O4*365</f>
        <v>33788.852999999996</v>
      </c>
      <c r="R131" s="14">
        <f>K130</f>
        <v>63278.560800000007</v>
      </c>
      <c r="S131" s="14">
        <f>L130</f>
        <v>26269.488000000005</v>
      </c>
      <c r="T131" s="153">
        <f>R131/$R$255</f>
        <v>2.2147989502680808E-3</v>
      </c>
      <c r="U131" s="153">
        <f>S131/$S$255</f>
        <v>1.1125028855420191E-3</v>
      </c>
      <c r="V131" s="172">
        <f>R131/$R$137</f>
        <v>4.470274520625106E-2</v>
      </c>
      <c r="W131" s="172">
        <f>S131/$S$137</f>
        <v>2.3413492830778555E-2</v>
      </c>
    </row>
    <row r="132" spans="2:23" s="10" customFormat="1" ht="27" customHeight="1" x14ac:dyDescent="0.2">
      <c r="B132" s="279"/>
      <c r="C132" s="189"/>
      <c r="D132" s="189" t="s">
        <v>1189</v>
      </c>
      <c r="E132" s="194" t="s">
        <v>1182</v>
      </c>
      <c r="F132" s="194"/>
      <c r="G132" s="195"/>
      <c r="H132" s="190"/>
      <c r="I132" s="190"/>
      <c r="J132" s="190"/>
      <c r="K132" s="14"/>
      <c r="L132" s="14"/>
      <c r="M132" s="138"/>
      <c r="N132" s="88"/>
      <c r="O132" s="17"/>
      <c r="P132" s="21"/>
      <c r="Q132" s="21"/>
      <c r="R132" s="14">
        <f>'tabla PPT'!G34</f>
        <v>37128.408897873858</v>
      </c>
      <c r="S132" s="14">
        <f>'tabla PPT'!H34</f>
        <v>43249.807615671685</v>
      </c>
      <c r="T132" s="153">
        <f>R132/$R$255</f>
        <v>1.2995232510429515E-3</v>
      </c>
      <c r="U132" s="153">
        <f>S132/$S$255</f>
        <v>1.8316130018054381E-3</v>
      </c>
      <c r="V132" s="172"/>
      <c r="W132" s="172"/>
    </row>
    <row r="133" spans="2:23" s="10" customFormat="1" ht="21.75" customHeight="1" x14ac:dyDescent="0.2">
      <c r="B133" s="277" t="s">
        <v>83</v>
      </c>
      <c r="C133" s="284" t="s">
        <v>75</v>
      </c>
      <c r="D133" s="284" t="s">
        <v>64</v>
      </c>
      <c r="E133" s="194" t="s">
        <v>135</v>
      </c>
      <c r="F133" s="66">
        <v>43031</v>
      </c>
      <c r="G133" s="190">
        <v>3.74</v>
      </c>
      <c r="H133" s="195">
        <v>32</v>
      </c>
      <c r="I133" s="195">
        <v>13</v>
      </c>
      <c r="J133" s="319" t="s">
        <v>34</v>
      </c>
      <c r="K133" s="12"/>
      <c r="L133" s="12"/>
      <c r="M133" s="12"/>
      <c r="N133" s="12"/>
      <c r="O133" s="12"/>
      <c r="P133" s="12"/>
      <c r="Q133" s="12"/>
      <c r="R133" s="14"/>
      <c r="S133" s="30"/>
      <c r="T133" s="153"/>
      <c r="U133" s="153"/>
      <c r="V133" s="172"/>
      <c r="W133" s="172"/>
    </row>
    <row r="134" spans="2:23" s="10" customFormat="1" ht="21.75" customHeight="1" x14ac:dyDescent="0.2">
      <c r="B134" s="278"/>
      <c r="C134" s="284"/>
      <c r="D134" s="284"/>
      <c r="E134" s="194" t="s">
        <v>1181</v>
      </c>
      <c r="F134" s="194"/>
      <c r="G134" s="190">
        <f>SUM(G133:G133)</f>
        <v>3.74</v>
      </c>
      <c r="H134" s="52"/>
      <c r="I134" s="53"/>
      <c r="J134" s="319"/>
      <c r="K134" s="28">
        <f>(G133*H133*0.0036*$Q$4)*365</f>
        <v>3774.2284799999998</v>
      </c>
      <c r="L134" s="28">
        <f>(G133*I133*0.0036*$Q$4)*365</f>
        <v>1533.2803200000001</v>
      </c>
      <c r="M134" s="138">
        <v>5475</v>
      </c>
      <c r="N134" s="88">
        <v>0.9</v>
      </c>
      <c r="O134" s="17">
        <f>M134*N134</f>
        <v>4927.5</v>
      </c>
      <c r="P134" s="21">
        <f>O134*M4*365</f>
        <v>89926.875</v>
      </c>
      <c r="Q134" s="21">
        <f>O134*O4*365</f>
        <v>75538.575000000012</v>
      </c>
      <c r="R134" s="14">
        <f>K134</f>
        <v>3774.2284799999998</v>
      </c>
      <c r="S134" s="14">
        <f>L134</f>
        <v>1533.2803200000001</v>
      </c>
      <c r="T134" s="153">
        <f>R134/$R$255</f>
        <v>1.3210093861009388E-4</v>
      </c>
      <c r="U134" s="153">
        <f>S134/$S$255</f>
        <v>6.4933841890819886E-5</v>
      </c>
      <c r="V134" s="172">
        <f>R134/$R$137</f>
        <v>2.6662802054691513E-3</v>
      </c>
      <c r="W134" s="172">
        <f>S134/$S$137</f>
        <v>1.3665834591025847E-3</v>
      </c>
    </row>
    <row r="135" spans="2:23" s="10" customFormat="1" ht="21.75" customHeight="1" x14ac:dyDescent="0.2">
      <c r="B135" s="278"/>
      <c r="C135" s="193"/>
      <c r="D135" s="193" t="s">
        <v>1189</v>
      </c>
      <c r="E135" s="194" t="s">
        <v>1182</v>
      </c>
      <c r="F135" s="194"/>
      <c r="G135" s="190"/>
      <c r="H135" s="52"/>
      <c r="I135" s="53"/>
      <c r="J135" s="202"/>
      <c r="K135" s="28"/>
      <c r="L135" s="28"/>
      <c r="M135" s="138"/>
      <c r="N135" s="88"/>
      <c r="O135" s="17"/>
      <c r="P135" s="21"/>
      <c r="Q135" s="21"/>
      <c r="R135" s="14">
        <f>'tabla PPT'!G32</f>
        <v>45376.547973885194</v>
      </c>
      <c r="S135" s="14">
        <f>'tabla PPT'!H32</f>
        <v>52857.825810203634</v>
      </c>
      <c r="T135" s="153">
        <f>R135/$R$255</f>
        <v>1.5882145476884821E-3</v>
      </c>
      <c r="U135" s="153">
        <f>S135/$S$255</f>
        <v>2.238508940004044E-3</v>
      </c>
      <c r="V135" s="172"/>
      <c r="W135" s="172"/>
    </row>
    <row r="136" spans="2:23" s="10" customFormat="1" ht="25.5" customHeight="1" x14ac:dyDescent="0.25">
      <c r="B136" s="279"/>
      <c r="C136" s="29"/>
      <c r="D136" s="194" t="s">
        <v>1124</v>
      </c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54">
        <f>'Resumen cargas Cafeteros'!E16</f>
        <v>375060.18404409743</v>
      </c>
      <c r="S136" s="54">
        <f>'Resumen cargas Cafeteros'!F16</f>
        <v>102289.14110293564</v>
      </c>
      <c r="T136" s="153">
        <f>R136/$R$255</f>
        <v>1.3127398780982074E-2</v>
      </c>
      <c r="U136" s="153">
        <f>S136/$S$255</f>
        <v>4.3319064549956453E-3</v>
      </c>
      <c r="V136" s="177">
        <f>R136/$R$137</f>
        <v>0.26495893130889464</v>
      </c>
      <c r="W136" s="177">
        <f>S136/$S$137</f>
        <v>9.1168357444959686E-2</v>
      </c>
    </row>
    <row r="137" spans="2:23" s="10" customFormat="1" ht="31.5" customHeight="1" x14ac:dyDescent="0.25">
      <c r="B137" s="284" t="s">
        <v>250</v>
      </c>
      <c r="C137" s="284"/>
      <c r="D137" s="284"/>
      <c r="E137" s="284"/>
      <c r="F137" s="284"/>
      <c r="G137" s="284"/>
      <c r="H137" s="284"/>
      <c r="I137" s="284"/>
      <c r="J137" s="284"/>
      <c r="K137" s="284"/>
      <c r="L137" s="284"/>
      <c r="M137" s="193"/>
      <c r="N137" s="193"/>
      <c r="O137" s="193"/>
      <c r="P137" s="193"/>
      <c r="Q137" s="193"/>
      <c r="R137" s="54">
        <f>R115+R126+R128+R131+R134+R136+R129+R132+R135+R116</f>
        <v>1415540.8243507913</v>
      </c>
      <c r="S137" s="54">
        <f>S115+S126+S128+S131+S134+S136+S129+S132+S135+S116</f>
        <v>1121980.7394763015</v>
      </c>
      <c r="T137" s="154">
        <f>R137/$R$255</f>
        <v>4.9545032190961992E-2</v>
      </c>
      <c r="U137" s="154">
        <f>S137/$S$255</f>
        <v>4.7515460148669572E-2</v>
      </c>
      <c r="V137" s="178"/>
      <c r="W137" s="178"/>
    </row>
    <row r="138" spans="2:23" s="10" customFormat="1" ht="21" customHeight="1" x14ac:dyDescent="0.2">
      <c r="B138" s="277" t="s">
        <v>84</v>
      </c>
      <c r="C138" s="284" t="s">
        <v>85</v>
      </c>
      <c r="D138" s="284" t="s">
        <v>235</v>
      </c>
      <c r="E138" s="48" t="s">
        <v>156</v>
      </c>
      <c r="F138" s="48" t="s">
        <v>294</v>
      </c>
      <c r="G138" s="190">
        <v>0.59</v>
      </c>
      <c r="H138" s="190">
        <v>162</v>
      </c>
      <c r="I138" s="190">
        <v>212</v>
      </c>
      <c r="J138" s="287" t="s">
        <v>34</v>
      </c>
      <c r="K138" s="14">
        <f>(G138*H138*0.0036*$Q$4)*365</f>
        <v>3014.2108800000001</v>
      </c>
      <c r="L138" s="14">
        <f>(G138*I138*0.0036*$Q$4)*365</f>
        <v>3944.5228799999995</v>
      </c>
      <c r="M138" s="14"/>
      <c r="N138" s="14"/>
      <c r="O138" s="14"/>
      <c r="P138" s="14"/>
      <c r="Q138" s="14"/>
      <c r="R138" s="14"/>
      <c r="S138" s="14"/>
      <c r="T138" s="153"/>
      <c r="U138" s="153"/>
      <c r="V138" s="12"/>
      <c r="W138" s="12"/>
    </row>
    <row r="139" spans="2:23" s="10" customFormat="1" ht="21" customHeight="1" x14ac:dyDescent="0.2">
      <c r="B139" s="278"/>
      <c r="C139" s="284"/>
      <c r="D139" s="284"/>
      <c r="E139" s="48" t="s">
        <v>157</v>
      </c>
      <c r="F139" s="48"/>
      <c r="G139" s="190">
        <v>0.85</v>
      </c>
      <c r="H139" s="190">
        <v>147</v>
      </c>
      <c r="I139" s="190">
        <v>55.3</v>
      </c>
      <c r="J139" s="287"/>
      <c r="K139" s="14">
        <f>(G139*H139*0.0036*$Q$4)*365</f>
        <v>3940.4232000000002</v>
      </c>
      <c r="L139" s="14">
        <f>(G139*I139*0.0036*$Q$4)*365</f>
        <v>1482.3496799999998</v>
      </c>
      <c r="M139" s="14"/>
      <c r="N139" s="14"/>
      <c r="O139" s="14"/>
      <c r="P139" s="14"/>
      <c r="Q139" s="14"/>
      <c r="R139" s="14"/>
      <c r="S139" s="14"/>
      <c r="T139" s="153"/>
      <c r="U139" s="153"/>
      <c r="V139" s="12"/>
      <c r="W139" s="12"/>
    </row>
    <row r="140" spans="2:23" s="10" customFormat="1" ht="21" customHeight="1" x14ac:dyDescent="0.2">
      <c r="B140" s="278"/>
      <c r="C140" s="284"/>
      <c r="D140" s="284"/>
      <c r="E140" s="48" t="s">
        <v>155</v>
      </c>
      <c r="F140" s="48"/>
      <c r="G140" s="190">
        <v>10.199999999999999</v>
      </c>
      <c r="H140" s="190">
        <v>35</v>
      </c>
      <c r="I140" s="190">
        <v>28.7</v>
      </c>
      <c r="J140" s="287"/>
      <c r="K140" s="14">
        <f>(G140*H140*0.0036*$Q$4)*365</f>
        <v>11258.351999999999</v>
      </c>
      <c r="L140" s="14">
        <f>(G140*I140*0.0036*$Q$4)*365</f>
        <v>9231.8486399999965</v>
      </c>
      <c r="M140" s="14"/>
      <c r="N140" s="14"/>
      <c r="O140" s="14"/>
      <c r="P140" s="14"/>
      <c r="Q140" s="14"/>
      <c r="R140" s="14"/>
      <c r="S140" s="14"/>
      <c r="T140" s="153"/>
      <c r="U140" s="153"/>
      <c r="V140" s="12"/>
      <c r="W140" s="12"/>
    </row>
    <row r="141" spans="2:23" s="10" customFormat="1" ht="21" customHeight="1" x14ac:dyDescent="0.2">
      <c r="B141" s="278"/>
      <c r="C141" s="284"/>
      <c r="D141" s="284"/>
      <c r="E141" s="194" t="s">
        <v>1181</v>
      </c>
      <c r="F141" s="194"/>
      <c r="G141" s="191"/>
      <c r="H141" s="190"/>
      <c r="I141" s="190"/>
      <c r="J141" s="287"/>
      <c r="K141" s="14">
        <f t="shared" ref="K141:L141" si="27">SUM(K138:K140)</f>
        <v>18212.986079999999</v>
      </c>
      <c r="L141" s="14">
        <f t="shared" si="27"/>
        <v>14658.721199999996</v>
      </c>
      <c r="M141" s="138">
        <v>2721</v>
      </c>
      <c r="N141" s="88">
        <v>0.9</v>
      </c>
      <c r="O141" s="17">
        <f>M141*N141</f>
        <v>2448.9</v>
      </c>
      <c r="P141" s="21">
        <f>O141*M4*365</f>
        <v>44692.425000000003</v>
      </c>
      <c r="Q141" s="21">
        <f>O141*O4*365</f>
        <v>37541.637000000002</v>
      </c>
      <c r="R141" s="14">
        <f>K141</f>
        <v>18212.986079999999</v>
      </c>
      <c r="S141" s="14">
        <f>L141</f>
        <v>14658.721199999996</v>
      </c>
      <c r="T141" s="153">
        <f>R141/$R$255</f>
        <v>6.3746870885266968E-4</v>
      </c>
      <c r="U141" s="153">
        <f>S141/$S$255</f>
        <v>6.2079130104690137E-4</v>
      </c>
      <c r="V141" s="172">
        <f>R141/$R$160</f>
        <v>2.0899348673792607E-2</v>
      </c>
      <c r="W141" s="172">
        <f>S141/$S$160</f>
        <v>3.1836073113323968E-2</v>
      </c>
    </row>
    <row r="142" spans="2:23" s="10" customFormat="1" ht="21" customHeight="1" x14ac:dyDescent="0.2">
      <c r="B142" s="279"/>
      <c r="C142" s="193"/>
      <c r="D142" s="193" t="s">
        <v>1189</v>
      </c>
      <c r="E142" s="194" t="s">
        <v>1182</v>
      </c>
      <c r="F142" s="194"/>
      <c r="G142" s="191"/>
      <c r="H142" s="190"/>
      <c r="I142" s="190"/>
      <c r="J142" s="190"/>
      <c r="K142" s="14"/>
      <c r="L142" s="14"/>
      <c r="M142" s="138"/>
      <c r="N142" s="88"/>
      <c r="O142" s="17"/>
      <c r="P142" s="21"/>
      <c r="Q142" s="21"/>
      <c r="R142" s="14">
        <f>'tabla PPT'!G15</f>
        <v>131993.79132782703</v>
      </c>
      <c r="S142" s="14">
        <f>'tabla PPT'!H15</f>
        <v>153755.74259306703</v>
      </c>
      <c r="T142" s="153">
        <f>R142/$R$255</f>
        <v>4.6198855786046154E-3</v>
      </c>
      <c r="U142" s="153">
        <f>S142/$S$255</f>
        <v>6.5114975710011168E-3</v>
      </c>
      <c r="V142" s="172"/>
      <c r="W142" s="172"/>
    </row>
    <row r="143" spans="2:23" s="10" customFormat="1" ht="24" customHeight="1" x14ac:dyDescent="0.2">
      <c r="B143" s="277" t="s">
        <v>86</v>
      </c>
      <c r="C143" s="284" t="s">
        <v>85</v>
      </c>
      <c r="D143" s="284" t="s">
        <v>234</v>
      </c>
      <c r="E143" s="194" t="s">
        <v>136</v>
      </c>
      <c r="F143" s="66">
        <v>42214</v>
      </c>
      <c r="G143" s="190">
        <v>3.71</v>
      </c>
      <c r="H143" s="195">
        <v>125</v>
      </c>
      <c r="I143" s="195">
        <v>13</v>
      </c>
      <c r="J143" s="318" t="s">
        <v>34</v>
      </c>
      <c r="K143" s="14"/>
      <c r="L143" s="14"/>
      <c r="M143" s="14"/>
      <c r="N143" s="14"/>
      <c r="O143" s="14"/>
      <c r="P143" s="14"/>
      <c r="Q143" s="14"/>
      <c r="R143" s="14"/>
      <c r="S143" s="14"/>
      <c r="T143" s="153"/>
      <c r="U143" s="153"/>
      <c r="V143" s="172"/>
      <c r="W143" s="172"/>
    </row>
    <row r="144" spans="2:23" s="10" customFormat="1" ht="24" customHeight="1" x14ac:dyDescent="0.2">
      <c r="B144" s="278"/>
      <c r="C144" s="284"/>
      <c r="D144" s="284"/>
      <c r="E144" s="194" t="s">
        <v>137</v>
      </c>
      <c r="F144" s="194"/>
      <c r="G144" s="190">
        <v>1.6</v>
      </c>
      <c r="H144" s="195"/>
      <c r="I144" s="195"/>
      <c r="J144" s="318"/>
      <c r="K144" s="14"/>
      <c r="L144" s="14"/>
      <c r="M144" s="14"/>
      <c r="N144" s="14"/>
      <c r="O144" s="14"/>
      <c r="P144" s="14"/>
      <c r="Q144" s="14"/>
      <c r="R144" s="14"/>
      <c r="S144" s="14"/>
      <c r="T144" s="153"/>
      <c r="U144" s="153"/>
      <c r="V144" s="172"/>
      <c r="W144" s="172"/>
    </row>
    <row r="145" spans="2:23" s="10" customFormat="1" ht="24" customHeight="1" x14ac:dyDescent="0.2">
      <c r="B145" s="278"/>
      <c r="C145" s="284"/>
      <c r="D145" s="284"/>
      <c r="E145" s="194" t="s">
        <v>1181</v>
      </c>
      <c r="F145" s="194"/>
      <c r="G145" s="190">
        <f>SUM(G143:G144)</f>
        <v>5.3100000000000005</v>
      </c>
      <c r="H145" s="190">
        <v>125</v>
      </c>
      <c r="I145" s="190">
        <v>13</v>
      </c>
      <c r="J145" s="318"/>
      <c r="K145" s="14">
        <f>(G145*H145*0.0036*$Q$4)*365</f>
        <v>20932.020000000004</v>
      </c>
      <c r="L145" s="14">
        <f>(G145*I145*0.0036*$Q$4)*365</f>
        <v>2176.9300800000001</v>
      </c>
      <c r="M145" s="138">
        <v>4532</v>
      </c>
      <c r="N145" s="88">
        <v>0.9</v>
      </c>
      <c r="O145" s="17">
        <f>M145*N145</f>
        <v>4078.8</v>
      </c>
      <c r="P145" s="21">
        <f>O145*M4*365</f>
        <v>74438.100000000006</v>
      </c>
      <c r="Q145" s="21">
        <f>O145*O4*365</f>
        <v>62528.004000000008</v>
      </c>
      <c r="R145" s="14">
        <f>K145</f>
        <v>20932.020000000004</v>
      </c>
      <c r="S145" s="14">
        <f>L145</f>
        <v>2176.9300800000001</v>
      </c>
      <c r="T145" s="153">
        <f>R145/$R$255</f>
        <v>7.3263701539480139E-4</v>
      </c>
      <c r="U145" s="153">
        <f>S145/$S$255</f>
        <v>9.2192165893115936E-5</v>
      </c>
      <c r="V145" s="172">
        <f>R145/$R$160</f>
        <v>2.4019432206517144E-2</v>
      </c>
      <c r="W145" s="172">
        <f>S145/$S$160</f>
        <v>4.7278957177706755E-3</v>
      </c>
    </row>
    <row r="146" spans="2:23" s="10" customFormat="1" ht="24" customHeight="1" x14ac:dyDescent="0.2">
      <c r="B146" s="279"/>
      <c r="C146" s="193"/>
      <c r="D146" s="193" t="s">
        <v>20</v>
      </c>
      <c r="E146" s="194" t="s">
        <v>1190</v>
      </c>
      <c r="F146" s="194"/>
      <c r="G146" s="190"/>
      <c r="H146" s="190"/>
      <c r="I146" s="190"/>
      <c r="J146" s="195"/>
      <c r="K146" s="14"/>
      <c r="L146" s="14"/>
      <c r="M146" s="138"/>
      <c r="N146" s="88"/>
      <c r="O146" s="17"/>
      <c r="P146" s="21"/>
      <c r="Q146" s="21"/>
      <c r="R146" s="14">
        <f>'tabla PPT'!G30</f>
        <v>52363.900076849073</v>
      </c>
      <c r="S146" s="14">
        <f>'tabla PPT'!H30</f>
        <v>60997.189794999984</v>
      </c>
      <c r="T146" s="153">
        <f>R146/$R$255</f>
        <v>1.8327773175610528E-3</v>
      </c>
      <c r="U146" s="153">
        <f>S146/$S$255</f>
        <v>2.583207927649434E-3</v>
      </c>
      <c r="V146" s="172"/>
      <c r="W146" s="172"/>
    </row>
    <row r="147" spans="2:23" s="10" customFormat="1" ht="22.5" customHeight="1" x14ac:dyDescent="0.2">
      <c r="B147" s="284" t="s">
        <v>87</v>
      </c>
      <c r="C147" s="284" t="s">
        <v>85</v>
      </c>
      <c r="D147" s="284" t="s">
        <v>88</v>
      </c>
      <c r="E147" s="200" t="s">
        <v>289</v>
      </c>
      <c r="F147" s="69">
        <v>43069</v>
      </c>
      <c r="G147" s="254">
        <v>9.33</v>
      </c>
      <c r="H147" s="254">
        <v>78.23</v>
      </c>
      <c r="I147" s="254">
        <v>50</v>
      </c>
      <c r="J147" s="287" t="s">
        <v>34</v>
      </c>
      <c r="K147" s="14">
        <f>(G147*H147*0.0036*$Q$4)*365</f>
        <v>23017.6817424</v>
      </c>
      <c r="L147" s="14">
        <f>(G147*I147*0.0036*$Q$4)*365</f>
        <v>14711.544</v>
      </c>
      <c r="M147" s="14"/>
      <c r="N147" s="14"/>
      <c r="O147" s="14"/>
      <c r="P147" s="14"/>
      <c r="Q147" s="14"/>
      <c r="R147" s="14"/>
      <c r="S147" s="14"/>
      <c r="T147" s="153"/>
      <c r="U147" s="153"/>
      <c r="V147" s="172"/>
      <c r="W147" s="172"/>
    </row>
    <row r="148" spans="2:23" s="10" customFormat="1" ht="22.5" customHeight="1" x14ac:dyDescent="0.2">
      <c r="B148" s="284"/>
      <c r="C148" s="284"/>
      <c r="D148" s="284"/>
      <c r="E148" s="200" t="s">
        <v>290</v>
      </c>
      <c r="F148" s="200"/>
      <c r="G148" s="254">
        <v>2.1800000000000002</v>
      </c>
      <c r="H148" s="254">
        <v>52.45</v>
      </c>
      <c r="I148" s="254">
        <v>36.67</v>
      </c>
      <c r="J148" s="287"/>
      <c r="K148" s="14">
        <f>(G148*H148*0.0036*$Q$4)*365</f>
        <v>3605.8577760000003</v>
      </c>
      <c r="L148" s="14">
        <f>(G148*I148*0.0036*$Q$4)*365</f>
        <v>2521.0067616000001</v>
      </c>
      <c r="M148" s="14"/>
      <c r="N148" s="14"/>
      <c r="O148" s="14"/>
      <c r="P148" s="14"/>
      <c r="Q148" s="14"/>
      <c r="R148" s="14"/>
      <c r="S148" s="14"/>
      <c r="T148" s="153"/>
      <c r="U148" s="153"/>
      <c r="V148" s="172"/>
      <c r="W148" s="172"/>
    </row>
    <row r="149" spans="2:23" s="10" customFormat="1" ht="22.5" customHeight="1" x14ac:dyDescent="0.2">
      <c r="B149" s="284"/>
      <c r="C149" s="284"/>
      <c r="D149" s="284"/>
      <c r="E149" s="200" t="s">
        <v>291</v>
      </c>
      <c r="F149" s="200"/>
      <c r="G149" s="263">
        <v>7.5999999999999998E-2</v>
      </c>
      <c r="H149" s="70">
        <v>79.8</v>
      </c>
      <c r="I149" s="254">
        <v>33.33</v>
      </c>
      <c r="J149" s="287"/>
      <c r="K149" s="14">
        <f>(G149*H149*0.0036*$Q$4)*365</f>
        <v>191.25953280000002</v>
      </c>
      <c r="L149" s="14">
        <f>(G149*I149*0.0036*$Q$4)*365</f>
        <v>79.883210879999993</v>
      </c>
      <c r="M149" s="14"/>
      <c r="N149" s="14"/>
      <c r="O149" s="14"/>
      <c r="P149" s="14"/>
      <c r="Q149" s="14"/>
      <c r="R149" s="14"/>
      <c r="S149" s="14"/>
      <c r="T149" s="153"/>
      <c r="U149" s="153"/>
      <c r="V149" s="172"/>
      <c r="W149" s="172"/>
    </row>
    <row r="150" spans="2:23" s="10" customFormat="1" ht="22.5" customHeight="1" x14ac:dyDescent="0.2">
      <c r="B150" s="284"/>
      <c r="C150" s="284"/>
      <c r="D150" s="284"/>
      <c r="E150" s="200" t="s">
        <v>1181</v>
      </c>
      <c r="F150" s="200"/>
      <c r="G150" s="190">
        <f>SUM(G147:G149)</f>
        <v>11.586</v>
      </c>
      <c r="H150" s="190"/>
      <c r="I150" s="190"/>
      <c r="J150" s="287"/>
      <c r="K150" s="14">
        <f t="shared" ref="K150:L150" si="28">SUM(K147:K149)</f>
        <v>26814.7990512</v>
      </c>
      <c r="L150" s="14">
        <f t="shared" si="28"/>
        <v>17312.433972480001</v>
      </c>
      <c r="M150" s="138">
        <v>7068</v>
      </c>
      <c r="N150" s="88">
        <v>0.9</v>
      </c>
      <c r="O150" s="17">
        <f>M150*N150</f>
        <v>6361.2</v>
      </c>
      <c r="P150" s="21">
        <f>O150*M4*365</f>
        <v>116091.9</v>
      </c>
      <c r="Q150" s="21">
        <f>O150*O4*365</f>
        <v>97517.196000000011</v>
      </c>
      <c r="R150" s="14">
        <f>K150</f>
        <v>26814.7990512</v>
      </c>
      <c r="S150" s="14">
        <f>L150</f>
        <v>17312.433972480001</v>
      </c>
      <c r="T150" s="153">
        <f>R150/$R$255</f>
        <v>9.3853886749976901E-4</v>
      </c>
      <c r="U150" s="153">
        <f>S150/$S$255</f>
        <v>7.3317503371743214E-4</v>
      </c>
      <c r="V150" s="172">
        <f>R150/$R$160</f>
        <v>3.0769904096292596E-2</v>
      </c>
      <c r="W150" s="172">
        <f>S150/$S$160</f>
        <v>3.7599454017685198E-2</v>
      </c>
    </row>
    <row r="151" spans="2:23" s="10" customFormat="1" ht="22.5" customHeight="1" x14ac:dyDescent="0.2">
      <c r="B151" s="284"/>
      <c r="C151" s="284"/>
      <c r="D151" s="193" t="s">
        <v>20</v>
      </c>
      <c r="E151" s="200" t="s">
        <v>1182</v>
      </c>
      <c r="F151" s="200"/>
      <c r="G151" s="190"/>
      <c r="H151" s="190"/>
      <c r="I151" s="190"/>
      <c r="J151" s="190"/>
      <c r="K151" s="14"/>
      <c r="L151" s="14"/>
      <c r="M151" s="138"/>
      <c r="N151" s="88"/>
      <c r="O151" s="17"/>
      <c r="P151" s="21"/>
      <c r="Q151" s="21"/>
      <c r="R151" s="14">
        <f>'tabla PPT'!G38</f>
        <v>16814.420659240241</v>
      </c>
      <c r="S151" s="14">
        <f>'tabla PPT'!H38</f>
        <v>19586.631376567278</v>
      </c>
      <c r="T151" s="153">
        <f>R151/$R$255</f>
        <v>5.8851782901881691E-4</v>
      </c>
      <c r="U151" s="153">
        <f>S151/$S$255</f>
        <v>8.294864340134434E-4</v>
      </c>
      <c r="V151" s="172"/>
      <c r="W151" s="172"/>
    </row>
    <row r="152" spans="2:23" s="10" customFormat="1" ht="22.5" customHeight="1" x14ac:dyDescent="0.2">
      <c r="B152" s="284"/>
      <c r="C152" s="284"/>
      <c r="D152" s="322" t="s">
        <v>145</v>
      </c>
      <c r="E152" s="190" t="s">
        <v>143</v>
      </c>
      <c r="F152" s="190"/>
      <c r="G152" s="190">
        <v>1.09E-2</v>
      </c>
      <c r="H152" s="190">
        <v>162</v>
      </c>
      <c r="I152" s="190">
        <v>6</v>
      </c>
      <c r="J152" s="287" t="s">
        <v>34</v>
      </c>
      <c r="K152" s="14">
        <f>(G152*H152*0.0036*$Q$4)*365</f>
        <v>55.686268800000001</v>
      </c>
      <c r="L152" s="14">
        <f>(G152*I152*0.0036*$Q$4)*365</f>
        <v>2.0624544</v>
      </c>
      <c r="M152" s="14"/>
      <c r="N152" s="14"/>
      <c r="O152" s="14"/>
      <c r="P152" s="14"/>
      <c r="Q152" s="14"/>
      <c r="R152" s="14">
        <f>K152</f>
        <v>55.686268800000001</v>
      </c>
      <c r="S152" s="14">
        <f>L152</f>
        <v>2.0624544</v>
      </c>
      <c r="T152" s="153">
        <f>R152/$R$255</f>
        <v>1.9490628124808135E-6</v>
      </c>
      <c r="U152" s="153">
        <f>S152/$S$255</f>
        <v>8.7344164122986845E-8</v>
      </c>
      <c r="V152" s="173">
        <f>R152/$R$160</f>
        <v>6.3899831849744583E-5</v>
      </c>
      <c r="W152" s="173">
        <f>S152/$S$160</f>
        <v>4.4792753866753901E-6</v>
      </c>
    </row>
    <row r="153" spans="2:23" s="10" customFormat="1" ht="27.75" customHeight="1" x14ac:dyDescent="0.2">
      <c r="B153" s="284"/>
      <c r="C153" s="284"/>
      <c r="D153" s="322"/>
      <c r="E153" s="190" t="s">
        <v>144</v>
      </c>
      <c r="F153" s="190"/>
      <c r="G153" s="190">
        <v>0.04</v>
      </c>
      <c r="H153" s="190">
        <v>80</v>
      </c>
      <c r="I153" s="190">
        <v>25</v>
      </c>
      <c r="J153" s="287"/>
      <c r="K153" s="14">
        <f>(G153*H153*0.0036*$Q$4)*365</f>
        <v>100.9152</v>
      </c>
      <c r="L153" s="14">
        <f>(G153*I153*0.0036*$Q$4)*365</f>
        <v>31.536000000000001</v>
      </c>
      <c r="M153" s="14"/>
      <c r="N153" s="14"/>
      <c r="O153" s="14"/>
      <c r="P153" s="14"/>
      <c r="Q153" s="14"/>
      <c r="R153" s="14">
        <f>K153</f>
        <v>100.9152</v>
      </c>
      <c r="S153" s="14">
        <f>L153</f>
        <v>31.536000000000001</v>
      </c>
      <c r="T153" s="153">
        <f>R153/$R$255</f>
        <v>3.5321106580239002E-6</v>
      </c>
      <c r="U153" s="153">
        <f>S153/$S$255</f>
        <v>1.3355376777215115E-6</v>
      </c>
      <c r="V153" s="173">
        <f>R153/$R$160</f>
        <v>1.1579989915006379E-4</v>
      </c>
      <c r="W153" s="173">
        <f>S153/$S$160</f>
        <v>6.8490449337544186E-5</v>
      </c>
    </row>
    <row r="154" spans="2:23" s="10" customFormat="1" ht="21" customHeight="1" x14ac:dyDescent="0.2">
      <c r="B154" s="277" t="s">
        <v>89</v>
      </c>
      <c r="C154" s="277" t="s">
        <v>85</v>
      </c>
      <c r="D154" s="284" t="s">
        <v>90</v>
      </c>
      <c r="E154" s="197" t="s">
        <v>91</v>
      </c>
      <c r="F154" s="66">
        <v>42235</v>
      </c>
      <c r="G154" s="190">
        <v>12.38</v>
      </c>
      <c r="H154" s="195">
        <v>15</v>
      </c>
      <c r="I154" s="195">
        <v>26</v>
      </c>
      <c r="J154" s="318" t="s">
        <v>34</v>
      </c>
      <c r="K154" s="14">
        <f>(G154*H154*0.0036*$Q$4)*365</f>
        <v>5856.2352000000001</v>
      </c>
      <c r="L154" s="14">
        <f>(G154*I154*0.0036*$Q$4)*365</f>
        <v>10150.80768</v>
      </c>
      <c r="M154" s="14"/>
      <c r="N154" s="14"/>
      <c r="O154" s="14"/>
      <c r="P154" s="14"/>
      <c r="Q154" s="14"/>
      <c r="R154" s="14"/>
      <c r="S154" s="14"/>
      <c r="T154" s="153"/>
      <c r="U154" s="153"/>
      <c r="V154" s="172"/>
      <c r="W154" s="172"/>
    </row>
    <row r="155" spans="2:23" s="10" customFormat="1" ht="21" customHeight="1" x14ac:dyDescent="0.2">
      <c r="B155" s="278"/>
      <c r="C155" s="278"/>
      <c r="D155" s="284"/>
      <c r="E155" s="194" t="s">
        <v>92</v>
      </c>
      <c r="F155" s="194"/>
      <c r="G155" s="73">
        <v>0.36</v>
      </c>
      <c r="H155" s="74">
        <v>35</v>
      </c>
      <c r="I155" s="73">
        <v>116.35</v>
      </c>
      <c r="J155" s="318"/>
      <c r="K155" s="14">
        <f>(G155*H155*0.0036*$Q$4)*365</f>
        <v>397.35359999999991</v>
      </c>
      <c r="L155" s="14">
        <f>(G155*I155*0.0036*$Q$4)*365</f>
        <v>1320.9168959999997</v>
      </c>
      <c r="M155" s="14"/>
      <c r="N155" s="14"/>
      <c r="O155" s="14"/>
      <c r="P155" s="14"/>
      <c r="Q155" s="14"/>
      <c r="R155" s="14"/>
      <c r="S155" s="14"/>
      <c r="T155" s="153"/>
      <c r="U155" s="153"/>
      <c r="V155" s="172"/>
      <c r="W155" s="172"/>
    </row>
    <row r="156" spans="2:23" s="10" customFormat="1" ht="21" customHeight="1" x14ac:dyDescent="0.2">
      <c r="B156" s="278"/>
      <c r="C156" s="278"/>
      <c r="D156" s="284"/>
      <c r="E156" s="194" t="s">
        <v>1181</v>
      </c>
      <c r="F156" s="72"/>
      <c r="J156" s="318"/>
      <c r="K156" s="14">
        <f>SUM(K154:K155)</f>
        <v>6253.5887999999995</v>
      </c>
      <c r="L156" s="14">
        <f t="shared" ref="L156" si="29">SUM(L154:L155)</f>
        <v>11471.724576000001</v>
      </c>
      <c r="M156" s="138">
        <v>5251</v>
      </c>
      <c r="N156" s="88">
        <v>0.9</v>
      </c>
      <c r="O156" s="17">
        <f>M156*N156</f>
        <v>4725.9000000000005</v>
      </c>
      <c r="P156" s="21">
        <f>O156*M4*365</f>
        <v>86247.675000000017</v>
      </c>
      <c r="Q156" s="21">
        <f>O156*O4*365</f>
        <v>72448.047000000006</v>
      </c>
      <c r="R156" s="14">
        <f>K156</f>
        <v>6253.5887999999995</v>
      </c>
      <c r="S156" s="14">
        <f>L156</f>
        <v>11471.724576000001</v>
      </c>
      <c r="T156" s="153">
        <f t="shared" ref="T156:T165" si="30">R156/$R$255</f>
        <v>2.1888048233941856E-4</v>
      </c>
      <c r="U156" s="153">
        <f t="shared" ref="U156:U165" si="31">S156/$S$255</f>
        <v>4.8582319887404329E-4</v>
      </c>
      <c r="V156" s="172">
        <f>R156/$R$160</f>
        <v>7.1759750004555152E-3</v>
      </c>
      <c r="W156" s="172">
        <f>S156/$S$160</f>
        <v>2.4914496793721101E-2</v>
      </c>
    </row>
    <row r="157" spans="2:23" s="10" customFormat="1" ht="21" customHeight="1" x14ac:dyDescent="0.2">
      <c r="B157" s="278"/>
      <c r="C157" s="278"/>
      <c r="D157" s="193"/>
      <c r="E157" s="194" t="s">
        <v>1182</v>
      </c>
      <c r="F157" s="72"/>
      <c r="J157" s="318"/>
      <c r="K157" s="14"/>
      <c r="L157" s="14"/>
      <c r="M157" s="138"/>
      <c r="N157" s="88"/>
      <c r="O157" s="17"/>
      <c r="P157" s="21"/>
      <c r="Q157" s="21"/>
      <c r="R157" s="14">
        <f>'tabla PPT'!G36</f>
        <v>18758.624870014341</v>
      </c>
      <c r="S157" s="14">
        <f>'tabla PPT'!H36</f>
        <v>21851.378522421237</v>
      </c>
      <c r="T157" s="153">
        <f t="shared" si="30"/>
        <v>6.5656649179954903E-4</v>
      </c>
      <c r="U157" s="153">
        <f t="shared" si="31"/>
        <v>9.2539761944597184E-4</v>
      </c>
      <c r="V157" s="172"/>
      <c r="W157" s="172"/>
    </row>
    <row r="158" spans="2:23" s="10" customFormat="1" ht="32.25" customHeight="1" x14ac:dyDescent="0.2">
      <c r="B158" s="278"/>
      <c r="C158" s="278"/>
      <c r="D158" s="193" t="s">
        <v>148</v>
      </c>
      <c r="E158" s="204" t="s">
        <v>60</v>
      </c>
      <c r="F158" s="75">
        <v>42710</v>
      </c>
      <c r="G158" s="73">
        <v>2.39</v>
      </c>
      <c r="H158" s="74">
        <v>56</v>
      </c>
      <c r="I158" s="74">
        <v>41</v>
      </c>
      <c r="J158" s="318"/>
      <c r="K158" s="14">
        <f>(G158*H158*0.0036*8)*365</f>
        <v>1406.92608</v>
      </c>
      <c r="L158" s="14">
        <f>(G158*I158*0.0036*8)*365</f>
        <v>1030.07088</v>
      </c>
      <c r="M158" s="14"/>
      <c r="N158" s="14"/>
      <c r="O158" s="14"/>
      <c r="P158" s="14"/>
      <c r="Q158" s="14"/>
      <c r="R158" s="21">
        <f>K158</f>
        <v>1406.92608</v>
      </c>
      <c r="S158" s="21">
        <f>L158</f>
        <v>1030.07088</v>
      </c>
      <c r="T158" s="153">
        <f t="shared" si="30"/>
        <v>4.9243509423949878E-5</v>
      </c>
      <c r="U158" s="153">
        <f t="shared" si="31"/>
        <v>4.3623112346643631E-5</v>
      </c>
      <c r="V158" s="172">
        <f>R158/$R$160</f>
        <v>1.6144435939838061E-3</v>
      </c>
      <c r="W158" s="172">
        <f>S158/$S$160</f>
        <v>2.2371263768619851E-3</v>
      </c>
    </row>
    <row r="159" spans="2:23" s="10" customFormat="1" ht="32.25" customHeight="1" x14ac:dyDescent="0.25">
      <c r="B159" s="188"/>
      <c r="C159" s="29" t="s">
        <v>335</v>
      </c>
      <c r="D159" s="194" t="s">
        <v>336</v>
      </c>
      <c r="E159" s="204"/>
      <c r="F159" s="75"/>
      <c r="G159" s="73"/>
      <c r="H159" s="74"/>
      <c r="I159" s="74"/>
      <c r="J159" s="195"/>
      <c r="K159" s="14"/>
      <c r="L159" s="14"/>
      <c r="M159" s="14"/>
      <c r="N159" s="14"/>
      <c r="O159" s="14"/>
      <c r="P159" s="14"/>
      <c r="Q159" s="14"/>
      <c r="R159" s="21">
        <f>'Resumen cargas Cafeteros'!E18</f>
        <v>577754.24043647433</v>
      </c>
      <c r="S159" s="21">
        <f>'Resumen cargas Cafeteros'!F18</f>
        <v>157569.33830085659</v>
      </c>
      <c r="T159" s="153">
        <f t="shared" si="30"/>
        <v>2.0221848743937228E-2</v>
      </c>
      <c r="U159" s="153">
        <f t="shared" si="31"/>
        <v>6.6730019074848169E-3</v>
      </c>
      <c r="V159" s="177">
        <f>R159/$R$160</f>
        <v>0.66297131429225176</v>
      </c>
      <c r="W159" s="177">
        <f>S159/$S$160</f>
        <v>0.34221190962852549</v>
      </c>
    </row>
    <row r="160" spans="2:23" s="10" customFormat="1" ht="33" customHeight="1" x14ac:dyDescent="0.25">
      <c r="B160" s="284" t="s">
        <v>251</v>
      </c>
      <c r="C160" s="284"/>
      <c r="D160" s="284"/>
      <c r="E160" s="286"/>
      <c r="F160" s="286"/>
      <c r="G160" s="286"/>
      <c r="H160" s="286"/>
      <c r="I160" s="286"/>
      <c r="J160" s="286"/>
      <c r="K160" s="286"/>
      <c r="L160" s="286"/>
      <c r="M160" s="194"/>
      <c r="N160" s="194"/>
      <c r="O160" s="194"/>
      <c r="P160" s="194"/>
      <c r="Q160" s="194"/>
      <c r="R160" s="54">
        <f>SUM(R141:R159)</f>
        <v>871461.89885040501</v>
      </c>
      <c r="S160" s="54">
        <f>SUM(S141:S159)</f>
        <v>460443.75975079217</v>
      </c>
      <c r="T160" s="154">
        <f t="shared" si="30"/>
        <v>3.0501845717902376E-2</v>
      </c>
      <c r="U160" s="154">
        <f t="shared" si="31"/>
        <v>1.9499619153314766E-2</v>
      </c>
      <c r="V160" s="12"/>
      <c r="W160" s="12"/>
    </row>
    <row r="161" spans="2:23" s="10" customFormat="1" ht="51.75" customHeight="1" x14ac:dyDescent="0.2">
      <c r="B161" s="277" t="s">
        <v>93</v>
      </c>
      <c r="C161" s="193" t="s">
        <v>94</v>
      </c>
      <c r="D161" s="193" t="s">
        <v>95</v>
      </c>
      <c r="E161" s="194" t="s">
        <v>1181</v>
      </c>
      <c r="F161" s="194" t="s">
        <v>295</v>
      </c>
      <c r="G161" s="191">
        <v>29.12</v>
      </c>
      <c r="H161" s="190">
        <v>163</v>
      </c>
      <c r="I161" s="190">
        <v>158</v>
      </c>
      <c r="J161" s="190" t="s">
        <v>261</v>
      </c>
      <c r="K161" s="14">
        <f>(G161*H161*0.0036*$Q$4)*365</f>
        <v>149687.51616000003</v>
      </c>
      <c r="L161" s="14">
        <f>(G161*I161*0.0036*$Q$4)*365</f>
        <v>145095.87455999997</v>
      </c>
      <c r="M161" s="138">
        <v>16715</v>
      </c>
      <c r="N161" s="88">
        <v>0.9</v>
      </c>
      <c r="O161" s="17">
        <f>M161*N161</f>
        <v>15043.5</v>
      </c>
      <c r="P161" s="21">
        <f>O161*M4*365</f>
        <v>274543.875</v>
      </c>
      <c r="Q161" s="21">
        <f>O161*O4*365</f>
        <v>230616.85500000001</v>
      </c>
      <c r="R161" s="14">
        <f>K161</f>
        <v>149687.51616000003</v>
      </c>
      <c r="S161" s="14">
        <f>L161</f>
        <v>145095.87455999997</v>
      </c>
      <c r="T161" s="153">
        <f t="shared" si="30"/>
        <v>5.2391797390468524E-3</v>
      </c>
      <c r="U161" s="153">
        <f t="shared" si="31"/>
        <v>6.1447554336895634E-3</v>
      </c>
      <c r="V161" s="152">
        <f>R161/$R$165</f>
        <v>0.17533415593915821</v>
      </c>
      <c r="W161" s="152">
        <f>S161/$S$165</f>
        <v>0.33608382486934968</v>
      </c>
    </row>
    <row r="162" spans="2:23" s="10" customFormat="1" ht="33.75" customHeight="1" x14ac:dyDescent="0.2">
      <c r="B162" s="278"/>
      <c r="C162" s="193"/>
      <c r="D162" s="193" t="s">
        <v>20</v>
      </c>
      <c r="E162" s="194" t="s">
        <v>1182</v>
      </c>
      <c r="F162" s="194"/>
      <c r="G162" s="191"/>
      <c r="H162" s="190"/>
      <c r="I162" s="190"/>
      <c r="J162" s="190"/>
      <c r="K162" s="14"/>
      <c r="L162" s="14"/>
      <c r="M162" s="138"/>
      <c r="N162" s="88"/>
      <c r="O162" s="17"/>
      <c r="P162" s="21"/>
      <c r="Q162" s="21"/>
      <c r="R162" s="14">
        <f>'tabla PPT'!G22</f>
        <v>105670.44461952802</v>
      </c>
      <c r="S162" s="14">
        <f>'tabla PPT'!H22</f>
        <v>123092.4388122322</v>
      </c>
      <c r="T162" s="153">
        <f t="shared" si="30"/>
        <v>3.698547926167309E-3</v>
      </c>
      <c r="U162" s="153">
        <f t="shared" si="31"/>
        <v>5.2129182482358516E-3</v>
      </c>
      <c r="V162" s="152"/>
      <c r="W162" s="152"/>
    </row>
    <row r="163" spans="2:23" s="10" customFormat="1" ht="32.25" customHeight="1" x14ac:dyDescent="0.2">
      <c r="B163" s="278"/>
      <c r="C163" s="193"/>
      <c r="D163" s="193" t="s">
        <v>151</v>
      </c>
      <c r="E163" s="194" t="s">
        <v>281</v>
      </c>
      <c r="F163" s="194"/>
      <c r="G163" s="191"/>
      <c r="H163" s="190"/>
      <c r="I163" s="190"/>
      <c r="J163" s="190" t="s">
        <v>132</v>
      </c>
      <c r="K163" s="14">
        <v>2635</v>
      </c>
      <c r="L163" s="14">
        <v>1064</v>
      </c>
      <c r="M163" s="14"/>
      <c r="N163" s="14"/>
      <c r="O163" s="14"/>
      <c r="P163" s="14"/>
      <c r="Q163" s="14"/>
      <c r="R163" s="14">
        <f>K163</f>
        <v>2635</v>
      </c>
      <c r="S163" s="14">
        <f>L163</f>
        <v>1064</v>
      </c>
      <c r="T163" s="153">
        <f t="shared" si="30"/>
        <v>9.2227053842166263E-5</v>
      </c>
      <c r="U163" s="153">
        <f t="shared" si="31"/>
        <v>4.5059997751639017E-5</v>
      </c>
      <c r="V163" s="152">
        <f t="shared" ref="V163:V164" si="32">R163/$R$165</f>
        <v>3.0864664786464033E-3</v>
      </c>
      <c r="W163" s="152">
        <f t="shared" ref="W163:W164" si="33">S163/$S$165</f>
        <v>2.4645303716965181E-3</v>
      </c>
    </row>
    <row r="164" spans="2:23" s="10" customFormat="1" ht="32.25" customHeight="1" x14ac:dyDescent="0.25">
      <c r="B164" s="279"/>
      <c r="C164" s="29" t="s">
        <v>335</v>
      </c>
      <c r="D164" s="194" t="s">
        <v>336</v>
      </c>
      <c r="E164" s="194"/>
      <c r="F164" s="194"/>
      <c r="G164" s="191"/>
      <c r="H164" s="190"/>
      <c r="I164" s="190"/>
      <c r="J164" s="190"/>
      <c r="K164" s="14"/>
      <c r="L164" s="14"/>
      <c r="M164" s="14"/>
      <c r="N164" s="14"/>
      <c r="O164" s="14"/>
      <c r="P164" s="14"/>
      <c r="Q164" s="14"/>
      <c r="R164" s="14">
        <f>'Resumen cargas Cafeteros'!E19</f>
        <v>595734.11457675521</v>
      </c>
      <c r="S164" s="14">
        <f>'Resumen cargas Cafeteros'!F19</f>
        <v>162472.94033911504</v>
      </c>
      <c r="T164" s="153">
        <f t="shared" si="30"/>
        <v>2.0851158353201386E-2</v>
      </c>
      <c r="U164" s="153">
        <f t="shared" si="31"/>
        <v>6.8806675999837441E-3</v>
      </c>
      <c r="V164" s="171">
        <f t="shared" si="32"/>
        <v>0.69780393731584456</v>
      </c>
      <c r="W164" s="171">
        <f t="shared" si="33"/>
        <v>0.37633411282385842</v>
      </c>
    </row>
    <row r="165" spans="2:23" s="10" customFormat="1" ht="24" customHeight="1" x14ac:dyDescent="0.25">
      <c r="B165" s="284" t="s">
        <v>252</v>
      </c>
      <c r="C165" s="284"/>
      <c r="D165" s="284"/>
      <c r="E165" s="286"/>
      <c r="F165" s="286"/>
      <c r="G165" s="286"/>
      <c r="H165" s="286"/>
      <c r="I165" s="286"/>
      <c r="J165" s="286"/>
      <c r="K165" s="286"/>
      <c r="L165" s="286"/>
      <c r="M165" s="194"/>
      <c r="N165" s="194"/>
      <c r="O165" s="194"/>
      <c r="P165" s="194"/>
      <c r="Q165" s="194"/>
      <c r="R165" s="54">
        <f>SUM(R161:R164)</f>
        <v>853727.07535628323</v>
      </c>
      <c r="S165" s="54">
        <f>SUM(S161:S164)</f>
        <v>431725.25371134718</v>
      </c>
      <c r="T165" s="154">
        <f t="shared" si="30"/>
        <v>2.9881113072257715E-2</v>
      </c>
      <c r="U165" s="154">
        <f t="shared" si="31"/>
        <v>1.8283401279660796E-2</v>
      </c>
      <c r="V165" s="179"/>
      <c r="W165" s="179"/>
    </row>
    <row r="166" spans="2:23" s="10" customFormat="1" ht="22.5" customHeight="1" x14ac:dyDescent="0.2">
      <c r="B166" s="277" t="s">
        <v>96</v>
      </c>
      <c r="C166" s="284" t="s">
        <v>97</v>
      </c>
      <c r="D166" s="284" t="s">
        <v>98</v>
      </c>
      <c r="E166" s="192" t="s">
        <v>6</v>
      </c>
      <c r="F166" s="66">
        <v>43063</v>
      </c>
      <c r="G166" s="17">
        <v>37.049999999999997</v>
      </c>
      <c r="H166" s="17">
        <v>47.6</v>
      </c>
      <c r="I166" s="17">
        <v>41</v>
      </c>
      <c r="J166" s="293" t="s">
        <v>34</v>
      </c>
      <c r="K166" s="21">
        <f>(G166*H166*0.0036*$Q$4)*365</f>
        <v>55616.258880000001</v>
      </c>
      <c r="L166" s="21">
        <f>(G166*I166*0.0036*$Q$4)*365</f>
        <v>47904.760799999996</v>
      </c>
      <c r="M166" s="21"/>
      <c r="N166" s="21"/>
      <c r="O166" s="21"/>
      <c r="P166" s="21"/>
      <c r="Q166" s="21"/>
      <c r="R166" s="17"/>
      <c r="S166" s="17"/>
      <c r="T166" s="153"/>
      <c r="U166" s="153"/>
      <c r="V166" s="12"/>
      <c r="W166" s="12"/>
    </row>
    <row r="167" spans="2:23" s="10" customFormat="1" ht="22.5" customHeight="1" x14ac:dyDescent="0.2">
      <c r="B167" s="278"/>
      <c r="C167" s="284"/>
      <c r="D167" s="284"/>
      <c r="E167" s="192" t="s">
        <v>13</v>
      </c>
      <c r="F167" s="192"/>
      <c r="G167" s="17">
        <v>11.8</v>
      </c>
      <c r="H167" s="17">
        <v>223</v>
      </c>
      <c r="I167" s="17">
        <v>92</v>
      </c>
      <c r="J167" s="293"/>
      <c r="K167" s="21">
        <f>(G167*H167*0.0036*$Q$4)*365</f>
        <v>82983.830399999992</v>
      </c>
      <c r="L167" s="21">
        <f>(G167*I167*0.0036*$Q$4)*365</f>
        <v>34235.481600000006</v>
      </c>
      <c r="M167" s="21"/>
      <c r="N167" s="21"/>
      <c r="O167" s="21"/>
      <c r="P167" s="21"/>
      <c r="Q167" s="21"/>
      <c r="R167" s="17"/>
      <c r="S167" s="17"/>
      <c r="T167" s="153"/>
      <c r="U167" s="153"/>
      <c r="V167" s="12"/>
      <c r="W167" s="12"/>
    </row>
    <row r="168" spans="2:23" s="10" customFormat="1" ht="20.25" customHeight="1" x14ac:dyDescent="0.2">
      <c r="B168" s="278"/>
      <c r="C168" s="284"/>
      <c r="D168" s="284"/>
      <c r="E168" s="192" t="s">
        <v>14</v>
      </c>
      <c r="F168" s="192"/>
      <c r="G168" s="190">
        <v>1</v>
      </c>
      <c r="H168" s="17">
        <v>223</v>
      </c>
      <c r="I168" s="17">
        <v>92</v>
      </c>
      <c r="J168" s="293"/>
      <c r="K168" s="21">
        <f>(G168*H168*0.0036*$Q$4)*365</f>
        <v>7032.5279999999993</v>
      </c>
      <c r="L168" s="21">
        <f>(G168*I168*0.0036*$Q$4)*365</f>
        <v>2901.3119999999999</v>
      </c>
      <c r="M168" s="21"/>
      <c r="N168" s="21"/>
      <c r="O168" s="21"/>
      <c r="P168" s="21"/>
      <c r="Q168" s="21"/>
      <c r="R168" s="14"/>
      <c r="S168" s="14"/>
      <c r="T168" s="153"/>
      <c r="U168" s="153"/>
      <c r="V168" s="12"/>
      <c r="W168" s="12"/>
    </row>
    <row r="169" spans="2:23" s="10" customFormat="1" ht="20.25" customHeight="1" x14ac:dyDescent="0.2">
      <c r="B169" s="278"/>
      <c r="C169" s="284"/>
      <c r="D169" s="284"/>
      <c r="E169" s="192" t="s">
        <v>296</v>
      </c>
      <c r="F169" s="192"/>
      <c r="G169" s="190">
        <v>6.85</v>
      </c>
      <c r="H169" s="17">
        <v>26.4</v>
      </c>
      <c r="I169" s="17">
        <v>55</v>
      </c>
      <c r="J169" s="293"/>
      <c r="K169" s="21">
        <f>(G169*H169*0.0036*$Q$4)*365</f>
        <v>5702.9702399999987</v>
      </c>
      <c r="L169" s="21">
        <f>(G169*I169*0.0036*$Q$4)*365</f>
        <v>11881.188</v>
      </c>
      <c r="M169" s="21"/>
      <c r="N169" s="21"/>
      <c r="O169" s="21"/>
      <c r="P169" s="21"/>
      <c r="Q169" s="21"/>
      <c r="R169" s="14"/>
      <c r="S169" s="14"/>
      <c r="T169" s="153"/>
      <c r="U169" s="153"/>
      <c r="V169" s="12"/>
      <c r="W169" s="12"/>
    </row>
    <row r="170" spans="2:23" s="10" customFormat="1" ht="23.25" customHeight="1" x14ac:dyDescent="0.2">
      <c r="B170" s="278"/>
      <c r="C170" s="284"/>
      <c r="D170" s="284"/>
      <c r="E170" s="192" t="s">
        <v>1181</v>
      </c>
      <c r="F170" s="192"/>
      <c r="G170" s="190">
        <f>SUM(G166:G169)</f>
        <v>56.699999999999996</v>
      </c>
      <c r="H170" s="190"/>
      <c r="I170" s="190"/>
      <c r="J170" s="293"/>
      <c r="K170" s="14">
        <f>SUM(K166:K169)</f>
        <v>151335.58751999997</v>
      </c>
      <c r="L170" s="14">
        <f>SUM(L166:L169)</f>
        <v>96922.742400000003</v>
      </c>
      <c r="M170" s="138">
        <v>26707</v>
      </c>
      <c r="N170" s="88">
        <v>0.9</v>
      </c>
      <c r="O170" s="17">
        <f>M170*N170</f>
        <v>24036.3</v>
      </c>
      <c r="P170" s="21">
        <f>O170*M4*365</f>
        <v>438662.47500000003</v>
      </c>
      <c r="Q170" s="21">
        <f>O170*O4*365</f>
        <v>368476.47900000005</v>
      </c>
      <c r="R170" s="14">
        <f>K170</f>
        <v>151335.58751999997</v>
      </c>
      <c r="S170" s="14">
        <f>L170</f>
        <v>96922.742400000003</v>
      </c>
      <c r="T170" s="153">
        <f>R170/$R$255</f>
        <v>5.2968635212307033E-3</v>
      </c>
      <c r="U170" s="153">
        <f>S170/$S$255</f>
        <v>4.1046414987092935E-3</v>
      </c>
      <c r="V170" s="171">
        <f>R170/$R$173</f>
        <v>0.15570830840896296</v>
      </c>
      <c r="W170" s="171">
        <f>S170/$S$173</f>
        <v>0.23712175763438367</v>
      </c>
    </row>
    <row r="171" spans="2:23" s="10" customFormat="1" ht="23.25" customHeight="1" x14ac:dyDescent="0.2">
      <c r="B171" s="278"/>
      <c r="C171" s="193"/>
      <c r="D171" s="193" t="s">
        <v>20</v>
      </c>
      <c r="E171" s="192" t="s">
        <v>1182</v>
      </c>
      <c r="F171" s="192"/>
      <c r="G171" s="190"/>
      <c r="H171" s="190"/>
      <c r="I171" s="190"/>
      <c r="J171" s="191"/>
      <c r="K171" s="14"/>
      <c r="L171" s="14"/>
      <c r="M171" s="138"/>
      <c r="N171" s="88"/>
      <c r="O171" s="17"/>
      <c r="P171" s="21"/>
      <c r="Q171" s="21"/>
      <c r="R171" s="14">
        <f>'tabla PPT'!G25</f>
        <v>98671.309460741279</v>
      </c>
      <c r="S171" s="14">
        <f>'tabla PPT'!H25</f>
        <v>114939.34908715794</v>
      </c>
      <c r="T171" s="153">
        <f>R171/$R$255</f>
        <v>3.453572740156674E-3</v>
      </c>
      <c r="U171" s="153">
        <f>S171/$S$255</f>
        <v>4.8676379806787493E-3</v>
      </c>
      <c r="V171" s="171"/>
      <c r="W171" s="171"/>
    </row>
    <row r="172" spans="2:23" s="10" customFormat="1" ht="23.25" customHeight="1" x14ac:dyDescent="0.25">
      <c r="B172" s="279"/>
      <c r="C172" s="29" t="s">
        <v>335</v>
      </c>
      <c r="D172" s="194" t="s">
        <v>336</v>
      </c>
      <c r="E172" s="192"/>
      <c r="F172" s="192"/>
      <c r="G172" s="190"/>
      <c r="H172" s="190"/>
      <c r="I172" s="190"/>
      <c r="J172" s="191"/>
      <c r="K172" s="14"/>
      <c r="L172" s="14"/>
      <c r="M172" s="138"/>
      <c r="N172" s="88"/>
      <c r="O172" s="17"/>
      <c r="P172" s="21"/>
      <c r="Q172" s="21"/>
      <c r="R172" s="14">
        <f>'Resumen cargas Cafeteros'!E21</f>
        <v>721910.33124141523</v>
      </c>
      <c r="S172" s="14">
        <f>'Resumen cargas Cafeteros'!F21</f>
        <v>196884.63579311327</v>
      </c>
      <c r="T172" s="153">
        <f>R172/$R$255</f>
        <v>2.5267424284105538E-2</v>
      </c>
      <c r="U172" s="153">
        <f>S172/$S$255</f>
        <v>8.337989893016871E-3</v>
      </c>
      <c r="V172" s="152">
        <f>R172/$R$173</f>
        <v>0.74276935347873496</v>
      </c>
      <c r="W172" s="152">
        <f>S172/$S$173</f>
        <v>0.48167880658800372</v>
      </c>
    </row>
    <row r="173" spans="2:23" s="10" customFormat="1" ht="31.5" customHeight="1" x14ac:dyDescent="0.25">
      <c r="B173" s="284" t="s">
        <v>253</v>
      </c>
      <c r="C173" s="284"/>
      <c r="D173" s="284"/>
      <c r="E173" s="311"/>
      <c r="F173" s="311"/>
      <c r="G173" s="311"/>
      <c r="H173" s="311"/>
      <c r="I173" s="311"/>
      <c r="J173" s="311"/>
      <c r="K173" s="311"/>
      <c r="L173" s="311"/>
      <c r="M173" s="192"/>
      <c r="N173" s="192"/>
      <c r="O173" s="192"/>
      <c r="P173" s="192"/>
      <c r="Q173" s="192"/>
      <c r="R173" s="54">
        <f>SUM(R170:R172)</f>
        <v>971917.22822215641</v>
      </c>
      <c r="S173" s="54">
        <f>SUM(S170:S172)</f>
        <v>408746.72728027124</v>
      </c>
      <c r="T173" s="154">
        <f>R173/$R$255</f>
        <v>3.4017860545492912E-2</v>
      </c>
      <c r="U173" s="154">
        <f>S173/$S$255</f>
        <v>1.7310269372404916E-2</v>
      </c>
      <c r="V173" s="12"/>
      <c r="W173" s="12"/>
    </row>
    <row r="174" spans="2:23" s="10" customFormat="1" ht="22.5" customHeight="1" x14ac:dyDescent="0.2">
      <c r="B174" s="277" t="s">
        <v>99</v>
      </c>
      <c r="C174" s="284" t="s">
        <v>100</v>
      </c>
      <c r="D174" s="284" t="s">
        <v>236</v>
      </c>
      <c r="E174" s="192" t="s">
        <v>298</v>
      </c>
      <c r="F174" s="192" t="s">
        <v>297</v>
      </c>
      <c r="G174" s="190">
        <v>61.93</v>
      </c>
      <c r="H174" s="191">
        <v>206</v>
      </c>
      <c r="I174" s="191">
        <v>54</v>
      </c>
      <c r="J174" s="293" t="s">
        <v>34</v>
      </c>
      <c r="K174" s="14">
        <f>(G174*H174*0.0036*$Q$4)*365</f>
        <v>402323.04287999996</v>
      </c>
      <c r="L174" s="14">
        <f>(G174*I174*0.0036*$Q$4)*365</f>
        <v>105463.32191999997</v>
      </c>
      <c r="M174" s="14"/>
      <c r="N174" s="14"/>
      <c r="O174" s="14"/>
      <c r="P174" s="14"/>
      <c r="Q174" s="14"/>
      <c r="R174" s="14"/>
      <c r="S174" s="14"/>
      <c r="T174" s="153"/>
      <c r="U174" s="153"/>
      <c r="V174" s="12"/>
      <c r="W174" s="12"/>
    </row>
    <row r="175" spans="2:23" s="10" customFormat="1" ht="21.75" customHeight="1" x14ac:dyDescent="0.2">
      <c r="B175" s="278"/>
      <c r="C175" s="284"/>
      <c r="D175" s="284"/>
      <c r="E175" s="194" t="s">
        <v>299</v>
      </c>
      <c r="F175" s="194"/>
      <c r="G175" s="190">
        <v>9.5500000000000007</v>
      </c>
      <c r="H175" s="191">
        <v>142</v>
      </c>
      <c r="I175" s="191">
        <v>40</v>
      </c>
      <c r="J175" s="293"/>
      <c r="K175" s="14">
        <f>(G175*H175*0.0036*$Q$4)*365</f>
        <v>42765.969600000004</v>
      </c>
      <c r="L175" s="14">
        <f>(G175*I175*0.0036*$Q$4)*365</f>
        <v>12046.752</v>
      </c>
      <c r="M175" s="14"/>
      <c r="N175" s="14"/>
      <c r="O175" s="14"/>
      <c r="P175" s="14"/>
      <c r="Q175" s="14"/>
      <c r="R175" s="14"/>
      <c r="S175" s="14"/>
      <c r="T175" s="153"/>
      <c r="U175" s="153"/>
      <c r="V175" s="12"/>
      <c r="W175" s="12"/>
    </row>
    <row r="176" spans="2:23" s="10" customFormat="1" ht="24.75" customHeight="1" x14ac:dyDescent="0.2">
      <c r="B176" s="278"/>
      <c r="C176" s="284"/>
      <c r="D176" s="284"/>
      <c r="E176" s="194" t="s">
        <v>1181</v>
      </c>
      <c r="F176" s="66"/>
      <c r="G176" s="190"/>
      <c r="H176" s="191"/>
      <c r="I176" s="191"/>
      <c r="J176" s="293"/>
      <c r="K176" s="14">
        <f t="shared" ref="K176:L176" si="34">SUM(K174:K175)</f>
        <v>445089.01247999998</v>
      </c>
      <c r="L176" s="14">
        <f t="shared" si="34"/>
        <v>117510.07391999997</v>
      </c>
      <c r="M176" s="138">
        <v>11234</v>
      </c>
      <c r="N176" s="88">
        <v>0.9</v>
      </c>
      <c r="O176" s="17">
        <f>M176*N176</f>
        <v>10110.6</v>
      </c>
      <c r="P176" s="21">
        <f>O176*M4*365</f>
        <v>184518.45</v>
      </c>
      <c r="Q176" s="21">
        <f>O176*O4*365</f>
        <v>154995.49800000002</v>
      </c>
      <c r="R176" s="14">
        <f>K176</f>
        <v>445089.01247999998</v>
      </c>
      <c r="S176" s="14">
        <f>L176</f>
        <v>117510.07391999997</v>
      </c>
      <c r="T176" s="153">
        <f t="shared" ref="T176:T185" si="35">R176/$R$255</f>
        <v>1.5578462359980862E-2</v>
      </c>
      <c r="U176" s="153">
        <f t="shared" ref="U176:U185" si="36">S176/$S$255</f>
        <v>4.9765072054794484E-3</v>
      </c>
      <c r="V176" s="177">
        <f>R176/$R$185</f>
        <v>0.2752937926865226</v>
      </c>
      <c r="W176" s="177">
        <f>S176/$S$185</f>
        <v>0.14652208464547453</v>
      </c>
    </row>
    <row r="177" spans="2:23" s="10" customFormat="1" ht="24.75" customHeight="1" x14ac:dyDescent="0.2">
      <c r="B177" s="278"/>
      <c r="C177" s="284"/>
      <c r="D177" s="193" t="s">
        <v>20</v>
      </c>
      <c r="E177" s="194" t="s">
        <v>1182</v>
      </c>
      <c r="F177" s="66"/>
      <c r="G177" s="190"/>
      <c r="H177" s="191"/>
      <c r="I177" s="191"/>
      <c r="J177" s="191"/>
      <c r="K177" s="14"/>
      <c r="L177" s="14"/>
      <c r="M177" s="138"/>
      <c r="N177" s="88"/>
      <c r="O177" s="17"/>
      <c r="P177" s="21"/>
      <c r="Q177" s="21"/>
      <c r="R177" s="14">
        <f>'tabla PPT'!G26</f>
        <v>98093.939725420467</v>
      </c>
      <c r="S177" s="14">
        <f>'tabla PPT'!H26</f>
        <v>114266.78781354072</v>
      </c>
      <c r="T177" s="153">
        <f t="shared" si="35"/>
        <v>3.4333643493914862E-3</v>
      </c>
      <c r="U177" s="153">
        <f t="shared" si="36"/>
        <v>4.8391552650048474E-3</v>
      </c>
      <c r="V177" s="177"/>
      <c r="W177" s="177"/>
    </row>
    <row r="178" spans="2:23" s="10" customFormat="1" ht="28.5" customHeight="1" x14ac:dyDescent="0.2">
      <c r="B178" s="278"/>
      <c r="C178" s="284"/>
      <c r="D178" s="193" t="s">
        <v>101</v>
      </c>
      <c r="E178" s="194" t="s">
        <v>60</v>
      </c>
      <c r="F178" s="66" t="s">
        <v>311</v>
      </c>
      <c r="G178" s="190">
        <v>7</v>
      </c>
      <c r="H178" s="191">
        <v>417</v>
      </c>
      <c r="I178" s="191">
        <v>530</v>
      </c>
      <c r="J178" s="191" t="s">
        <v>34</v>
      </c>
      <c r="K178" s="14">
        <f t="shared" ref="K178:K183" si="37">(G178*H178*0.0036*$Q$4)*365</f>
        <v>92053.583999999988</v>
      </c>
      <c r="L178" s="14">
        <f t="shared" ref="L178:L183" si="38">(G178*I178*0.0036*$Q$4)*365</f>
        <v>116998.56</v>
      </c>
      <c r="M178" s="14"/>
      <c r="N178" s="14"/>
      <c r="O178" s="14"/>
      <c r="P178" s="14"/>
      <c r="Q178" s="14"/>
      <c r="R178" s="14">
        <f t="shared" ref="R178:S183" si="39">K178</f>
        <v>92053.583999999988</v>
      </c>
      <c r="S178" s="14">
        <f t="shared" si="39"/>
        <v>116998.56</v>
      </c>
      <c r="T178" s="153">
        <f t="shared" si="35"/>
        <v>3.2219471908661763E-3</v>
      </c>
      <c r="U178" s="153">
        <f t="shared" si="36"/>
        <v>4.954844784346807E-3</v>
      </c>
      <c r="V178" s="172">
        <f t="shared" ref="V178:V184" si="40">R178/$R$185</f>
        <v>5.6936431947724443E-2</v>
      </c>
      <c r="W178" s="172">
        <f t="shared" ref="W178:W184" si="41">S178/$S$185</f>
        <v>0.14588428327761396</v>
      </c>
    </row>
    <row r="179" spans="2:23" s="10" customFormat="1" ht="28.5" customHeight="1" x14ac:dyDescent="0.2">
      <c r="B179" s="278"/>
      <c r="C179" s="284"/>
      <c r="D179" s="193" t="s">
        <v>310</v>
      </c>
      <c r="E179" s="194" t="s">
        <v>60</v>
      </c>
      <c r="F179" s="66">
        <v>41603</v>
      </c>
      <c r="G179" s="190">
        <v>0.4</v>
      </c>
      <c r="H179" s="191">
        <v>62</v>
      </c>
      <c r="I179" s="191">
        <v>18</v>
      </c>
      <c r="J179" s="191" t="s">
        <v>34</v>
      </c>
      <c r="K179" s="14">
        <f t="shared" si="37"/>
        <v>782.0927999999999</v>
      </c>
      <c r="L179" s="14">
        <f t="shared" si="38"/>
        <v>227.05919999999998</v>
      </c>
      <c r="M179" s="14"/>
      <c r="N179" s="14"/>
      <c r="O179" s="14"/>
      <c r="P179" s="14"/>
      <c r="Q179" s="14"/>
      <c r="R179" s="14">
        <f t="shared" si="39"/>
        <v>782.0927999999999</v>
      </c>
      <c r="S179" s="14">
        <f t="shared" si="39"/>
        <v>227.05919999999998</v>
      </c>
      <c r="T179" s="153">
        <f t="shared" si="35"/>
        <v>2.7373857599685223E-5</v>
      </c>
      <c r="U179" s="153">
        <f t="shared" si="36"/>
        <v>9.6158712795948808E-6</v>
      </c>
      <c r="V179" s="172">
        <f t="shared" si="40"/>
        <v>4.8373535878847761E-4</v>
      </c>
      <c r="W179" s="172">
        <f t="shared" si="41"/>
        <v>2.8311774652259308E-4</v>
      </c>
    </row>
    <row r="180" spans="2:23" s="10" customFormat="1" ht="29.25" customHeight="1" x14ac:dyDescent="0.25">
      <c r="B180" s="278"/>
      <c r="C180" s="284"/>
      <c r="D180" s="29" t="s">
        <v>102</v>
      </c>
      <c r="E180" s="194" t="s">
        <v>60</v>
      </c>
      <c r="F180" s="66" t="s">
        <v>312</v>
      </c>
      <c r="G180" s="190">
        <v>2.6</v>
      </c>
      <c r="H180" s="191">
        <v>168</v>
      </c>
      <c r="I180" s="191">
        <v>37</v>
      </c>
      <c r="J180" s="191" t="s">
        <v>34</v>
      </c>
      <c r="K180" s="14">
        <f t="shared" si="37"/>
        <v>13774.924799999999</v>
      </c>
      <c r="L180" s="14">
        <f t="shared" si="38"/>
        <v>3033.7632000000003</v>
      </c>
      <c r="M180" s="14"/>
      <c r="N180" s="14"/>
      <c r="O180" s="14"/>
      <c r="P180" s="14"/>
      <c r="Q180" s="14"/>
      <c r="R180" s="14">
        <f t="shared" si="39"/>
        <v>13774.924799999999</v>
      </c>
      <c r="S180" s="14">
        <f t="shared" si="39"/>
        <v>3033.7632000000003</v>
      </c>
      <c r="T180" s="153">
        <f t="shared" si="35"/>
        <v>4.8213310482026237E-4</v>
      </c>
      <c r="U180" s="153">
        <f t="shared" si="36"/>
        <v>1.2847872459680941E-4</v>
      </c>
      <c r="V180" s="172">
        <f t="shared" si="40"/>
        <v>8.5199840612422192E-3</v>
      </c>
      <c r="W180" s="172">
        <f t="shared" si="41"/>
        <v>3.7827676688157587E-3</v>
      </c>
    </row>
    <row r="181" spans="2:23" s="10" customFormat="1" ht="24" customHeight="1" x14ac:dyDescent="0.25">
      <c r="B181" s="278"/>
      <c r="C181" s="284"/>
      <c r="D181" s="29" t="s">
        <v>103</v>
      </c>
      <c r="E181" s="194" t="s">
        <v>60</v>
      </c>
      <c r="F181" s="66">
        <v>41985</v>
      </c>
      <c r="G181" s="190">
        <v>0.12</v>
      </c>
      <c r="H181" s="191">
        <v>10.5</v>
      </c>
      <c r="I181" s="191">
        <v>13</v>
      </c>
      <c r="J181" s="191" t="s">
        <v>34</v>
      </c>
      <c r="K181" s="14">
        <f t="shared" si="37"/>
        <v>39.73536</v>
      </c>
      <c r="L181" s="14">
        <f t="shared" si="38"/>
        <v>49.196160000000006</v>
      </c>
      <c r="M181" s="14"/>
      <c r="N181" s="14"/>
      <c r="O181" s="14"/>
      <c r="P181" s="14"/>
      <c r="Q181" s="14"/>
      <c r="R181" s="14">
        <f t="shared" si="39"/>
        <v>39.73536</v>
      </c>
      <c r="S181" s="14">
        <f t="shared" si="39"/>
        <v>49.196160000000006</v>
      </c>
      <c r="T181" s="153">
        <f t="shared" si="35"/>
        <v>1.3907685715969108E-6</v>
      </c>
      <c r="U181" s="153">
        <f t="shared" si="36"/>
        <v>2.083438777245558E-6</v>
      </c>
      <c r="V181" s="172">
        <f t="shared" si="40"/>
        <v>2.4576877099737173E-5</v>
      </c>
      <c r="W181" s="172">
        <f t="shared" si="41"/>
        <v>6.1342178413228523E-5</v>
      </c>
    </row>
    <row r="182" spans="2:23" s="10" customFormat="1" ht="30.75" customHeight="1" x14ac:dyDescent="0.2">
      <c r="B182" s="278"/>
      <c r="C182" s="284"/>
      <c r="D182" s="193" t="s">
        <v>104</v>
      </c>
      <c r="E182" s="194" t="s">
        <v>60</v>
      </c>
      <c r="F182" s="66" t="s">
        <v>312</v>
      </c>
      <c r="G182" s="190">
        <v>8.5</v>
      </c>
      <c r="H182" s="191">
        <v>32</v>
      </c>
      <c r="I182" s="191">
        <v>704</v>
      </c>
      <c r="J182" s="191" t="s">
        <v>34</v>
      </c>
      <c r="K182" s="14">
        <f t="shared" si="37"/>
        <v>8577.7919999999995</v>
      </c>
      <c r="L182" s="14">
        <f t="shared" si="38"/>
        <v>188711.424</v>
      </c>
      <c r="M182" s="14"/>
      <c r="N182" s="14"/>
      <c r="O182" s="14"/>
      <c r="P182" s="14"/>
      <c r="Q182" s="14"/>
      <c r="R182" s="14">
        <f t="shared" si="39"/>
        <v>8577.7919999999995</v>
      </c>
      <c r="S182" s="14">
        <f t="shared" si="39"/>
        <v>188711.424</v>
      </c>
      <c r="T182" s="153">
        <f t="shared" si="35"/>
        <v>3.0022940593203153E-4</v>
      </c>
      <c r="U182" s="153">
        <f t="shared" si="36"/>
        <v>7.991857463485524E-3</v>
      </c>
      <c r="V182" s="172">
        <f t="shared" si="40"/>
        <v>5.3054845802607224E-3</v>
      </c>
      <c r="W182" s="172">
        <f t="shared" si="41"/>
        <v>0.23530230488766629</v>
      </c>
    </row>
    <row r="183" spans="2:23" s="10" customFormat="1" ht="30.75" customHeight="1" x14ac:dyDescent="0.2">
      <c r="B183" s="278"/>
      <c r="C183" s="284"/>
      <c r="D183" s="193" t="s">
        <v>140</v>
      </c>
      <c r="E183" s="194" t="s">
        <v>60</v>
      </c>
      <c r="F183" s="66">
        <v>42049</v>
      </c>
      <c r="G183" s="190">
        <v>2.5299999999999998</v>
      </c>
      <c r="H183" s="191">
        <v>426</v>
      </c>
      <c r="I183" s="191">
        <v>114</v>
      </c>
      <c r="J183" s="191" t="s">
        <v>34</v>
      </c>
      <c r="K183" s="14">
        <f t="shared" si="37"/>
        <v>33988.870079999993</v>
      </c>
      <c r="L183" s="14">
        <f t="shared" si="38"/>
        <v>9095.61312</v>
      </c>
      <c r="M183" s="14"/>
      <c r="N183" s="14"/>
      <c r="O183" s="14"/>
      <c r="P183" s="14"/>
      <c r="Q183" s="14"/>
      <c r="R183" s="14">
        <f t="shared" si="39"/>
        <v>33988.870079999993</v>
      </c>
      <c r="S183" s="14">
        <f t="shared" si="39"/>
        <v>9095.61312</v>
      </c>
      <c r="T183" s="153">
        <f t="shared" si="35"/>
        <v>1.189636945314062E-3</v>
      </c>
      <c r="U183" s="153">
        <f t="shared" si="36"/>
        <v>3.8519577700843829E-4</v>
      </c>
      <c r="V183" s="172">
        <f t="shared" si="40"/>
        <v>2.1022592540122797E-2</v>
      </c>
      <c r="W183" s="172">
        <f t="shared" si="41"/>
        <v>1.134122506278421E-2</v>
      </c>
    </row>
    <row r="184" spans="2:23" s="10" customFormat="1" ht="30.75" customHeight="1" x14ac:dyDescent="0.25">
      <c r="B184" s="279"/>
      <c r="C184" s="29" t="s">
        <v>335</v>
      </c>
      <c r="D184" s="194" t="s">
        <v>336</v>
      </c>
      <c r="E184" s="194"/>
      <c r="F184" s="66"/>
      <c r="G184" s="190"/>
      <c r="H184" s="191"/>
      <c r="I184" s="191"/>
      <c r="J184" s="191"/>
      <c r="K184" s="14"/>
      <c r="L184" s="14"/>
      <c r="M184" s="14"/>
      <c r="N184" s="14"/>
      <c r="O184" s="14"/>
      <c r="P184" s="14"/>
      <c r="Q184" s="14"/>
      <c r="R184" s="14">
        <f>'Resumen cargas Cafeteros'!E22</f>
        <v>924378.28460395581</v>
      </c>
      <c r="S184" s="14">
        <f>'Resumen cargas Cafeteros'!F22</f>
        <v>252103.16852835161</v>
      </c>
      <c r="T184" s="153">
        <f t="shared" si="35"/>
        <v>3.2353960464781152E-2</v>
      </c>
      <c r="U184" s="153">
        <f t="shared" si="36"/>
        <v>1.0676473878823868E-2</v>
      </c>
      <c r="V184" s="172">
        <f t="shared" si="40"/>
        <v>0.57174092532135834</v>
      </c>
      <c r="W184" s="172">
        <f t="shared" si="41"/>
        <v>0.31434480948119448</v>
      </c>
    </row>
    <row r="185" spans="2:23" s="10" customFormat="1" ht="27" customHeight="1" x14ac:dyDescent="0.25">
      <c r="B185" s="284" t="s">
        <v>254</v>
      </c>
      <c r="C185" s="284"/>
      <c r="D185" s="284"/>
      <c r="E185" s="286"/>
      <c r="F185" s="286"/>
      <c r="G185" s="286"/>
      <c r="H185" s="286"/>
      <c r="I185" s="286"/>
      <c r="J185" s="286"/>
      <c r="K185" s="286"/>
      <c r="L185" s="286"/>
      <c r="M185" s="194"/>
      <c r="N185" s="194"/>
      <c r="O185" s="194"/>
      <c r="P185" s="194"/>
      <c r="Q185" s="194"/>
      <c r="R185" s="54">
        <f>SUM(R176:R184)</f>
        <v>1616778.2358493763</v>
      </c>
      <c r="S185" s="54">
        <f>SUM(S176:S184)</f>
        <v>801995.64594189229</v>
      </c>
      <c r="T185" s="154">
        <f t="shared" si="35"/>
        <v>5.6588498447257315E-2</v>
      </c>
      <c r="U185" s="154">
        <f t="shared" si="36"/>
        <v>3.3964212408802583E-2</v>
      </c>
      <c r="V185" s="12"/>
      <c r="W185" s="12"/>
    </row>
    <row r="186" spans="2:23" s="10" customFormat="1" ht="23.25" customHeight="1" x14ac:dyDescent="0.2">
      <c r="B186" s="284" t="s">
        <v>105</v>
      </c>
      <c r="C186" s="284" t="s">
        <v>47</v>
      </c>
      <c r="D186" s="284" t="s">
        <v>106</v>
      </c>
      <c r="E186" s="192" t="s">
        <v>219</v>
      </c>
      <c r="F186" s="79">
        <v>43101</v>
      </c>
      <c r="G186" s="190">
        <v>1.38</v>
      </c>
      <c r="H186" s="190">
        <v>109</v>
      </c>
      <c r="I186" s="190">
        <v>85</v>
      </c>
      <c r="J186" s="287" t="s">
        <v>34</v>
      </c>
      <c r="K186" s="14">
        <f t="shared" ref="K186:K200" si="42">(G186*H186*0.0036*$Q$4)*365</f>
        <v>4743.6451200000001</v>
      </c>
      <c r="L186" s="14">
        <f t="shared" ref="L186:L200" si="43">(G186*I186*0.0036*$Q$4)*365</f>
        <v>3699.1727999999998</v>
      </c>
      <c r="M186" s="14"/>
      <c r="N186" s="14"/>
      <c r="O186" s="14"/>
      <c r="P186" s="14"/>
      <c r="Q186" s="14"/>
      <c r="R186" s="14"/>
      <c r="S186" s="14"/>
      <c r="T186" s="153"/>
      <c r="U186" s="153"/>
      <c r="V186" s="12"/>
      <c r="W186" s="12"/>
    </row>
    <row r="187" spans="2:23" s="10" customFormat="1" ht="18.75" customHeight="1" x14ac:dyDescent="0.2">
      <c r="B187" s="284"/>
      <c r="C187" s="284"/>
      <c r="D187" s="284"/>
      <c r="E187" s="192" t="s">
        <v>287</v>
      </c>
      <c r="F187" s="78"/>
      <c r="G187" s="190">
        <v>4.87</v>
      </c>
      <c r="H187" s="190">
        <v>235</v>
      </c>
      <c r="I187" s="190">
        <v>110</v>
      </c>
      <c r="J187" s="287"/>
      <c r="K187" s="14">
        <f t="shared" si="42"/>
        <v>36091.375200000002</v>
      </c>
      <c r="L187" s="14">
        <f t="shared" si="43"/>
        <v>16893.835200000001</v>
      </c>
      <c r="M187" s="14"/>
      <c r="N187" s="14"/>
      <c r="O187" s="14"/>
      <c r="P187" s="14"/>
      <c r="Q187" s="14"/>
      <c r="R187" s="14"/>
      <c r="S187" s="14"/>
      <c r="T187" s="153"/>
      <c r="U187" s="153"/>
      <c r="V187" s="12"/>
      <c r="W187" s="12"/>
    </row>
    <row r="188" spans="2:23" s="10" customFormat="1" ht="23.25" customHeight="1" x14ac:dyDescent="0.2">
      <c r="B188" s="284"/>
      <c r="C188" s="284"/>
      <c r="D188" s="284"/>
      <c r="E188" s="192" t="s">
        <v>220</v>
      </c>
      <c r="F188" s="78"/>
      <c r="G188" s="190">
        <v>1.83</v>
      </c>
      <c r="H188" s="190">
        <v>288</v>
      </c>
      <c r="I188" s="190">
        <v>198</v>
      </c>
      <c r="J188" s="287"/>
      <c r="K188" s="14">
        <f t="shared" si="42"/>
        <v>16620.733439999996</v>
      </c>
      <c r="L188" s="14">
        <f t="shared" si="43"/>
        <v>11426.75424</v>
      </c>
      <c r="M188" s="14"/>
      <c r="N188" s="14"/>
      <c r="O188" s="14"/>
      <c r="P188" s="14"/>
      <c r="Q188" s="14"/>
      <c r="R188" s="14"/>
      <c r="S188" s="14"/>
      <c r="T188" s="153"/>
      <c r="U188" s="153"/>
      <c r="V188" s="12"/>
      <c r="W188" s="12"/>
    </row>
    <row r="189" spans="2:23" s="10" customFormat="1" ht="23.25" customHeight="1" x14ac:dyDescent="0.2">
      <c r="B189" s="284"/>
      <c r="C189" s="284"/>
      <c r="D189" s="284"/>
      <c r="E189" s="192" t="s">
        <v>221</v>
      </c>
      <c r="F189" s="78"/>
      <c r="G189" s="190">
        <v>5.19</v>
      </c>
      <c r="H189" s="190">
        <v>246</v>
      </c>
      <c r="I189" s="190">
        <v>155</v>
      </c>
      <c r="J189" s="287"/>
      <c r="K189" s="14">
        <f t="shared" si="42"/>
        <v>40263.272639999996</v>
      </c>
      <c r="L189" s="14">
        <f t="shared" si="43"/>
        <v>25369.135200000001</v>
      </c>
      <c r="M189" s="14"/>
      <c r="N189" s="14"/>
      <c r="O189" s="14"/>
      <c r="P189" s="14"/>
      <c r="Q189" s="14"/>
      <c r="R189" s="14"/>
      <c r="S189" s="14"/>
      <c r="T189" s="153"/>
      <c r="U189" s="153"/>
      <c r="V189" s="12"/>
      <c r="W189" s="12"/>
    </row>
    <row r="190" spans="2:23" s="10" customFormat="1" ht="23.25" customHeight="1" x14ac:dyDescent="0.2">
      <c r="B190" s="284"/>
      <c r="C190" s="284"/>
      <c r="D190" s="284"/>
      <c r="E190" s="192" t="s">
        <v>222</v>
      </c>
      <c r="F190" s="78"/>
      <c r="G190" s="190">
        <v>8.7799999999999994</v>
      </c>
      <c r="H190" s="190">
        <v>66</v>
      </c>
      <c r="I190" s="190">
        <v>92</v>
      </c>
      <c r="J190" s="287"/>
      <c r="K190" s="14">
        <f t="shared" si="42"/>
        <v>18274.481279999996</v>
      </c>
      <c r="L190" s="14">
        <f t="shared" si="43"/>
        <v>25473.519359999998</v>
      </c>
      <c r="M190" s="14"/>
      <c r="N190" s="14"/>
      <c r="O190" s="14"/>
      <c r="P190" s="14"/>
      <c r="Q190" s="14"/>
      <c r="R190" s="14"/>
      <c r="S190" s="14"/>
      <c r="T190" s="153"/>
      <c r="U190" s="153"/>
      <c r="V190" s="12"/>
      <c r="W190" s="12"/>
    </row>
    <row r="191" spans="2:23" s="10" customFormat="1" ht="23.25" customHeight="1" x14ac:dyDescent="0.2">
      <c r="B191" s="284"/>
      <c r="C191" s="284"/>
      <c r="D191" s="284"/>
      <c r="E191" s="192" t="s">
        <v>223</v>
      </c>
      <c r="F191" s="78"/>
      <c r="G191" s="190">
        <v>27.4</v>
      </c>
      <c r="H191" s="190">
        <v>260.14999999999998</v>
      </c>
      <c r="I191" s="190">
        <v>440</v>
      </c>
      <c r="J191" s="287"/>
      <c r="K191" s="14">
        <f t="shared" si="42"/>
        <v>224792.07695999995</v>
      </c>
      <c r="L191" s="14">
        <f t="shared" si="43"/>
        <v>380198.016</v>
      </c>
      <c r="M191" s="14"/>
      <c r="N191" s="14"/>
      <c r="O191" s="14"/>
      <c r="P191" s="14"/>
      <c r="Q191" s="14"/>
      <c r="R191" s="14"/>
      <c r="S191" s="14"/>
      <c r="T191" s="153"/>
      <c r="U191" s="153"/>
      <c r="V191" s="12"/>
      <c r="W191" s="12"/>
    </row>
    <row r="192" spans="2:23" s="10" customFormat="1" ht="23.25" customHeight="1" x14ac:dyDescent="0.2">
      <c r="B192" s="284"/>
      <c r="C192" s="284"/>
      <c r="D192" s="284"/>
      <c r="E192" s="192" t="s">
        <v>224</v>
      </c>
      <c r="F192" s="78"/>
      <c r="G192" s="190">
        <v>14.64</v>
      </c>
      <c r="H192" s="190">
        <v>194</v>
      </c>
      <c r="I192" s="190">
        <v>160</v>
      </c>
      <c r="J192" s="287"/>
      <c r="K192" s="14">
        <f t="shared" si="42"/>
        <v>89567.285760000013</v>
      </c>
      <c r="L192" s="14">
        <f t="shared" si="43"/>
        <v>73869.926399999997</v>
      </c>
      <c r="M192" s="14"/>
      <c r="N192" s="14"/>
      <c r="O192" s="14"/>
      <c r="P192" s="14"/>
      <c r="Q192" s="14"/>
      <c r="R192" s="14"/>
      <c r="S192" s="14"/>
      <c r="T192" s="153"/>
      <c r="U192" s="153"/>
      <c r="V192" s="12"/>
      <c r="W192" s="12"/>
    </row>
    <row r="193" spans="2:23" s="10" customFormat="1" ht="23.25" customHeight="1" x14ac:dyDescent="0.2">
      <c r="B193" s="284"/>
      <c r="C193" s="284"/>
      <c r="D193" s="284"/>
      <c r="E193" s="192" t="s">
        <v>225</v>
      </c>
      <c r="F193" s="78"/>
      <c r="G193" s="190">
        <v>2.92</v>
      </c>
      <c r="H193" s="190">
        <v>158</v>
      </c>
      <c r="I193" s="190">
        <v>142</v>
      </c>
      <c r="J193" s="287"/>
      <c r="K193" s="14">
        <f t="shared" si="42"/>
        <v>14549.448959999998</v>
      </c>
      <c r="L193" s="14">
        <f t="shared" si="43"/>
        <v>13076.087039999999</v>
      </c>
      <c r="M193" s="14"/>
      <c r="N193" s="14"/>
      <c r="O193" s="14"/>
      <c r="P193" s="14"/>
      <c r="Q193" s="14"/>
      <c r="R193" s="14"/>
      <c r="S193" s="14"/>
      <c r="T193" s="153"/>
      <c r="U193" s="153"/>
      <c r="V193" s="12"/>
      <c r="W193" s="12"/>
    </row>
    <row r="194" spans="2:23" s="10" customFormat="1" ht="23.25" customHeight="1" x14ac:dyDescent="0.2">
      <c r="B194" s="284"/>
      <c r="C194" s="284"/>
      <c r="D194" s="284"/>
      <c r="E194" s="192" t="s">
        <v>226</v>
      </c>
      <c r="F194" s="78"/>
      <c r="G194" s="190">
        <v>14.7</v>
      </c>
      <c r="H194" s="190">
        <v>144</v>
      </c>
      <c r="I194" s="190">
        <v>113</v>
      </c>
      <c r="J194" s="287"/>
      <c r="K194" s="14">
        <f t="shared" si="42"/>
        <v>66755.404799999989</v>
      </c>
      <c r="L194" s="14">
        <f t="shared" si="43"/>
        <v>52384.449599999993</v>
      </c>
      <c r="M194" s="14"/>
      <c r="N194" s="14"/>
      <c r="O194" s="14"/>
      <c r="P194" s="14"/>
      <c r="Q194" s="14"/>
      <c r="R194" s="14"/>
      <c r="S194" s="14"/>
      <c r="T194" s="153"/>
      <c r="U194" s="153"/>
      <c r="V194" s="12"/>
      <c r="W194" s="12"/>
    </row>
    <row r="195" spans="2:23" s="10" customFormat="1" ht="23.25" customHeight="1" x14ac:dyDescent="0.2">
      <c r="B195" s="284"/>
      <c r="C195" s="284"/>
      <c r="D195" s="284"/>
      <c r="E195" s="192" t="s">
        <v>285</v>
      </c>
      <c r="F195" s="78"/>
      <c r="G195" s="190">
        <v>700.32</v>
      </c>
      <c r="H195" s="190">
        <v>138</v>
      </c>
      <c r="I195" s="190">
        <v>73</v>
      </c>
      <c r="J195" s="287"/>
      <c r="K195" s="14">
        <f t="shared" si="42"/>
        <v>3047770.22976</v>
      </c>
      <c r="L195" s="14">
        <f t="shared" si="43"/>
        <v>1612226.2809600001</v>
      </c>
      <c r="M195" s="14"/>
      <c r="N195" s="14"/>
      <c r="O195" s="14"/>
      <c r="P195" s="14"/>
      <c r="Q195" s="14"/>
      <c r="R195" s="14"/>
      <c r="S195" s="14"/>
      <c r="T195" s="153"/>
      <c r="U195" s="153"/>
      <c r="V195" s="12"/>
      <c r="W195" s="12"/>
    </row>
    <row r="196" spans="2:23" s="10" customFormat="1" ht="23.25" customHeight="1" x14ac:dyDescent="0.2">
      <c r="B196" s="284"/>
      <c r="C196" s="284"/>
      <c r="D196" s="284"/>
      <c r="E196" s="192" t="s">
        <v>286</v>
      </c>
      <c r="F196" s="78"/>
      <c r="G196" s="190">
        <v>854.73</v>
      </c>
      <c r="H196" s="190">
        <v>24</v>
      </c>
      <c r="I196" s="190">
        <v>115</v>
      </c>
      <c r="J196" s="287"/>
      <c r="K196" s="14">
        <f t="shared" si="42"/>
        <v>646914.36671999993</v>
      </c>
      <c r="L196" s="14">
        <f t="shared" si="43"/>
        <v>3099798.0071999994</v>
      </c>
      <c r="M196" s="14"/>
      <c r="N196" s="14"/>
      <c r="O196" s="14"/>
      <c r="P196" s="14"/>
      <c r="Q196" s="14"/>
      <c r="R196" s="14"/>
      <c r="S196" s="14"/>
      <c r="T196" s="153"/>
      <c r="U196" s="153"/>
      <c r="V196" s="12"/>
      <c r="W196" s="12"/>
    </row>
    <row r="197" spans="2:23" s="10" customFormat="1" ht="23.25" customHeight="1" x14ac:dyDescent="0.2">
      <c r="B197" s="284"/>
      <c r="C197" s="284"/>
      <c r="D197" s="284"/>
      <c r="E197" s="192" t="s">
        <v>227</v>
      </c>
      <c r="F197" s="78"/>
      <c r="G197" s="190">
        <v>0.49</v>
      </c>
      <c r="H197" s="190">
        <v>265</v>
      </c>
      <c r="I197" s="190">
        <v>147</v>
      </c>
      <c r="J197" s="287"/>
      <c r="K197" s="14">
        <f t="shared" si="42"/>
        <v>4094.9495999999999</v>
      </c>
      <c r="L197" s="14">
        <f t="shared" si="43"/>
        <v>2271.5380799999998</v>
      </c>
      <c r="M197" s="14"/>
      <c r="N197" s="14"/>
      <c r="O197" s="14"/>
      <c r="P197" s="14"/>
      <c r="Q197" s="14"/>
      <c r="R197" s="14"/>
      <c r="S197" s="14"/>
      <c r="T197" s="153"/>
      <c r="U197" s="153"/>
      <c r="V197" s="12"/>
      <c r="W197" s="12"/>
    </row>
    <row r="198" spans="2:23" s="10" customFormat="1" ht="23.25" customHeight="1" x14ac:dyDescent="0.2">
      <c r="B198" s="284"/>
      <c r="C198" s="284"/>
      <c r="D198" s="284"/>
      <c r="E198" s="192" t="s">
        <v>288</v>
      </c>
      <c r="F198" s="78"/>
      <c r="G198" s="190"/>
      <c r="H198" s="190"/>
      <c r="I198" s="190"/>
      <c r="J198" s="287"/>
      <c r="K198" s="14">
        <f t="shared" si="42"/>
        <v>0</v>
      </c>
      <c r="L198" s="14">
        <f t="shared" si="43"/>
        <v>0</v>
      </c>
      <c r="M198" s="14"/>
      <c r="N198" s="14"/>
      <c r="O198" s="14"/>
      <c r="P198" s="14"/>
      <c r="Q198" s="14"/>
      <c r="R198" s="14"/>
      <c r="S198" s="14"/>
      <c r="T198" s="153"/>
      <c r="U198" s="153"/>
      <c r="V198" s="12"/>
      <c r="W198" s="12"/>
    </row>
    <row r="199" spans="2:23" s="10" customFormat="1" ht="23.25" customHeight="1" x14ac:dyDescent="0.2">
      <c r="B199" s="284"/>
      <c r="C199" s="284"/>
      <c r="D199" s="284"/>
      <c r="E199" s="192" t="s">
        <v>228</v>
      </c>
      <c r="F199" s="78"/>
      <c r="G199" s="190">
        <v>19.79</v>
      </c>
      <c r="H199" s="190">
        <v>76</v>
      </c>
      <c r="I199" s="190">
        <v>88</v>
      </c>
      <c r="J199" s="287"/>
      <c r="K199" s="14">
        <f t="shared" si="42"/>
        <v>47431.405439999995</v>
      </c>
      <c r="L199" s="14">
        <f t="shared" si="43"/>
        <v>54920.57471999999</v>
      </c>
      <c r="M199" s="14"/>
      <c r="N199" s="14"/>
      <c r="O199" s="14"/>
      <c r="P199" s="14"/>
      <c r="Q199" s="14"/>
      <c r="R199" s="14"/>
      <c r="S199" s="14"/>
      <c r="T199" s="153"/>
      <c r="U199" s="153"/>
      <c r="V199" s="12"/>
      <c r="W199" s="12"/>
    </row>
    <row r="200" spans="2:23" s="10" customFormat="1" ht="23.25" customHeight="1" x14ac:dyDescent="0.2">
      <c r="B200" s="284"/>
      <c r="C200" s="284"/>
      <c r="D200" s="284"/>
      <c r="E200" s="192" t="s">
        <v>315</v>
      </c>
      <c r="F200" s="69"/>
      <c r="G200" s="190">
        <v>31.52</v>
      </c>
      <c r="H200" s="190">
        <v>175</v>
      </c>
      <c r="I200" s="190">
        <v>113</v>
      </c>
      <c r="J200" s="287"/>
      <c r="K200" s="14">
        <f t="shared" si="42"/>
        <v>173952.57599999997</v>
      </c>
      <c r="L200" s="14">
        <f t="shared" si="43"/>
        <v>112323.66335999998</v>
      </c>
      <c r="M200" s="14"/>
      <c r="N200" s="14"/>
      <c r="O200" s="14"/>
      <c r="P200" s="14"/>
      <c r="Q200" s="14"/>
      <c r="R200" s="14"/>
      <c r="S200" s="14"/>
      <c r="T200" s="153"/>
      <c r="U200" s="153"/>
      <c r="V200" s="12"/>
      <c r="W200" s="12"/>
    </row>
    <row r="201" spans="2:23" s="10" customFormat="1" ht="23.25" customHeight="1" x14ac:dyDescent="0.25">
      <c r="B201" s="284"/>
      <c r="C201" s="284"/>
      <c r="D201" s="284"/>
      <c r="E201" s="29" t="s">
        <v>1181</v>
      </c>
      <c r="F201" s="29"/>
      <c r="G201" s="190"/>
      <c r="H201" s="190"/>
      <c r="I201" s="190"/>
      <c r="J201" s="287"/>
      <c r="K201" s="14">
        <f>SUM(K186:K200)</f>
        <v>4431821.2516800007</v>
      </c>
      <c r="L201" s="14">
        <f>SUM(L186:L200)</f>
        <v>5483930.9601600002</v>
      </c>
      <c r="M201" s="138">
        <v>419342</v>
      </c>
      <c r="N201" s="88">
        <v>0.9</v>
      </c>
      <c r="O201" s="17">
        <f>M201*N201</f>
        <v>377407.8</v>
      </c>
      <c r="P201" s="21">
        <f>O201*M4*365</f>
        <v>6887692.3499999996</v>
      </c>
      <c r="Q201" s="21">
        <f>O201*O4*365</f>
        <v>5785661.574</v>
      </c>
      <c r="R201" s="14">
        <f>K201</f>
        <v>4431821.2516800007</v>
      </c>
      <c r="S201" s="14">
        <f>L201</f>
        <v>5483930.9601600002</v>
      </c>
      <c r="T201" s="153">
        <f>R201/$R$255</f>
        <v>0.15511719817743763</v>
      </c>
      <c r="U201" s="153">
        <f>S201/$S$255</f>
        <v>0.2322424029463846</v>
      </c>
      <c r="V201" s="172">
        <f>R201/$R$216</f>
        <v>0.68472083719707499</v>
      </c>
      <c r="W201" s="172">
        <f>S201/$S$216</f>
        <v>0.84218081462589001</v>
      </c>
    </row>
    <row r="202" spans="2:23" s="10" customFormat="1" ht="23.25" customHeight="1" x14ac:dyDescent="0.25">
      <c r="B202" s="284"/>
      <c r="C202" s="284"/>
      <c r="D202" s="193"/>
      <c r="E202" s="29" t="s">
        <v>1182</v>
      </c>
      <c r="F202" s="29"/>
      <c r="G202" s="190"/>
      <c r="H202" s="190"/>
      <c r="I202" s="190"/>
      <c r="J202" s="190"/>
      <c r="K202" s="14"/>
      <c r="L202" s="14"/>
      <c r="M202" s="138"/>
      <c r="N202" s="88"/>
      <c r="O202" s="17"/>
      <c r="P202" s="21"/>
      <c r="Q202" s="21"/>
      <c r="R202" s="14">
        <f>'tabla PPT'!G8</f>
        <v>230888.97884920289</v>
      </c>
      <c r="S202" s="14">
        <f>'tabla PPT'!H8</f>
        <v>268955.8807455051</v>
      </c>
      <c r="T202" s="153">
        <f>R202/$R$255</f>
        <v>8.0812942253845246E-3</v>
      </c>
      <c r="U202" s="153">
        <f>S202/$S$255</f>
        <v>1.1390179870002399E-2</v>
      </c>
      <c r="V202" s="172"/>
      <c r="W202" s="172"/>
    </row>
    <row r="203" spans="2:23" s="10" customFormat="1" ht="28.5" customHeight="1" x14ac:dyDescent="0.2">
      <c r="B203" s="284"/>
      <c r="C203" s="284"/>
      <c r="D203" s="193" t="s">
        <v>314</v>
      </c>
      <c r="E203" s="194" t="s">
        <v>37</v>
      </c>
      <c r="F203" s="66">
        <v>42951</v>
      </c>
      <c r="G203" s="190">
        <v>0.99</v>
      </c>
      <c r="H203" s="190">
        <v>38.5</v>
      </c>
      <c r="I203" s="190">
        <v>56.6</v>
      </c>
      <c r="J203" s="190" t="s">
        <v>34</v>
      </c>
      <c r="K203" s="14">
        <f>(G203*H203*0.0036*$Q$4)*365</f>
        <v>1201.9946400000001</v>
      </c>
      <c r="L203" s="14">
        <f>(G203*I203*0.0036*$Q$4)*365</f>
        <v>1767.0882240000001</v>
      </c>
      <c r="M203" s="14"/>
      <c r="N203" s="14"/>
      <c r="O203" s="14"/>
      <c r="P203" s="14"/>
      <c r="Q203" s="14"/>
      <c r="R203" s="14">
        <f>K203</f>
        <v>1201.9946400000001</v>
      </c>
      <c r="S203" s="14">
        <f>L203</f>
        <v>1767.0882240000001</v>
      </c>
      <c r="T203" s="153">
        <f>R203/$R$255</f>
        <v>4.2070749290806554E-5</v>
      </c>
      <c r="U203" s="153">
        <f>S203/$S$255</f>
        <v>7.4835518233447174E-5</v>
      </c>
      <c r="V203" s="172">
        <f>R203/$R$216</f>
        <v>1.8570937983909097E-4</v>
      </c>
      <c r="W203" s="172">
        <f>S203/$S$216</f>
        <v>2.7137610061391383E-4</v>
      </c>
    </row>
    <row r="204" spans="2:23" s="10" customFormat="1" ht="19.5" customHeight="1" x14ac:dyDescent="0.2">
      <c r="B204" s="277" t="s">
        <v>107</v>
      </c>
      <c r="C204" s="277" t="s">
        <v>47</v>
      </c>
      <c r="D204" s="284" t="s">
        <v>108</v>
      </c>
      <c r="E204" s="192" t="s">
        <v>139</v>
      </c>
      <c r="F204" s="192"/>
      <c r="G204" s="255">
        <v>5.15</v>
      </c>
      <c r="H204" s="191">
        <v>131</v>
      </c>
      <c r="I204" s="191">
        <v>38</v>
      </c>
      <c r="J204" s="293" t="s">
        <v>34</v>
      </c>
      <c r="K204" s="17"/>
      <c r="L204" s="17"/>
      <c r="M204" s="17"/>
      <c r="N204" s="17"/>
      <c r="O204" s="17"/>
      <c r="P204" s="17"/>
      <c r="Q204" s="17"/>
      <c r="R204" s="14"/>
      <c r="S204" s="14"/>
      <c r="T204" s="153"/>
      <c r="U204" s="153"/>
      <c r="V204" s="172">
        <f>R204/$R$216</f>
        <v>0</v>
      </c>
      <c r="W204" s="172">
        <f>S204/$S$216</f>
        <v>0</v>
      </c>
    </row>
    <row r="205" spans="2:23" s="10" customFormat="1" ht="27.75" customHeight="1" x14ac:dyDescent="0.2">
      <c r="B205" s="278"/>
      <c r="C205" s="278"/>
      <c r="D205" s="284"/>
      <c r="E205" s="192" t="s">
        <v>109</v>
      </c>
      <c r="F205" s="192"/>
      <c r="G205" s="195"/>
      <c r="H205" s="191" t="s">
        <v>283</v>
      </c>
      <c r="I205" s="191">
        <v>41</v>
      </c>
      <c r="J205" s="293"/>
      <c r="K205" s="14"/>
      <c r="L205" s="14"/>
      <c r="M205" s="14"/>
      <c r="N205" s="14"/>
      <c r="O205" s="14"/>
      <c r="P205" s="14"/>
      <c r="Q205" s="14"/>
      <c r="R205" s="14"/>
      <c r="S205" s="14"/>
      <c r="T205" s="153"/>
      <c r="U205" s="153"/>
      <c r="V205" s="172">
        <f>R205/$R$216</f>
        <v>0</v>
      </c>
      <c r="W205" s="172">
        <f>S205/$S$216</f>
        <v>0</v>
      </c>
    </row>
    <row r="206" spans="2:23" s="10" customFormat="1" ht="24" customHeight="1" x14ac:dyDescent="0.2">
      <c r="B206" s="278"/>
      <c r="C206" s="278"/>
      <c r="D206" s="284"/>
      <c r="E206" s="192" t="s">
        <v>1181</v>
      </c>
      <c r="F206" s="192"/>
      <c r="G206" s="195"/>
      <c r="H206" s="191"/>
      <c r="I206" s="191"/>
      <c r="J206" s="293"/>
      <c r="K206" s="14">
        <f>(G204*H204*0.0036*$Q$4)*365</f>
        <v>21275.762400000003</v>
      </c>
      <c r="L206" s="14">
        <f>(G204*I204*0.0036*$Q$4)*365</f>
        <v>6171.5952000000007</v>
      </c>
      <c r="M206" s="138">
        <v>2823</v>
      </c>
      <c r="N206" s="88">
        <v>0.9</v>
      </c>
      <c r="O206" s="17">
        <f>M206*N206</f>
        <v>2540.7000000000003</v>
      </c>
      <c r="P206" s="21">
        <f>O206*M4*365</f>
        <v>46367.775000000009</v>
      </c>
      <c r="Q206" s="21">
        <f>O206*O4*365</f>
        <v>38948.931000000004</v>
      </c>
      <c r="R206" s="14">
        <f>K206</f>
        <v>21275.762400000003</v>
      </c>
      <c r="S206" s="14">
        <f>L206</f>
        <v>6171.5952000000007</v>
      </c>
      <c r="T206" s="153">
        <f t="shared" ref="T206:T216" si="44">R206/$R$255</f>
        <v>7.4466826732369528E-4</v>
      </c>
      <c r="U206" s="153">
        <f t="shared" ref="U206:U216" si="45">S206/$S$255</f>
        <v>2.6136472353009981E-4</v>
      </c>
      <c r="V206" s="172">
        <f>R206/$R$216</f>
        <v>3.2871266721354511E-3</v>
      </c>
      <c r="W206" s="172">
        <f>S206/$S$216</f>
        <v>9.4778710943610911E-4</v>
      </c>
    </row>
    <row r="207" spans="2:23" s="10" customFormat="1" ht="24" customHeight="1" x14ac:dyDescent="0.2">
      <c r="B207" s="188"/>
      <c r="C207" s="188"/>
      <c r="D207" s="193" t="s">
        <v>20</v>
      </c>
      <c r="E207" s="192" t="s">
        <v>1182</v>
      </c>
      <c r="F207" s="192"/>
      <c r="G207" s="195"/>
      <c r="H207" s="191"/>
      <c r="I207" s="191"/>
      <c r="J207" s="191"/>
      <c r="K207" s="14"/>
      <c r="L207" s="14"/>
      <c r="M207" s="138"/>
      <c r="N207" s="88"/>
      <c r="O207" s="17"/>
      <c r="P207" s="21"/>
      <c r="Q207" s="21"/>
      <c r="R207" s="14">
        <f>'tabla PPT'!G28</f>
        <v>57112.471573467032</v>
      </c>
      <c r="S207" s="14">
        <f>'tabla PPT'!H28</f>
        <v>66528.663126994812</v>
      </c>
      <c r="T207" s="153">
        <f t="shared" si="44"/>
        <v>1.9989810212012655E-3</v>
      </c>
      <c r="U207" s="153">
        <f t="shared" si="45"/>
        <v>2.8174637320694884E-3</v>
      </c>
      <c r="V207" s="172"/>
      <c r="W207" s="172"/>
    </row>
    <row r="208" spans="2:23" s="10" customFormat="1" ht="24" customHeight="1" x14ac:dyDescent="0.2">
      <c r="B208" s="188"/>
      <c r="C208" s="188"/>
      <c r="D208" s="193" t="s">
        <v>313</v>
      </c>
      <c r="E208" s="192" t="s">
        <v>37</v>
      </c>
      <c r="F208" s="192"/>
      <c r="G208" s="195">
        <v>42</v>
      </c>
      <c r="H208" s="191">
        <v>193</v>
      </c>
      <c r="I208" s="191">
        <v>135</v>
      </c>
      <c r="J208" s="191" t="s">
        <v>34</v>
      </c>
      <c r="K208" s="14">
        <f>(G208*H208*0.0036*$Q$4)*365</f>
        <v>255630.81599999999</v>
      </c>
      <c r="L208" s="14">
        <f>(G208*I208*0.0036*$Q$4)*365</f>
        <v>178809.12</v>
      </c>
      <c r="M208" s="14"/>
      <c r="N208" s="14"/>
      <c r="O208" s="14"/>
      <c r="P208" s="14"/>
      <c r="Q208" s="14"/>
      <c r="R208" s="14">
        <f t="shared" ref="R208:S212" si="46">K208</f>
        <v>255630.81599999999</v>
      </c>
      <c r="S208" s="14">
        <f t="shared" si="46"/>
        <v>178809.12</v>
      </c>
      <c r="T208" s="153">
        <f t="shared" si="44"/>
        <v>8.9472778106067918E-3</v>
      </c>
      <c r="U208" s="153">
        <f t="shared" si="45"/>
        <v>7.5724986326809688E-3</v>
      </c>
      <c r="V208" s="172">
        <f t="shared" ref="V208:V215" si="47">R208/$R$216</f>
        <v>3.9495217971288764E-2</v>
      </c>
      <c r="W208" s="172">
        <f>S208/$S$216</f>
        <v>2.7460157948404385E-2</v>
      </c>
    </row>
    <row r="209" spans="2:23" s="10" customFormat="1" ht="34.5" customHeight="1" x14ac:dyDescent="0.2">
      <c r="B209" s="188"/>
      <c r="C209" s="188"/>
      <c r="D209" s="193" t="s">
        <v>328</v>
      </c>
      <c r="E209" s="192" t="s">
        <v>60</v>
      </c>
      <c r="F209" s="69">
        <v>43180</v>
      </c>
      <c r="G209" s="195"/>
      <c r="H209" s="191"/>
      <c r="I209" s="191">
        <v>114</v>
      </c>
      <c r="J209" s="191" t="s">
        <v>34</v>
      </c>
      <c r="K209" s="14">
        <f>(G209*H209*0.0036*$Q$4)*365</f>
        <v>0</v>
      </c>
      <c r="L209" s="14">
        <f>(G209*I209*0.0036*$Q$4)*365</f>
        <v>0</v>
      </c>
      <c r="M209" s="14"/>
      <c r="N209" s="14"/>
      <c r="O209" s="14"/>
      <c r="P209" s="14"/>
      <c r="Q209" s="14"/>
      <c r="R209" s="14">
        <f t="shared" si="46"/>
        <v>0</v>
      </c>
      <c r="S209" s="14">
        <f t="shared" si="46"/>
        <v>0</v>
      </c>
      <c r="T209" s="153">
        <f t="shared" si="44"/>
        <v>0</v>
      </c>
      <c r="U209" s="153">
        <f t="shared" si="45"/>
        <v>0</v>
      </c>
      <c r="V209" s="172">
        <f t="shared" si="47"/>
        <v>0</v>
      </c>
      <c r="W209" s="172">
        <f>S209/$S$216</f>
        <v>0</v>
      </c>
    </row>
    <row r="210" spans="2:23" s="10" customFormat="1" ht="36.75" customHeight="1" x14ac:dyDescent="0.2">
      <c r="B210" s="188"/>
      <c r="C210" s="188"/>
      <c r="D210" s="193" t="s">
        <v>316</v>
      </c>
      <c r="E210" s="192" t="s">
        <v>60</v>
      </c>
      <c r="F210" s="69">
        <v>42467</v>
      </c>
      <c r="G210" s="195">
        <v>0</v>
      </c>
      <c r="H210" s="191">
        <v>14.3</v>
      </c>
      <c r="I210" s="191">
        <v>27.5</v>
      </c>
      <c r="J210" s="191" t="s">
        <v>34</v>
      </c>
      <c r="K210" s="14">
        <f>(G210*H210*0.0036*$Q$4)*365</f>
        <v>0</v>
      </c>
      <c r="L210" s="14">
        <f>(G210*I210*0.0036*$Q$4)*365</f>
        <v>0</v>
      </c>
      <c r="M210" s="14"/>
      <c r="N210" s="14"/>
      <c r="O210" s="14"/>
      <c r="P210" s="14"/>
      <c r="Q210" s="14"/>
      <c r="R210" s="14">
        <f t="shared" si="46"/>
        <v>0</v>
      </c>
      <c r="S210" s="14">
        <f t="shared" si="46"/>
        <v>0</v>
      </c>
      <c r="T210" s="153">
        <f t="shared" si="44"/>
        <v>0</v>
      </c>
      <c r="U210" s="153">
        <f t="shared" si="45"/>
        <v>0</v>
      </c>
      <c r="V210" s="172">
        <f t="shared" si="47"/>
        <v>0</v>
      </c>
      <c r="W210" s="172">
        <f>S210/$S$216</f>
        <v>0</v>
      </c>
    </row>
    <row r="211" spans="2:23" s="10" customFormat="1" ht="25.5" customHeight="1" x14ac:dyDescent="0.2">
      <c r="B211" s="277" t="s">
        <v>110</v>
      </c>
      <c r="C211" s="284" t="s">
        <v>47</v>
      </c>
      <c r="D211" s="277" t="s">
        <v>52</v>
      </c>
      <c r="E211" s="194" t="s">
        <v>317</v>
      </c>
      <c r="F211" s="66">
        <v>43034</v>
      </c>
      <c r="G211" s="190">
        <v>20.8</v>
      </c>
      <c r="H211" s="191">
        <v>53</v>
      </c>
      <c r="I211" s="195">
        <v>0.1</v>
      </c>
      <c r="J211" s="195" t="s">
        <v>34</v>
      </c>
      <c r="K211" s="14">
        <f>(G211*H211*0.0036*$Q$4)*365</f>
        <v>34765.286399999997</v>
      </c>
      <c r="L211" s="14">
        <f>(G211*I211*0.0036*$Q$4)*365</f>
        <v>65.594879999999989</v>
      </c>
      <c r="M211" s="138">
        <v>14778</v>
      </c>
      <c r="N211" s="88">
        <v>0.9</v>
      </c>
      <c r="O211" s="17">
        <f>M211*N211</f>
        <v>13300.2</v>
      </c>
      <c r="P211" s="21">
        <f>O211*M4*365</f>
        <v>242728.65000000005</v>
      </c>
      <c r="Q211" s="21">
        <f>O211*O4*365</f>
        <v>203892.06600000002</v>
      </c>
      <c r="R211" s="14">
        <f t="shared" si="46"/>
        <v>34765.286399999997</v>
      </c>
      <c r="S211" s="14">
        <f t="shared" si="46"/>
        <v>65.594879999999989</v>
      </c>
      <c r="T211" s="153">
        <f t="shared" si="44"/>
        <v>1.2168121216892336E-3</v>
      </c>
      <c r="U211" s="153">
        <f t="shared" si="45"/>
        <v>2.777918369660743E-6</v>
      </c>
      <c r="V211" s="172">
        <f t="shared" si="47"/>
        <v>5.3712716865961917E-3</v>
      </c>
      <c r="W211" s="172">
        <f>S211/$S$216</f>
        <v>1.0073567642448167E-5</v>
      </c>
    </row>
    <row r="212" spans="2:23" s="10" customFormat="1" ht="25.5" customHeight="1" x14ac:dyDescent="0.2">
      <c r="B212" s="278"/>
      <c r="C212" s="284"/>
      <c r="D212" s="279"/>
      <c r="E212" s="194" t="s">
        <v>318</v>
      </c>
      <c r="F212" s="66">
        <v>43034</v>
      </c>
      <c r="G212" s="190">
        <v>4.79</v>
      </c>
      <c r="H212" s="191">
        <v>18</v>
      </c>
      <c r="I212" s="195">
        <v>8</v>
      </c>
      <c r="J212" s="195" t="s">
        <v>34</v>
      </c>
      <c r="K212" s="14">
        <f>(G212*H212*0.0036*$Q$4)*365</f>
        <v>2719.0339199999999</v>
      </c>
      <c r="L212" s="14">
        <f>(G212*I212*0.0036*$Q$4)*365</f>
        <v>1208.4595200000001</v>
      </c>
      <c r="M212" s="14"/>
      <c r="N212" s="14"/>
      <c r="O212" s="14"/>
      <c r="P212" s="14"/>
      <c r="Q212" s="14"/>
      <c r="R212" s="14">
        <f t="shared" si="46"/>
        <v>2719.0339199999999</v>
      </c>
      <c r="S212" s="14">
        <f t="shared" si="46"/>
        <v>1208.4595200000001</v>
      </c>
      <c r="T212" s="153">
        <f t="shared" si="44"/>
        <v>9.5168306542131462E-5</v>
      </c>
      <c r="U212" s="153">
        <f t="shared" si="45"/>
        <v>5.1177803810288317E-5</v>
      </c>
      <c r="V212" s="172">
        <f t="shared" si="47"/>
        <v>4.2009347316611362E-4</v>
      </c>
      <c r="W212" s="172">
        <f>S212/$S$216</f>
        <v>1.855861115666413E-4</v>
      </c>
    </row>
    <row r="213" spans="2:23" s="10" customFormat="1" ht="25.5" customHeight="1" x14ac:dyDescent="0.2">
      <c r="B213" s="278"/>
      <c r="C213" s="284"/>
      <c r="D213" s="193" t="s">
        <v>20</v>
      </c>
      <c r="E213" s="194" t="s">
        <v>1182</v>
      </c>
      <c r="F213" s="66"/>
      <c r="G213" s="190"/>
      <c r="H213" s="191"/>
      <c r="I213" s="195"/>
      <c r="J213" s="195"/>
      <c r="K213" s="14"/>
      <c r="L213" s="14"/>
      <c r="M213" s="14"/>
      <c r="N213" s="14"/>
      <c r="O213" s="14"/>
      <c r="P213" s="14"/>
      <c r="Q213" s="14"/>
      <c r="R213" s="14">
        <f>'tabla PPT'!G16</f>
        <v>125795.90396499567</v>
      </c>
      <c r="S213" s="14">
        <f>'tabla PPT'!H16</f>
        <v>146536.00320689016</v>
      </c>
      <c r="T213" s="153">
        <f t="shared" si="44"/>
        <v>4.4029546899824034E-3</v>
      </c>
      <c r="U213" s="153">
        <f t="shared" si="45"/>
        <v>6.2057443374404497E-3</v>
      </c>
      <c r="V213" s="172">
        <f t="shared" si="47"/>
        <v>1.9435593582711141E-2</v>
      </c>
      <c r="W213" s="172"/>
    </row>
    <row r="214" spans="2:23" s="10" customFormat="1" ht="33" customHeight="1" x14ac:dyDescent="0.2">
      <c r="B214" s="278"/>
      <c r="C214" s="284"/>
      <c r="D214" s="193"/>
      <c r="E214" s="80" t="s">
        <v>268</v>
      </c>
      <c r="F214" s="80"/>
      <c r="G214" s="190"/>
      <c r="H214" s="191"/>
      <c r="I214" s="195"/>
      <c r="J214" s="195"/>
      <c r="K214" s="14">
        <f>(G214*H214*0.0036*$Q$4)*365</f>
        <v>0</v>
      </c>
      <c r="L214" s="14">
        <f>(G214*I214*0.0036*$Q$4)*365</f>
        <v>0</v>
      </c>
      <c r="M214" s="14"/>
      <c r="N214" s="14"/>
      <c r="O214" s="14"/>
      <c r="P214" s="14"/>
      <c r="Q214" s="14"/>
      <c r="R214" s="14">
        <f>K214</f>
        <v>0</v>
      </c>
      <c r="S214" s="14">
        <f>L214</f>
        <v>0</v>
      </c>
      <c r="T214" s="153">
        <f t="shared" si="44"/>
        <v>0</v>
      </c>
      <c r="U214" s="153">
        <f t="shared" si="45"/>
        <v>0</v>
      </c>
      <c r="V214" s="172">
        <f t="shared" si="47"/>
        <v>0</v>
      </c>
      <c r="W214" s="172">
        <f>S214/$S$216</f>
        <v>0</v>
      </c>
    </row>
    <row r="215" spans="2:23" s="10" customFormat="1" ht="33" customHeight="1" x14ac:dyDescent="0.25">
      <c r="B215" s="279"/>
      <c r="C215" s="29" t="s">
        <v>335</v>
      </c>
      <c r="D215" s="194" t="s">
        <v>336</v>
      </c>
      <c r="E215" s="80"/>
      <c r="F215" s="80"/>
      <c r="G215" s="190"/>
      <c r="H215" s="191"/>
      <c r="I215" s="195"/>
      <c r="J215" s="195"/>
      <c r="K215" s="14"/>
      <c r="L215" s="14"/>
      <c r="M215" s="14"/>
      <c r="N215" s="14"/>
      <c r="O215" s="14"/>
      <c r="P215" s="14"/>
      <c r="Q215" s="14"/>
      <c r="R215" s="14">
        <f>'Resumen cargas Cafeteros'!E23</f>
        <v>1311238.3092006096</v>
      </c>
      <c r="S215" s="14">
        <f>'Resumen cargas Cafeteros'!F23</f>
        <v>357610.44796380255</v>
      </c>
      <c r="T215" s="153">
        <f t="shared" si="44"/>
        <v>4.5894362862449974E-2</v>
      </c>
      <c r="U215" s="153">
        <f t="shared" si="45"/>
        <v>1.5144667275574779E-2</v>
      </c>
      <c r="V215" s="172">
        <f t="shared" si="47"/>
        <v>0.20258763651633535</v>
      </c>
      <c r="W215" s="172">
        <f>S215/$S$216</f>
        <v>5.4919119254575301E-2</v>
      </c>
    </row>
    <row r="216" spans="2:23" s="10" customFormat="1" ht="27.75" customHeight="1" x14ac:dyDescent="0.25">
      <c r="B216" s="284" t="s">
        <v>255</v>
      </c>
      <c r="C216" s="284"/>
      <c r="D216" s="284"/>
      <c r="E216" s="286"/>
      <c r="F216" s="286"/>
      <c r="G216" s="286"/>
      <c r="H216" s="286"/>
      <c r="I216" s="286"/>
      <c r="J216" s="286"/>
      <c r="K216" s="286"/>
      <c r="L216" s="286"/>
      <c r="M216" s="194"/>
      <c r="N216" s="194"/>
      <c r="O216" s="194"/>
      <c r="P216" s="194"/>
      <c r="Q216" s="194"/>
      <c r="R216" s="54">
        <f>SUM(R201:R215)</f>
        <v>6472449.808628276</v>
      </c>
      <c r="S216" s="54">
        <f>SUM(S201:S215)</f>
        <v>6511583.8130271928</v>
      </c>
      <c r="T216" s="154">
        <f t="shared" si="44"/>
        <v>0.22654078823190846</v>
      </c>
      <c r="U216" s="154">
        <f t="shared" si="45"/>
        <v>0.27576311275809617</v>
      </c>
      <c r="V216" s="12"/>
      <c r="W216" s="12"/>
    </row>
    <row r="217" spans="2:23" s="10" customFormat="1" ht="23.25" customHeight="1" x14ac:dyDescent="0.2">
      <c r="B217" s="277" t="s">
        <v>111</v>
      </c>
      <c r="C217" s="284" t="s">
        <v>112</v>
      </c>
      <c r="D217" s="284" t="s">
        <v>231</v>
      </c>
      <c r="E217" s="192" t="s">
        <v>5</v>
      </c>
      <c r="F217" s="69">
        <v>42730</v>
      </c>
      <c r="G217" s="195">
        <v>0.9</v>
      </c>
      <c r="H217" s="191">
        <v>123</v>
      </c>
      <c r="I217" s="191">
        <v>92</v>
      </c>
      <c r="J217" s="293" t="s">
        <v>34</v>
      </c>
      <c r="K217" s="14">
        <f>(G217*H217*0.0036*$Q$4)*365</f>
        <v>3491.0351999999998</v>
      </c>
      <c r="L217" s="14">
        <f>(G217*I217*0.0036*$Q$4)*365</f>
        <v>2611.1807999999996</v>
      </c>
      <c r="M217" s="14"/>
      <c r="N217" s="14"/>
      <c r="O217" s="14"/>
      <c r="P217" s="14"/>
      <c r="Q217" s="14"/>
      <c r="R217" s="14"/>
      <c r="S217" s="14"/>
      <c r="T217" s="153"/>
      <c r="U217" s="153"/>
      <c r="V217" s="12"/>
      <c r="W217" s="12"/>
    </row>
    <row r="218" spans="2:23" s="10" customFormat="1" ht="23.25" customHeight="1" x14ac:dyDescent="0.2">
      <c r="B218" s="278"/>
      <c r="C218" s="284"/>
      <c r="D218" s="284"/>
      <c r="E218" s="192" t="s">
        <v>9</v>
      </c>
      <c r="F218" s="192"/>
      <c r="G218" s="190">
        <v>2.71</v>
      </c>
      <c r="H218" s="191">
        <v>2.93</v>
      </c>
      <c r="I218" s="191">
        <v>130</v>
      </c>
      <c r="J218" s="293"/>
      <c r="K218" s="14">
        <f>(G218*H218*0.0036*$Q$4)*365</f>
        <v>250.40530080000002</v>
      </c>
      <c r="L218" s="14">
        <f>(G218*I218*0.0036*$Q$4)*365</f>
        <v>11110.132800000001</v>
      </c>
      <c r="M218" s="14"/>
      <c r="N218" s="14"/>
      <c r="O218" s="14"/>
      <c r="P218" s="14"/>
      <c r="Q218" s="14"/>
      <c r="R218" s="14"/>
      <c r="S218" s="14"/>
      <c r="T218" s="153"/>
      <c r="U218" s="153"/>
      <c r="V218" s="12"/>
      <c r="W218" s="12"/>
    </row>
    <row r="219" spans="2:23" s="10" customFormat="1" ht="23.25" customHeight="1" x14ac:dyDescent="0.2">
      <c r="B219" s="278"/>
      <c r="C219" s="284"/>
      <c r="D219" s="284"/>
      <c r="E219" s="194" t="s">
        <v>1181</v>
      </c>
      <c r="F219" s="194"/>
      <c r="G219" s="195">
        <f>SUM(G217:G218)</f>
        <v>3.61</v>
      </c>
      <c r="H219" s="191"/>
      <c r="I219" s="191"/>
      <c r="J219" s="293"/>
      <c r="K219" s="14">
        <f>SUM(K217:K218)</f>
        <v>3741.4405007999999</v>
      </c>
      <c r="L219" s="14">
        <f>SUM(L217:L218)</f>
        <v>13721.313600000001</v>
      </c>
      <c r="M219" s="138">
        <v>3449</v>
      </c>
      <c r="N219" s="88">
        <v>0.9</v>
      </c>
      <c r="O219" s="17">
        <f>M219*N219</f>
        <v>3104.1</v>
      </c>
      <c r="P219" s="21">
        <f>O219*M4*365</f>
        <v>56649.825000000004</v>
      </c>
      <c r="Q219" s="21">
        <f>O219*O4*365</f>
        <v>47585.852999999996</v>
      </c>
      <c r="R219" s="14">
        <f>K219</f>
        <v>3741.4405007999999</v>
      </c>
      <c r="S219" s="14">
        <f>L219</f>
        <v>13721.313600000001</v>
      </c>
      <c r="T219" s="153">
        <f>R219/$R$255</f>
        <v>1.3095333378161029E-4</v>
      </c>
      <c r="U219" s="153">
        <f>S219/$S$255</f>
        <v>5.810924435766296E-4</v>
      </c>
      <c r="V219" s="172">
        <f>R219/$R$239</f>
        <v>1.5266692848541618E-3</v>
      </c>
      <c r="W219" s="172">
        <f>S219/$S$248</f>
        <v>1.4560940490789957E-2</v>
      </c>
    </row>
    <row r="220" spans="2:23" s="10" customFormat="1" ht="23.25" customHeight="1" x14ac:dyDescent="0.2">
      <c r="B220" s="279"/>
      <c r="C220" s="193"/>
      <c r="D220" s="193" t="s">
        <v>20</v>
      </c>
      <c r="E220" s="194" t="s">
        <v>1182</v>
      </c>
      <c r="F220" s="194"/>
      <c r="G220" s="195"/>
      <c r="H220" s="191"/>
      <c r="I220" s="191"/>
      <c r="J220" s="191"/>
      <c r="K220" s="14"/>
      <c r="L220" s="14"/>
      <c r="M220" s="138"/>
      <c r="N220" s="88"/>
      <c r="O220" s="17"/>
      <c r="P220" s="21"/>
      <c r="Q220" s="21"/>
      <c r="R220" s="14">
        <f>'tabla PPT'!G24</f>
        <v>98871.621409730098</v>
      </c>
      <c r="S220" s="14">
        <f>'tabla PPT'!H24</f>
        <v>115172.6866718823</v>
      </c>
      <c r="T220" s="153">
        <f>R220/$R$255</f>
        <v>3.4605838145037788E-3</v>
      </c>
      <c r="U220" s="153">
        <f>S220/$S$255</f>
        <v>4.877519739177859E-3</v>
      </c>
      <c r="V220" s="172"/>
      <c r="W220" s="172"/>
    </row>
    <row r="221" spans="2:23" s="10" customFormat="1" ht="27" customHeight="1" x14ac:dyDescent="0.2">
      <c r="B221" s="284"/>
      <c r="C221" s="284"/>
      <c r="D221" s="284"/>
      <c r="E221" s="284"/>
      <c r="F221" s="284"/>
      <c r="G221" s="284"/>
      <c r="H221" s="284"/>
      <c r="I221" s="284"/>
      <c r="J221" s="284"/>
      <c r="K221" s="284"/>
      <c r="L221" s="284"/>
      <c r="M221" s="193"/>
      <c r="N221" s="193"/>
      <c r="O221" s="193"/>
      <c r="P221" s="193"/>
      <c r="Q221" s="193"/>
      <c r="R221" s="54">
        <f>R219+R220</f>
        <v>102613.0619105301</v>
      </c>
      <c r="S221" s="54">
        <f>S219+S220</f>
        <v>128894.00027188231</v>
      </c>
      <c r="T221" s="153">
        <f>R221/$R$255</f>
        <v>3.5915371482853893E-3</v>
      </c>
      <c r="U221" s="153">
        <f>S221/$S$255</f>
        <v>5.4586121827544885E-3</v>
      </c>
      <c r="V221" s="172">
        <f>R221/$R$239</f>
        <v>4.1870560232121393E-2</v>
      </c>
      <c r="W221" s="172">
        <f t="shared" ref="W221" si="48">S221/$S$248</f>
        <v>0.13678120931357057</v>
      </c>
    </row>
    <row r="222" spans="2:23" s="10" customFormat="1" ht="21.75" customHeight="1" x14ac:dyDescent="0.2">
      <c r="B222" s="277" t="s">
        <v>113</v>
      </c>
      <c r="C222" s="277" t="s">
        <v>112</v>
      </c>
      <c r="D222" s="284" t="s">
        <v>114</v>
      </c>
      <c r="E222" s="192" t="s">
        <v>115</v>
      </c>
      <c r="F222" s="69">
        <v>43054</v>
      </c>
      <c r="G222" s="190">
        <v>10.99</v>
      </c>
      <c r="H222" s="195">
        <v>37.6</v>
      </c>
      <c r="I222" s="191">
        <v>27</v>
      </c>
      <c r="J222" s="293" t="s">
        <v>34</v>
      </c>
      <c r="K222" s="14">
        <f>(G222*H222*0.0036*$Q$4)*365</f>
        <v>13031.432064000001</v>
      </c>
      <c r="L222" s="14">
        <f>(G222*I222*0.0036*$Q$4)*365</f>
        <v>9357.6772799999999</v>
      </c>
      <c r="M222" s="14"/>
      <c r="N222" s="14"/>
      <c r="O222" s="14"/>
      <c r="P222" s="14"/>
      <c r="Q222" s="14"/>
      <c r="R222" s="28"/>
      <c r="S222" s="28"/>
      <c r="T222" s="153"/>
      <c r="U222" s="153"/>
      <c r="V222" s="172"/>
      <c r="W222" s="172"/>
    </row>
    <row r="223" spans="2:23" s="10" customFormat="1" ht="21.75" customHeight="1" x14ac:dyDescent="0.2">
      <c r="B223" s="278"/>
      <c r="C223" s="278"/>
      <c r="D223" s="284"/>
      <c r="E223" s="192" t="s">
        <v>116</v>
      </c>
      <c r="F223" s="192"/>
      <c r="G223" s="190">
        <v>4.8499999999999996</v>
      </c>
      <c r="H223" s="191">
        <v>89.93</v>
      </c>
      <c r="I223" s="191">
        <v>168</v>
      </c>
      <c r="J223" s="293"/>
      <c r="K223" s="14">
        <f>(G223*H223*0.0036*$Q$4)*365</f>
        <v>13754.757528</v>
      </c>
      <c r="L223" s="14">
        <f>(G223*I223*0.0036*$Q$4)*365</f>
        <v>25695.532799999997</v>
      </c>
      <c r="M223" s="14"/>
      <c r="N223" s="14"/>
      <c r="O223" s="14"/>
      <c r="P223" s="14"/>
      <c r="Q223" s="14"/>
      <c r="R223" s="28"/>
      <c r="S223" s="28"/>
      <c r="T223" s="153"/>
      <c r="U223" s="153"/>
      <c r="V223" s="172"/>
      <c r="W223" s="172"/>
    </row>
    <row r="224" spans="2:23" s="10" customFormat="1" ht="21.75" customHeight="1" x14ac:dyDescent="0.2">
      <c r="B224" s="278"/>
      <c r="C224" s="278"/>
      <c r="D224" s="284"/>
      <c r="E224" s="192" t="s">
        <v>269</v>
      </c>
      <c r="F224" s="192"/>
      <c r="G224" s="190">
        <v>2.58</v>
      </c>
      <c r="H224" s="191">
        <v>127</v>
      </c>
      <c r="I224" s="191">
        <v>128</v>
      </c>
      <c r="J224" s="293"/>
      <c r="K224" s="14">
        <f>(G224*H224*0.0036*$Q$4)*365</f>
        <v>10333.08576</v>
      </c>
      <c r="L224" s="14">
        <f>(G224*I224*0.0036*$Q$4)*365</f>
        <v>10414.448640000001</v>
      </c>
      <c r="M224" s="14"/>
      <c r="N224" s="14"/>
      <c r="O224" s="14"/>
      <c r="P224" s="14"/>
      <c r="Q224" s="14"/>
      <c r="R224" s="28"/>
      <c r="S224" s="28"/>
      <c r="T224" s="153"/>
      <c r="U224" s="153"/>
      <c r="V224" s="172"/>
      <c r="W224" s="172"/>
    </row>
    <row r="225" spans="2:23" s="10" customFormat="1" ht="21.75" customHeight="1" x14ac:dyDescent="0.2">
      <c r="B225" s="278"/>
      <c r="C225" s="278"/>
      <c r="D225" s="284"/>
      <c r="E225" s="192" t="s">
        <v>319</v>
      </c>
      <c r="F225" s="192"/>
      <c r="G225" s="190">
        <v>3.28</v>
      </c>
      <c r="H225" s="191">
        <v>72.819999999999993</v>
      </c>
      <c r="I225" s="191">
        <v>123</v>
      </c>
      <c r="J225" s="293"/>
      <c r="K225" s="14">
        <f>(G225*H225*0.0036*$Q$4)*365</f>
        <v>7532.3609855999985</v>
      </c>
      <c r="L225" s="14">
        <f>(G225*I225*0.0036*$Q$4)*365</f>
        <v>12722.883839999999</v>
      </c>
      <c r="M225" s="14"/>
      <c r="N225" s="14"/>
      <c r="O225" s="14"/>
      <c r="P225" s="14"/>
      <c r="Q225" s="14"/>
      <c r="R225" s="28"/>
      <c r="S225" s="28"/>
      <c r="T225" s="153"/>
      <c r="U225" s="153"/>
      <c r="V225" s="172"/>
      <c r="W225" s="172"/>
    </row>
    <row r="226" spans="2:23" s="10" customFormat="1" ht="21.75" customHeight="1" x14ac:dyDescent="0.2">
      <c r="B226" s="278"/>
      <c r="C226" s="278"/>
      <c r="D226" s="284"/>
      <c r="E226" s="192" t="s">
        <v>1181</v>
      </c>
      <c r="F226" s="192"/>
      <c r="G226" s="190">
        <f>SUM(G222:G225)</f>
        <v>21.700000000000003</v>
      </c>
      <c r="H226" s="191"/>
      <c r="I226" s="191"/>
      <c r="J226" s="293"/>
      <c r="K226" s="14">
        <f>SUM(K222:K225)</f>
        <v>44651.636337600001</v>
      </c>
      <c r="L226" s="14">
        <f>SUM(L222:L225)</f>
        <v>58190.542560000002</v>
      </c>
      <c r="M226" s="138">
        <v>15456</v>
      </c>
      <c r="N226" s="88">
        <v>0.9</v>
      </c>
      <c r="O226" s="17">
        <f>M226*N226</f>
        <v>13910.4</v>
      </c>
      <c r="P226" s="21">
        <f>O226*M4*365</f>
        <v>253864.8</v>
      </c>
      <c r="Q226" s="21">
        <f>O226*O4*365</f>
        <v>213246.432</v>
      </c>
      <c r="R226" s="28">
        <f>K226</f>
        <v>44651.636337600001</v>
      </c>
      <c r="S226" s="28">
        <f>L226</f>
        <v>58190.542560000002</v>
      </c>
      <c r="T226" s="153">
        <f t="shared" ref="T226:T242" si="49">R226/$R$255</f>
        <v>1.562842075388487E-3</v>
      </c>
      <c r="U226" s="153">
        <f t="shared" ref="U226:U242" si="50">S226/$S$255</f>
        <v>2.46434747830851E-3</v>
      </c>
      <c r="V226" s="172">
        <f>R226/$R$239</f>
        <v>1.8219795744584488E-2</v>
      </c>
      <c r="W226" s="172">
        <f>S226/$S$239</f>
        <v>5.8066690284872956E-2</v>
      </c>
    </row>
    <row r="227" spans="2:23" s="10" customFormat="1" ht="21.75" customHeight="1" x14ac:dyDescent="0.2">
      <c r="B227" s="278"/>
      <c r="C227" s="278"/>
      <c r="D227" s="193" t="s">
        <v>151</v>
      </c>
      <c r="E227" s="192" t="s">
        <v>1182</v>
      </c>
      <c r="F227" s="192"/>
      <c r="G227" s="190"/>
      <c r="H227" s="191"/>
      <c r="I227" s="191"/>
      <c r="J227" s="191"/>
      <c r="K227" s="14"/>
      <c r="L227" s="14"/>
      <c r="M227" s="138"/>
      <c r="N227" s="88"/>
      <c r="O227" s="17"/>
      <c r="P227" s="21"/>
      <c r="Q227" s="21"/>
      <c r="R227" s="28">
        <f>'tabla PPT'!G9</f>
        <v>211953.60814184544</v>
      </c>
      <c r="S227" s="28">
        <f>'tabla PPT'!H9</f>
        <v>246898.61611891535</v>
      </c>
      <c r="T227" s="153">
        <f t="shared" si="49"/>
        <v>7.4185414915140004E-3</v>
      </c>
      <c r="U227" s="153">
        <f t="shared" si="50"/>
        <v>1.0456063051880743E-2</v>
      </c>
      <c r="V227" s="172"/>
      <c r="W227" s="172"/>
    </row>
    <row r="228" spans="2:23" s="10" customFormat="1" ht="26.25" customHeight="1" x14ac:dyDescent="0.2">
      <c r="B228" s="278"/>
      <c r="C228" s="278"/>
      <c r="D228" s="193" t="s">
        <v>117</v>
      </c>
      <c r="E228" s="194" t="s">
        <v>60</v>
      </c>
      <c r="F228" s="194"/>
      <c r="G228" s="190">
        <v>1.08</v>
      </c>
      <c r="H228" s="191">
        <v>124</v>
      </c>
      <c r="I228" s="191">
        <v>64</v>
      </c>
      <c r="J228" s="191" t="s">
        <v>34</v>
      </c>
      <c r="K228" s="84">
        <f t="shared" ref="K228:K233" si="51">(G228*H228*0.0036*$Q$4)*365</f>
        <v>4223.3011200000001</v>
      </c>
      <c r="L228" s="84">
        <f t="shared" ref="L228:L233" si="52">(G228*I228*0.0036*$Q$4)*365</f>
        <v>2179.7683200000001</v>
      </c>
      <c r="M228" s="84"/>
      <c r="N228" s="84"/>
      <c r="O228" s="84"/>
      <c r="P228" s="84"/>
      <c r="Q228" s="84"/>
      <c r="R228" s="264">
        <f t="shared" ref="R228:R237" si="53">K228</f>
        <v>4223.3011200000001</v>
      </c>
      <c r="S228" s="264">
        <f t="shared" ref="S228:S237" si="54">L228</f>
        <v>2179.7683200000001</v>
      </c>
      <c r="T228" s="153">
        <f t="shared" si="49"/>
        <v>1.4781883103830024E-4</v>
      </c>
      <c r="U228" s="153">
        <f t="shared" si="50"/>
        <v>9.2312364284110872E-5</v>
      </c>
      <c r="V228" s="172">
        <f t="shared" ref="V228:V238" si="55">R228/$R$239</f>
        <v>1.7232892248895979E-3</v>
      </c>
      <c r="W228" s="172">
        <f t="shared" ref="W228:W238" si="56">S228/$S$239</f>
        <v>2.1751289189254441E-3</v>
      </c>
    </row>
    <row r="229" spans="2:23" s="10" customFormat="1" ht="24.75" customHeight="1" x14ac:dyDescent="0.2">
      <c r="B229" s="278"/>
      <c r="C229" s="278"/>
      <c r="D229" s="193" t="s">
        <v>118</v>
      </c>
      <c r="E229" s="192" t="s">
        <v>141</v>
      </c>
      <c r="F229" s="192"/>
      <c r="G229" s="190"/>
      <c r="H229" s="191"/>
      <c r="I229" s="191"/>
      <c r="J229" s="191" t="s">
        <v>132</v>
      </c>
      <c r="K229" s="84">
        <f t="shared" si="51"/>
        <v>0</v>
      </c>
      <c r="L229" s="84">
        <f t="shared" si="52"/>
        <v>0</v>
      </c>
      <c r="M229" s="14"/>
      <c r="N229" s="14"/>
      <c r="O229" s="14"/>
      <c r="P229" s="14"/>
      <c r="Q229" s="14"/>
      <c r="R229" s="264">
        <f t="shared" si="53"/>
        <v>0</v>
      </c>
      <c r="S229" s="264">
        <f t="shared" si="54"/>
        <v>0</v>
      </c>
      <c r="T229" s="153">
        <f t="shared" si="49"/>
        <v>0</v>
      </c>
      <c r="U229" s="153">
        <f t="shared" si="50"/>
        <v>0</v>
      </c>
      <c r="V229" s="172">
        <f t="shared" si="55"/>
        <v>0</v>
      </c>
      <c r="W229" s="172">
        <f t="shared" si="56"/>
        <v>0</v>
      </c>
    </row>
    <row r="230" spans="2:23" s="10" customFormat="1" ht="24.75" customHeight="1" x14ac:dyDescent="0.2">
      <c r="B230" s="278"/>
      <c r="C230" s="278"/>
      <c r="D230" s="193" t="s">
        <v>142</v>
      </c>
      <c r="E230" s="194" t="s">
        <v>60</v>
      </c>
      <c r="F230" s="194"/>
      <c r="G230" s="190">
        <v>6.12</v>
      </c>
      <c r="H230" s="191">
        <v>236</v>
      </c>
      <c r="I230" s="191">
        <v>21</v>
      </c>
      <c r="J230" s="191" t="s">
        <v>34</v>
      </c>
      <c r="K230" s="84">
        <f t="shared" si="51"/>
        <v>45548.075519999999</v>
      </c>
      <c r="L230" s="84">
        <f t="shared" si="52"/>
        <v>4053.0067200000003</v>
      </c>
      <c r="M230" s="84"/>
      <c r="N230" s="84"/>
      <c r="O230" s="84"/>
      <c r="P230" s="84"/>
      <c r="Q230" s="84"/>
      <c r="R230" s="264">
        <f t="shared" si="53"/>
        <v>45548.075519999999</v>
      </c>
      <c r="S230" s="264">
        <f t="shared" si="54"/>
        <v>4053.0067200000003</v>
      </c>
      <c r="T230" s="153">
        <f t="shared" si="49"/>
        <v>1.5942181454990875E-3</v>
      </c>
      <c r="U230" s="153">
        <f t="shared" si="50"/>
        <v>1.7164330234076866E-4</v>
      </c>
      <c r="V230" s="172">
        <f t="shared" si="55"/>
        <v>1.8585581640475985E-2</v>
      </c>
      <c r="W230" s="172">
        <f t="shared" si="56"/>
        <v>4.0443803336269978E-3</v>
      </c>
    </row>
    <row r="231" spans="2:23" s="10" customFormat="1" ht="29.25" customHeight="1" x14ac:dyDescent="0.2">
      <c r="B231" s="278"/>
      <c r="C231" s="278"/>
      <c r="D231" s="193" t="s">
        <v>119</v>
      </c>
      <c r="E231" s="192" t="s">
        <v>141</v>
      </c>
      <c r="F231" s="192"/>
      <c r="G231" s="190">
        <v>1.38</v>
      </c>
      <c r="H231" s="191">
        <v>16</v>
      </c>
      <c r="I231" s="191">
        <v>50</v>
      </c>
      <c r="J231" s="191" t="s">
        <v>34</v>
      </c>
      <c r="K231" s="86">
        <f t="shared" si="51"/>
        <v>696.3148799999999</v>
      </c>
      <c r="L231" s="86">
        <f t="shared" si="52"/>
        <v>2175.9839999999999</v>
      </c>
      <c r="M231" s="86"/>
      <c r="N231" s="86"/>
      <c r="O231" s="86"/>
      <c r="P231" s="86"/>
      <c r="Q231" s="86"/>
      <c r="R231" s="28">
        <f t="shared" si="53"/>
        <v>696.3148799999999</v>
      </c>
      <c r="S231" s="28">
        <f t="shared" si="54"/>
        <v>2175.9839999999999</v>
      </c>
      <c r="T231" s="153">
        <f t="shared" si="49"/>
        <v>2.437156354036491E-5</v>
      </c>
      <c r="U231" s="153">
        <f t="shared" si="50"/>
        <v>9.2152099762784278E-5</v>
      </c>
      <c r="V231" s="172">
        <f t="shared" si="55"/>
        <v>2.8412653887068635E-4</v>
      </c>
      <c r="W231" s="172">
        <f t="shared" si="56"/>
        <v>2.1713526534411984E-3</v>
      </c>
    </row>
    <row r="232" spans="2:23" s="10" customFormat="1" ht="28.5" customHeight="1" x14ac:dyDescent="0.2">
      <c r="B232" s="278"/>
      <c r="C232" s="278"/>
      <c r="D232" s="193" t="s">
        <v>121</v>
      </c>
      <c r="E232" s="192" t="s">
        <v>120</v>
      </c>
      <c r="F232" s="69">
        <v>42895</v>
      </c>
      <c r="G232" s="190">
        <v>2.34</v>
      </c>
      <c r="H232" s="191">
        <v>10</v>
      </c>
      <c r="I232" s="191">
        <v>5</v>
      </c>
      <c r="J232" s="197" t="s">
        <v>34</v>
      </c>
      <c r="K232" s="86">
        <f t="shared" si="51"/>
        <v>737.94240000000002</v>
      </c>
      <c r="L232" s="86">
        <f t="shared" si="52"/>
        <v>368.97120000000001</v>
      </c>
      <c r="M232" s="86"/>
      <c r="N232" s="86"/>
      <c r="O232" s="86"/>
      <c r="P232" s="86"/>
      <c r="Q232" s="86"/>
      <c r="R232" s="28">
        <f t="shared" si="53"/>
        <v>737.94240000000002</v>
      </c>
      <c r="S232" s="28">
        <f t="shared" si="54"/>
        <v>368.97120000000001</v>
      </c>
      <c r="T232" s="153">
        <f t="shared" si="49"/>
        <v>2.5828559186799774E-5</v>
      </c>
      <c r="U232" s="153">
        <f t="shared" si="50"/>
        <v>1.5625790829341683E-5</v>
      </c>
      <c r="V232" s="172">
        <f t="shared" si="55"/>
        <v>3.0111236456404266E-4</v>
      </c>
      <c r="W232" s="172">
        <f t="shared" si="56"/>
        <v>3.6818588471394239E-4</v>
      </c>
    </row>
    <row r="233" spans="2:23" s="10" customFormat="1" ht="28.5" customHeight="1" x14ac:dyDescent="0.2">
      <c r="B233" s="278"/>
      <c r="C233" s="278"/>
      <c r="D233" s="193" t="s">
        <v>320</v>
      </c>
      <c r="E233" s="194" t="s">
        <v>60</v>
      </c>
      <c r="F233" s="69">
        <v>42823</v>
      </c>
      <c r="G233" s="190">
        <v>0.3</v>
      </c>
      <c r="H233" s="191">
        <v>236</v>
      </c>
      <c r="I233" s="191">
        <v>343</v>
      </c>
      <c r="J233" s="197" t="s">
        <v>34</v>
      </c>
      <c r="K233" s="86">
        <f t="shared" si="51"/>
        <v>2232.7487999999998</v>
      </c>
      <c r="L233" s="86">
        <f t="shared" si="52"/>
        <v>3245.0543999999995</v>
      </c>
      <c r="M233" s="86"/>
      <c r="N233" s="86"/>
      <c r="O233" s="86"/>
      <c r="P233" s="86"/>
      <c r="Q233" s="86"/>
      <c r="R233" s="28">
        <f t="shared" si="53"/>
        <v>2232.7487999999998</v>
      </c>
      <c r="S233" s="28">
        <f t="shared" si="54"/>
        <v>3245.0543999999995</v>
      </c>
      <c r="T233" s="153">
        <f t="shared" si="49"/>
        <v>7.8147948308778789E-5</v>
      </c>
      <c r="U233" s="153">
        <f t="shared" si="50"/>
        <v>1.3742682703754349E-4</v>
      </c>
      <c r="V233" s="172">
        <f t="shared" si="55"/>
        <v>9.1105792355274432E-4</v>
      </c>
      <c r="W233" s="172">
        <f t="shared" si="56"/>
        <v>3.2381476527405697E-3</v>
      </c>
    </row>
    <row r="234" spans="2:23" s="10" customFormat="1" ht="28.5" customHeight="1" x14ac:dyDescent="0.2">
      <c r="B234" s="278"/>
      <c r="C234" s="278"/>
      <c r="D234" s="193" t="s">
        <v>151</v>
      </c>
      <c r="E234" s="194" t="s">
        <v>321</v>
      </c>
      <c r="F234" s="194"/>
      <c r="G234" s="190"/>
      <c r="H234" s="191"/>
      <c r="I234" s="191"/>
      <c r="J234" s="197" t="s">
        <v>132</v>
      </c>
      <c r="K234" s="86">
        <v>1939</v>
      </c>
      <c r="L234" s="86">
        <v>862</v>
      </c>
      <c r="M234" s="86"/>
      <c r="N234" s="86"/>
      <c r="O234" s="86"/>
      <c r="P234" s="86"/>
      <c r="Q234" s="86"/>
      <c r="R234" s="28">
        <f t="shared" si="53"/>
        <v>1939</v>
      </c>
      <c r="S234" s="28">
        <f t="shared" si="54"/>
        <v>862</v>
      </c>
      <c r="T234" s="153">
        <f t="shared" si="49"/>
        <v>6.7866511347233549E-5</v>
      </c>
      <c r="U234" s="153">
        <f t="shared" si="50"/>
        <v>3.6505374118339129E-5</v>
      </c>
      <c r="V234" s="172">
        <f t="shared" si="55"/>
        <v>7.9119572867703317E-4</v>
      </c>
      <c r="W234" s="172">
        <f t="shared" si="56"/>
        <v>8.6016532624610899E-4</v>
      </c>
    </row>
    <row r="235" spans="2:23" s="10" customFormat="1" ht="28.5" customHeight="1" x14ac:dyDescent="0.2">
      <c r="B235" s="278"/>
      <c r="C235" s="278"/>
      <c r="D235" s="193" t="s">
        <v>322</v>
      </c>
      <c r="E235" s="192" t="s">
        <v>141</v>
      </c>
      <c r="F235" s="194" t="s">
        <v>324</v>
      </c>
      <c r="G235" s="190"/>
      <c r="H235" s="191"/>
      <c r="I235" s="191"/>
      <c r="J235" s="197" t="s">
        <v>333</v>
      </c>
      <c r="K235" s="86">
        <f>(G235*H235*0.0036*$Q$4)*365</f>
        <v>0</v>
      </c>
      <c r="L235" s="86">
        <f>(G235*I235*0.0036*$Q$4)*365</f>
        <v>0</v>
      </c>
      <c r="M235" s="86"/>
      <c r="N235" s="86"/>
      <c r="O235" s="86"/>
      <c r="P235" s="86"/>
      <c r="Q235" s="86"/>
      <c r="R235" s="28">
        <f t="shared" si="53"/>
        <v>0</v>
      </c>
      <c r="S235" s="28">
        <f t="shared" si="54"/>
        <v>0</v>
      </c>
      <c r="T235" s="153">
        <f t="shared" si="49"/>
        <v>0</v>
      </c>
      <c r="U235" s="153">
        <f t="shared" si="50"/>
        <v>0</v>
      </c>
      <c r="V235" s="172">
        <f t="shared" si="55"/>
        <v>0</v>
      </c>
      <c r="W235" s="172">
        <f t="shared" si="56"/>
        <v>0</v>
      </c>
    </row>
    <row r="236" spans="2:23" s="10" customFormat="1" ht="28.5" customHeight="1" x14ac:dyDescent="0.2">
      <c r="B236" s="278"/>
      <c r="C236" s="278"/>
      <c r="D236" s="193" t="s">
        <v>323</v>
      </c>
      <c r="E236" s="192" t="s">
        <v>141</v>
      </c>
      <c r="F236" s="194" t="s">
        <v>324</v>
      </c>
      <c r="G236" s="190"/>
      <c r="H236" s="191"/>
      <c r="I236" s="191"/>
      <c r="J236" s="197" t="s">
        <v>333</v>
      </c>
      <c r="K236" s="86">
        <f>(G236*H236*0.0036*$Q$4)*365</f>
        <v>0</v>
      </c>
      <c r="L236" s="86">
        <f>(G236*I236*0.0036*$Q$4)*365</f>
        <v>0</v>
      </c>
      <c r="M236" s="86"/>
      <c r="N236" s="86"/>
      <c r="O236" s="86"/>
      <c r="P236" s="86"/>
      <c r="Q236" s="86"/>
      <c r="R236" s="28">
        <f t="shared" si="53"/>
        <v>0</v>
      </c>
      <c r="S236" s="28">
        <f t="shared" si="54"/>
        <v>0</v>
      </c>
      <c r="T236" s="153">
        <f t="shared" si="49"/>
        <v>0</v>
      </c>
      <c r="U236" s="153">
        <f t="shared" si="50"/>
        <v>0</v>
      </c>
      <c r="V236" s="172">
        <f t="shared" si="55"/>
        <v>0</v>
      </c>
      <c r="W236" s="172">
        <f t="shared" si="56"/>
        <v>0</v>
      </c>
    </row>
    <row r="237" spans="2:23" s="10" customFormat="1" ht="28.5" customHeight="1" x14ac:dyDescent="0.2">
      <c r="B237" s="278"/>
      <c r="C237" s="278"/>
      <c r="D237" s="193" t="s">
        <v>327</v>
      </c>
      <c r="E237" s="194" t="s">
        <v>60</v>
      </c>
      <c r="F237" s="66">
        <v>42349</v>
      </c>
      <c r="G237" s="68">
        <v>0.57999999999999996</v>
      </c>
      <c r="H237" s="68">
        <v>9.98</v>
      </c>
      <c r="I237" s="68">
        <v>0.43</v>
      </c>
      <c r="J237" s="197" t="s">
        <v>261</v>
      </c>
      <c r="K237" s="86">
        <f>(G237*H237*0.0036*$Q$4)*365</f>
        <v>182.5429824</v>
      </c>
      <c r="L237" s="86">
        <f>(G237*I237*0.0036*$Q$4)*365</f>
        <v>7.8650783999999989</v>
      </c>
      <c r="M237" s="86"/>
      <c r="N237" s="86"/>
      <c r="O237" s="86"/>
      <c r="P237" s="86"/>
      <c r="Q237" s="86"/>
      <c r="R237" s="28">
        <f t="shared" si="53"/>
        <v>182.5429824</v>
      </c>
      <c r="S237" s="28">
        <f t="shared" si="54"/>
        <v>7.8650783999999989</v>
      </c>
      <c r="T237" s="153">
        <f t="shared" si="49"/>
        <v>6.3891466665329828E-6</v>
      </c>
      <c r="U237" s="153">
        <f t="shared" si="50"/>
        <v>3.3308309682374486E-7</v>
      </c>
      <c r="V237" s="172">
        <f t="shared" si="55"/>
        <v>7.4485419275320696E-5</v>
      </c>
      <c r="W237" s="172">
        <f t="shared" si="56"/>
        <v>7.8483384314236936E-6</v>
      </c>
    </row>
    <row r="238" spans="2:23" s="10" customFormat="1" ht="28.5" customHeight="1" x14ac:dyDescent="0.2">
      <c r="B238" s="279"/>
      <c r="C238" s="279"/>
      <c r="D238" s="194" t="s">
        <v>1125</v>
      </c>
      <c r="E238" s="194"/>
      <c r="F238" s="66"/>
      <c r="G238" s="68"/>
      <c r="H238" s="68"/>
      <c r="I238" s="68"/>
      <c r="J238" s="197"/>
      <c r="K238" s="86"/>
      <c r="L238" s="86"/>
      <c r="M238" s="86"/>
      <c r="N238" s="86"/>
      <c r="O238" s="86"/>
      <c r="P238" s="86"/>
      <c r="Q238" s="86"/>
      <c r="R238" s="28">
        <f>'Resumen cargas Cafeteros'!E24</f>
        <v>2035942.7838592939</v>
      </c>
      <c r="S238" s="28">
        <f>'Resumen cargas Cafeteros'!F24</f>
        <v>555257.12287071662</v>
      </c>
      <c r="T238" s="153">
        <f t="shared" si="49"/>
        <v>7.1259584344045918E-2</v>
      </c>
      <c r="U238" s="153">
        <f t="shared" si="50"/>
        <v>2.3514929236969961E-2</v>
      </c>
      <c r="V238" s="177">
        <f t="shared" si="55"/>
        <v>0.83075257061387386</v>
      </c>
      <c r="W238" s="177">
        <f t="shared" si="56"/>
        <v>0.55407531814914823</v>
      </c>
    </row>
    <row r="239" spans="2:23" s="10" customFormat="1" ht="28.5" customHeight="1" x14ac:dyDescent="0.25">
      <c r="B239" s="322" t="s">
        <v>256</v>
      </c>
      <c r="C239" s="322"/>
      <c r="D239" s="322"/>
      <c r="E239" s="311"/>
      <c r="F239" s="311"/>
      <c r="G239" s="311"/>
      <c r="H239" s="311"/>
      <c r="I239" s="311"/>
      <c r="J239" s="311"/>
      <c r="K239" s="311"/>
      <c r="L239" s="311"/>
      <c r="M239" s="192"/>
      <c r="N239" s="192"/>
      <c r="O239" s="192"/>
      <c r="P239" s="192"/>
      <c r="Q239" s="192"/>
      <c r="R239" s="265">
        <f>SUM(R221:R238)</f>
        <v>2450721.0159516693</v>
      </c>
      <c r="S239" s="265">
        <f>SUM(S221:S238)</f>
        <v>1002132.9315399143</v>
      </c>
      <c r="T239" s="154">
        <f t="shared" si="49"/>
        <v>8.5777145764820886E-2</v>
      </c>
      <c r="U239" s="154">
        <f t="shared" si="50"/>
        <v>4.2439950791383421E-2</v>
      </c>
      <c r="V239" s="12"/>
      <c r="W239" s="12"/>
    </row>
    <row r="240" spans="2:23" s="10" customFormat="1" ht="27" customHeight="1" x14ac:dyDescent="0.2">
      <c r="B240" s="284" t="s">
        <v>122</v>
      </c>
      <c r="C240" s="284" t="s">
        <v>123</v>
      </c>
      <c r="D240" s="193" t="s">
        <v>124</v>
      </c>
      <c r="E240" s="194" t="s">
        <v>1191</v>
      </c>
      <c r="F240" s="66">
        <v>43089</v>
      </c>
      <c r="G240" s="190">
        <v>5.83</v>
      </c>
      <c r="H240" s="190">
        <v>75.599999999999994</v>
      </c>
      <c r="I240" s="191">
        <v>87</v>
      </c>
      <c r="J240" s="191" t="s">
        <v>34</v>
      </c>
      <c r="K240" s="14">
        <v>7444.3881599999995</v>
      </c>
      <c r="L240" s="14">
        <v>1755.9244799999999</v>
      </c>
      <c r="M240" s="138">
        <v>4302</v>
      </c>
      <c r="N240" s="88">
        <v>0.9</v>
      </c>
      <c r="O240" s="17">
        <f>M240*N240</f>
        <v>3871.8</v>
      </c>
      <c r="P240" s="21">
        <f>O240*M4*365</f>
        <v>70660.350000000006</v>
      </c>
      <c r="Q240" s="21">
        <f>O240*O4*365</f>
        <v>59354.69400000001</v>
      </c>
      <c r="R240" s="14">
        <f>K240</f>
        <v>7444.3881599999995</v>
      </c>
      <c r="S240" s="14">
        <f>L240</f>
        <v>1755.9244799999999</v>
      </c>
      <c r="T240" s="153">
        <f t="shared" si="49"/>
        <v>2.6055938810410061E-4</v>
      </c>
      <c r="U240" s="153">
        <f t="shared" si="50"/>
        <v>7.4362737895533742E-5</v>
      </c>
      <c r="V240" s="172">
        <f>R240/$R$248</f>
        <v>2.6337532649083552E-3</v>
      </c>
      <c r="W240" s="172">
        <f>S240/$S$248</f>
        <v>1.8633720214368758E-3</v>
      </c>
    </row>
    <row r="241" spans="2:23" s="10" customFormat="1" ht="27" customHeight="1" x14ac:dyDescent="0.2">
      <c r="B241" s="284"/>
      <c r="C241" s="284"/>
      <c r="D241" s="193" t="s">
        <v>151</v>
      </c>
      <c r="E241" s="194" t="s">
        <v>1183</v>
      </c>
      <c r="F241" s="66"/>
      <c r="G241" s="190"/>
      <c r="H241" s="190"/>
      <c r="I241" s="191"/>
      <c r="J241" s="191"/>
      <c r="K241" s="14"/>
      <c r="L241" s="14"/>
      <c r="M241" s="138"/>
      <c r="N241" s="88"/>
      <c r="O241" s="17"/>
      <c r="P241" s="21"/>
      <c r="Q241" s="21"/>
      <c r="R241" s="14">
        <f>'tabla PPT'!G29</f>
        <v>53601.12093825078</v>
      </c>
      <c r="S241" s="14">
        <f>'tabla PPT'!H29</f>
        <v>62438.392524179777</v>
      </c>
      <c r="T241" s="153">
        <f t="shared" si="49"/>
        <v>1.8760810120578826E-3</v>
      </c>
      <c r="U241" s="153">
        <f t="shared" si="50"/>
        <v>2.6442423183792247E-3</v>
      </c>
      <c r="V241" s="172">
        <f>R241/$R$248</f>
        <v>1.8963563457425305E-2</v>
      </c>
      <c r="W241" s="172">
        <f>S241/$S$248</f>
        <v>6.6259087459757948E-2</v>
      </c>
    </row>
    <row r="242" spans="2:23" s="10" customFormat="1" ht="27" customHeight="1" x14ac:dyDescent="0.2">
      <c r="B242" s="284"/>
      <c r="C242" s="284"/>
      <c r="D242" s="193" t="s">
        <v>152</v>
      </c>
      <c r="E242" s="194" t="s">
        <v>146</v>
      </c>
      <c r="F242" s="66">
        <v>42502</v>
      </c>
      <c r="G242" s="190">
        <v>2.94</v>
      </c>
      <c r="H242" s="190">
        <v>29</v>
      </c>
      <c r="I242" s="190">
        <v>7</v>
      </c>
      <c r="J242" s="190" t="s">
        <v>34</v>
      </c>
      <c r="K242" s="14">
        <f>(G242*H242*0.0036*24)*365</f>
        <v>2688.75936</v>
      </c>
      <c r="L242" s="14">
        <f>(G242*I242*0.0036*24)*365</f>
        <v>649.01087999999993</v>
      </c>
      <c r="M242" s="14"/>
      <c r="N242" s="14"/>
      <c r="O242" s="14"/>
      <c r="P242" s="14"/>
      <c r="Q242" s="14"/>
      <c r="R242" s="14">
        <f>K242</f>
        <v>2688.75936</v>
      </c>
      <c r="S242" s="14">
        <f>L242</f>
        <v>649.01087999999993</v>
      </c>
      <c r="T242" s="153">
        <f t="shared" si="49"/>
        <v>9.4108673344724298E-5</v>
      </c>
      <c r="U242" s="153">
        <f t="shared" si="50"/>
        <v>2.74853654075087E-5</v>
      </c>
      <c r="V242" s="172">
        <f>R242/$R$248</f>
        <v>9.5125732172365656E-4</v>
      </c>
      <c r="W242" s="172">
        <f>S242/$S$248</f>
        <v>6.8872478809574181E-4</v>
      </c>
    </row>
    <row r="243" spans="2:23" s="10" customFormat="1" ht="27.75" customHeight="1" x14ac:dyDescent="0.2">
      <c r="B243" s="277" t="s">
        <v>125</v>
      </c>
      <c r="C243" s="284" t="s">
        <v>123</v>
      </c>
      <c r="D243" s="284" t="s">
        <v>234</v>
      </c>
      <c r="E243" s="194" t="s">
        <v>126</v>
      </c>
      <c r="F243" s="194"/>
      <c r="G243" s="195">
        <v>8.4</v>
      </c>
      <c r="H243" s="190">
        <v>299</v>
      </c>
      <c r="I243" s="190">
        <v>146</v>
      </c>
      <c r="J243" s="287" t="s">
        <v>34</v>
      </c>
      <c r="K243" s="14">
        <f>(G243*H243*0.0036*$Q$4)*365</f>
        <v>79205.817599999995</v>
      </c>
      <c r="L243" s="14">
        <f>(G243*I243*0.0036*$Q$4)*365</f>
        <v>38675.750399999997</v>
      </c>
      <c r="M243" s="14"/>
      <c r="N243" s="14"/>
      <c r="O243" s="14"/>
      <c r="P243" s="14"/>
      <c r="Q243" s="14"/>
      <c r="R243" s="14"/>
      <c r="S243" s="14"/>
      <c r="T243" s="153"/>
      <c r="U243" s="153"/>
      <c r="V243" s="172"/>
      <c r="W243" s="172"/>
    </row>
    <row r="244" spans="2:23" s="10" customFormat="1" ht="27.75" customHeight="1" x14ac:dyDescent="0.2">
      <c r="B244" s="278"/>
      <c r="C244" s="284"/>
      <c r="D244" s="284"/>
      <c r="E244" s="194" t="s">
        <v>127</v>
      </c>
      <c r="F244" s="194">
        <v>42903</v>
      </c>
      <c r="G244" s="191">
        <v>11</v>
      </c>
      <c r="H244" s="190">
        <v>564</v>
      </c>
      <c r="I244" s="190">
        <v>233</v>
      </c>
      <c r="J244" s="287"/>
      <c r="K244" s="14">
        <f>(G244*H244*0.0036*$Q$4)*365</f>
        <v>195649.34399999998</v>
      </c>
      <c r="L244" s="14">
        <f>(G244*I244*0.0036*$Q$4)*365</f>
        <v>80826.767999999996</v>
      </c>
      <c r="M244" s="14"/>
      <c r="N244" s="14"/>
      <c r="O244" s="14"/>
      <c r="P244" s="14"/>
      <c r="Q244" s="14"/>
      <c r="R244" s="14"/>
      <c r="S244" s="14"/>
      <c r="T244" s="153"/>
      <c r="U244" s="153"/>
      <c r="V244" s="172"/>
      <c r="W244" s="172"/>
    </row>
    <row r="245" spans="2:23" s="10" customFormat="1" ht="24.75" customHeight="1" x14ac:dyDescent="0.2">
      <c r="B245" s="278"/>
      <c r="C245" s="284"/>
      <c r="D245" s="284"/>
      <c r="E245" s="194" t="s">
        <v>1181</v>
      </c>
      <c r="F245" s="194"/>
      <c r="G245" s="195">
        <f>SUM(G243:G244)</f>
        <v>19.399999999999999</v>
      </c>
      <c r="H245" s="190"/>
      <c r="I245" s="190"/>
      <c r="J245" s="287"/>
      <c r="K245" s="14">
        <f t="shared" ref="K245:L245" si="57">SUM(K242:K244)</f>
        <v>277543.92095999996</v>
      </c>
      <c r="L245" s="14">
        <f t="shared" si="57"/>
        <v>120151.52927999999</v>
      </c>
      <c r="M245" s="138">
        <v>7808</v>
      </c>
      <c r="N245" s="88">
        <v>0.9</v>
      </c>
      <c r="O245" s="17">
        <f>M245*N245</f>
        <v>7027.2</v>
      </c>
      <c r="P245" s="21">
        <f>O245*M4*365</f>
        <v>128246.40000000001</v>
      </c>
      <c r="Q245" s="21">
        <f>O245*O4*365</f>
        <v>107726.97600000001</v>
      </c>
      <c r="R245" s="14">
        <f>K245</f>
        <v>277543.92095999996</v>
      </c>
      <c r="S245" s="14">
        <f>L245</f>
        <v>120151.52927999999</v>
      </c>
      <c r="T245" s="153">
        <f>R245/$R$255</f>
        <v>9.7142535643050688E-3</v>
      </c>
      <c r="U245" s="153">
        <f>S245/$S$255</f>
        <v>5.0883718413654031E-3</v>
      </c>
      <c r="V245" s="172">
        <f>R245/$R$248</f>
        <v>9.8192382271462111E-2</v>
      </c>
      <c r="W245" s="172">
        <f>S245/$S$248</f>
        <v>0.12750377396253712</v>
      </c>
    </row>
    <row r="246" spans="2:23" s="10" customFormat="1" ht="24.75" customHeight="1" x14ac:dyDescent="0.2">
      <c r="B246" s="278"/>
      <c r="C246" s="193"/>
      <c r="D246" s="193"/>
      <c r="E246" s="194" t="s">
        <v>1182</v>
      </c>
      <c r="F246" s="194"/>
      <c r="G246" s="195"/>
      <c r="H246" s="190"/>
      <c r="I246" s="190"/>
      <c r="J246" s="190"/>
      <c r="K246" s="14"/>
      <c r="L246" s="14"/>
      <c r="M246" s="138"/>
      <c r="N246" s="88"/>
      <c r="O246" s="17"/>
      <c r="P246" s="21"/>
      <c r="Q246" s="21"/>
      <c r="R246" s="14">
        <f>'tabla PPT'!G27</f>
        <v>89162.383411682487</v>
      </c>
      <c r="S246" s="14">
        <f>'tabla PPT'!H27</f>
        <v>103862.67668289038</v>
      </c>
      <c r="T246" s="153">
        <f>R246/$R$255</f>
        <v>3.1207529167381833E-3</v>
      </c>
      <c r="U246" s="153">
        <f>S246/$S$255</f>
        <v>4.3985450919269272E-3</v>
      </c>
      <c r="V246" s="172"/>
      <c r="W246" s="172"/>
    </row>
    <row r="247" spans="2:23" s="10" customFormat="1" ht="24.75" customHeight="1" x14ac:dyDescent="0.25">
      <c r="B247" s="279"/>
      <c r="C247" s="29" t="s">
        <v>335</v>
      </c>
      <c r="D247" s="194" t="s">
        <v>336</v>
      </c>
      <c r="E247" s="194"/>
      <c r="F247" s="194"/>
      <c r="G247" s="195"/>
      <c r="H247" s="190"/>
      <c r="I247" s="190"/>
      <c r="J247" s="190"/>
      <c r="K247" s="14"/>
      <c r="L247" s="14"/>
      <c r="M247" s="138"/>
      <c r="N247" s="88"/>
      <c r="O247" s="17"/>
      <c r="P247" s="21"/>
      <c r="Q247" s="21"/>
      <c r="R247" s="14">
        <f>'Resumen cargas Cafeteros'!E25</f>
        <v>2396091.5322034652</v>
      </c>
      <c r="S247" s="14">
        <f>'Resumen cargas Cafeteros'!F25</f>
        <v>653479.50878276327</v>
      </c>
      <c r="T247" s="153">
        <f>R247/$R$255</f>
        <v>8.3865071252860593E-2</v>
      </c>
      <c r="U247" s="153">
        <f>S247/$S$255</f>
        <v>2.767461014708034E-2</v>
      </c>
      <c r="V247" s="172">
        <f>R247/$R$248</f>
        <v>0.84771424599656287</v>
      </c>
      <c r="W247" s="172">
        <f>S247/$S$248</f>
        <v>0.69346685869321345</v>
      </c>
    </row>
    <row r="248" spans="2:23" s="10" customFormat="1" ht="27.75" customHeight="1" x14ac:dyDescent="0.25">
      <c r="B248" s="284" t="s">
        <v>257</v>
      </c>
      <c r="C248" s="284"/>
      <c r="D248" s="284"/>
      <c r="E248" s="286"/>
      <c r="F248" s="286"/>
      <c r="G248" s="286"/>
      <c r="H248" s="286"/>
      <c r="I248" s="286"/>
      <c r="J248" s="286"/>
      <c r="K248" s="286"/>
      <c r="L248" s="286"/>
      <c r="M248" s="194"/>
      <c r="N248" s="194"/>
      <c r="O248" s="194"/>
      <c r="P248" s="194"/>
      <c r="Q248" s="194"/>
      <c r="R248" s="54">
        <f>SUM(R240:R247)</f>
        <v>2826532.1050333986</v>
      </c>
      <c r="S248" s="54">
        <f>SUM(S240:S247)</f>
        <v>942337.04262983333</v>
      </c>
      <c r="T248" s="154">
        <f>R248/$R$255</f>
        <v>9.8930826807410555E-2</v>
      </c>
      <c r="U248" s="154">
        <f>S248/$S$255</f>
        <v>3.9907617502054939E-2</v>
      </c>
      <c r="V248" s="12"/>
      <c r="W248" s="12"/>
    </row>
    <row r="249" spans="2:23" s="10" customFormat="1" ht="21.75" customHeight="1" x14ac:dyDescent="0.2">
      <c r="B249" s="277" t="s">
        <v>128</v>
      </c>
      <c r="C249" s="284" t="s">
        <v>129</v>
      </c>
      <c r="D249" s="284" t="s">
        <v>231</v>
      </c>
      <c r="E249" s="197" t="s">
        <v>138</v>
      </c>
      <c r="F249" s="66">
        <v>43083</v>
      </c>
      <c r="G249" s="190">
        <v>8.02</v>
      </c>
      <c r="H249" s="259">
        <v>312.38</v>
      </c>
      <c r="I249" s="195">
        <v>152</v>
      </c>
      <c r="J249" s="318" t="s">
        <v>34</v>
      </c>
      <c r="K249" s="17"/>
      <c r="L249" s="17"/>
      <c r="M249" s="17"/>
      <c r="N249" s="17"/>
      <c r="O249" s="17"/>
      <c r="P249" s="17"/>
      <c r="Q249" s="17"/>
      <c r="R249" s="14"/>
      <c r="S249" s="14"/>
      <c r="T249" s="153"/>
      <c r="U249" s="153"/>
      <c r="V249" s="12"/>
      <c r="W249" s="12"/>
    </row>
    <row r="250" spans="2:23" s="10" customFormat="1" ht="29.25" customHeight="1" x14ac:dyDescent="0.2">
      <c r="B250" s="278"/>
      <c r="C250" s="284"/>
      <c r="D250" s="284"/>
      <c r="E250" s="194" t="s">
        <v>1181</v>
      </c>
      <c r="F250" s="194"/>
      <c r="G250" s="191"/>
      <c r="H250" s="191"/>
      <c r="I250" s="191"/>
      <c r="J250" s="318"/>
      <c r="K250" s="14">
        <f>(G249*H249*0.0036*$Q$4)*365</f>
        <v>79006.749753599986</v>
      </c>
      <c r="L250" s="14">
        <f>(G249*I249*0.0036*$Q$4)*365</f>
        <v>38443.645439999993</v>
      </c>
      <c r="M250" s="138">
        <v>1779</v>
      </c>
      <c r="N250" s="88">
        <v>0.9</v>
      </c>
      <c r="O250" s="17">
        <f>M250*N250</f>
        <v>1601.1000000000001</v>
      </c>
      <c r="P250" s="21">
        <f>O250*M4*365</f>
        <v>29220.075000000001</v>
      </c>
      <c r="Q250" s="21">
        <f>O250*O4*365</f>
        <v>24544.863000000005</v>
      </c>
      <c r="R250" s="14">
        <f>K250</f>
        <v>79006.749753599986</v>
      </c>
      <c r="S250" s="14">
        <f>L250</f>
        <v>38443.645439999993</v>
      </c>
      <c r="T250" s="153">
        <f>R250/$R$255</f>
        <v>2.7652978229297238E-3</v>
      </c>
      <c r="U250" s="153">
        <f>S250/$S$255</f>
        <v>1.6280738506496309E-3</v>
      </c>
      <c r="V250" s="152">
        <f>R250/$R$253</f>
        <v>2.3873349315779314E-2</v>
      </c>
      <c r="W250" s="152">
        <f>S250/$S$253</f>
        <v>3.7420594155963834E-2</v>
      </c>
    </row>
    <row r="251" spans="2:23" s="10" customFormat="1" ht="29.25" customHeight="1" x14ac:dyDescent="0.2">
      <c r="B251" s="278"/>
      <c r="C251" s="193"/>
      <c r="D251" s="193" t="s">
        <v>151</v>
      </c>
      <c r="E251" s="194" t="s">
        <v>1182</v>
      </c>
      <c r="F251" s="194"/>
      <c r="G251" s="191"/>
      <c r="H251" s="191"/>
      <c r="I251" s="191"/>
      <c r="J251" s="195"/>
      <c r="K251" s="14"/>
      <c r="L251" s="14"/>
      <c r="M251" s="138"/>
      <c r="N251" s="88"/>
      <c r="O251" s="17"/>
      <c r="P251" s="21"/>
      <c r="Q251" s="21"/>
      <c r="R251" s="14">
        <f>'tabla PPT'!G18</f>
        <v>120917.71885432611</v>
      </c>
      <c r="S251" s="14">
        <f>'tabla PPT'!H18</f>
        <v>140853.5467318384</v>
      </c>
      <c r="T251" s="153">
        <f>R251/$R$255</f>
        <v>4.2322144088234757E-3</v>
      </c>
      <c r="U251" s="153">
        <f>S251/$S$255</f>
        <v>5.9650944539915603E-3</v>
      </c>
      <c r="V251" s="152"/>
      <c r="W251" s="152"/>
    </row>
    <row r="252" spans="2:23" s="10" customFormat="1" ht="29.25" customHeight="1" x14ac:dyDescent="0.25">
      <c r="B252" s="279"/>
      <c r="C252" s="29" t="s">
        <v>335</v>
      </c>
      <c r="D252" s="194" t="s">
        <v>336</v>
      </c>
      <c r="E252" s="194"/>
      <c r="F252" s="194"/>
      <c r="G252" s="191"/>
      <c r="H252" s="191"/>
      <c r="I252" s="191"/>
      <c r="J252" s="195"/>
      <c r="K252" s="14"/>
      <c r="L252" s="14"/>
      <c r="M252" s="138"/>
      <c r="N252" s="88"/>
      <c r="O252" s="17"/>
      <c r="P252" s="21"/>
      <c r="Q252" s="21"/>
      <c r="R252" s="14">
        <f>'Resumen cargas Cafeteros'!E27</f>
        <v>3109487.5752806845</v>
      </c>
      <c r="S252" s="14">
        <f>'Resumen cargas Cafeteros'!F27</f>
        <v>848042.06598564109</v>
      </c>
      <c r="T252" s="153">
        <f>R252/$R$255</f>
        <v>0.10883448881478509</v>
      </c>
      <c r="U252" s="153">
        <f>S252/$S$255</f>
        <v>3.5914260889669453E-2</v>
      </c>
      <c r="V252" s="152">
        <f>R252/$R$253</f>
        <v>0.9395891276285403</v>
      </c>
      <c r="W252" s="152">
        <f>S252/$S$253</f>
        <v>0.82547421336413673</v>
      </c>
    </row>
    <row r="253" spans="2:23" s="10" customFormat="1" ht="36" customHeight="1" x14ac:dyDescent="0.25">
      <c r="B253" s="284" t="s">
        <v>258</v>
      </c>
      <c r="C253" s="284"/>
      <c r="D253" s="284"/>
      <c r="E253" s="266"/>
      <c r="F253" s="266"/>
      <c r="G253" s="266"/>
      <c r="H253" s="266"/>
      <c r="I253" s="266"/>
      <c r="J253" s="266"/>
      <c r="K253" s="266"/>
      <c r="L253" s="266"/>
      <c r="M253" s="200"/>
      <c r="N253" s="200"/>
      <c r="O253" s="200"/>
      <c r="P253" s="200"/>
      <c r="Q253" s="200"/>
      <c r="R253" s="54">
        <f>R250+R252+R251</f>
        <v>3309412.0438886108</v>
      </c>
      <c r="S253" s="54">
        <f>S250+S252+S251</f>
        <v>1027339.2581574795</v>
      </c>
      <c r="T253" s="154">
        <f>R253/$R$255</f>
        <v>0.1158320010465383</v>
      </c>
      <c r="U253" s="154">
        <f>S253/$S$255</f>
        <v>4.3507429194310637E-2</v>
      </c>
      <c r="V253" s="12"/>
      <c r="W253" s="12"/>
    </row>
    <row r="254" spans="2:23" s="10" customFormat="1" ht="36" hidden="1" customHeight="1" x14ac:dyDescent="0.25">
      <c r="B254" s="280" t="s">
        <v>1156</v>
      </c>
      <c r="C254" s="281"/>
      <c r="D254" s="282"/>
      <c r="E254" s="200"/>
      <c r="F254" s="200"/>
      <c r="G254" s="200"/>
      <c r="H254" s="200"/>
      <c r="I254" s="200"/>
      <c r="J254" s="200"/>
      <c r="K254" s="200"/>
      <c r="L254" s="200"/>
      <c r="M254" s="200"/>
      <c r="N254" s="200"/>
      <c r="O254" s="200"/>
      <c r="P254" s="200"/>
      <c r="Q254" s="200"/>
      <c r="R254" s="267">
        <f>'Resumen cargas Cafeteros'!E28</f>
        <v>0</v>
      </c>
      <c r="S254" s="267">
        <f>'Resumen cargas Cafeteros'!F28</f>
        <v>0</v>
      </c>
      <c r="T254" s="154">
        <f>R254/R255</f>
        <v>0</v>
      </c>
      <c r="U254" s="154">
        <f>S254/S255</f>
        <v>0</v>
      </c>
      <c r="V254" s="152"/>
      <c r="W254" s="152"/>
    </row>
    <row r="255" spans="2:23" ht="61.5" hidden="1" customHeight="1" x14ac:dyDescent="0.35">
      <c r="R255" s="49">
        <f>R14+R30+R38+R55+R59+R79+R94+R103+R114+R137+R160+R165+R173+R185+R216+R239+R248+R253+R254+R63</f>
        <v>28570792.302543186</v>
      </c>
      <c r="S255" s="49">
        <f>S14+S30+S38+S55+S59+S79+S94+S103+S114+S137+S160+S165+S173+S185+S216+S239+S248+S253+S254+S63</f>
        <v>23612961.67533204</v>
      </c>
      <c r="T255" s="155">
        <f>T14+T30+T38+T55+T59+T63+T79+T94+T103+T114+T137+T160+T165+T173+T185+T216+T239+T248+T253+T254</f>
        <v>1</v>
      </c>
      <c r="U255" s="155">
        <f>U14+U30+U38+U55+U59+U63+U79+U94+U103+U114+U137+U160+U165+U173+U185+U216+U239+U248+U253+U254</f>
        <v>0.99999999999999978</v>
      </c>
    </row>
    <row r="256" spans="2:23" ht="30.75" customHeight="1" x14ac:dyDescent="0.2"/>
    <row r="257" spans="18:19" ht="54.75" customHeight="1" x14ac:dyDescent="0.35">
      <c r="R257" s="55"/>
      <c r="S257" s="55"/>
    </row>
    <row r="258" spans="18:19" ht="57.75" customHeight="1" x14ac:dyDescent="0.2"/>
    <row r="259" spans="18:19" ht="49.5" customHeight="1" x14ac:dyDescent="0.35">
      <c r="R259" s="59"/>
      <c r="S259" s="59"/>
    </row>
    <row r="260" spans="18:19" ht="38.25" customHeight="1" x14ac:dyDescent="0.2">
      <c r="R260" s="58"/>
      <c r="S260" s="58"/>
    </row>
    <row r="261" spans="18:19" ht="42.75" customHeight="1" x14ac:dyDescent="0.35">
      <c r="R261" s="59"/>
      <c r="S261" s="59"/>
    </row>
    <row r="262" spans="18:19" ht="51" customHeight="1" x14ac:dyDescent="0.2"/>
    <row r="263" spans="18:19" ht="51" customHeight="1" x14ac:dyDescent="0.2"/>
    <row r="264" spans="18:19" ht="51" customHeight="1" x14ac:dyDescent="0.35">
      <c r="R264" s="56"/>
      <c r="S264" s="56"/>
    </row>
    <row r="265" spans="18:19" ht="42" customHeight="1" x14ac:dyDescent="0.3">
      <c r="R265" s="57"/>
      <c r="S265" s="57"/>
    </row>
  </sheetData>
  <sheetProtection algorithmName="SHA-512" hashValue="p/hKwuz+K07BZL2U1lykYMc+OGaZL/8e7pi/mfa2IKkDx4f+IcH6MY8sYMgvWxo5E68Oc/aHREtV2pSiMF6urg==" saltValue="hUQ2x/VYwZkDddwJAlNHfA==" spinCount="100000" sheet="1" objects="1" scenarios="1" selectLockedCells="1" selectUnlockedCells="1"/>
  <mergeCells count="198">
    <mergeCell ref="V5:W5"/>
    <mergeCell ref="B80:B93"/>
    <mergeCell ref="C80:C93"/>
    <mergeCell ref="C104:C113"/>
    <mergeCell ref="B104:B113"/>
    <mergeCell ref="C222:C238"/>
    <mergeCell ref="B222:B238"/>
    <mergeCell ref="B253:D253"/>
    <mergeCell ref="J243:J245"/>
    <mergeCell ref="J222:J226"/>
    <mergeCell ref="B239:D239"/>
    <mergeCell ref="E239:L239"/>
    <mergeCell ref="B240:B242"/>
    <mergeCell ref="C240:C242"/>
    <mergeCell ref="D222:D226"/>
    <mergeCell ref="B248:D248"/>
    <mergeCell ref="E248:L248"/>
    <mergeCell ref="C249:C250"/>
    <mergeCell ref="D249:D250"/>
    <mergeCell ref="C243:C245"/>
    <mergeCell ref="D243:D245"/>
    <mergeCell ref="B7:B13"/>
    <mergeCell ref="J249:J250"/>
    <mergeCell ref="B70:B73"/>
    <mergeCell ref="D80:D82"/>
    <mergeCell ref="B221:C221"/>
    <mergeCell ref="D221:L221"/>
    <mergeCell ref="J204:J206"/>
    <mergeCell ref="B216:D216"/>
    <mergeCell ref="E216:L216"/>
    <mergeCell ref="D204:D206"/>
    <mergeCell ref="C217:C219"/>
    <mergeCell ref="D217:D219"/>
    <mergeCell ref="B185:D185"/>
    <mergeCell ref="E185:L185"/>
    <mergeCell ref="B186:B203"/>
    <mergeCell ref="C186:C203"/>
    <mergeCell ref="D186:D201"/>
    <mergeCell ref="J80:J82"/>
    <mergeCell ref="J186:J201"/>
    <mergeCell ref="C211:C214"/>
    <mergeCell ref="B204:B206"/>
    <mergeCell ref="C204:C206"/>
    <mergeCell ref="B173:D173"/>
    <mergeCell ref="E173:L173"/>
    <mergeCell ref="C174:C183"/>
    <mergeCell ref="D174:D176"/>
    <mergeCell ref="J174:J176"/>
    <mergeCell ref="C166:C170"/>
    <mergeCell ref="D166:D170"/>
    <mergeCell ref="J154:J158"/>
    <mergeCell ref="D154:D156"/>
    <mergeCell ref="B154:B158"/>
    <mergeCell ref="C154:C158"/>
    <mergeCell ref="B160:D160"/>
    <mergeCell ref="E160:L160"/>
    <mergeCell ref="J166:J170"/>
    <mergeCell ref="D152:D153"/>
    <mergeCell ref="J147:J150"/>
    <mergeCell ref="J152:J153"/>
    <mergeCell ref="B147:B153"/>
    <mergeCell ref="C147:C153"/>
    <mergeCell ref="C143:C145"/>
    <mergeCell ref="D143:D145"/>
    <mergeCell ref="B165:D165"/>
    <mergeCell ref="E165:L165"/>
    <mergeCell ref="C138:C141"/>
    <mergeCell ref="D138:D141"/>
    <mergeCell ref="C64:C68"/>
    <mergeCell ref="D64:D68"/>
    <mergeCell ref="J64:J68"/>
    <mergeCell ref="J138:J141"/>
    <mergeCell ref="C133:C134"/>
    <mergeCell ref="D133:D134"/>
    <mergeCell ref="D147:D150"/>
    <mergeCell ref="J74:J76"/>
    <mergeCell ref="J70:J71"/>
    <mergeCell ref="B79:D79"/>
    <mergeCell ref="E79:L79"/>
    <mergeCell ref="J143:J145"/>
    <mergeCell ref="B137:D137"/>
    <mergeCell ref="E137:L137"/>
    <mergeCell ref="J133:J134"/>
    <mergeCell ref="C127:C128"/>
    <mergeCell ref="D127:D128"/>
    <mergeCell ref="J127:J128"/>
    <mergeCell ref="D108:D109"/>
    <mergeCell ref="C70:C73"/>
    <mergeCell ref="B74:B76"/>
    <mergeCell ref="D74:D76"/>
    <mergeCell ref="C130:C131"/>
    <mergeCell ref="D130:D131"/>
    <mergeCell ref="N5:N6"/>
    <mergeCell ref="O5:O6"/>
    <mergeCell ref="P5:Q5"/>
    <mergeCell ref="B19:B28"/>
    <mergeCell ref="C19:C28"/>
    <mergeCell ref="C117:C122"/>
    <mergeCell ref="D99:D100"/>
    <mergeCell ref="B103:D103"/>
    <mergeCell ref="E103:L103"/>
    <mergeCell ref="D104:D105"/>
    <mergeCell ref="J104:J105"/>
    <mergeCell ref="J99:J100"/>
    <mergeCell ref="C99:C100"/>
    <mergeCell ref="D95:D96"/>
    <mergeCell ref="J95:J96"/>
    <mergeCell ref="J117:J122"/>
    <mergeCell ref="B126:D126"/>
    <mergeCell ref="E126:L126"/>
    <mergeCell ref="D117:D122"/>
    <mergeCell ref="D70:D71"/>
    <mergeCell ref="F70:F71"/>
    <mergeCell ref="C74:C76"/>
    <mergeCell ref="T5:U5"/>
    <mergeCell ref="B63:D63"/>
    <mergeCell ref="E63:L63"/>
    <mergeCell ref="R5:S5"/>
    <mergeCell ref="C7:C11"/>
    <mergeCell ref="D7:D11"/>
    <mergeCell ref="G5:G6"/>
    <mergeCell ref="H5:I5"/>
    <mergeCell ref="J7:J11"/>
    <mergeCell ref="K5:L5"/>
    <mergeCell ref="J5:J6"/>
    <mergeCell ref="F5:F6"/>
    <mergeCell ref="F7:F9"/>
    <mergeCell ref="B30:D30"/>
    <mergeCell ref="E30:L30"/>
    <mergeCell ref="B59:D59"/>
    <mergeCell ref="C50:C52"/>
    <mergeCell ref="D50:D52"/>
    <mergeCell ref="D19:D23"/>
    <mergeCell ref="J19:J23"/>
    <mergeCell ref="J50:J52"/>
    <mergeCell ref="E59:L59"/>
    <mergeCell ref="B55:D55"/>
    <mergeCell ref="E55:L55"/>
    <mergeCell ref="B1:I1"/>
    <mergeCell ref="G4:I4"/>
    <mergeCell ref="B5:B6"/>
    <mergeCell ref="C5:C6"/>
    <mergeCell ref="D5:D6"/>
    <mergeCell ref="E5:E6"/>
    <mergeCell ref="D15:D17"/>
    <mergeCell ref="B14:D14"/>
    <mergeCell ref="E14:L14"/>
    <mergeCell ref="B15:B17"/>
    <mergeCell ref="C15:C17"/>
    <mergeCell ref="J15:J17"/>
    <mergeCell ref="B217:B220"/>
    <mergeCell ref="AG52:AH52"/>
    <mergeCell ref="C39:C40"/>
    <mergeCell ref="D39:D40"/>
    <mergeCell ref="J39:J40"/>
    <mergeCell ref="D31:D36"/>
    <mergeCell ref="C31:C36"/>
    <mergeCell ref="B31:B36"/>
    <mergeCell ref="J31:J33"/>
    <mergeCell ref="B38:D38"/>
    <mergeCell ref="J43:J45"/>
    <mergeCell ref="F31:F32"/>
    <mergeCell ref="F39:F40"/>
    <mergeCell ref="F43:F46"/>
    <mergeCell ref="C43:C46"/>
    <mergeCell ref="E38:L38"/>
    <mergeCell ref="B39:B40"/>
    <mergeCell ref="J217:J219"/>
    <mergeCell ref="B114:D114"/>
    <mergeCell ref="E114:L114"/>
    <mergeCell ref="B94:D94"/>
    <mergeCell ref="E94:L94"/>
    <mergeCell ref="B95:B98"/>
    <mergeCell ref="C95:C98"/>
    <mergeCell ref="B243:B247"/>
    <mergeCell ref="B249:B252"/>
    <mergeCell ref="B254:D254"/>
    <mergeCell ref="B48:B49"/>
    <mergeCell ref="D48:D49"/>
    <mergeCell ref="D43:D47"/>
    <mergeCell ref="B43:B47"/>
    <mergeCell ref="B50:B54"/>
    <mergeCell ref="B56:B58"/>
    <mergeCell ref="B60:B62"/>
    <mergeCell ref="B64:B69"/>
    <mergeCell ref="B99:B102"/>
    <mergeCell ref="B115:B116"/>
    <mergeCell ref="B117:B125"/>
    <mergeCell ref="B130:B132"/>
    <mergeCell ref="B127:B129"/>
    <mergeCell ref="B133:B136"/>
    <mergeCell ref="B138:B142"/>
    <mergeCell ref="B143:B146"/>
    <mergeCell ref="B161:B164"/>
    <mergeCell ref="B166:B172"/>
    <mergeCell ref="B174:B184"/>
    <mergeCell ref="B211:B215"/>
    <mergeCell ref="D211:D212"/>
  </mergeCells>
  <printOptions horizontalCentered="1" verticalCentered="1"/>
  <pageMargins left="0.62992125984251968" right="0.70866141732283472" top="1.5748031496062993" bottom="0.78740157480314965" header="0.94488188976377963" footer="0.51181102362204722"/>
  <pageSetup scale="68" pageOrder="overThenDown" orientation="landscape" horizontalDpi="4294967295" verticalDpi="144" r:id="rId1"/>
  <headerFooter alignWithMargins="0">
    <oddHeader xml:space="preserve">&amp;C&amp;"Arial,Negrita"&amp;13CORPORACIÓN AUTÓNOMA REGIONAL DEL ALTO MAGDALENA - CAM
BASE DE DATOS PRELIMINAR DE USUARIOS DEL SECTOR DOMÉSTICO URBANO&amp;R </oddHeader>
    <oddFooter>&amp;L&amp;8&amp;F&amp;R&amp;9&amp;P/&amp;N</oddFooter>
  </headerFooter>
  <rowBreaks count="1" manualBreakCount="1">
    <brk id="137" max="43" man="1"/>
  </rowBreaks>
  <colBreaks count="1" manualBreakCount="1">
    <brk id="10" max="87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52"/>
  <sheetViews>
    <sheetView topLeftCell="B1" zoomScale="124" zoomScaleNormal="124" workbookViewId="0">
      <selection activeCell="F10" sqref="F10"/>
    </sheetView>
  </sheetViews>
  <sheetFormatPr baseColWidth="10" defaultRowHeight="15" x14ac:dyDescent="0.25"/>
  <cols>
    <col min="3" max="3" width="17.28515625" customWidth="1"/>
    <col min="4" max="4" width="23.140625" customWidth="1"/>
    <col min="5" max="5" width="17.85546875" customWidth="1"/>
    <col min="6" max="6" width="19" bestFit="1" customWidth="1"/>
    <col min="7" max="7" width="14.7109375" customWidth="1"/>
  </cols>
  <sheetData>
    <row r="1" spans="3:8" ht="29.45" customHeight="1" x14ac:dyDescent="0.25">
      <c r="C1" s="326" t="s">
        <v>1157</v>
      </c>
      <c r="D1" s="327"/>
      <c r="E1" s="220" t="s">
        <v>1158</v>
      </c>
      <c r="F1" s="220" t="s">
        <v>1159</v>
      </c>
      <c r="G1" s="35" t="s">
        <v>1160</v>
      </c>
      <c r="H1" s="35" t="s">
        <v>1161</v>
      </c>
    </row>
    <row r="2" spans="3:8" ht="15.75" x14ac:dyDescent="0.25">
      <c r="C2" s="221">
        <v>1</v>
      </c>
      <c r="D2" s="222" t="s">
        <v>40</v>
      </c>
      <c r="E2" s="223">
        <f t="shared" ref="E2:E38" si="0">F2/$F$39</f>
        <v>0.11361888712553787</v>
      </c>
      <c r="F2" s="224">
        <v>55556</v>
      </c>
      <c r="G2" s="206">
        <f>F2*$D$51*365</f>
        <v>654619.4492955507</v>
      </c>
      <c r="H2" s="206">
        <f>F2*$D$52*365</f>
        <v>762547.22687916725</v>
      </c>
    </row>
    <row r="3" spans="3:8" ht="15.75" x14ac:dyDescent="0.25">
      <c r="C3" s="221">
        <v>2</v>
      </c>
      <c r="D3" s="222" t="s">
        <v>65</v>
      </c>
      <c r="E3" s="223">
        <f t="shared" si="0"/>
        <v>0.10210279609299586</v>
      </c>
      <c r="F3" s="224">
        <v>49925</v>
      </c>
      <c r="G3" s="206">
        <f t="shared" ref="G3:G38" si="1">F3*$D$51*365</f>
        <v>588269.06195695105</v>
      </c>
      <c r="H3" s="206">
        <f t="shared" ref="H3:H38" si="2">F3*$D$52*365</f>
        <v>685257.58337429666</v>
      </c>
    </row>
    <row r="4" spans="3:8" ht="15.75" x14ac:dyDescent="0.25">
      <c r="C4" s="221">
        <v>3</v>
      </c>
      <c r="D4" s="222" t="s">
        <v>76</v>
      </c>
      <c r="E4" s="223">
        <f t="shared" si="0"/>
        <v>7.9346705714893412E-2</v>
      </c>
      <c r="F4" s="224">
        <v>38798</v>
      </c>
      <c r="G4" s="206">
        <f t="shared" si="1"/>
        <v>457158.9998158394</v>
      </c>
      <c r="H4" s="206">
        <f t="shared" si="2"/>
        <v>532531.27130207233</v>
      </c>
    </row>
    <row r="5" spans="3:8" ht="15.75" x14ac:dyDescent="0.25">
      <c r="C5" s="221">
        <v>4</v>
      </c>
      <c r="D5" s="222" t="s">
        <v>58</v>
      </c>
      <c r="E5" s="223">
        <f t="shared" si="0"/>
        <v>5.8967048968439656E-2</v>
      </c>
      <c r="F5" s="224">
        <v>28833</v>
      </c>
      <c r="G5" s="206">
        <f t="shared" si="1"/>
        <v>339740.84854090674</v>
      </c>
      <c r="H5" s="206">
        <f t="shared" si="2"/>
        <v>395754.26943277108</v>
      </c>
    </row>
    <row r="6" spans="3:8" ht="15.75" x14ac:dyDescent="0.25">
      <c r="C6" s="221">
        <v>5</v>
      </c>
      <c r="D6" s="222" t="s">
        <v>1162</v>
      </c>
      <c r="E6" s="223">
        <f t="shared" si="0"/>
        <v>4.5557173475564865E-2</v>
      </c>
      <c r="F6" s="224">
        <v>22276</v>
      </c>
      <c r="G6" s="206">
        <f t="shared" si="1"/>
        <v>262479.35151032626</v>
      </c>
      <c r="H6" s="206">
        <f t="shared" si="2"/>
        <v>305754.5904305625</v>
      </c>
    </row>
    <row r="7" spans="3:8" ht="15.75" x14ac:dyDescent="0.25">
      <c r="C7" s="221">
        <v>6</v>
      </c>
      <c r="D7" s="222" t="s">
        <v>30</v>
      </c>
      <c r="E7" s="223">
        <f t="shared" si="0"/>
        <v>4.549991001456128E-2</v>
      </c>
      <c r="F7" s="224">
        <v>22248</v>
      </c>
      <c r="G7" s="206">
        <f t="shared" si="1"/>
        <v>262149.42594728584</v>
      </c>
      <c r="H7" s="206">
        <f t="shared" si="2"/>
        <v>305370.26970278122</v>
      </c>
    </row>
    <row r="8" spans="3:8" ht="15.75" x14ac:dyDescent="0.25">
      <c r="C8" s="221">
        <v>7</v>
      </c>
      <c r="D8" s="222" t="s">
        <v>105</v>
      </c>
      <c r="E8" s="223">
        <f t="shared" si="0"/>
        <v>4.0074197084471783E-2</v>
      </c>
      <c r="F8" s="224">
        <v>19595</v>
      </c>
      <c r="G8" s="206">
        <f t="shared" si="1"/>
        <v>230888.97884920289</v>
      </c>
      <c r="H8" s="206">
        <f t="shared" si="2"/>
        <v>268955.8807455051</v>
      </c>
    </row>
    <row r="9" spans="3:8" ht="15.75" x14ac:dyDescent="0.25">
      <c r="C9" s="221">
        <v>8</v>
      </c>
      <c r="D9" s="222" t="s">
        <v>113</v>
      </c>
      <c r="E9" s="223">
        <f t="shared" si="0"/>
        <v>3.6787683447587573E-2</v>
      </c>
      <c r="F9" s="224">
        <v>17988</v>
      </c>
      <c r="G9" s="206">
        <f t="shared" si="1"/>
        <v>211953.60814184544</v>
      </c>
      <c r="H9" s="206">
        <f t="shared" si="2"/>
        <v>246898.61611891535</v>
      </c>
    </row>
    <row r="10" spans="3:8" ht="15.75" x14ac:dyDescent="0.25">
      <c r="C10" s="221">
        <v>9</v>
      </c>
      <c r="D10" s="222" t="s">
        <v>63</v>
      </c>
      <c r="E10" s="223">
        <f t="shared" si="0"/>
        <v>3.6086206050293682E-2</v>
      </c>
      <c r="F10" s="224">
        <v>17645</v>
      </c>
      <c r="G10" s="206">
        <f t="shared" si="1"/>
        <v>207912.01999459989</v>
      </c>
      <c r="H10" s="206">
        <f t="shared" si="2"/>
        <v>242190.68720359469</v>
      </c>
    </row>
    <row r="11" spans="3:8" ht="15.75" x14ac:dyDescent="0.25">
      <c r="C11" s="221">
        <v>10</v>
      </c>
      <c r="D11" s="222" t="s">
        <v>61</v>
      </c>
      <c r="E11" s="223">
        <f t="shared" si="0"/>
        <v>3.328029646111811E-2</v>
      </c>
      <c r="F11" s="224">
        <v>16273</v>
      </c>
      <c r="G11" s="206">
        <f t="shared" si="1"/>
        <v>191745.66740561769</v>
      </c>
      <c r="H11" s="206">
        <f t="shared" si="2"/>
        <v>223358.97154231207</v>
      </c>
    </row>
    <row r="12" spans="3:8" ht="15.75" x14ac:dyDescent="0.25">
      <c r="C12" s="221">
        <v>11</v>
      </c>
      <c r="D12" s="222" t="s">
        <v>72</v>
      </c>
      <c r="E12" s="223">
        <f t="shared" si="0"/>
        <v>3.298579866167111E-2</v>
      </c>
      <c r="F12" s="224">
        <v>16129</v>
      </c>
      <c r="G12" s="206">
        <f t="shared" si="1"/>
        <v>190048.90736712396</v>
      </c>
      <c r="H12" s="206">
        <f t="shared" si="2"/>
        <v>221382.46494229406</v>
      </c>
    </row>
    <row r="13" spans="3:8" ht="15.75" x14ac:dyDescent="0.25">
      <c r="C13" s="225">
        <v>12</v>
      </c>
      <c r="D13" s="226" t="s">
        <v>56</v>
      </c>
      <c r="E13" s="227">
        <f t="shared" si="0"/>
        <v>2.6562065411233456E-2</v>
      </c>
      <c r="F13" s="224">
        <v>12988</v>
      </c>
      <c r="G13" s="206">
        <f t="shared" si="1"/>
        <v>153038.32902747879</v>
      </c>
      <c r="H13" s="206">
        <f t="shared" si="2"/>
        <v>178269.91472940141</v>
      </c>
    </row>
    <row r="14" spans="3:8" ht="15.75" x14ac:dyDescent="0.25">
      <c r="C14" s="225">
        <v>13</v>
      </c>
      <c r="D14" s="226" t="s">
        <v>54</v>
      </c>
      <c r="E14" s="227">
        <f t="shared" si="0"/>
        <v>2.6439357994797207E-2</v>
      </c>
      <c r="F14" s="224">
        <v>12928</v>
      </c>
      <c r="G14" s="206">
        <f t="shared" si="1"/>
        <v>152331.34567810642</v>
      </c>
      <c r="H14" s="206">
        <f t="shared" si="2"/>
        <v>177446.37031272723</v>
      </c>
    </row>
    <row r="15" spans="3:8" ht="15.75" x14ac:dyDescent="0.25">
      <c r="C15" s="225">
        <v>14</v>
      </c>
      <c r="D15" s="226" t="s">
        <v>84</v>
      </c>
      <c r="E15" s="227">
        <f t="shared" si="0"/>
        <v>2.2909474648647763E-2</v>
      </c>
      <c r="F15" s="224">
        <v>11202</v>
      </c>
      <c r="G15" s="206">
        <f t="shared" si="1"/>
        <v>131993.79132782703</v>
      </c>
      <c r="H15" s="206">
        <f t="shared" si="2"/>
        <v>153755.74259306703</v>
      </c>
    </row>
    <row r="16" spans="3:8" ht="15.75" x14ac:dyDescent="0.25">
      <c r="C16" s="225">
        <v>15</v>
      </c>
      <c r="D16" s="226" t="s">
        <v>110</v>
      </c>
      <c r="E16" s="227">
        <f t="shared" si="0"/>
        <v>2.1833739631223311E-2</v>
      </c>
      <c r="F16" s="224">
        <v>10676</v>
      </c>
      <c r="G16" s="206">
        <f t="shared" si="1"/>
        <v>125795.90396499567</v>
      </c>
      <c r="H16" s="206">
        <f t="shared" si="2"/>
        <v>146536.00320689016</v>
      </c>
    </row>
    <row r="17" spans="3:8" ht="15.75" x14ac:dyDescent="0.25">
      <c r="C17" s="225">
        <v>16</v>
      </c>
      <c r="D17" s="226" t="s">
        <v>48</v>
      </c>
      <c r="E17" s="227">
        <f t="shared" si="0"/>
        <v>2.1494249112416354E-2</v>
      </c>
      <c r="F17" s="224">
        <v>10510</v>
      </c>
      <c r="G17" s="206">
        <f t="shared" si="1"/>
        <v>123839.91669839871</v>
      </c>
      <c r="H17" s="206">
        <f t="shared" si="2"/>
        <v>144257.53032075829</v>
      </c>
    </row>
    <row r="18" spans="3:8" ht="15.75" x14ac:dyDescent="0.25">
      <c r="C18" s="225">
        <v>17</v>
      </c>
      <c r="D18" s="226" t="s">
        <v>128</v>
      </c>
      <c r="E18" s="227">
        <f t="shared" si="0"/>
        <v>2.098705845781319E-2</v>
      </c>
      <c r="F18" s="224">
        <v>10262</v>
      </c>
      <c r="G18" s="206">
        <f t="shared" si="1"/>
        <v>120917.71885432611</v>
      </c>
      <c r="H18" s="206">
        <f t="shared" si="2"/>
        <v>140853.5467318384</v>
      </c>
    </row>
    <row r="19" spans="3:8" ht="15.75" x14ac:dyDescent="0.25">
      <c r="C19" s="225">
        <v>18</v>
      </c>
      <c r="D19" s="226" t="s">
        <v>38</v>
      </c>
      <c r="E19" s="227">
        <f t="shared" si="0"/>
        <v>2.0179234632941214E-2</v>
      </c>
      <c r="F19" s="224">
        <v>9867</v>
      </c>
      <c r="G19" s="206">
        <f t="shared" si="1"/>
        <v>116263.41180429116</v>
      </c>
      <c r="H19" s="206">
        <f t="shared" si="2"/>
        <v>135431.87932206682</v>
      </c>
    </row>
    <row r="20" spans="3:8" ht="15.75" x14ac:dyDescent="0.25">
      <c r="C20" s="225">
        <v>19</v>
      </c>
      <c r="D20" s="226" t="s">
        <v>74</v>
      </c>
      <c r="E20" s="227">
        <f t="shared" si="0"/>
        <v>1.9968586901392322E-2</v>
      </c>
      <c r="F20" s="224">
        <v>9764</v>
      </c>
      <c r="G20" s="206">
        <f t="shared" si="1"/>
        <v>115049.75705453519</v>
      </c>
      <c r="H20" s="206">
        <f t="shared" si="2"/>
        <v>134018.12807344281</v>
      </c>
    </row>
    <row r="21" spans="3:8" ht="15.75" x14ac:dyDescent="0.25">
      <c r="C21" s="225">
        <v>20</v>
      </c>
      <c r="D21" s="226" t="s">
        <v>46</v>
      </c>
      <c r="E21" s="227">
        <f t="shared" si="0"/>
        <v>1.8344758757219286E-2</v>
      </c>
      <c r="F21" s="224">
        <v>8970</v>
      </c>
      <c r="G21" s="206">
        <f t="shared" si="1"/>
        <v>105694.01073117378</v>
      </c>
      <c r="H21" s="206">
        <f t="shared" si="2"/>
        <v>123119.890292788</v>
      </c>
    </row>
    <row r="22" spans="3:8" ht="15.75" x14ac:dyDescent="0.25">
      <c r="C22" s="225">
        <v>21</v>
      </c>
      <c r="D22" s="226" t="s">
        <v>93</v>
      </c>
      <c r="E22" s="227">
        <f t="shared" si="0"/>
        <v>1.8340668510004744E-2</v>
      </c>
      <c r="F22" s="224">
        <v>8968</v>
      </c>
      <c r="G22" s="206">
        <f t="shared" si="1"/>
        <v>105670.44461952802</v>
      </c>
      <c r="H22" s="206">
        <f t="shared" si="2"/>
        <v>123092.4388122322</v>
      </c>
    </row>
    <row r="23" spans="3:8" ht="15.75" x14ac:dyDescent="0.25">
      <c r="C23" s="225">
        <v>22</v>
      </c>
      <c r="D23" s="226" t="s">
        <v>68</v>
      </c>
      <c r="E23" s="227">
        <f t="shared" si="0"/>
        <v>1.7733266798645311E-2</v>
      </c>
      <c r="F23" s="224">
        <v>8671</v>
      </c>
      <c r="G23" s="206">
        <f t="shared" si="1"/>
        <v>102170.87704013464</v>
      </c>
      <c r="H23" s="206">
        <f t="shared" si="2"/>
        <v>119015.89394969508</v>
      </c>
    </row>
    <row r="24" spans="3:8" ht="15.75" x14ac:dyDescent="0.25">
      <c r="C24" s="225">
        <v>23</v>
      </c>
      <c r="D24" s="226" t="s">
        <v>111</v>
      </c>
      <c r="E24" s="227">
        <f t="shared" si="0"/>
        <v>1.7160632188609481E-2</v>
      </c>
      <c r="F24" s="224">
        <v>8391</v>
      </c>
      <c r="G24" s="206">
        <f t="shared" si="1"/>
        <v>98871.621409730098</v>
      </c>
      <c r="H24" s="206">
        <f t="shared" si="2"/>
        <v>115172.6866718823</v>
      </c>
    </row>
    <row r="25" spans="3:8" ht="15.75" x14ac:dyDescent="0.25">
      <c r="C25" s="225">
        <v>24</v>
      </c>
      <c r="D25" s="226" t="s">
        <v>96</v>
      </c>
      <c r="E25" s="227">
        <f t="shared" si="0"/>
        <v>1.7125865087285877E-2</v>
      </c>
      <c r="F25" s="224">
        <v>8374</v>
      </c>
      <c r="G25" s="206">
        <f t="shared" si="1"/>
        <v>98671.309460741279</v>
      </c>
      <c r="H25" s="206">
        <f t="shared" si="2"/>
        <v>114939.34908715794</v>
      </c>
    </row>
    <row r="26" spans="3:8" ht="15.75" x14ac:dyDescent="0.25">
      <c r="C26" s="225">
        <v>25</v>
      </c>
      <c r="D26" s="226" t="s">
        <v>99</v>
      </c>
      <c r="E26" s="227">
        <f t="shared" si="0"/>
        <v>1.7025654030529604E-2</v>
      </c>
      <c r="F26" s="224">
        <v>8325</v>
      </c>
      <c r="G26" s="206">
        <f t="shared" si="1"/>
        <v>98093.939725420467</v>
      </c>
      <c r="H26" s="206">
        <f t="shared" si="2"/>
        <v>114266.78781354072</v>
      </c>
    </row>
    <row r="27" spans="3:8" ht="15.75" x14ac:dyDescent="0.25">
      <c r="C27" s="225">
        <v>26</v>
      </c>
      <c r="D27" s="226" t="s">
        <v>125</v>
      </c>
      <c r="E27" s="227">
        <f t="shared" si="0"/>
        <v>1.5475450336218321E-2</v>
      </c>
      <c r="F27" s="224">
        <v>7567</v>
      </c>
      <c r="G27" s="206">
        <f t="shared" si="1"/>
        <v>89162.383411682487</v>
      </c>
      <c r="H27" s="206">
        <f t="shared" si="2"/>
        <v>103862.67668289038</v>
      </c>
    </row>
    <row r="28" spans="3:8" ht="15.75" x14ac:dyDescent="0.25">
      <c r="C28" s="225">
        <v>27</v>
      </c>
      <c r="D28" s="226" t="s">
        <v>107</v>
      </c>
      <c r="E28" s="227">
        <f t="shared" si="0"/>
        <v>9.9127141244416805E-3</v>
      </c>
      <c r="F28" s="224">
        <v>4847</v>
      </c>
      <c r="G28" s="206">
        <f t="shared" si="1"/>
        <v>57112.471573467032</v>
      </c>
      <c r="H28" s="206">
        <f t="shared" si="2"/>
        <v>66528.663126994812</v>
      </c>
    </row>
    <row r="29" spans="3:8" ht="15.75" x14ac:dyDescent="0.25">
      <c r="C29" s="225">
        <v>28</v>
      </c>
      <c r="D29" s="226" t="s">
        <v>122</v>
      </c>
      <c r="E29" s="227">
        <f t="shared" si="0"/>
        <v>9.3032672894749757E-3</v>
      </c>
      <c r="F29" s="224">
        <v>4549</v>
      </c>
      <c r="G29" s="206">
        <f t="shared" si="1"/>
        <v>53601.12093825078</v>
      </c>
      <c r="H29" s="206">
        <f t="shared" si="2"/>
        <v>62438.392524179777</v>
      </c>
    </row>
    <row r="30" spans="3:8" ht="15.75" x14ac:dyDescent="0.25">
      <c r="C30" s="225">
        <v>29</v>
      </c>
      <c r="D30" s="226" t="s">
        <v>86</v>
      </c>
      <c r="E30" s="227">
        <f t="shared" si="0"/>
        <v>9.0885293107115395E-3</v>
      </c>
      <c r="F30" s="224">
        <v>4444</v>
      </c>
      <c r="G30" s="206">
        <f t="shared" si="1"/>
        <v>52363.900076849073</v>
      </c>
      <c r="H30" s="206">
        <f t="shared" si="2"/>
        <v>60997.189794999984</v>
      </c>
    </row>
    <row r="31" spans="3:8" ht="15.75" x14ac:dyDescent="0.25">
      <c r="C31" s="225">
        <v>30</v>
      </c>
      <c r="D31" s="226" t="s">
        <v>81</v>
      </c>
      <c r="E31" s="227">
        <f t="shared" si="0"/>
        <v>8.6835948364719171E-3</v>
      </c>
      <c r="F31" s="224">
        <v>4246</v>
      </c>
      <c r="G31" s="206">
        <f t="shared" si="1"/>
        <v>50030.85502392015</v>
      </c>
      <c r="H31" s="206">
        <f t="shared" si="2"/>
        <v>58279.493219975237</v>
      </c>
    </row>
    <row r="32" spans="3:8" ht="15.75" x14ac:dyDescent="0.25">
      <c r="C32" s="225">
        <v>31</v>
      </c>
      <c r="D32" s="226" t="s">
        <v>83</v>
      </c>
      <c r="E32" s="227">
        <f t="shared" si="0"/>
        <v>7.8757710115999417E-3</v>
      </c>
      <c r="F32" s="224">
        <v>3851</v>
      </c>
      <c r="G32" s="206">
        <f t="shared" si="1"/>
        <v>45376.547973885194</v>
      </c>
      <c r="H32" s="206">
        <f t="shared" si="2"/>
        <v>52857.825810203634</v>
      </c>
    </row>
    <row r="33" spans="3:8" ht="15.75" x14ac:dyDescent="0.25">
      <c r="C33" s="225">
        <v>32</v>
      </c>
      <c r="D33" s="226" t="s">
        <v>71</v>
      </c>
      <c r="E33" s="227">
        <f t="shared" si="0"/>
        <v>7.6733037744801296E-3</v>
      </c>
      <c r="F33" s="224">
        <v>3752</v>
      </c>
      <c r="G33" s="206">
        <f t="shared" si="1"/>
        <v>44210.025447420732</v>
      </c>
      <c r="H33" s="206">
        <f t="shared" si="2"/>
        <v>51498.977522691261</v>
      </c>
    </row>
    <row r="34" spans="3:8" ht="15.75" x14ac:dyDescent="0.25">
      <c r="C34" s="225">
        <v>33</v>
      </c>
      <c r="D34" s="226" t="s">
        <v>82</v>
      </c>
      <c r="E34" s="227">
        <f t="shared" si="0"/>
        <v>6.4441844865103645E-3</v>
      </c>
      <c r="F34" s="224">
        <v>3151</v>
      </c>
      <c r="G34" s="206">
        <f t="shared" si="1"/>
        <v>37128.408897873858</v>
      </c>
      <c r="H34" s="206">
        <f t="shared" si="2"/>
        <v>43249.807615671685</v>
      </c>
    </row>
    <row r="35" spans="3:8" ht="15.75" x14ac:dyDescent="0.25">
      <c r="C35" s="225">
        <v>34</v>
      </c>
      <c r="D35" s="226" t="s">
        <v>1163</v>
      </c>
      <c r="E35" s="227">
        <f t="shared" si="0"/>
        <v>5.8981364833690549E-3</v>
      </c>
      <c r="F35" s="224">
        <v>2884</v>
      </c>
      <c r="G35" s="206">
        <f t="shared" si="1"/>
        <v>33982.332993166681</v>
      </c>
      <c r="H35" s="206">
        <f t="shared" si="2"/>
        <v>39585.03496147164</v>
      </c>
    </row>
    <row r="36" spans="3:8" ht="15.75" x14ac:dyDescent="0.25">
      <c r="C36" s="225">
        <v>35</v>
      </c>
      <c r="D36" s="226" t="s">
        <v>89</v>
      </c>
      <c r="E36" s="227">
        <f t="shared" si="0"/>
        <v>3.2558367827751509E-3</v>
      </c>
      <c r="F36" s="224">
        <v>1592</v>
      </c>
      <c r="G36" s="206">
        <f t="shared" si="1"/>
        <v>18758.624870014341</v>
      </c>
      <c r="H36" s="206">
        <f t="shared" si="2"/>
        <v>21851.378522421237</v>
      </c>
    </row>
    <row r="37" spans="3:8" ht="15.75" x14ac:dyDescent="0.25">
      <c r="C37" s="225">
        <v>36</v>
      </c>
      <c r="D37" s="226" t="s">
        <v>51</v>
      </c>
      <c r="E37" s="227">
        <f t="shared" si="0"/>
        <v>3.0595049164771518E-3</v>
      </c>
      <c r="F37" s="224">
        <v>1496</v>
      </c>
      <c r="G37" s="206">
        <f t="shared" si="1"/>
        <v>17627.451511018502</v>
      </c>
      <c r="H37" s="206">
        <f t="shared" si="2"/>
        <v>20533.707455742569</v>
      </c>
    </row>
    <row r="38" spans="3:8" ht="15.75" x14ac:dyDescent="0.25">
      <c r="C38" s="225">
        <v>37</v>
      </c>
      <c r="D38" s="226" t="s">
        <v>87</v>
      </c>
      <c r="E38" s="227">
        <f t="shared" si="0"/>
        <v>2.918391387575465E-3</v>
      </c>
      <c r="F38" s="224">
        <v>1427</v>
      </c>
      <c r="G38" s="206">
        <f t="shared" si="1"/>
        <v>16814.420659240241</v>
      </c>
      <c r="H38" s="206">
        <f t="shared" si="2"/>
        <v>19586.631376567278</v>
      </c>
    </row>
    <row r="39" spans="3:8" ht="40.9" customHeight="1" x14ac:dyDescent="0.25">
      <c r="C39" s="328" t="s">
        <v>1164</v>
      </c>
      <c r="D39" s="328"/>
      <c r="E39" s="328"/>
      <c r="F39" s="228">
        <f>SUM(F2:F38)</f>
        <v>488968</v>
      </c>
      <c r="G39" s="101">
        <f>SUM(G2:G38)</f>
        <v>5761537.2395987269</v>
      </c>
      <c r="H39" s="101">
        <f>SUM(H2:H38)</f>
        <v>6711447.7722055679</v>
      </c>
    </row>
    <row r="42" spans="3:8" ht="30" customHeight="1" x14ac:dyDescent="0.25">
      <c r="C42" s="229" t="s">
        <v>1165</v>
      </c>
      <c r="D42" s="229">
        <v>140</v>
      </c>
      <c r="E42" s="230" t="s">
        <v>1166</v>
      </c>
      <c r="F42" s="231">
        <f>F39*$D$42/86400/1000</f>
        <v>0.79230925925925932</v>
      </c>
    </row>
    <row r="43" spans="3:8" ht="30" customHeight="1" x14ac:dyDescent="0.25">
      <c r="C43" s="229" t="s">
        <v>1167</v>
      </c>
      <c r="D43" s="230">
        <v>1.2</v>
      </c>
      <c r="E43" s="230" t="s">
        <v>1168</v>
      </c>
      <c r="F43" s="231">
        <f>F42*$D$43</f>
        <v>0.95077111111111112</v>
      </c>
    </row>
    <row r="44" spans="3:8" ht="30" customHeight="1" x14ac:dyDescent="0.25">
      <c r="C44" s="229" t="s">
        <v>1169</v>
      </c>
      <c r="D44" s="230">
        <v>1.5</v>
      </c>
      <c r="E44" s="230" t="s">
        <v>1170</v>
      </c>
      <c r="F44" s="231">
        <f>F43*$D$44</f>
        <v>1.4261566666666667</v>
      </c>
    </row>
    <row r="45" spans="3:8" ht="30" customHeight="1" x14ac:dyDescent="0.25">
      <c r="C45" s="229" t="s">
        <v>1171</v>
      </c>
      <c r="D45" s="230">
        <v>0.85</v>
      </c>
      <c r="E45" s="232" t="s">
        <v>1172</v>
      </c>
      <c r="F45" s="233">
        <f>F43*$D$45</f>
        <v>0.80815544444444443</v>
      </c>
    </row>
    <row r="46" spans="3:8" ht="30" customHeight="1" x14ac:dyDescent="0.25">
      <c r="C46" s="229" t="s">
        <v>1173</v>
      </c>
      <c r="D46" s="234">
        <v>32.282344720200904</v>
      </c>
      <c r="E46" s="232" t="s">
        <v>1174</v>
      </c>
      <c r="F46" s="235">
        <f>F39*$D$46*365/1000000</f>
        <v>5761.537239598726</v>
      </c>
      <c r="G46" s="101">
        <f>F46*1000</f>
        <v>5761537.2395987259</v>
      </c>
    </row>
    <row r="47" spans="3:8" ht="30" customHeight="1" x14ac:dyDescent="0.25">
      <c r="C47" s="229" t="s">
        <v>1175</v>
      </c>
      <c r="D47" s="234">
        <v>37.604767884665172</v>
      </c>
      <c r="E47" s="232" t="s">
        <v>1176</v>
      </c>
      <c r="F47" s="236">
        <f>F39*$D$47*365/1000000</f>
        <v>6711.4477722055699</v>
      </c>
      <c r="G47" s="101">
        <f>F47*1000</f>
        <v>6711447.7722055698</v>
      </c>
    </row>
    <row r="48" spans="3:8" ht="30" customHeight="1" x14ac:dyDescent="0.25">
      <c r="C48" s="229" t="s">
        <v>1177</v>
      </c>
      <c r="D48" s="237">
        <v>226.07576591801626</v>
      </c>
      <c r="E48" s="232" t="s">
        <v>1174</v>
      </c>
      <c r="F48" s="238">
        <f>F45*$D$48*86400*365/1000000</f>
        <v>5761.7647311321762</v>
      </c>
    </row>
    <row r="49" spans="3:6" ht="30" customHeight="1" x14ac:dyDescent="0.25">
      <c r="C49" s="229" t="s">
        <v>1178</v>
      </c>
      <c r="D49" s="237">
        <v>263.34771651531065</v>
      </c>
      <c r="E49" s="232" t="s">
        <v>1176</v>
      </c>
      <c r="F49" s="238">
        <f>F45*$D$49*86400*365/1000000</f>
        <v>6711.6772949134238</v>
      </c>
    </row>
    <row r="51" spans="3:6" x14ac:dyDescent="0.25">
      <c r="C51" s="239" t="s">
        <v>1179</v>
      </c>
      <c r="D51">
        <f>D46/1000</f>
        <v>3.2282344720200903E-2</v>
      </c>
      <c r="F51" s="240">
        <f>F48/365</f>
        <v>15.7856567976224</v>
      </c>
    </row>
    <row r="52" spans="3:6" x14ac:dyDescent="0.25">
      <c r="C52" s="239" t="s">
        <v>1180</v>
      </c>
      <c r="D52">
        <f>D47/1000</f>
        <v>3.7604767884665172E-2</v>
      </c>
      <c r="F52" s="240">
        <f>F49/365</f>
        <v>18.388156972365543</v>
      </c>
    </row>
  </sheetData>
  <mergeCells count="2">
    <mergeCell ref="C1:D1"/>
    <mergeCell ref="C39:E39"/>
  </mergeCells>
  <conditionalFormatting sqref="F28:F38 F16:F26 F2:F14">
    <cfRule type="expression" dxfId="2" priority="1" stopIfTrue="1">
      <formula>#REF!&lt;&gt;$A1</formula>
    </cfRule>
  </conditionalFormatting>
  <conditionalFormatting sqref="F27">
    <cfRule type="expression" dxfId="1" priority="2" stopIfTrue="1">
      <formula>#REF!&lt;&gt;$A2</formula>
    </cfRule>
  </conditionalFormatting>
  <conditionalFormatting sqref="F15">
    <cfRule type="expression" dxfId="0" priority="3" stopIfTrue="1">
      <formula>#REF!&lt;&gt;$A2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67"/>
  <sheetViews>
    <sheetView topLeftCell="A2" zoomScale="85" zoomScaleNormal="85" workbookViewId="0">
      <selection activeCell="A9" sqref="A9"/>
    </sheetView>
  </sheetViews>
  <sheetFormatPr baseColWidth="10" defaultRowHeight="15" x14ac:dyDescent="0.25"/>
  <cols>
    <col min="2" max="2" width="16.7109375" customWidth="1"/>
    <col min="3" max="3" width="31.28515625" style="136" customWidth="1"/>
    <col min="4" max="4" width="11.7109375" style="137" customWidth="1"/>
    <col min="5" max="5" width="59.85546875" style="136" bestFit="1" customWidth="1"/>
    <col min="6" max="6" width="11.42578125" style="137"/>
    <col min="7" max="7" width="12.7109375" customWidth="1"/>
    <col min="8" max="8" width="17" customWidth="1"/>
    <col min="9" max="9" width="1.42578125" customWidth="1"/>
    <col min="11" max="11" width="60.7109375" bestFit="1" customWidth="1"/>
    <col min="12" max="12" width="16.85546875" customWidth="1"/>
    <col min="13" max="13" width="18" customWidth="1"/>
  </cols>
  <sheetData>
    <row r="1" spans="2:8" ht="30" x14ac:dyDescent="0.25">
      <c r="B1" s="89" t="s">
        <v>337</v>
      </c>
      <c r="C1" s="90" t="s">
        <v>338</v>
      </c>
      <c r="D1" s="214" t="s">
        <v>1135</v>
      </c>
      <c r="E1" s="91" t="s">
        <v>1136</v>
      </c>
      <c r="F1" s="91" t="s">
        <v>339</v>
      </c>
      <c r="G1" s="92" t="s">
        <v>340</v>
      </c>
      <c r="H1" s="92" t="s">
        <v>341</v>
      </c>
    </row>
    <row r="2" spans="2:8" x14ac:dyDescent="0.25">
      <c r="B2" s="337" t="s">
        <v>342</v>
      </c>
      <c r="C2" s="93" t="s">
        <v>343</v>
      </c>
      <c r="D2" s="215">
        <v>23</v>
      </c>
      <c r="E2" s="36" t="s">
        <v>1137</v>
      </c>
      <c r="F2" s="94">
        <v>0</v>
      </c>
      <c r="G2" s="95">
        <v>0</v>
      </c>
      <c r="H2" s="95">
        <v>0</v>
      </c>
    </row>
    <row r="3" spans="2:8" x14ac:dyDescent="0.25">
      <c r="B3" s="337"/>
      <c r="C3" s="93" t="s">
        <v>344</v>
      </c>
      <c r="D3" s="215">
        <v>23</v>
      </c>
      <c r="E3" s="36" t="s">
        <v>1137</v>
      </c>
      <c r="F3" s="94">
        <v>95.680247782921541</v>
      </c>
      <c r="G3" s="95">
        <v>10.524827256121371</v>
      </c>
      <c r="H3" s="95">
        <v>2.8704074334876464</v>
      </c>
    </row>
    <row r="4" spans="2:8" x14ac:dyDescent="0.25">
      <c r="B4" s="337"/>
      <c r="C4" s="93" t="s">
        <v>345</v>
      </c>
      <c r="D4" s="215">
        <v>22</v>
      </c>
      <c r="E4" s="36" t="s">
        <v>1138</v>
      </c>
      <c r="F4" s="94">
        <v>767.39469579124307</v>
      </c>
      <c r="G4" s="95">
        <v>84.413416537036753</v>
      </c>
      <c r="H4" s="95">
        <v>23.021840873737293</v>
      </c>
    </row>
    <row r="5" spans="2:8" x14ac:dyDescent="0.25">
      <c r="B5" s="337"/>
      <c r="C5" s="93" t="s">
        <v>346</v>
      </c>
      <c r="D5" s="215">
        <v>21</v>
      </c>
      <c r="E5" s="36" t="s">
        <v>1139</v>
      </c>
      <c r="F5" s="94">
        <v>663.71388670153999</v>
      </c>
      <c r="G5" s="95">
        <v>73.008527537169414</v>
      </c>
      <c r="H5" s="95">
        <v>19.911416601046199</v>
      </c>
    </row>
    <row r="6" spans="2:8" x14ac:dyDescent="0.25">
      <c r="B6" s="337"/>
      <c r="C6" s="93" t="s">
        <v>347</v>
      </c>
      <c r="D6" s="165">
        <v>20</v>
      </c>
      <c r="E6" s="36" t="s">
        <v>1140</v>
      </c>
      <c r="F6" s="94">
        <v>225.98870727767624</v>
      </c>
      <c r="G6" s="95">
        <v>24.858757800544392</v>
      </c>
      <c r="H6" s="95">
        <v>6.7796612183302889</v>
      </c>
    </row>
    <row r="7" spans="2:8" x14ac:dyDescent="0.25">
      <c r="B7" s="337"/>
      <c r="C7" s="93" t="s">
        <v>348</v>
      </c>
      <c r="D7" s="165">
        <v>20</v>
      </c>
      <c r="E7" s="36" t="s">
        <v>1140</v>
      </c>
      <c r="F7" s="94">
        <v>23.417437188801092</v>
      </c>
      <c r="G7" s="95">
        <v>2.5759180907681203</v>
      </c>
      <c r="H7" s="95">
        <v>0.70252311566403269</v>
      </c>
    </row>
    <row r="8" spans="2:8" x14ac:dyDescent="0.25">
      <c r="B8" s="337"/>
      <c r="C8" s="93" t="s">
        <v>349</v>
      </c>
      <c r="D8" s="165">
        <v>20</v>
      </c>
      <c r="E8" s="36" t="s">
        <v>1140</v>
      </c>
      <c r="F8" s="94">
        <v>107.27705392476211</v>
      </c>
      <c r="G8" s="95">
        <v>11.800475931723833</v>
      </c>
      <c r="H8" s="95">
        <v>3.2183116177428635</v>
      </c>
    </row>
    <row r="9" spans="2:8" x14ac:dyDescent="0.25">
      <c r="B9" s="337"/>
      <c r="C9" s="93" t="s">
        <v>350</v>
      </c>
      <c r="D9" s="165">
        <v>20</v>
      </c>
      <c r="E9" s="36" t="s">
        <v>1140</v>
      </c>
      <c r="F9" s="94">
        <v>17.957243493617721</v>
      </c>
      <c r="G9" s="95">
        <v>1.9752967842979496</v>
      </c>
      <c r="H9" s="95">
        <v>0.53871730480853175</v>
      </c>
    </row>
    <row r="10" spans="2:8" x14ac:dyDescent="0.25">
      <c r="B10" s="337"/>
      <c r="C10" s="93" t="s">
        <v>351</v>
      </c>
      <c r="D10" s="165">
        <v>20</v>
      </c>
      <c r="E10" s="36" t="s">
        <v>1140</v>
      </c>
      <c r="F10" s="94">
        <v>7.3318513594260004</v>
      </c>
      <c r="G10" s="95">
        <v>0.80650364953686005</v>
      </c>
      <c r="H10" s="95">
        <v>0.21995554078277998</v>
      </c>
    </row>
    <row r="11" spans="2:8" x14ac:dyDescent="0.25">
      <c r="B11" s="337"/>
      <c r="C11" s="93" t="s">
        <v>352</v>
      </c>
      <c r="D11" s="165">
        <v>20</v>
      </c>
      <c r="E11" s="36" t="s">
        <v>1140</v>
      </c>
      <c r="F11" s="94">
        <v>0.10445805865913625</v>
      </c>
      <c r="G11" s="95">
        <v>1.1490386452504987E-2</v>
      </c>
      <c r="H11" s="95">
        <v>3.1337417597740867E-3</v>
      </c>
    </row>
    <row r="12" spans="2:8" x14ac:dyDescent="0.25">
      <c r="B12" s="337"/>
      <c r="C12" s="93" t="s">
        <v>353</v>
      </c>
      <c r="D12" s="165">
        <v>20</v>
      </c>
      <c r="E12" s="36" t="s">
        <v>1140</v>
      </c>
      <c r="F12" s="94">
        <v>0.14660417696532421</v>
      </c>
      <c r="G12" s="95">
        <v>1.6126459466185666E-2</v>
      </c>
      <c r="H12" s="95">
        <v>4.3981253089597269E-3</v>
      </c>
    </row>
    <row r="13" spans="2:8" x14ac:dyDescent="0.25">
      <c r="B13" s="337"/>
      <c r="C13" s="93" t="s">
        <v>354</v>
      </c>
      <c r="D13" s="165">
        <v>20</v>
      </c>
      <c r="E13" s="36" t="s">
        <v>1140</v>
      </c>
      <c r="F13" s="94">
        <v>1.0446077033891876</v>
      </c>
      <c r="G13" s="95">
        <v>0.11490684737281066</v>
      </c>
      <c r="H13" s="95">
        <v>3.1338231101675634E-2</v>
      </c>
    </row>
    <row r="14" spans="2:8" x14ac:dyDescent="0.25">
      <c r="B14" s="337"/>
      <c r="C14" s="93" t="s">
        <v>355</v>
      </c>
      <c r="D14" s="165">
        <v>20</v>
      </c>
      <c r="E14" s="36" t="s">
        <v>1140</v>
      </c>
      <c r="F14" s="94">
        <v>20.589850494880992</v>
      </c>
      <c r="G14" s="95">
        <v>2.2648835544369095</v>
      </c>
      <c r="H14" s="95">
        <v>0.61769551484642982</v>
      </c>
    </row>
    <row r="15" spans="2:8" x14ac:dyDescent="0.25">
      <c r="B15" s="337"/>
      <c r="C15" s="93" t="s">
        <v>356</v>
      </c>
      <c r="D15" s="165">
        <v>20</v>
      </c>
      <c r="E15" s="36" t="s">
        <v>1140</v>
      </c>
      <c r="F15" s="94">
        <v>16.812424756724091</v>
      </c>
      <c r="G15" s="95">
        <v>1.8493667232396502</v>
      </c>
      <c r="H15" s="95">
        <v>0.50437274270172272</v>
      </c>
    </row>
    <row r="16" spans="2:8" x14ac:dyDescent="0.25">
      <c r="B16" s="337"/>
      <c r="C16" s="93" t="s">
        <v>357</v>
      </c>
      <c r="D16" s="165">
        <v>20</v>
      </c>
      <c r="E16" s="36" t="s">
        <v>1140</v>
      </c>
      <c r="F16" s="94">
        <v>42.360528635840083</v>
      </c>
      <c r="G16" s="95">
        <v>4.659658149942409</v>
      </c>
      <c r="H16" s="95">
        <v>1.2708158590752026</v>
      </c>
    </row>
    <row r="17" spans="2:8" x14ac:dyDescent="0.25">
      <c r="B17" s="337"/>
      <c r="C17" s="93" t="s">
        <v>358</v>
      </c>
      <c r="D17" s="165">
        <v>20</v>
      </c>
      <c r="E17" s="36" t="s">
        <v>1140</v>
      </c>
      <c r="F17" s="94">
        <v>332.81719493924658</v>
      </c>
      <c r="G17" s="95">
        <v>36.609891443317132</v>
      </c>
      <c r="H17" s="95">
        <v>9.9845158481773986</v>
      </c>
    </row>
    <row r="18" spans="2:8" x14ac:dyDescent="0.25">
      <c r="B18" s="337"/>
      <c r="C18" s="93" t="s">
        <v>359</v>
      </c>
      <c r="D18" s="215">
        <v>21</v>
      </c>
      <c r="E18" s="36" t="s">
        <v>1139</v>
      </c>
      <c r="F18" s="94">
        <v>457.88292175248176</v>
      </c>
      <c r="G18" s="95">
        <v>50.367121392773001</v>
      </c>
      <c r="H18" s="95">
        <v>13.736487652574453</v>
      </c>
    </row>
    <row r="19" spans="2:8" x14ac:dyDescent="0.25">
      <c r="B19" s="337"/>
      <c r="C19" s="93" t="s">
        <v>360</v>
      </c>
      <c r="D19" s="215">
        <v>22</v>
      </c>
      <c r="E19" s="36" t="s">
        <v>1138</v>
      </c>
      <c r="F19" s="94">
        <v>330.59893969669736</v>
      </c>
      <c r="G19" s="95">
        <v>36.365883366636716</v>
      </c>
      <c r="H19" s="95">
        <v>9.9179681909009201</v>
      </c>
    </row>
    <row r="20" spans="2:8" x14ac:dyDescent="0.25">
      <c r="B20" s="337"/>
      <c r="C20" s="93" t="s">
        <v>361</v>
      </c>
      <c r="D20" s="215">
        <v>23</v>
      </c>
      <c r="E20" s="36" t="s">
        <v>1137</v>
      </c>
      <c r="F20" s="94">
        <v>967.95442838219481</v>
      </c>
      <c r="G20" s="95">
        <v>106.47498712204144</v>
      </c>
      <c r="H20" s="95">
        <v>29.038632851465842</v>
      </c>
    </row>
    <row r="21" spans="2:8" x14ac:dyDescent="0.25">
      <c r="B21" s="337"/>
      <c r="C21" s="93" t="s">
        <v>362</v>
      </c>
      <c r="D21" s="215">
        <v>23</v>
      </c>
      <c r="E21" s="36" t="s">
        <v>1137</v>
      </c>
      <c r="F21" s="94">
        <v>347.17243940601793</v>
      </c>
      <c r="G21" s="95">
        <v>38.188968334661979</v>
      </c>
      <c r="H21" s="95">
        <v>10.415173182180538</v>
      </c>
    </row>
    <row r="22" spans="2:8" x14ac:dyDescent="0.25">
      <c r="B22" s="337"/>
      <c r="C22" s="186" t="s">
        <v>363</v>
      </c>
      <c r="D22" s="165">
        <v>3</v>
      </c>
      <c r="E22" s="186" t="s">
        <v>381</v>
      </c>
      <c r="F22" s="94">
        <v>189.47169074037694</v>
      </c>
      <c r="G22" s="95">
        <v>20.841885981441465</v>
      </c>
      <c r="H22" s="95">
        <v>5.6841507222113075</v>
      </c>
    </row>
    <row r="23" spans="2:8" x14ac:dyDescent="0.25">
      <c r="B23" s="337"/>
      <c r="C23" s="186" t="s">
        <v>364</v>
      </c>
      <c r="D23" s="165">
        <v>20</v>
      </c>
      <c r="E23" s="36" t="s">
        <v>1140</v>
      </c>
      <c r="F23" s="94">
        <v>2.0780753927234441</v>
      </c>
      <c r="G23" s="95">
        <v>0.22858829319957888</v>
      </c>
      <c r="H23" s="95">
        <v>6.234226178170333E-2</v>
      </c>
    </row>
    <row r="24" spans="2:8" x14ac:dyDescent="0.25">
      <c r="B24" s="337"/>
      <c r="C24" s="186" t="s">
        <v>365</v>
      </c>
      <c r="D24" s="165">
        <v>2</v>
      </c>
      <c r="E24" s="186" t="s">
        <v>1141</v>
      </c>
      <c r="F24" s="94">
        <v>869.68599847255746</v>
      </c>
      <c r="G24" s="95">
        <v>95.665459831981337</v>
      </c>
      <c r="H24" s="95">
        <v>26.090579954176725</v>
      </c>
    </row>
    <row r="25" spans="2:8" x14ac:dyDescent="0.25">
      <c r="B25" s="337"/>
      <c r="C25" s="186" t="s">
        <v>366</v>
      </c>
      <c r="D25" s="165">
        <v>2</v>
      </c>
      <c r="E25" s="186" t="s">
        <v>1141</v>
      </c>
      <c r="F25" s="94">
        <v>2696.2005390263075</v>
      </c>
      <c r="G25" s="95">
        <v>296.58205929289386</v>
      </c>
      <c r="H25" s="95">
        <v>80.886016170789219</v>
      </c>
    </row>
    <row r="26" spans="2:8" x14ac:dyDescent="0.25">
      <c r="B26" s="337"/>
      <c r="C26" s="186" t="s">
        <v>367</v>
      </c>
      <c r="D26" s="165">
        <v>20</v>
      </c>
      <c r="E26" s="36" t="s">
        <v>1140</v>
      </c>
      <c r="F26" s="94">
        <v>0.3647578936441751</v>
      </c>
      <c r="G26" s="95">
        <v>4.0123368300859261E-2</v>
      </c>
      <c r="H26" s="95">
        <v>1.0942736809325252E-2</v>
      </c>
    </row>
    <row r="27" spans="2:8" x14ac:dyDescent="0.25">
      <c r="B27" s="337"/>
      <c r="C27" s="186" t="s">
        <v>368</v>
      </c>
      <c r="D27" s="165">
        <v>20</v>
      </c>
      <c r="E27" s="36" t="s">
        <v>1140</v>
      </c>
      <c r="F27" s="94">
        <v>0</v>
      </c>
      <c r="G27" s="95">
        <v>0</v>
      </c>
      <c r="H27" s="95">
        <v>0</v>
      </c>
    </row>
    <row r="28" spans="2:8" x14ac:dyDescent="0.25">
      <c r="B28" s="337"/>
      <c r="C28" s="186" t="s">
        <v>369</v>
      </c>
      <c r="D28" s="165">
        <v>20</v>
      </c>
      <c r="E28" s="36" t="s">
        <v>1140</v>
      </c>
      <c r="F28" s="94">
        <v>0.96563199297035407</v>
      </c>
      <c r="G28" s="95">
        <v>0.10621951922673897</v>
      </c>
      <c r="H28" s="95">
        <v>2.896895978911062E-2</v>
      </c>
    </row>
    <row r="29" spans="2:8" x14ac:dyDescent="0.25">
      <c r="B29" s="337"/>
      <c r="C29" s="186" t="s">
        <v>370</v>
      </c>
      <c r="D29" s="165">
        <v>2</v>
      </c>
      <c r="E29" s="186" t="s">
        <v>1141</v>
      </c>
      <c r="F29" s="94">
        <v>1788.8719488893826</v>
      </c>
      <c r="G29" s="95">
        <v>196.77591437783209</v>
      </c>
      <c r="H29" s="95">
        <v>53.666158466681473</v>
      </c>
    </row>
    <row r="30" spans="2:8" x14ac:dyDescent="0.25">
      <c r="B30" s="337"/>
      <c r="C30" s="186" t="s">
        <v>371</v>
      </c>
      <c r="D30" s="165">
        <v>2</v>
      </c>
      <c r="E30" s="186" t="s">
        <v>1141</v>
      </c>
      <c r="F30" s="94">
        <v>371.37765923321803</v>
      </c>
      <c r="G30" s="95">
        <v>40.851542515653996</v>
      </c>
      <c r="H30" s="95">
        <v>11.141329776996541</v>
      </c>
    </row>
    <row r="31" spans="2:8" x14ac:dyDescent="0.25">
      <c r="B31" s="337"/>
      <c r="C31" s="186" t="s">
        <v>372</v>
      </c>
      <c r="D31" s="165">
        <v>20</v>
      </c>
      <c r="E31" s="36" t="s">
        <v>1140</v>
      </c>
      <c r="F31" s="94">
        <v>110.64773312579969</v>
      </c>
      <c r="G31" s="95">
        <v>12.171250643837967</v>
      </c>
      <c r="H31" s="95">
        <v>3.31943199377399</v>
      </c>
    </row>
    <row r="32" spans="2:8" x14ac:dyDescent="0.25">
      <c r="B32" s="337"/>
      <c r="C32" s="186" t="s">
        <v>373</v>
      </c>
      <c r="D32" s="165">
        <v>20</v>
      </c>
      <c r="E32" s="36" t="s">
        <v>1140</v>
      </c>
      <c r="F32" s="94">
        <v>87.238024131931581</v>
      </c>
      <c r="G32" s="95">
        <v>9.5961826545124751</v>
      </c>
      <c r="H32" s="95">
        <v>2.6171407239579469</v>
      </c>
    </row>
    <row r="33" spans="2:8" x14ac:dyDescent="0.25">
      <c r="B33" s="337"/>
      <c r="C33" s="186" t="s">
        <v>374</v>
      </c>
      <c r="D33" s="165">
        <v>20</v>
      </c>
      <c r="E33" s="36" t="s">
        <v>1140</v>
      </c>
      <c r="F33" s="94">
        <v>1.8038686945045876</v>
      </c>
      <c r="G33" s="95">
        <v>0.19842555639550466</v>
      </c>
      <c r="H33" s="95">
        <v>5.4116060835137626E-2</v>
      </c>
    </row>
    <row r="34" spans="2:8" x14ac:dyDescent="0.25">
      <c r="B34" s="337"/>
      <c r="C34" s="186" t="s">
        <v>375</v>
      </c>
      <c r="D34" s="165">
        <v>2</v>
      </c>
      <c r="E34" s="186" t="s">
        <v>1141</v>
      </c>
      <c r="F34" s="94">
        <v>806.87553790775564</v>
      </c>
      <c r="G34" s="95">
        <v>88.756309169853125</v>
      </c>
      <c r="H34" s="95">
        <v>24.206266137232671</v>
      </c>
    </row>
    <row r="35" spans="2:8" x14ac:dyDescent="0.25">
      <c r="B35" s="337"/>
      <c r="C35" s="186" t="s">
        <v>376</v>
      </c>
      <c r="D35" s="165">
        <v>3</v>
      </c>
      <c r="E35" s="186" t="s">
        <v>381</v>
      </c>
      <c r="F35" s="94">
        <v>28.134151752562133</v>
      </c>
      <c r="G35" s="95">
        <v>3.0947566927818349</v>
      </c>
      <c r="H35" s="95">
        <v>0.84402455257686404</v>
      </c>
    </row>
    <row r="36" spans="2:8" x14ac:dyDescent="0.25">
      <c r="B36" s="337"/>
      <c r="C36" s="186" t="s">
        <v>377</v>
      </c>
      <c r="D36" s="215">
        <v>23</v>
      </c>
      <c r="E36" s="36" t="s">
        <v>1137</v>
      </c>
      <c r="F36" s="94">
        <v>493.07835167728308</v>
      </c>
      <c r="G36" s="95">
        <v>54.238618684501141</v>
      </c>
      <c r="H36" s="95">
        <v>14.792350550318492</v>
      </c>
    </row>
    <row r="37" spans="2:8" x14ac:dyDescent="0.25">
      <c r="B37" s="337"/>
      <c r="C37" s="186" t="s">
        <v>378</v>
      </c>
      <c r="D37" s="215">
        <v>23</v>
      </c>
      <c r="E37" s="36" t="s">
        <v>1137</v>
      </c>
      <c r="F37" s="94">
        <v>311.10456252862417</v>
      </c>
      <c r="G37" s="95">
        <v>34.221501878148665</v>
      </c>
      <c r="H37" s="95">
        <v>9.3331368758587256</v>
      </c>
    </row>
    <row r="38" spans="2:8" x14ac:dyDescent="0.25">
      <c r="B38" s="337"/>
      <c r="C38" s="186" t="s">
        <v>379</v>
      </c>
      <c r="D38" s="165">
        <v>2</v>
      </c>
      <c r="E38" s="186" t="s">
        <v>1141</v>
      </c>
      <c r="F38" s="94">
        <v>706.63006662980501</v>
      </c>
      <c r="G38" s="95">
        <v>77.729307329278555</v>
      </c>
      <c r="H38" s="95">
        <v>21.198901998894147</v>
      </c>
    </row>
    <row r="39" spans="2:8" x14ac:dyDescent="0.25">
      <c r="B39" s="337"/>
      <c r="C39" s="186" t="s">
        <v>380</v>
      </c>
      <c r="D39" s="215">
        <v>23</v>
      </c>
      <c r="E39" s="36" t="s">
        <v>1137</v>
      </c>
      <c r="F39" s="94">
        <v>653.26833540877931</v>
      </c>
      <c r="G39" s="95">
        <v>71.859516894965722</v>
      </c>
      <c r="H39" s="95">
        <v>19.598050062263376</v>
      </c>
    </row>
    <row r="40" spans="2:8" x14ac:dyDescent="0.25">
      <c r="B40" s="337"/>
      <c r="C40" s="97" t="s">
        <v>381</v>
      </c>
      <c r="D40" s="216">
        <v>3</v>
      </c>
      <c r="E40" s="97" t="s">
        <v>381</v>
      </c>
      <c r="F40" s="98">
        <v>452.86115333584371</v>
      </c>
      <c r="G40" s="99">
        <v>49.814726866942806</v>
      </c>
      <c r="H40" s="99">
        <v>13.585834600075311</v>
      </c>
    </row>
    <row r="41" spans="2:8" x14ac:dyDescent="0.25">
      <c r="B41" s="337"/>
      <c r="C41" s="186" t="s">
        <v>382</v>
      </c>
      <c r="D41" s="165">
        <v>20</v>
      </c>
      <c r="E41" s="36" t="s">
        <v>1140</v>
      </c>
      <c r="F41" s="94">
        <v>31.508289285074756</v>
      </c>
      <c r="G41" s="95">
        <v>3.4659118213582238</v>
      </c>
      <c r="H41" s="95">
        <v>0.94524867855224259</v>
      </c>
    </row>
    <row r="42" spans="2:8" x14ac:dyDescent="0.25">
      <c r="B42" s="337"/>
      <c r="C42" s="186" t="s">
        <v>383</v>
      </c>
      <c r="D42" s="165">
        <v>20</v>
      </c>
      <c r="E42" s="36" t="s">
        <v>1140</v>
      </c>
      <c r="F42" s="94">
        <v>0.28926921198876654</v>
      </c>
      <c r="G42" s="95">
        <v>3.1819613318764317E-2</v>
      </c>
      <c r="H42" s="95">
        <v>8.6780763596629954E-3</v>
      </c>
    </row>
    <row r="43" spans="2:8" x14ac:dyDescent="0.25">
      <c r="B43" s="337"/>
      <c r="C43" s="186" t="s">
        <v>384</v>
      </c>
      <c r="D43" s="165">
        <v>20</v>
      </c>
      <c r="E43" s="36" t="s">
        <v>1140</v>
      </c>
      <c r="F43" s="94">
        <v>0.52150269812325223</v>
      </c>
      <c r="G43" s="95">
        <v>5.7365296793557743E-2</v>
      </c>
      <c r="H43" s="95">
        <v>1.5645080943697563E-2</v>
      </c>
    </row>
    <row r="44" spans="2:8" x14ac:dyDescent="0.25">
      <c r="B44" s="337"/>
      <c r="C44" s="186" t="s">
        <v>385</v>
      </c>
      <c r="D44" s="215">
        <v>22</v>
      </c>
      <c r="E44" s="36" t="s">
        <v>1138</v>
      </c>
      <c r="F44" s="94">
        <v>1434.5222205544501</v>
      </c>
      <c r="G44" s="95">
        <v>157.79744426098952</v>
      </c>
      <c r="H44" s="95">
        <v>43.035666616633506</v>
      </c>
    </row>
    <row r="45" spans="2:8" x14ac:dyDescent="0.25">
      <c r="B45" s="337"/>
      <c r="C45" s="186" t="s">
        <v>386</v>
      </c>
      <c r="D45" s="165">
        <v>20</v>
      </c>
      <c r="E45" s="36" t="s">
        <v>1140</v>
      </c>
      <c r="F45" s="94">
        <v>0.28834269116386757</v>
      </c>
      <c r="G45" s="95">
        <v>3.171769602802544E-2</v>
      </c>
      <c r="H45" s="95">
        <v>8.6502807349160271E-3</v>
      </c>
    </row>
    <row r="46" spans="2:8" x14ac:dyDescent="0.25">
      <c r="B46" s="337"/>
      <c r="C46" s="186" t="s">
        <v>387</v>
      </c>
      <c r="D46" s="165">
        <v>3</v>
      </c>
      <c r="E46" s="186" t="s">
        <v>381</v>
      </c>
      <c r="F46" s="94">
        <v>359.81807675407998</v>
      </c>
      <c r="G46" s="95">
        <v>39.579988442948803</v>
      </c>
      <c r="H46" s="95">
        <v>10.794542302622398</v>
      </c>
    </row>
    <row r="47" spans="2:8" x14ac:dyDescent="0.25">
      <c r="B47" s="337"/>
      <c r="C47" s="186" t="s">
        <v>388</v>
      </c>
      <c r="D47" s="165">
        <v>20</v>
      </c>
      <c r="E47" s="36" t="s">
        <v>1140</v>
      </c>
      <c r="F47" s="94">
        <v>2.719594472189363</v>
      </c>
      <c r="G47" s="95">
        <v>0.29915539194082996</v>
      </c>
      <c r="H47" s="95">
        <v>8.1587834165680884E-2</v>
      </c>
    </row>
    <row r="48" spans="2:8" x14ac:dyDescent="0.25">
      <c r="B48" s="337"/>
      <c r="C48" s="186" t="s">
        <v>389</v>
      </c>
      <c r="D48" s="165">
        <v>20</v>
      </c>
      <c r="E48" s="36" t="s">
        <v>1140</v>
      </c>
      <c r="F48" s="94">
        <v>1.5517010347881306</v>
      </c>
      <c r="G48" s="95">
        <v>0.17068711382669441</v>
      </c>
      <c r="H48" s="95">
        <v>4.6551031043643921E-2</v>
      </c>
    </row>
    <row r="49" spans="2:9" x14ac:dyDescent="0.25">
      <c r="B49" s="337"/>
      <c r="C49" s="186" t="s">
        <v>390</v>
      </c>
      <c r="D49" s="215">
        <v>23</v>
      </c>
      <c r="E49" s="36" t="s">
        <v>1137</v>
      </c>
      <c r="F49" s="94">
        <v>687.3785313593271</v>
      </c>
      <c r="G49" s="95">
        <v>75.611638449525998</v>
      </c>
      <c r="H49" s="95">
        <v>20.621355940779814</v>
      </c>
    </row>
    <row r="50" spans="2:9" x14ac:dyDescent="0.25">
      <c r="B50" s="337"/>
      <c r="C50" s="186" t="s">
        <v>391</v>
      </c>
      <c r="D50" s="165">
        <v>2</v>
      </c>
      <c r="E50" s="186" t="s">
        <v>1141</v>
      </c>
      <c r="F50" s="94">
        <v>1633.4411032362557</v>
      </c>
      <c r="G50" s="95">
        <v>179.67852135598815</v>
      </c>
      <c r="H50" s="95">
        <v>49.003233097087673</v>
      </c>
    </row>
    <row r="51" spans="2:9" x14ac:dyDescent="0.25">
      <c r="B51" s="337"/>
      <c r="C51" s="186" t="s">
        <v>392</v>
      </c>
      <c r="D51" s="165">
        <v>2</v>
      </c>
      <c r="E51" s="186" t="s">
        <v>1141</v>
      </c>
      <c r="F51" s="94">
        <v>442.30605681324261</v>
      </c>
      <c r="G51" s="95">
        <v>48.653666249456684</v>
      </c>
      <c r="H51" s="95">
        <v>13.269181704397274</v>
      </c>
    </row>
    <row r="52" spans="2:9" x14ac:dyDescent="0.25">
      <c r="B52" s="337"/>
      <c r="C52" s="186" t="s">
        <v>393</v>
      </c>
      <c r="D52" s="165">
        <v>1</v>
      </c>
      <c r="E52" s="186" t="s">
        <v>1142</v>
      </c>
      <c r="F52" s="94">
        <v>414.94355767203558</v>
      </c>
      <c r="G52" s="95">
        <v>45.643791343923922</v>
      </c>
      <c r="H52" s="95">
        <v>12.448306730161068</v>
      </c>
    </row>
    <row r="53" spans="2:9" x14ac:dyDescent="0.25">
      <c r="B53" s="337"/>
      <c r="C53" s="186" t="s">
        <v>394</v>
      </c>
      <c r="D53" s="165">
        <v>20</v>
      </c>
      <c r="E53" s="36" t="s">
        <v>1140</v>
      </c>
      <c r="F53" s="94">
        <v>1.6940778060955308</v>
      </c>
      <c r="G53" s="95">
        <v>0.1863485586705084</v>
      </c>
      <c r="H53" s="95">
        <v>5.0822334182865921E-2</v>
      </c>
    </row>
    <row r="54" spans="2:9" x14ac:dyDescent="0.25">
      <c r="B54" s="337"/>
      <c r="C54" s="186" t="s">
        <v>395</v>
      </c>
      <c r="D54" s="165">
        <v>20</v>
      </c>
      <c r="E54" s="36" t="s">
        <v>1140</v>
      </c>
      <c r="F54" s="94">
        <v>1.1151672913607138</v>
      </c>
      <c r="G54" s="95">
        <v>0.12266840204967852</v>
      </c>
      <c r="H54" s="95">
        <v>3.3455018740821407E-2</v>
      </c>
    </row>
    <row r="55" spans="2:9" x14ac:dyDescent="0.25">
      <c r="B55" s="337"/>
      <c r="C55" s="186" t="s">
        <v>396</v>
      </c>
      <c r="D55" s="165">
        <v>20</v>
      </c>
      <c r="E55" s="36" t="s">
        <v>1140</v>
      </c>
      <c r="F55" s="94">
        <v>1.053672687446676</v>
      </c>
      <c r="G55" s="95">
        <v>0.11590399561913436</v>
      </c>
      <c r="H55" s="95">
        <v>3.1610180623400277E-2</v>
      </c>
    </row>
    <row r="56" spans="2:9" x14ac:dyDescent="0.25">
      <c r="B56" s="337"/>
      <c r="C56" s="96" t="s">
        <v>397</v>
      </c>
      <c r="D56" s="217">
        <v>2</v>
      </c>
      <c r="E56" s="186" t="s">
        <v>1141</v>
      </c>
      <c r="F56" s="94">
        <v>3609.530243004835</v>
      </c>
      <c r="G56" s="95">
        <v>397.04832673053193</v>
      </c>
      <c r="H56" s="95">
        <v>108.28590729014506</v>
      </c>
    </row>
    <row r="57" spans="2:9" x14ac:dyDescent="0.25">
      <c r="B57" s="337"/>
      <c r="C57" s="97" t="s">
        <v>398</v>
      </c>
      <c r="D57" s="216">
        <v>2</v>
      </c>
      <c r="E57" s="97" t="s">
        <v>1141</v>
      </c>
      <c r="F57" s="98">
        <v>6449.0531561747957</v>
      </c>
      <c r="G57" s="99">
        <v>709.39584717922764</v>
      </c>
      <c r="H57" s="99">
        <v>193.47159468524387</v>
      </c>
      <c r="I57" s="100"/>
    </row>
    <row r="58" spans="2:9" x14ac:dyDescent="0.25">
      <c r="B58" s="337"/>
      <c r="C58" s="97" t="s">
        <v>399</v>
      </c>
      <c r="D58" s="216">
        <v>2</v>
      </c>
      <c r="E58" s="97" t="s">
        <v>1141</v>
      </c>
      <c r="F58" s="98">
        <v>2408.6779833706182</v>
      </c>
      <c r="G58" s="99">
        <v>264.954578170768</v>
      </c>
      <c r="H58" s="99">
        <v>72.260339501118537</v>
      </c>
    </row>
    <row r="59" spans="2:9" x14ac:dyDescent="0.25">
      <c r="B59" s="337"/>
      <c r="C59" s="186" t="s">
        <v>400</v>
      </c>
      <c r="D59" s="165">
        <v>20</v>
      </c>
      <c r="E59" s="36" t="s">
        <v>1140</v>
      </c>
      <c r="F59" s="94">
        <v>1.3080361138068735</v>
      </c>
      <c r="G59" s="95">
        <v>0.14388397251875612</v>
      </c>
      <c r="H59" s="95">
        <v>3.9241083414206207E-2</v>
      </c>
    </row>
    <row r="60" spans="2:9" x14ac:dyDescent="0.25">
      <c r="B60" s="337"/>
      <c r="C60" s="186" t="s">
        <v>401</v>
      </c>
      <c r="D60" s="165">
        <v>20</v>
      </c>
      <c r="E60" s="36" t="s">
        <v>1140</v>
      </c>
      <c r="F60" s="94">
        <v>2.7187048744583069</v>
      </c>
      <c r="G60" s="95">
        <v>0.29905753619041375</v>
      </c>
      <c r="H60" s="95">
        <v>8.1561146233749202E-2</v>
      </c>
    </row>
    <row r="61" spans="2:9" x14ac:dyDescent="0.25">
      <c r="B61" s="337"/>
      <c r="C61" s="186" t="s">
        <v>402</v>
      </c>
      <c r="D61" s="165">
        <v>20</v>
      </c>
      <c r="E61" s="36" t="s">
        <v>1140</v>
      </c>
      <c r="F61" s="94">
        <v>2.989089885212477</v>
      </c>
      <c r="G61" s="95">
        <v>0.32879988737337251</v>
      </c>
      <c r="H61" s="95">
        <v>8.9672696556374304E-2</v>
      </c>
    </row>
    <row r="62" spans="2:9" x14ac:dyDescent="0.25">
      <c r="B62" s="337"/>
      <c r="C62" s="186" t="s">
        <v>403</v>
      </c>
      <c r="D62" s="165">
        <v>20</v>
      </c>
      <c r="E62" s="36" t="s">
        <v>1140</v>
      </c>
      <c r="F62" s="94">
        <v>123.79685890970373</v>
      </c>
      <c r="G62" s="95">
        <v>13.61765448006741</v>
      </c>
      <c r="H62" s="95">
        <v>3.7139057672911111</v>
      </c>
    </row>
    <row r="63" spans="2:9" x14ac:dyDescent="0.25">
      <c r="B63" s="337"/>
      <c r="C63" s="186" t="s">
        <v>404</v>
      </c>
      <c r="D63" s="165">
        <v>1</v>
      </c>
      <c r="E63" s="186" t="s">
        <v>1142</v>
      </c>
      <c r="F63" s="94">
        <v>1603.1641516970974</v>
      </c>
      <c r="G63" s="95">
        <v>176.34805668668074</v>
      </c>
      <c r="H63" s="95">
        <v>48.094924550912921</v>
      </c>
    </row>
    <row r="64" spans="2:9" x14ac:dyDescent="0.25">
      <c r="B64" s="337"/>
      <c r="C64" s="186" t="s">
        <v>405</v>
      </c>
      <c r="D64" s="165">
        <v>20</v>
      </c>
      <c r="E64" s="36" t="s">
        <v>1140</v>
      </c>
      <c r="F64" s="94">
        <v>14.943636081228957</v>
      </c>
      <c r="G64" s="95">
        <v>1.6437999689351852</v>
      </c>
      <c r="H64" s="95">
        <v>0.44830908243686868</v>
      </c>
    </row>
    <row r="65" spans="2:8" x14ac:dyDescent="0.25">
      <c r="B65" s="337"/>
      <c r="C65" s="186" t="s">
        <v>406</v>
      </c>
      <c r="D65" s="165">
        <v>20</v>
      </c>
      <c r="E65" s="36" t="s">
        <v>1140</v>
      </c>
      <c r="F65" s="94">
        <v>91.815867582016352</v>
      </c>
      <c r="G65" s="95">
        <v>10.0997454340218</v>
      </c>
      <c r="H65" s="95">
        <v>2.7544760274604911</v>
      </c>
    </row>
    <row r="66" spans="2:8" x14ac:dyDescent="0.25">
      <c r="B66" s="337"/>
      <c r="C66" s="186" t="s">
        <v>407</v>
      </c>
      <c r="D66" s="165">
        <v>20</v>
      </c>
      <c r="E66" s="36" t="s">
        <v>1140</v>
      </c>
      <c r="F66" s="94">
        <v>10.872375820752056</v>
      </c>
      <c r="G66" s="95">
        <v>1.1959613402827263</v>
      </c>
      <c r="H66" s="95">
        <v>0.32617127462256168</v>
      </c>
    </row>
    <row r="67" spans="2:8" x14ac:dyDescent="0.25">
      <c r="B67" s="337"/>
      <c r="C67" s="186" t="s">
        <v>408</v>
      </c>
      <c r="D67" s="165">
        <v>20</v>
      </c>
      <c r="E67" s="36" t="s">
        <v>1140</v>
      </c>
      <c r="F67" s="94">
        <v>1.5792867335762348</v>
      </c>
      <c r="G67" s="95">
        <v>0.17372154069338586</v>
      </c>
      <c r="H67" s="95">
        <v>4.7378602007287052E-2</v>
      </c>
    </row>
    <row r="68" spans="2:8" x14ac:dyDescent="0.25">
      <c r="B68" s="337"/>
      <c r="C68" s="186" t="s">
        <v>409</v>
      </c>
      <c r="D68" s="165">
        <v>20</v>
      </c>
      <c r="E68" s="36" t="s">
        <v>1140</v>
      </c>
      <c r="F68" s="94">
        <v>3.2726234307507784</v>
      </c>
      <c r="G68" s="95">
        <v>0.35998857738258561</v>
      </c>
      <c r="H68" s="95">
        <v>9.8178702922523342E-2</v>
      </c>
    </row>
    <row r="69" spans="2:8" x14ac:dyDescent="0.25">
      <c r="B69" s="337"/>
      <c r="C69" s="97" t="s">
        <v>410</v>
      </c>
      <c r="D69" s="216">
        <v>1</v>
      </c>
      <c r="E69" s="97" t="s">
        <v>1142</v>
      </c>
      <c r="F69" s="98">
        <v>1361.7072153134402</v>
      </c>
      <c r="G69" s="99">
        <v>149.78779368447843</v>
      </c>
      <c r="H69" s="99">
        <v>40.851216459403204</v>
      </c>
    </row>
    <row r="70" spans="2:8" ht="15" customHeight="1" x14ac:dyDescent="0.25">
      <c r="B70" s="336" t="s">
        <v>411</v>
      </c>
      <c r="C70" s="186" t="s">
        <v>412</v>
      </c>
      <c r="D70" s="165">
        <v>4</v>
      </c>
      <c r="E70" s="186" t="s">
        <v>1143</v>
      </c>
      <c r="F70" s="94">
        <v>120.72649202179907</v>
      </c>
      <c r="G70" s="102">
        <v>13.279914122397896</v>
      </c>
      <c r="H70" s="103">
        <v>3.6217947606539713</v>
      </c>
    </row>
    <row r="71" spans="2:8" ht="15" customHeight="1" x14ac:dyDescent="0.25">
      <c r="B71" s="336"/>
      <c r="C71" s="186" t="s">
        <v>413</v>
      </c>
      <c r="D71" s="165">
        <v>4</v>
      </c>
      <c r="E71" s="186" t="s">
        <v>1143</v>
      </c>
      <c r="F71" s="94">
        <v>251.56787790655596</v>
      </c>
      <c r="G71" s="104">
        <v>27.672466569721163</v>
      </c>
      <c r="H71" s="103">
        <v>7.5470363371966807</v>
      </c>
    </row>
    <row r="72" spans="2:8" ht="15" customHeight="1" x14ac:dyDescent="0.25">
      <c r="B72" s="336"/>
      <c r="C72" s="186" t="s">
        <v>414</v>
      </c>
      <c r="D72" s="165">
        <v>4</v>
      </c>
      <c r="E72" s="186" t="s">
        <v>1143</v>
      </c>
      <c r="F72" s="94">
        <v>119.09937651297479</v>
      </c>
      <c r="G72" s="102">
        <v>13.100931416427228</v>
      </c>
      <c r="H72" s="103">
        <v>3.5729812953892433</v>
      </c>
    </row>
    <row r="73" spans="2:8" ht="15" customHeight="1" x14ac:dyDescent="0.25">
      <c r="B73" s="336"/>
      <c r="C73" s="186" t="s">
        <v>415</v>
      </c>
      <c r="D73" s="165">
        <v>4</v>
      </c>
      <c r="E73" s="186" t="s">
        <v>1143</v>
      </c>
      <c r="F73" s="94">
        <v>97.167559449637736</v>
      </c>
      <c r="G73" s="102">
        <v>10.688431539460153</v>
      </c>
      <c r="H73" s="103">
        <v>2.9150267834891319</v>
      </c>
    </row>
    <row r="74" spans="2:8" ht="15" customHeight="1" x14ac:dyDescent="0.25">
      <c r="B74" s="336"/>
      <c r="C74" s="186" t="s">
        <v>416</v>
      </c>
      <c r="D74" s="165">
        <v>24</v>
      </c>
      <c r="E74" s="186" t="s">
        <v>1144</v>
      </c>
      <c r="F74" s="94">
        <v>18.474522449685228</v>
      </c>
      <c r="G74" s="102">
        <v>2.0321974694653751</v>
      </c>
      <c r="H74" s="103">
        <v>0.5542356734905568</v>
      </c>
    </row>
    <row r="75" spans="2:8" ht="15" customHeight="1" x14ac:dyDescent="0.25">
      <c r="B75" s="336"/>
      <c r="C75" s="186" t="s">
        <v>417</v>
      </c>
      <c r="D75" s="165">
        <v>4</v>
      </c>
      <c r="E75" s="186" t="s">
        <v>1143</v>
      </c>
      <c r="F75" s="94">
        <v>273.69823118701572</v>
      </c>
      <c r="G75" s="102">
        <v>30.106805430571725</v>
      </c>
      <c r="H75" s="103">
        <v>8.210946935610469</v>
      </c>
    </row>
    <row r="76" spans="2:8" ht="15" customHeight="1" x14ac:dyDescent="0.25">
      <c r="B76" s="336"/>
      <c r="C76" s="186" t="s">
        <v>418</v>
      </c>
      <c r="D76" s="165">
        <v>5</v>
      </c>
      <c r="E76" s="186" t="s">
        <v>424</v>
      </c>
      <c r="F76" s="94">
        <v>242.61977512670296</v>
      </c>
      <c r="G76" s="102">
        <v>26.688175263937325</v>
      </c>
      <c r="H76" s="103">
        <v>7.2785932538010885</v>
      </c>
    </row>
    <row r="77" spans="2:8" ht="15" customHeight="1" x14ac:dyDescent="0.25">
      <c r="B77" s="336"/>
      <c r="C77" s="186" t="s">
        <v>419</v>
      </c>
      <c r="D77" s="165">
        <v>5</v>
      </c>
      <c r="E77" s="186" t="s">
        <v>424</v>
      </c>
      <c r="F77" s="94">
        <v>640.35788075916582</v>
      </c>
      <c r="G77" s="105">
        <v>70.439366883508242</v>
      </c>
      <c r="H77" s="103">
        <v>19.210736422774971</v>
      </c>
    </row>
    <row r="78" spans="2:8" ht="15" customHeight="1" x14ac:dyDescent="0.25">
      <c r="B78" s="336"/>
      <c r="C78" s="186" t="s">
        <v>420</v>
      </c>
      <c r="D78" s="165">
        <v>5</v>
      </c>
      <c r="E78" s="186" t="s">
        <v>424</v>
      </c>
      <c r="F78" s="94">
        <v>1143.5498665670586</v>
      </c>
      <c r="G78" s="102">
        <v>125.79048532237647</v>
      </c>
      <c r="H78" s="103">
        <v>34.306495997011758</v>
      </c>
    </row>
    <row r="79" spans="2:8" ht="15" customHeight="1" x14ac:dyDescent="0.25">
      <c r="B79" s="336"/>
      <c r="C79" s="186" t="s">
        <v>421</v>
      </c>
      <c r="D79" s="165">
        <v>5</v>
      </c>
      <c r="E79" s="186" t="s">
        <v>424</v>
      </c>
      <c r="F79" s="94">
        <v>575.23312557494728</v>
      </c>
      <c r="G79" s="104">
        <v>63.275643813244209</v>
      </c>
      <c r="H79" s="103">
        <v>17.256993767248417</v>
      </c>
    </row>
    <row r="80" spans="2:8" ht="15" customHeight="1" x14ac:dyDescent="0.25">
      <c r="B80" s="336"/>
      <c r="C80" s="186" t="s">
        <v>422</v>
      </c>
      <c r="D80" s="165">
        <v>5</v>
      </c>
      <c r="E80" s="186" t="s">
        <v>424</v>
      </c>
      <c r="F80" s="94">
        <v>451.91033720461445</v>
      </c>
      <c r="G80" s="102">
        <v>49.710137092507594</v>
      </c>
      <c r="H80" s="103">
        <v>13.557310116138435</v>
      </c>
    </row>
    <row r="81" spans="2:8" ht="15" customHeight="1" x14ac:dyDescent="0.25">
      <c r="B81" s="336"/>
      <c r="C81" s="186" t="s">
        <v>423</v>
      </c>
      <c r="D81" s="165">
        <v>5</v>
      </c>
      <c r="E81" s="186" t="s">
        <v>424</v>
      </c>
      <c r="F81" s="94">
        <v>158.13995433344186</v>
      </c>
      <c r="G81" s="102">
        <v>17.395394976678606</v>
      </c>
      <c r="H81" s="103">
        <v>4.7441986300032557</v>
      </c>
    </row>
    <row r="82" spans="2:8" ht="15" customHeight="1" x14ac:dyDescent="0.25">
      <c r="B82" s="336"/>
      <c r="C82" s="97" t="s">
        <v>424</v>
      </c>
      <c r="D82" s="216">
        <v>5</v>
      </c>
      <c r="E82" s="97" t="s">
        <v>424</v>
      </c>
      <c r="F82" s="98">
        <v>2203.9537384045707</v>
      </c>
      <c r="G82" s="139">
        <v>242.43491122450277</v>
      </c>
      <c r="H82" s="140">
        <v>66.118612152137104</v>
      </c>
    </row>
    <row r="83" spans="2:8" ht="15" customHeight="1" x14ac:dyDescent="0.25">
      <c r="B83" s="336"/>
      <c r="C83" s="186" t="s">
        <v>425</v>
      </c>
      <c r="D83" s="165">
        <v>4</v>
      </c>
      <c r="E83" s="186" t="s">
        <v>1143</v>
      </c>
      <c r="F83" s="94">
        <v>11.80963443783231</v>
      </c>
      <c r="G83" s="102">
        <v>1.2990597881615542</v>
      </c>
      <c r="H83" s="103">
        <v>0.35428903313496929</v>
      </c>
    </row>
    <row r="84" spans="2:8" ht="15" customHeight="1" x14ac:dyDescent="0.25">
      <c r="B84" s="330" t="s">
        <v>426</v>
      </c>
      <c r="C84" s="186" t="s">
        <v>427</v>
      </c>
      <c r="D84" s="165">
        <v>7</v>
      </c>
      <c r="E84" s="165" t="s">
        <v>1145</v>
      </c>
      <c r="F84" s="106">
        <v>319.35681001587358</v>
      </c>
      <c r="G84" s="107">
        <v>35.129249101746097</v>
      </c>
      <c r="H84" s="108">
        <v>9.5807043004762065</v>
      </c>
    </row>
    <row r="85" spans="2:8" ht="15" customHeight="1" x14ac:dyDescent="0.25">
      <c r="B85" s="331"/>
      <c r="C85" s="186" t="s">
        <v>428</v>
      </c>
      <c r="D85" s="165">
        <v>7</v>
      </c>
      <c r="E85" s="165" t="s">
        <v>1145</v>
      </c>
      <c r="F85" s="106">
        <v>794.86666493924486</v>
      </c>
      <c r="G85" s="95">
        <v>87.435333143316939</v>
      </c>
      <c r="H85" s="108">
        <v>23.845999948177344</v>
      </c>
    </row>
    <row r="86" spans="2:8" ht="15" customHeight="1" x14ac:dyDescent="0.25">
      <c r="B86" s="331"/>
      <c r="C86" s="186" t="s">
        <v>429</v>
      </c>
      <c r="D86" s="165">
        <v>7</v>
      </c>
      <c r="E86" s="165" t="s">
        <v>1145</v>
      </c>
      <c r="F86" s="106">
        <v>690.97916104308047</v>
      </c>
      <c r="G86" s="107">
        <v>76.007707714738842</v>
      </c>
      <c r="H86" s="108">
        <v>20.729374831292411</v>
      </c>
    </row>
    <row r="87" spans="2:8" ht="15" customHeight="1" x14ac:dyDescent="0.25">
      <c r="B87" s="331"/>
      <c r="C87" s="186" t="s">
        <v>430</v>
      </c>
      <c r="D87" s="165">
        <v>7</v>
      </c>
      <c r="E87" s="165" t="s">
        <v>1145</v>
      </c>
      <c r="F87" s="106">
        <v>764.46572246904293</v>
      </c>
      <c r="G87" s="107">
        <v>84.09122947159473</v>
      </c>
      <c r="H87" s="108">
        <v>22.933971674071287</v>
      </c>
    </row>
    <row r="88" spans="2:8" ht="15" customHeight="1" x14ac:dyDescent="0.25">
      <c r="B88" s="331"/>
      <c r="C88" s="186" t="s">
        <v>431</v>
      </c>
      <c r="D88" s="165">
        <v>7</v>
      </c>
      <c r="E88" s="165" t="s">
        <v>1145</v>
      </c>
      <c r="F88" s="106">
        <v>325.72322226960586</v>
      </c>
      <c r="G88" s="107">
        <v>35.829554449656641</v>
      </c>
      <c r="H88" s="108">
        <v>9.7716966680881736</v>
      </c>
    </row>
    <row r="89" spans="2:8" ht="15" customHeight="1" x14ac:dyDescent="0.25">
      <c r="B89" s="331"/>
      <c r="C89" s="186" t="s">
        <v>432</v>
      </c>
      <c r="D89" s="165">
        <v>7</v>
      </c>
      <c r="E89" s="165" t="s">
        <v>1145</v>
      </c>
      <c r="F89" s="106">
        <v>568.6944394964305</v>
      </c>
      <c r="G89" s="107">
        <v>62.556388344607356</v>
      </c>
      <c r="H89" s="108">
        <v>17.060833184892914</v>
      </c>
    </row>
    <row r="90" spans="2:8" ht="15" customHeight="1" x14ac:dyDescent="0.25">
      <c r="B90" s="331"/>
      <c r="C90" s="186" t="s">
        <v>433</v>
      </c>
      <c r="D90" s="165">
        <v>7</v>
      </c>
      <c r="E90" s="165" t="s">
        <v>1145</v>
      </c>
      <c r="F90" s="106">
        <v>48.509055581620458</v>
      </c>
      <c r="G90" s="107">
        <v>5.3359961139782506</v>
      </c>
      <c r="H90" s="108">
        <v>1.4552716674486137</v>
      </c>
    </row>
    <row r="91" spans="2:8" ht="15" customHeight="1" x14ac:dyDescent="0.25">
      <c r="B91" s="331"/>
      <c r="C91" s="186" t="s">
        <v>434</v>
      </c>
      <c r="D91" s="165">
        <v>7</v>
      </c>
      <c r="E91" s="165" t="s">
        <v>1145</v>
      </c>
      <c r="F91" s="106">
        <v>987.54653902995813</v>
      </c>
      <c r="G91" s="109">
        <v>108.63011929329539</v>
      </c>
      <c r="H91" s="108">
        <v>29.62639617089874</v>
      </c>
    </row>
    <row r="92" spans="2:8" ht="15" customHeight="1" x14ac:dyDescent="0.25">
      <c r="B92" s="331"/>
      <c r="C92" s="186" t="s">
        <v>435</v>
      </c>
      <c r="D92" s="165">
        <v>7</v>
      </c>
      <c r="E92" s="165" t="s">
        <v>1145</v>
      </c>
      <c r="F92" s="106">
        <v>881.74669014061146</v>
      </c>
      <c r="G92" s="107">
        <v>96.992135915467273</v>
      </c>
      <c r="H92" s="108">
        <v>26.452400704218345</v>
      </c>
    </row>
    <row r="93" spans="2:8" ht="15" customHeight="1" x14ac:dyDescent="0.25">
      <c r="B93" s="331"/>
      <c r="C93" s="186" t="s">
        <v>436</v>
      </c>
      <c r="D93" s="165">
        <v>7</v>
      </c>
      <c r="E93" s="165" t="s">
        <v>1145</v>
      </c>
      <c r="F93" s="106">
        <v>458.73694378060935</v>
      </c>
      <c r="G93" s="95">
        <v>50.461063815867043</v>
      </c>
      <c r="H93" s="108">
        <v>13.762108313418283</v>
      </c>
    </row>
    <row r="94" spans="2:8" ht="15" customHeight="1" x14ac:dyDescent="0.25">
      <c r="B94" s="331"/>
      <c r="C94" s="186" t="s">
        <v>437</v>
      </c>
      <c r="D94" s="165">
        <v>7</v>
      </c>
      <c r="E94" s="165" t="s">
        <v>1145</v>
      </c>
      <c r="F94" s="106">
        <v>0</v>
      </c>
      <c r="G94" s="107">
        <v>0</v>
      </c>
      <c r="H94" s="108">
        <v>0</v>
      </c>
    </row>
    <row r="95" spans="2:8" ht="15" customHeight="1" x14ac:dyDescent="0.25">
      <c r="B95" s="331"/>
      <c r="C95" s="186" t="s">
        <v>438</v>
      </c>
      <c r="D95" s="165">
        <v>7</v>
      </c>
      <c r="E95" s="165" t="s">
        <v>1145</v>
      </c>
      <c r="F95" s="106">
        <v>1406.3878931515621</v>
      </c>
      <c r="G95" s="107">
        <v>154.70266824667186</v>
      </c>
      <c r="H95" s="108">
        <v>42.191636794546859</v>
      </c>
    </row>
    <row r="96" spans="2:8" ht="15" customHeight="1" x14ac:dyDescent="0.25">
      <c r="B96" s="331"/>
      <c r="C96" s="186" t="s">
        <v>439</v>
      </c>
      <c r="D96" s="165">
        <v>7</v>
      </c>
      <c r="E96" s="165" t="s">
        <v>1145</v>
      </c>
      <c r="F96" s="106">
        <v>1997.3450446925854</v>
      </c>
      <c r="G96" s="107">
        <v>219.70795491618441</v>
      </c>
      <c r="H96" s="108">
        <v>59.920351340777557</v>
      </c>
    </row>
    <row r="97" spans="2:8" ht="15" customHeight="1" x14ac:dyDescent="0.25">
      <c r="B97" s="331"/>
      <c r="C97" s="186" t="s">
        <v>440</v>
      </c>
      <c r="D97" s="165">
        <v>7</v>
      </c>
      <c r="E97" s="165" t="s">
        <v>1145</v>
      </c>
      <c r="F97" s="106">
        <v>320.73349636832597</v>
      </c>
      <c r="G97" s="107">
        <v>35.280684600515869</v>
      </c>
      <c r="H97" s="108">
        <v>9.6220048910497802</v>
      </c>
    </row>
    <row r="98" spans="2:8" ht="15" customHeight="1" x14ac:dyDescent="0.25">
      <c r="B98" s="331"/>
      <c r="C98" s="186" t="s">
        <v>441</v>
      </c>
      <c r="D98" s="165">
        <v>7</v>
      </c>
      <c r="E98" s="165" t="s">
        <v>1145</v>
      </c>
      <c r="F98" s="106">
        <v>2132.8160575986431</v>
      </c>
      <c r="G98" s="110">
        <v>234.60976633585079</v>
      </c>
      <c r="H98" s="110">
        <v>63.984481727959299</v>
      </c>
    </row>
    <row r="99" spans="2:8" ht="15" customHeight="1" x14ac:dyDescent="0.25">
      <c r="B99" s="331"/>
      <c r="C99" s="186" t="s">
        <v>442</v>
      </c>
      <c r="D99" s="165">
        <v>7</v>
      </c>
      <c r="E99" s="165" t="s">
        <v>1145</v>
      </c>
      <c r="F99" s="106">
        <v>1694.9209425820579</v>
      </c>
      <c r="G99" s="110">
        <v>186.44130368402642</v>
      </c>
      <c r="H99" s="110">
        <v>50.847628277461745</v>
      </c>
    </row>
    <row r="100" spans="2:8" ht="15" customHeight="1" x14ac:dyDescent="0.25">
      <c r="B100" s="331"/>
      <c r="C100" s="186" t="s">
        <v>443</v>
      </c>
      <c r="D100" s="165">
        <v>7</v>
      </c>
      <c r="E100" s="165" t="s">
        <v>1145</v>
      </c>
      <c r="F100" s="106">
        <v>329.61423176235144</v>
      </c>
      <c r="G100" s="110">
        <v>36.257565493858657</v>
      </c>
      <c r="H100" s="110">
        <v>9.8884269528705424</v>
      </c>
    </row>
    <row r="101" spans="2:8" ht="15" customHeight="1" x14ac:dyDescent="0.25">
      <c r="B101" s="331"/>
      <c r="C101" s="186" t="s">
        <v>444</v>
      </c>
      <c r="D101" s="165">
        <v>7</v>
      </c>
      <c r="E101" s="165" t="s">
        <v>1145</v>
      </c>
      <c r="F101" s="106">
        <v>429.62777719322384</v>
      </c>
      <c r="G101" s="110">
        <v>47.259055491254628</v>
      </c>
      <c r="H101" s="110">
        <v>12.888833315796715</v>
      </c>
    </row>
    <row r="102" spans="2:8" ht="15" customHeight="1" x14ac:dyDescent="0.25">
      <c r="B102" s="331"/>
      <c r="C102" s="186" t="s">
        <v>445</v>
      </c>
      <c r="D102" s="165">
        <v>7</v>
      </c>
      <c r="E102" s="165" t="s">
        <v>1145</v>
      </c>
      <c r="F102" s="106">
        <v>968.37021738408328</v>
      </c>
      <c r="G102" s="110">
        <v>106.52072391224917</v>
      </c>
      <c r="H102" s="110">
        <v>29.051106521522499</v>
      </c>
    </row>
    <row r="103" spans="2:8" ht="15" customHeight="1" x14ac:dyDescent="0.25">
      <c r="B103" s="331"/>
      <c r="C103" s="186" t="s">
        <v>388</v>
      </c>
      <c r="D103" s="165">
        <v>7</v>
      </c>
      <c r="E103" s="165" t="s">
        <v>1145</v>
      </c>
      <c r="F103" s="106">
        <v>21.210570565855896</v>
      </c>
      <c r="G103" s="110">
        <v>2.3331627622441493</v>
      </c>
      <c r="H103" s="110">
        <v>0.63631711697567694</v>
      </c>
    </row>
    <row r="104" spans="2:8" ht="15" customHeight="1" x14ac:dyDescent="0.25">
      <c r="B104" s="331"/>
      <c r="C104" s="186" t="s">
        <v>446</v>
      </c>
      <c r="D104" s="165">
        <v>7</v>
      </c>
      <c r="E104" s="165" t="s">
        <v>1145</v>
      </c>
      <c r="F104" s="106">
        <v>303.49578805041637</v>
      </c>
      <c r="G104" s="110">
        <v>33.384536685545804</v>
      </c>
      <c r="H104" s="110">
        <v>9.1048736415124907</v>
      </c>
    </row>
    <row r="105" spans="2:8" ht="15" customHeight="1" x14ac:dyDescent="0.25">
      <c r="B105" s="331"/>
      <c r="C105" s="186" t="s">
        <v>447</v>
      </c>
      <c r="D105" s="165">
        <v>7</v>
      </c>
      <c r="E105" s="165" t="s">
        <v>1145</v>
      </c>
      <c r="F105" s="106">
        <v>216.55287035392013</v>
      </c>
      <c r="G105" s="110">
        <v>23.820815738931216</v>
      </c>
      <c r="H105" s="110">
        <v>6.4965861106176037</v>
      </c>
    </row>
    <row r="106" spans="2:8" ht="15" customHeight="1" x14ac:dyDescent="0.25">
      <c r="B106" s="331"/>
      <c r="C106" s="186" t="s">
        <v>448</v>
      </c>
      <c r="D106" s="165">
        <v>7</v>
      </c>
      <c r="E106" s="165" t="s">
        <v>1145</v>
      </c>
      <c r="F106" s="106">
        <v>903.08664545203385</v>
      </c>
      <c r="G106" s="110">
        <v>99.339530999723735</v>
      </c>
      <c r="H106" s="110">
        <v>27.092599363561014</v>
      </c>
    </row>
    <row r="107" spans="2:8" ht="15" customHeight="1" x14ac:dyDescent="0.25">
      <c r="B107" s="331"/>
      <c r="C107" s="186" t="s">
        <v>449</v>
      </c>
      <c r="D107" s="165">
        <v>7</v>
      </c>
      <c r="E107" s="165" t="s">
        <v>1145</v>
      </c>
      <c r="F107" s="106">
        <v>305.02809470038721</v>
      </c>
      <c r="G107" s="110">
        <v>33.553090417042597</v>
      </c>
      <c r="H107" s="110">
        <v>9.1508428410116149</v>
      </c>
    </row>
    <row r="108" spans="2:8" ht="15" customHeight="1" x14ac:dyDescent="0.25">
      <c r="B108" s="331"/>
      <c r="C108" s="186" t="s">
        <v>423</v>
      </c>
      <c r="D108" s="165">
        <v>7</v>
      </c>
      <c r="E108" s="165" t="s">
        <v>1145</v>
      </c>
      <c r="F108" s="106">
        <v>16.915511734834276</v>
      </c>
      <c r="G108" s="110">
        <v>1.8607062908317704</v>
      </c>
      <c r="H108" s="110">
        <v>0.5074653520450283</v>
      </c>
    </row>
    <row r="109" spans="2:8" ht="15" customHeight="1" x14ac:dyDescent="0.25">
      <c r="B109" s="331"/>
      <c r="C109" s="186" t="s">
        <v>450</v>
      </c>
      <c r="D109" s="165">
        <v>7</v>
      </c>
      <c r="E109" s="165" t="s">
        <v>1145</v>
      </c>
      <c r="F109" s="106">
        <v>1789.6805333647196</v>
      </c>
      <c r="G109" s="110">
        <v>196.86485867011916</v>
      </c>
      <c r="H109" s="110">
        <v>53.690416000941589</v>
      </c>
    </row>
    <row r="110" spans="2:8" ht="15" customHeight="1" x14ac:dyDescent="0.25">
      <c r="B110" s="331"/>
      <c r="C110" s="186" t="s">
        <v>451</v>
      </c>
      <c r="D110" s="165">
        <v>7</v>
      </c>
      <c r="E110" s="165" t="s">
        <v>1145</v>
      </c>
      <c r="F110" s="106">
        <v>2605.8723203837571</v>
      </c>
      <c r="G110" s="110">
        <v>286.64595524221335</v>
      </c>
      <c r="H110" s="110">
        <v>78.176169611512734</v>
      </c>
    </row>
    <row r="111" spans="2:8" ht="15" customHeight="1" x14ac:dyDescent="0.25">
      <c r="B111" s="331"/>
      <c r="C111" s="186" t="s">
        <v>452</v>
      </c>
      <c r="D111" s="165">
        <v>7</v>
      </c>
      <c r="E111" s="165" t="s">
        <v>1145</v>
      </c>
      <c r="F111" s="106">
        <v>3475.8834645130273</v>
      </c>
      <c r="G111" s="110">
        <v>382.34718109643302</v>
      </c>
      <c r="H111" s="110">
        <v>104.27650393539081</v>
      </c>
    </row>
    <row r="112" spans="2:8" ht="15" customHeight="1" x14ac:dyDescent="0.25">
      <c r="B112" s="331"/>
      <c r="C112" s="186" t="s">
        <v>453</v>
      </c>
      <c r="D112" s="165">
        <v>7</v>
      </c>
      <c r="E112" s="165" t="s">
        <v>1145</v>
      </c>
      <c r="F112" s="106">
        <v>283.02560746360706</v>
      </c>
      <c r="G112" s="110">
        <v>31.132816820996776</v>
      </c>
      <c r="H112" s="110">
        <v>8.4907682239082121</v>
      </c>
    </row>
    <row r="113" spans="2:8" ht="15" customHeight="1" x14ac:dyDescent="0.25">
      <c r="B113" s="332"/>
      <c r="C113" s="186" t="s">
        <v>454</v>
      </c>
      <c r="D113" s="165">
        <v>7</v>
      </c>
      <c r="E113" s="165" t="s">
        <v>1145</v>
      </c>
      <c r="F113" s="106">
        <v>3226.8765501065673</v>
      </c>
      <c r="G113" s="110">
        <v>354.95642051172246</v>
      </c>
      <c r="H113" s="110">
        <v>96.806296503197018</v>
      </c>
    </row>
    <row r="114" spans="2:8" ht="15" customHeight="1" x14ac:dyDescent="0.25">
      <c r="B114" s="329" t="s">
        <v>455</v>
      </c>
      <c r="C114" s="186" t="s">
        <v>456</v>
      </c>
      <c r="D114" s="165">
        <v>24</v>
      </c>
      <c r="E114" s="186" t="s">
        <v>1144</v>
      </c>
      <c r="F114" s="94">
        <v>0</v>
      </c>
      <c r="G114" s="95">
        <v>0</v>
      </c>
      <c r="H114" s="95">
        <v>0</v>
      </c>
    </row>
    <row r="115" spans="2:8" ht="15" customHeight="1" x14ac:dyDescent="0.25">
      <c r="B115" s="329"/>
      <c r="C115" s="186" t="s">
        <v>457</v>
      </c>
      <c r="D115" s="165">
        <v>24</v>
      </c>
      <c r="E115" s="186" t="s">
        <v>1144</v>
      </c>
      <c r="F115" s="94">
        <v>2.4545293630754328</v>
      </c>
      <c r="G115" s="95">
        <v>0.2699982299382977</v>
      </c>
      <c r="H115" s="95">
        <v>7.3635880892262986E-2</v>
      </c>
    </row>
    <row r="116" spans="2:8" ht="15" customHeight="1" x14ac:dyDescent="0.25">
      <c r="B116" s="329"/>
      <c r="C116" s="186" t="s">
        <v>458</v>
      </c>
      <c r="D116" s="165">
        <v>24</v>
      </c>
      <c r="E116" s="186" t="s">
        <v>1144</v>
      </c>
      <c r="F116" s="94">
        <v>3.230916849105876</v>
      </c>
      <c r="G116" s="95">
        <v>0.3554008534016464</v>
      </c>
      <c r="H116" s="95">
        <v>9.6927505473176273E-2</v>
      </c>
    </row>
    <row r="117" spans="2:8" ht="15" customHeight="1" x14ac:dyDescent="0.25">
      <c r="B117" s="329"/>
      <c r="C117" s="186" t="s">
        <v>459</v>
      </c>
      <c r="D117" s="165">
        <v>24</v>
      </c>
      <c r="E117" s="186" t="s">
        <v>1144</v>
      </c>
      <c r="F117" s="94">
        <v>0</v>
      </c>
      <c r="G117" s="95">
        <v>0</v>
      </c>
      <c r="H117" s="95">
        <v>0</v>
      </c>
    </row>
    <row r="118" spans="2:8" ht="15" customHeight="1" x14ac:dyDescent="0.25">
      <c r="B118" s="329"/>
      <c r="C118" s="186" t="s">
        <v>460</v>
      </c>
      <c r="D118" s="165">
        <v>24</v>
      </c>
      <c r="E118" s="186" t="s">
        <v>1144</v>
      </c>
      <c r="F118" s="94">
        <v>0</v>
      </c>
      <c r="G118" s="95">
        <v>0</v>
      </c>
      <c r="H118" s="95">
        <v>0</v>
      </c>
    </row>
    <row r="119" spans="2:8" ht="15" customHeight="1" x14ac:dyDescent="0.25">
      <c r="B119" s="329"/>
      <c r="C119" s="186" t="s">
        <v>461</v>
      </c>
      <c r="D119" s="165">
        <v>24</v>
      </c>
      <c r="E119" s="186" t="s">
        <v>1144</v>
      </c>
      <c r="F119" s="94">
        <v>0</v>
      </c>
      <c r="G119" s="95">
        <v>0</v>
      </c>
      <c r="H119" s="95">
        <v>0</v>
      </c>
    </row>
    <row r="120" spans="2:8" ht="15" customHeight="1" x14ac:dyDescent="0.25">
      <c r="B120" s="329"/>
      <c r="C120" s="186" t="s">
        <v>462</v>
      </c>
      <c r="D120" s="165">
        <v>24</v>
      </c>
      <c r="E120" s="186" t="s">
        <v>1144</v>
      </c>
      <c r="F120" s="94">
        <v>0</v>
      </c>
      <c r="G120" s="95">
        <v>0</v>
      </c>
      <c r="H120" s="95">
        <v>0</v>
      </c>
    </row>
    <row r="121" spans="2:8" ht="15" customHeight="1" x14ac:dyDescent="0.25">
      <c r="B121" s="329"/>
      <c r="C121" s="186" t="s">
        <v>463</v>
      </c>
      <c r="D121" s="165">
        <v>24</v>
      </c>
      <c r="E121" s="186" t="s">
        <v>1144</v>
      </c>
      <c r="F121" s="94">
        <v>0.20695300099204375</v>
      </c>
      <c r="G121" s="95">
        <v>2.2764830109124817E-2</v>
      </c>
      <c r="H121" s="95">
        <v>6.2085900297613131E-3</v>
      </c>
    </row>
    <row r="122" spans="2:8" ht="15" customHeight="1" x14ac:dyDescent="0.25">
      <c r="B122" s="329"/>
      <c r="C122" s="186" t="s">
        <v>464</v>
      </c>
      <c r="D122" s="165">
        <v>4</v>
      </c>
      <c r="E122" s="186" t="s">
        <v>1143</v>
      </c>
      <c r="F122" s="94">
        <v>2.078476715263359</v>
      </c>
      <c r="G122" s="95">
        <v>0.22863243867896951</v>
      </c>
      <c r="H122" s="95">
        <v>6.2354301457900774E-2</v>
      </c>
    </row>
    <row r="123" spans="2:8" ht="15" customHeight="1" x14ac:dyDescent="0.25">
      <c r="B123" s="329"/>
      <c r="C123" s="186" t="s">
        <v>465</v>
      </c>
      <c r="D123" s="165">
        <v>4</v>
      </c>
      <c r="E123" s="186" t="s">
        <v>1143</v>
      </c>
      <c r="F123" s="94">
        <v>5.2622823182219619E-3</v>
      </c>
      <c r="G123" s="95">
        <v>5.7885105500441586E-4</v>
      </c>
      <c r="H123" s="95">
        <v>1.5786846954665888E-4</v>
      </c>
    </row>
    <row r="124" spans="2:8" ht="15" customHeight="1" x14ac:dyDescent="0.25">
      <c r="B124" s="329"/>
      <c r="C124" s="186" t="s">
        <v>466</v>
      </c>
      <c r="D124" s="165">
        <v>4</v>
      </c>
      <c r="E124" s="186" t="s">
        <v>1143</v>
      </c>
      <c r="F124" s="94">
        <v>22.083799332850568</v>
      </c>
      <c r="G124" s="95">
        <v>2.4292179266135627</v>
      </c>
      <c r="H124" s="95">
        <v>0.66251397998551709</v>
      </c>
    </row>
    <row r="125" spans="2:8" ht="15" customHeight="1" x14ac:dyDescent="0.25">
      <c r="B125" s="329"/>
      <c r="C125" s="186" t="s">
        <v>467</v>
      </c>
      <c r="D125" s="165">
        <v>4</v>
      </c>
      <c r="E125" s="186" t="s">
        <v>1143</v>
      </c>
      <c r="F125" s="94">
        <v>10.575587501802909</v>
      </c>
      <c r="G125" s="95">
        <v>1.16331462519832</v>
      </c>
      <c r="H125" s="95">
        <v>0.31726762505408729</v>
      </c>
    </row>
    <row r="126" spans="2:8" ht="15" customHeight="1" x14ac:dyDescent="0.25">
      <c r="B126" s="329"/>
      <c r="C126" s="186" t="s">
        <v>468</v>
      </c>
      <c r="D126" s="165">
        <v>4</v>
      </c>
      <c r="E126" s="186" t="s">
        <v>1143</v>
      </c>
      <c r="F126" s="94">
        <v>65.304600324981578</v>
      </c>
      <c r="G126" s="95">
        <v>7.1835060357479756</v>
      </c>
      <c r="H126" s="95">
        <v>1.9591380097494477</v>
      </c>
    </row>
    <row r="127" spans="2:8" ht="15" customHeight="1" x14ac:dyDescent="0.25">
      <c r="B127" s="329"/>
      <c r="C127" s="186" t="s">
        <v>469</v>
      </c>
      <c r="D127" s="165">
        <v>4</v>
      </c>
      <c r="E127" s="186" t="s">
        <v>1143</v>
      </c>
      <c r="F127" s="94">
        <v>23.678506513484368</v>
      </c>
      <c r="G127" s="95">
        <v>2.6046357164832807</v>
      </c>
      <c r="H127" s="95">
        <v>0.71035519540453096</v>
      </c>
    </row>
    <row r="128" spans="2:8" ht="15" customHeight="1" x14ac:dyDescent="0.25">
      <c r="B128" s="329"/>
      <c r="C128" s="186" t="s">
        <v>470</v>
      </c>
      <c r="D128" s="165">
        <v>4</v>
      </c>
      <c r="E128" s="186" t="s">
        <v>1143</v>
      </c>
      <c r="F128" s="94">
        <v>174.19305285334923</v>
      </c>
      <c r="G128" s="95">
        <v>19.161235813868412</v>
      </c>
      <c r="H128" s="95">
        <v>5.2257915856004766</v>
      </c>
    </row>
    <row r="129" spans="2:8" ht="15" customHeight="1" x14ac:dyDescent="0.25">
      <c r="B129" s="329"/>
      <c r="C129" s="186" t="s">
        <v>471</v>
      </c>
      <c r="D129" s="165">
        <v>4</v>
      </c>
      <c r="E129" s="186" t="s">
        <v>1143</v>
      </c>
      <c r="F129" s="111">
        <v>130.99807436581304</v>
      </c>
      <c r="G129" s="95">
        <v>14.409788180239437</v>
      </c>
      <c r="H129" s="95">
        <v>3.9299422309743912</v>
      </c>
    </row>
    <row r="130" spans="2:8" ht="15" customHeight="1" x14ac:dyDescent="0.25">
      <c r="B130" s="329"/>
      <c r="C130" s="186" t="s">
        <v>472</v>
      </c>
      <c r="D130" s="165">
        <v>4</v>
      </c>
      <c r="E130" s="186" t="s">
        <v>1143</v>
      </c>
      <c r="F130" s="111">
        <v>53.260508822470321</v>
      </c>
      <c r="G130" s="95">
        <v>5.8586559704717356</v>
      </c>
      <c r="H130" s="95">
        <v>1.5978152646741095</v>
      </c>
    </row>
    <row r="131" spans="2:8" ht="15" customHeight="1" x14ac:dyDescent="0.25">
      <c r="B131" s="329"/>
      <c r="C131" s="186" t="s">
        <v>473</v>
      </c>
      <c r="D131" s="165">
        <v>4</v>
      </c>
      <c r="E131" s="186" t="s">
        <v>1143</v>
      </c>
      <c r="F131" s="111">
        <v>635.94444475753585</v>
      </c>
      <c r="G131" s="95">
        <v>69.953888923328947</v>
      </c>
      <c r="H131" s="95">
        <v>19.078333342726076</v>
      </c>
    </row>
    <row r="132" spans="2:8" ht="15" customHeight="1" x14ac:dyDescent="0.25">
      <c r="B132" s="329"/>
      <c r="C132" s="186" t="s">
        <v>474</v>
      </c>
      <c r="D132" s="165">
        <v>24</v>
      </c>
      <c r="E132" s="186" t="s">
        <v>1144</v>
      </c>
      <c r="F132" s="111">
        <v>0</v>
      </c>
      <c r="G132" s="95">
        <v>0</v>
      </c>
      <c r="H132" s="95">
        <v>0</v>
      </c>
    </row>
    <row r="133" spans="2:8" ht="15" customHeight="1" x14ac:dyDescent="0.25">
      <c r="B133" s="329"/>
      <c r="C133" s="186" t="s">
        <v>364</v>
      </c>
      <c r="D133" s="215">
        <v>23</v>
      </c>
      <c r="E133" s="36" t="s">
        <v>1137</v>
      </c>
      <c r="F133" s="111">
        <v>3.4523244819258809</v>
      </c>
      <c r="G133" s="95">
        <v>0.37975569301184686</v>
      </c>
      <c r="H133" s="95">
        <v>0.10356973445777641</v>
      </c>
    </row>
    <row r="134" spans="2:8" ht="15" customHeight="1" x14ac:dyDescent="0.25">
      <c r="B134" s="329"/>
      <c r="C134" s="186" t="s">
        <v>475</v>
      </c>
      <c r="D134" s="165">
        <v>24</v>
      </c>
      <c r="E134" s="186" t="s">
        <v>1144</v>
      </c>
      <c r="F134" s="111">
        <v>19.028652942201077</v>
      </c>
      <c r="G134" s="95">
        <v>2.0931518236421183</v>
      </c>
      <c r="H134" s="95">
        <v>0.57085958826603223</v>
      </c>
    </row>
    <row r="135" spans="2:8" ht="15" customHeight="1" x14ac:dyDescent="0.25">
      <c r="B135" s="329"/>
      <c r="C135" s="186" t="s">
        <v>476</v>
      </c>
      <c r="D135" s="165">
        <v>4</v>
      </c>
      <c r="E135" s="186" t="s">
        <v>1143</v>
      </c>
      <c r="F135" s="111">
        <v>445.12938923970529</v>
      </c>
      <c r="G135" s="95">
        <v>48.964232816367591</v>
      </c>
      <c r="H135" s="95">
        <v>13.353881677191161</v>
      </c>
    </row>
    <row r="136" spans="2:8" ht="15" customHeight="1" x14ac:dyDescent="0.25">
      <c r="B136" s="329"/>
      <c r="C136" s="186" t="s">
        <v>477</v>
      </c>
      <c r="D136" s="165">
        <v>9</v>
      </c>
      <c r="E136" s="186" t="s">
        <v>1146</v>
      </c>
      <c r="F136" s="111">
        <v>227.07889146447653</v>
      </c>
      <c r="G136" s="95">
        <v>24.978678061092417</v>
      </c>
      <c r="H136" s="95">
        <v>6.8123667439342954</v>
      </c>
    </row>
    <row r="137" spans="2:8" ht="15" customHeight="1" x14ac:dyDescent="0.25">
      <c r="B137" s="329"/>
      <c r="C137" s="186" t="s">
        <v>478</v>
      </c>
      <c r="D137" s="165">
        <v>9</v>
      </c>
      <c r="E137" s="186" t="s">
        <v>1146</v>
      </c>
      <c r="F137" s="111">
        <v>1299.5399804121801</v>
      </c>
      <c r="G137" s="95">
        <v>142.9493978453398</v>
      </c>
      <c r="H137" s="95">
        <v>38.986199412365401</v>
      </c>
    </row>
    <row r="138" spans="2:8" ht="15" customHeight="1" x14ac:dyDescent="0.25">
      <c r="B138" s="329"/>
      <c r="C138" s="186" t="s">
        <v>479</v>
      </c>
      <c r="D138" s="165">
        <v>24</v>
      </c>
      <c r="E138" s="186" t="s">
        <v>1144</v>
      </c>
      <c r="F138" s="111">
        <v>0</v>
      </c>
      <c r="G138" s="95">
        <v>0</v>
      </c>
      <c r="H138" s="95">
        <v>0</v>
      </c>
    </row>
    <row r="139" spans="2:8" ht="15" customHeight="1" x14ac:dyDescent="0.25">
      <c r="B139" s="329"/>
      <c r="C139" s="186" t="s">
        <v>480</v>
      </c>
      <c r="D139" s="165">
        <v>24</v>
      </c>
      <c r="E139" s="186" t="s">
        <v>1144</v>
      </c>
      <c r="F139" s="111">
        <v>520.44602622062746</v>
      </c>
      <c r="G139" s="95">
        <v>57.249062884269037</v>
      </c>
      <c r="H139" s="95">
        <v>15.613380786618825</v>
      </c>
    </row>
    <row r="140" spans="2:8" ht="15" customHeight="1" x14ac:dyDescent="0.25">
      <c r="B140" s="329"/>
      <c r="C140" s="186" t="s">
        <v>481</v>
      </c>
      <c r="D140" s="165">
        <v>4</v>
      </c>
      <c r="E140" s="186" t="s">
        <v>1143</v>
      </c>
      <c r="F140" s="111">
        <v>173.74407542919192</v>
      </c>
      <c r="G140" s="95">
        <v>19.111848297211115</v>
      </c>
      <c r="H140" s="95">
        <v>5.2123222628757588</v>
      </c>
    </row>
    <row r="141" spans="2:8" ht="15" customHeight="1" x14ac:dyDescent="0.25">
      <c r="B141" s="329"/>
      <c r="C141" s="186" t="s">
        <v>482</v>
      </c>
      <c r="D141" s="165">
        <v>4</v>
      </c>
      <c r="E141" s="186" t="s">
        <v>1143</v>
      </c>
      <c r="F141" s="111">
        <v>92.399342002407337</v>
      </c>
      <c r="G141" s="95">
        <v>10.163927620264809</v>
      </c>
      <c r="H141" s="95">
        <v>2.7719802600722199</v>
      </c>
    </row>
    <row r="142" spans="2:8" ht="15" customHeight="1" x14ac:dyDescent="0.25">
      <c r="B142" s="329"/>
      <c r="C142" s="186" t="s">
        <v>483</v>
      </c>
      <c r="D142" s="165">
        <v>4</v>
      </c>
      <c r="E142" s="186" t="s">
        <v>1143</v>
      </c>
      <c r="F142" s="111">
        <v>432.52500154514945</v>
      </c>
      <c r="G142" s="95">
        <v>47.577750169966443</v>
      </c>
      <c r="H142" s="95">
        <v>12.975750046354483</v>
      </c>
    </row>
    <row r="143" spans="2:8" ht="15" customHeight="1" x14ac:dyDescent="0.25">
      <c r="B143" s="329"/>
      <c r="C143" s="186" t="s">
        <v>484</v>
      </c>
      <c r="D143" s="165">
        <v>9</v>
      </c>
      <c r="E143" s="186" t="s">
        <v>1146</v>
      </c>
      <c r="F143" s="111">
        <v>35.54875451355263</v>
      </c>
      <c r="G143" s="95">
        <v>3.91036299649079</v>
      </c>
      <c r="H143" s="95">
        <v>1.0664626354065789</v>
      </c>
    </row>
    <row r="144" spans="2:8" ht="15" customHeight="1" x14ac:dyDescent="0.25">
      <c r="B144" s="329"/>
      <c r="C144" s="186" t="s">
        <v>485</v>
      </c>
      <c r="D144" s="165">
        <v>4</v>
      </c>
      <c r="E144" s="186" t="s">
        <v>1143</v>
      </c>
      <c r="F144" s="111">
        <v>146.6079794104441</v>
      </c>
      <c r="G144" s="95">
        <v>16.126877735148852</v>
      </c>
      <c r="H144" s="95">
        <v>4.3982393823133235</v>
      </c>
    </row>
    <row r="145" spans="2:8" ht="15" customHeight="1" x14ac:dyDescent="0.25">
      <c r="B145" s="329"/>
      <c r="C145" s="186" t="s">
        <v>486</v>
      </c>
      <c r="D145" s="165">
        <v>4</v>
      </c>
      <c r="E145" s="186" t="s">
        <v>1143</v>
      </c>
      <c r="F145" s="111">
        <v>9.0891803704885756</v>
      </c>
      <c r="G145" s="95">
        <v>0.99980984075374346</v>
      </c>
      <c r="H145" s="95">
        <v>0.27267541111465726</v>
      </c>
    </row>
    <row r="146" spans="2:8" ht="15" customHeight="1" x14ac:dyDescent="0.25">
      <c r="B146" s="329"/>
      <c r="C146" s="186" t="s">
        <v>487</v>
      </c>
      <c r="D146" s="165">
        <v>4</v>
      </c>
      <c r="E146" s="186" t="s">
        <v>1143</v>
      </c>
      <c r="F146" s="111">
        <v>267.48392539149438</v>
      </c>
      <c r="G146" s="95">
        <v>29.423231793064382</v>
      </c>
      <c r="H146" s="95">
        <v>8.0245177617448302</v>
      </c>
    </row>
    <row r="147" spans="2:8" ht="15" customHeight="1" x14ac:dyDescent="0.25">
      <c r="B147" s="329"/>
      <c r="C147" s="186" t="s">
        <v>488</v>
      </c>
      <c r="D147" s="165">
        <v>6</v>
      </c>
      <c r="E147" s="186" t="s">
        <v>1147</v>
      </c>
      <c r="F147" s="98">
        <v>683.92948529634657</v>
      </c>
      <c r="G147" s="99">
        <v>75.232243382598142</v>
      </c>
      <c r="H147" s="99">
        <v>20.517884558890401</v>
      </c>
    </row>
    <row r="148" spans="2:8" ht="15" customHeight="1" x14ac:dyDescent="0.25">
      <c r="B148" s="329"/>
      <c r="C148" s="186" t="s">
        <v>489</v>
      </c>
      <c r="D148" s="165">
        <v>24</v>
      </c>
      <c r="E148" s="186" t="s">
        <v>1144</v>
      </c>
      <c r="F148" s="111">
        <v>0</v>
      </c>
      <c r="G148" s="95">
        <v>0</v>
      </c>
      <c r="H148" s="95">
        <v>0</v>
      </c>
    </row>
    <row r="149" spans="2:8" ht="15" customHeight="1" x14ac:dyDescent="0.25">
      <c r="B149" s="329"/>
      <c r="C149" s="186" t="s">
        <v>490</v>
      </c>
      <c r="D149" s="215">
        <v>23</v>
      </c>
      <c r="E149" s="36" t="s">
        <v>1137</v>
      </c>
      <c r="F149" s="111">
        <v>131.09135378803219</v>
      </c>
      <c r="G149" s="95">
        <v>14.420048916683543</v>
      </c>
      <c r="H149" s="95">
        <v>3.9327406136409655</v>
      </c>
    </row>
    <row r="150" spans="2:8" ht="15" customHeight="1" x14ac:dyDescent="0.25">
      <c r="B150" s="329"/>
      <c r="C150" s="186" t="s">
        <v>491</v>
      </c>
      <c r="D150" s="215">
        <v>23</v>
      </c>
      <c r="E150" s="36" t="s">
        <v>1137</v>
      </c>
      <c r="F150" s="111">
        <v>6.1562566083360952</v>
      </c>
      <c r="G150" s="95">
        <v>0.67718822691697056</v>
      </c>
      <c r="H150" s="95">
        <v>0.18468769825008283</v>
      </c>
    </row>
    <row r="151" spans="2:8" ht="15" customHeight="1" x14ac:dyDescent="0.25">
      <c r="B151" s="329"/>
      <c r="C151" s="186" t="s">
        <v>492</v>
      </c>
      <c r="D151" s="165">
        <v>9</v>
      </c>
      <c r="E151" s="186" t="s">
        <v>1146</v>
      </c>
      <c r="F151" s="111">
        <v>248.76038731836726</v>
      </c>
      <c r="G151" s="95">
        <v>27.363642605020399</v>
      </c>
      <c r="H151" s="95">
        <v>7.462811619551017</v>
      </c>
    </row>
    <row r="152" spans="2:8" ht="15" customHeight="1" x14ac:dyDescent="0.25">
      <c r="B152" s="329"/>
      <c r="C152" s="186" t="s">
        <v>493</v>
      </c>
      <c r="D152" s="165">
        <v>4</v>
      </c>
      <c r="E152" s="186" t="s">
        <v>1143</v>
      </c>
      <c r="F152" s="111">
        <v>141.57351769614226</v>
      </c>
      <c r="G152" s="95">
        <v>15.57308694657565</v>
      </c>
      <c r="H152" s="95">
        <v>4.2472055308842673</v>
      </c>
    </row>
    <row r="153" spans="2:8" ht="15" customHeight="1" x14ac:dyDescent="0.25">
      <c r="B153" s="329"/>
      <c r="C153" s="186" t="s">
        <v>437</v>
      </c>
      <c r="D153" s="165">
        <v>9</v>
      </c>
      <c r="E153" s="186" t="s">
        <v>1146</v>
      </c>
      <c r="F153" s="111">
        <v>7.232562410736211</v>
      </c>
      <c r="G153" s="95">
        <v>0.79558186518098317</v>
      </c>
      <c r="H153" s="95">
        <v>0.21697687232208632</v>
      </c>
    </row>
    <row r="154" spans="2:8" ht="15" customHeight="1" x14ac:dyDescent="0.25">
      <c r="B154" s="329"/>
      <c r="C154" s="186" t="s">
        <v>381</v>
      </c>
      <c r="D154" s="215">
        <v>23</v>
      </c>
      <c r="E154" s="36" t="s">
        <v>1137</v>
      </c>
      <c r="F154" s="98">
        <v>5.5218755162682331</v>
      </c>
      <c r="G154" s="99">
        <v>0.60740630678950558</v>
      </c>
      <c r="H154" s="99">
        <v>0.16565626548804699</v>
      </c>
    </row>
    <row r="155" spans="2:8" ht="15" customHeight="1" x14ac:dyDescent="0.25">
      <c r="B155" s="329"/>
      <c r="C155" s="186" t="s">
        <v>494</v>
      </c>
      <c r="D155" s="165">
        <v>6</v>
      </c>
      <c r="E155" s="186" t="s">
        <v>1147</v>
      </c>
      <c r="F155" s="111">
        <v>17.487751111245874</v>
      </c>
      <c r="G155" s="95">
        <v>1.9236526222370465</v>
      </c>
      <c r="H155" s="95">
        <v>0.52463253333737625</v>
      </c>
    </row>
    <row r="156" spans="2:8" ht="15" customHeight="1" x14ac:dyDescent="0.25">
      <c r="B156" s="329"/>
      <c r="C156" s="186" t="s">
        <v>495</v>
      </c>
      <c r="D156" s="165">
        <v>9</v>
      </c>
      <c r="E156" s="186" t="s">
        <v>1146</v>
      </c>
      <c r="F156" s="111">
        <v>0</v>
      </c>
      <c r="G156" s="95">
        <v>0</v>
      </c>
      <c r="H156" s="95">
        <v>0</v>
      </c>
    </row>
    <row r="157" spans="2:8" ht="15" customHeight="1" x14ac:dyDescent="0.25">
      <c r="B157" s="329"/>
      <c r="C157" s="186" t="s">
        <v>496</v>
      </c>
      <c r="D157" s="165">
        <v>4</v>
      </c>
      <c r="E157" s="186" t="s">
        <v>1143</v>
      </c>
      <c r="F157" s="111">
        <v>1.3231522250185117</v>
      </c>
      <c r="G157" s="95">
        <v>0.1455467447520363</v>
      </c>
      <c r="H157" s="95">
        <v>3.9694566750555348E-2</v>
      </c>
    </row>
    <row r="158" spans="2:8" ht="15" customHeight="1" x14ac:dyDescent="0.25">
      <c r="B158" s="329"/>
      <c r="C158" s="186" t="s">
        <v>497</v>
      </c>
      <c r="D158" s="165">
        <v>24</v>
      </c>
      <c r="E158" s="186" t="s">
        <v>1144</v>
      </c>
      <c r="F158" s="111">
        <v>210.33702684967255</v>
      </c>
      <c r="G158" s="95">
        <v>23.137072953463989</v>
      </c>
      <c r="H158" s="95">
        <v>6.3101108054901767</v>
      </c>
    </row>
    <row r="159" spans="2:8" ht="15" customHeight="1" x14ac:dyDescent="0.25">
      <c r="B159" s="329"/>
      <c r="C159" s="186" t="s">
        <v>498</v>
      </c>
      <c r="D159" s="165">
        <v>4</v>
      </c>
      <c r="E159" s="186" t="s">
        <v>1143</v>
      </c>
      <c r="F159" s="111">
        <v>283.55979711842838</v>
      </c>
      <c r="G159" s="95">
        <v>31.191577683027123</v>
      </c>
      <c r="H159" s="95">
        <v>8.506793913552853</v>
      </c>
    </row>
    <row r="160" spans="2:8" ht="15" customHeight="1" x14ac:dyDescent="0.25">
      <c r="B160" s="329"/>
      <c r="C160" s="186" t="s">
        <v>499</v>
      </c>
      <c r="D160" s="165">
        <v>24</v>
      </c>
      <c r="E160" s="186" t="s">
        <v>1144</v>
      </c>
      <c r="F160" s="111">
        <v>115.93395263069192</v>
      </c>
      <c r="G160" s="95">
        <v>12.752734789376113</v>
      </c>
      <c r="H160" s="95">
        <v>3.4780185789207576</v>
      </c>
    </row>
    <row r="161" spans="2:8" ht="15" customHeight="1" x14ac:dyDescent="0.25">
      <c r="B161" s="329"/>
      <c r="C161" s="186" t="s">
        <v>420</v>
      </c>
      <c r="D161" s="165">
        <v>24</v>
      </c>
      <c r="E161" s="186" t="s">
        <v>1144</v>
      </c>
      <c r="F161" s="111">
        <v>43.095632665762054</v>
      </c>
      <c r="G161" s="95">
        <v>4.7405195932338264</v>
      </c>
      <c r="H161" s="95">
        <v>1.2928689799728619</v>
      </c>
    </row>
    <row r="162" spans="2:8" ht="15" customHeight="1" x14ac:dyDescent="0.25">
      <c r="B162" s="329"/>
      <c r="C162" s="186" t="s">
        <v>500</v>
      </c>
      <c r="D162" s="165">
        <v>24</v>
      </c>
      <c r="E162" s="186" t="s">
        <v>1144</v>
      </c>
      <c r="F162" s="111">
        <v>527.43297723317255</v>
      </c>
      <c r="G162" s="95">
        <v>58.017627495648988</v>
      </c>
      <c r="H162" s="95">
        <v>15.822989316995175</v>
      </c>
    </row>
    <row r="163" spans="2:8" ht="15" customHeight="1" x14ac:dyDescent="0.25">
      <c r="B163" s="329"/>
      <c r="C163" s="186" t="s">
        <v>383</v>
      </c>
      <c r="D163" s="215">
        <v>23</v>
      </c>
      <c r="E163" s="36" t="s">
        <v>1137</v>
      </c>
      <c r="F163" s="111">
        <v>2.3815326721596914</v>
      </c>
      <c r="G163" s="95">
        <v>0.26196859393756611</v>
      </c>
      <c r="H163" s="95">
        <v>7.1445980164790743E-2</v>
      </c>
    </row>
    <row r="164" spans="2:8" ht="15" customHeight="1" x14ac:dyDescent="0.25">
      <c r="B164" s="329"/>
      <c r="C164" s="186" t="s">
        <v>501</v>
      </c>
      <c r="D164" s="165">
        <v>4</v>
      </c>
      <c r="E164" s="186" t="s">
        <v>1143</v>
      </c>
      <c r="F164" s="111">
        <v>1613.6480150613534</v>
      </c>
      <c r="G164" s="95">
        <v>177.50128165674889</v>
      </c>
      <c r="H164" s="95">
        <v>48.409440451840595</v>
      </c>
    </row>
    <row r="165" spans="2:8" ht="15" customHeight="1" x14ac:dyDescent="0.25">
      <c r="B165" s="329"/>
      <c r="C165" s="186" t="s">
        <v>502</v>
      </c>
      <c r="D165" s="165">
        <v>24</v>
      </c>
      <c r="E165" s="186" t="s">
        <v>1144</v>
      </c>
      <c r="F165" s="111">
        <v>281.35295094713899</v>
      </c>
      <c r="G165" s="95">
        <v>30.94882460418529</v>
      </c>
      <c r="H165" s="95">
        <v>8.4405885284141693</v>
      </c>
    </row>
    <row r="166" spans="2:8" ht="15" customHeight="1" x14ac:dyDescent="0.25">
      <c r="B166" s="329"/>
      <c r="C166" s="186" t="s">
        <v>503</v>
      </c>
      <c r="D166" s="165">
        <v>24</v>
      </c>
      <c r="E166" s="186" t="s">
        <v>1144</v>
      </c>
      <c r="F166" s="111">
        <v>11.71800473383446</v>
      </c>
      <c r="G166" s="95">
        <v>1.288980520721791</v>
      </c>
      <c r="H166" s="95">
        <v>0.35154014201503386</v>
      </c>
    </row>
    <row r="167" spans="2:8" ht="15" customHeight="1" x14ac:dyDescent="0.25">
      <c r="B167" s="329"/>
      <c r="C167" s="186" t="s">
        <v>504</v>
      </c>
      <c r="D167" s="165">
        <v>9</v>
      </c>
      <c r="E167" s="186" t="s">
        <v>1146</v>
      </c>
      <c r="F167" s="111">
        <v>100.80098983521236</v>
      </c>
      <c r="G167" s="95">
        <v>11.08810888187336</v>
      </c>
      <c r="H167" s="95">
        <v>3.0240296950563712</v>
      </c>
    </row>
    <row r="168" spans="2:8" ht="15" customHeight="1" x14ac:dyDescent="0.25">
      <c r="B168" s="329"/>
      <c r="C168" s="186" t="s">
        <v>505</v>
      </c>
      <c r="D168" s="215">
        <v>23</v>
      </c>
      <c r="E168" s="36" t="s">
        <v>1137</v>
      </c>
      <c r="F168" s="111">
        <v>9.963199336474748</v>
      </c>
      <c r="G168" s="95">
        <v>1.0959519270122222</v>
      </c>
      <c r="H168" s="95">
        <v>0.2988959800942424</v>
      </c>
    </row>
    <row r="169" spans="2:8" ht="15" customHeight="1" x14ac:dyDescent="0.25">
      <c r="B169" s="329"/>
      <c r="C169" s="186" t="s">
        <v>506</v>
      </c>
      <c r="D169" s="165">
        <v>24</v>
      </c>
      <c r="E169" s="186" t="s">
        <v>1144</v>
      </c>
      <c r="F169" s="111">
        <v>388.78447800805617</v>
      </c>
      <c r="G169" s="95">
        <v>42.766292580886187</v>
      </c>
      <c r="H169" s="95">
        <v>11.663534340241686</v>
      </c>
    </row>
    <row r="170" spans="2:8" ht="15" customHeight="1" x14ac:dyDescent="0.25">
      <c r="B170" s="329"/>
      <c r="C170" s="186" t="s">
        <v>507</v>
      </c>
      <c r="D170" s="165">
        <v>4</v>
      </c>
      <c r="E170" s="186" t="s">
        <v>1143</v>
      </c>
      <c r="F170" s="111">
        <v>800.75413706611857</v>
      </c>
      <c r="G170" s="95">
        <v>88.082955077273041</v>
      </c>
      <c r="H170" s="95">
        <v>24.022624111983557</v>
      </c>
    </row>
    <row r="171" spans="2:8" ht="15" customHeight="1" x14ac:dyDescent="0.25">
      <c r="B171" s="329"/>
      <c r="C171" s="186" t="s">
        <v>508</v>
      </c>
      <c r="D171" s="165">
        <v>24</v>
      </c>
      <c r="E171" s="186" t="s">
        <v>1144</v>
      </c>
      <c r="F171" s="111">
        <v>0.39853771281267336</v>
      </c>
      <c r="G171" s="95">
        <v>4.3839148409394069E-2</v>
      </c>
      <c r="H171" s="95">
        <v>1.19561313843802E-2</v>
      </c>
    </row>
    <row r="172" spans="2:8" ht="15" customHeight="1" x14ac:dyDescent="0.25">
      <c r="B172" s="329"/>
      <c r="C172" s="186" t="s">
        <v>388</v>
      </c>
      <c r="D172" s="165">
        <v>4</v>
      </c>
      <c r="E172" s="186" t="s">
        <v>1143</v>
      </c>
      <c r="F172" s="111">
        <v>360.68892303695327</v>
      </c>
      <c r="G172" s="95">
        <v>39.675781534064868</v>
      </c>
      <c r="H172" s="95">
        <v>10.820667691108598</v>
      </c>
    </row>
    <row r="173" spans="2:8" ht="15" customHeight="1" x14ac:dyDescent="0.25">
      <c r="B173" s="329"/>
      <c r="C173" s="186" t="s">
        <v>389</v>
      </c>
      <c r="D173" s="165">
        <v>4</v>
      </c>
      <c r="E173" s="186" t="s">
        <v>1143</v>
      </c>
      <c r="F173" s="111">
        <v>17.292558780253316</v>
      </c>
      <c r="G173" s="95">
        <v>1.9021814658278646</v>
      </c>
      <c r="H173" s="95">
        <v>0.51877676340759948</v>
      </c>
    </row>
    <row r="174" spans="2:8" ht="15" customHeight="1" x14ac:dyDescent="0.25">
      <c r="B174" s="329"/>
      <c r="C174" s="186" t="s">
        <v>509</v>
      </c>
      <c r="D174" s="165">
        <v>4</v>
      </c>
      <c r="E174" s="186" t="s">
        <v>1143</v>
      </c>
      <c r="F174" s="111">
        <v>1015.3326468225771</v>
      </c>
      <c r="G174" s="95">
        <v>111.68659115048347</v>
      </c>
      <c r="H174" s="95">
        <v>30.459979404677306</v>
      </c>
    </row>
    <row r="175" spans="2:8" ht="15" customHeight="1" x14ac:dyDescent="0.25">
      <c r="B175" s="329"/>
      <c r="C175" s="186" t="s">
        <v>510</v>
      </c>
      <c r="D175" s="215">
        <v>23</v>
      </c>
      <c r="E175" s="36" t="s">
        <v>1137</v>
      </c>
      <c r="F175" s="111">
        <v>65.364845529346383</v>
      </c>
      <c r="G175" s="95">
        <v>7.1901330082281021</v>
      </c>
      <c r="H175" s="95">
        <v>1.960945365880391</v>
      </c>
    </row>
    <row r="176" spans="2:8" ht="15" customHeight="1" x14ac:dyDescent="0.25">
      <c r="B176" s="329"/>
      <c r="C176" s="186" t="s">
        <v>423</v>
      </c>
      <c r="D176" s="165">
        <v>24</v>
      </c>
      <c r="E176" s="186" t="s">
        <v>1144</v>
      </c>
      <c r="F176" s="111">
        <v>0</v>
      </c>
      <c r="G176" s="95">
        <v>0</v>
      </c>
      <c r="H176" s="95">
        <v>0</v>
      </c>
    </row>
    <row r="177" spans="2:8" ht="15" customHeight="1" x14ac:dyDescent="0.25">
      <c r="B177" s="329"/>
      <c r="C177" s="186" t="s">
        <v>511</v>
      </c>
      <c r="D177" s="165">
        <v>4</v>
      </c>
      <c r="E177" s="186" t="s">
        <v>1143</v>
      </c>
      <c r="F177" s="111">
        <v>354.15973561071263</v>
      </c>
      <c r="G177" s="95">
        <v>38.957570917178394</v>
      </c>
      <c r="H177" s="95">
        <v>10.62479206832138</v>
      </c>
    </row>
    <row r="178" spans="2:8" ht="15" customHeight="1" x14ac:dyDescent="0.25">
      <c r="B178" s="329"/>
      <c r="C178" s="186" t="s">
        <v>512</v>
      </c>
      <c r="D178" s="165">
        <v>4</v>
      </c>
      <c r="E178" s="186" t="s">
        <v>1143</v>
      </c>
      <c r="F178" s="111">
        <v>255.93608915292896</v>
      </c>
      <c r="G178" s="95">
        <v>28.152969806822195</v>
      </c>
      <c r="H178" s="95">
        <v>7.6780826745878707</v>
      </c>
    </row>
    <row r="179" spans="2:8" ht="15" customHeight="1" x14ac:dyDescent="0.25">
      <c r="B179" s="329"/>
      <c r="C179" s="186" t="s">
        <v>513</v>
      </c>
      <c r="D179" s="165">
        <v>9</v>
      </c>
      <c r="E179" s="186" t="s">
        <v>1146</v>
      </c>
      <c r="F179" s="98">
        <v>1490.6764708099968</v>
      </c>
      <c r="G179" s="99">
        <v>163.97441178909966</v>
      </c>
      <c r="H179" s="99">
        <v>44.720294124299897</v>
      </c>
    </row>
    <row r="180" spans="2:8" ht="15" customHeight="1" x14ac:dyDescent="0.25">
      <c r="B180" s="329"/>
      <c r="C180" s="186" t="s">
        <v>514</v>
      </c>
      <c r="D180" s="215">
        <v>23</v>
      </c>
      <c r="E180" s="36" t="s">
        <v>1137</v>
      </c>
      <c r="F180" s="111">
        <v>2078.2535025400812</v>
      </c>
      <c r="G180" s="95">
        <v>228.60788527940895</v>
      </c>
      <c r="H180" s="95">
        <v>62.347605076202434</v>
      </c>
    </row>
    <row r="181" spans="2:8" ht="15" customHeight="1" x14ac:dyDescent="0.25">
      <c r="B181" s="329"/>
      <c r="C181" s="186" t="s">
        <v>515</v>
      </c>
      <c r="D181" s="215">
        <v>23</v>
      </c>
      <c r="E181" s="36" t="s">
        <v>1137</v>
      </c>
      <c r="F181" s="112">
        <v>577.36162568717896</v>
      </c>
      <c r="G181" s="113">
        <v>63.509778825589692</v>
      </c>
      <c r="H181" s="113">
        <v>17.320848770615367</v>
      </c>
    </row>
    <row r="182" spans="2:8" x14ac:dyDescent="0.25">
      <c r="B182" s="329"/>
      <c r="C182" s="186" t="s">
        <v>516</v>
      </c>
      <c r="D182" s="165">
        <v>24</v>
      </c>
      <c r="E182" s="186" t="s">
        <v>1144</v>
      </c>
      <c r="F182" s="94">
        <v>0.12176227865540527</v>
      </c>
      <c r="G182" s="95">
        <v>1.3393850652094582E-2</v>
      </c>
      <c r="H182" s="113">
        <v>3.6528683596621582E-3</v>
      </c>
    </row>
    <row r="183" spans="2:8" x14ac:dyDescent="0.25">
      <c r="B183" s="329"/>
      <c r="C183" s="186" t="s">
        <v>517</v>
      </c>
      <c r="D183" s="165">
        <v>24</v>
      </c>
      <c r="E183" s="186" t="s">
        <v>1144</v>
      </c>
      <c r="F183" s="94">
        <v>3.8515131091318207</v>
      </c>
      <c r="G183" s="95">
        <v>0.42366644200450038</v>
      </c>
      <c r="H183" s="95">
        <v>0.11554539327395463</v>
      </c>
    </row>
    <row r="184" spans="2:8" ht="15" customHeight="1" x14ac:dyDescent="0.25">
      <c r="B184" s="338" t="s">
        <v>518</v>
      </c>
      <c r="C184" s="186" t="s">
        <v>519</v>
      </c>
      <c r="D184" s="165">
        <v>11</v>
      </c>
      <c r="E184" s="165" t="s">
        <v>1148</v>
      </c>
      <c r="F184" s="114">
        <v>343.75954761689258</v>
      </c>
      <c r="G184" s="115">
        <v>37.813550237858188</v>
      </c>
      <c r="H184" s="108">
        <v>10.312786428506778</v>
      </c>
    </row>
    <row r="185" spans="2:8" ht="15" customHeight="1" x14ac:dyDescent="0.25">
      <c r="B185" s="338"/>
      <c r="C185" s="186" t="s">
        <v>520</v>
      </c>
      <c r="D185" s="165">
        <v>11</v>
      </c>
      <c r="E185" s="165" t="s">
        <v>1148</v>
      </c>
      <c r="F185" s="114">
        <v>0</v>
      </c>
      <c r="G185" s="116">
        <v>0</v>
      </c>
      <c r="H185" s="108">
        <v>0</v>
      </c>
    </row>
    <row r="186" spans="2:8" ht="15" customHeight="1" x14ac:dyDescent="0.25">
      <c r="B186" s="338"/>
      <c r="C186" s="186" t="s">
        <v>521</v>
      </c>
      <c r="D186" s="165">
        <v>11</v>
      </c>
      <c r="E186" s="165" t="s">
        <v>1148</v>
      </c>
      <c r="F186" s="114">
        <v>69.823254861904886</v>
      </c>
      <c r="G186" s="115">
        <v>7.6805580348095379</v>
      </c>
      <c r="H186" s="108">
        <v>2.0946976458571465</v>
      </c>
    </row>
    <row r="187" spans="2:8" ht="15" customHeight="1" x14ac:dyDescent="0.25">
      <c r="B187" s="338"/>
      <c r="C187" s="186" t="s">
        <v>522</v>
      </c>
      <c r="D187" s="165">
        <v>11</v>
      </c>
      <c r="E187" s="165" t="s">
        <v>1148</v>
      </c>
      <c r="F187" s="114">
        <v>0</v>
      </c>
      <c r="G187" s="115">
        <v>0</v>
      </c>
      <c r="H187" s="108">
        <v>0</v>
      </c>
    </row>
    <row r="188" spans="2:8" ht="15" customHeight="1" x14ac:dyDescent="0.25">
      <c r="B188" s="338"/>
      <c r="C188" s="186" t="s">
        <v>523</v>
      </c>
      <c r="D188" s="165">
        <v>11</v>
      </c>
      <c r="E188" s="165" t="s">
        <v>1148</v>
      </c>
      <c r="F188" s="114">
        <v>368.84168821437584</v>
      </c>
      <c r="G188" s="115">
        <v>40.572585703581346</v>
      </c>
      <c r="H188" s="108">
        <v>11.065250646431274</v>
      </c>
    </row>
    <row r="189" spans="2:8" ht="15" customHeight="1" x14ac:dyDescent="0.25">
      <c r="B189" s="338"/>
      <c r="C189" s="186" t="s">
        <v>524</v>
      </c>
      <c r="D189" s="165">
        <v>11</v>
      </c>
      <c r="E189" s="165" t="s">
        <v>1148</v>
      </c>
      <c r="F189" s="114">
        <v>34.01210024978478</v>
      </c>
      <c r="G189" s="115">
        <v>3.7413310274763267</v>
      </c>
      <c r="H189" s="108">
        <v>1.0203630074935435</v>
      </c>
    </row>
    <row r="190" spans="2:8" ht="15" customHeight="1" x14ac:dyDescent="0.25">
      <c r="B190" s="338"/>
      <c r="C190" s="186" t="s">
        <v>525</v>
      </c>
      <c r="D190" s="165">
        <v>11</v>
      </c>
      <c r="E190" s="165" t="s">
        <v>1148</v>
      </c>
      <c r="F190" s="114">
        <v>135.8032263018961</v>
      </c>
      <c r="G190" s="115">
        <v>14.938354893208572</v>
      </c>
      <c r="H190" s="108">
        <v>4.0740967890568829</v>
      </c>
    </row>
    <row r="191" spans="2:8" ht="15" customHeight="1" x14ac:dyDescent="0.25">
      <c r="B191" s="338"/>
      <c r="C191" s="186" t="s">
        <v>526</v>
      </c>
      <c r="D191" s="165">
        <v>11</v>
      </c>
      <c r="E191" s="165" t="s">
        <v>1148</v>
      </c>
      <c r="F191" s="114">
        <v>431.11925061611009</v>
      </c>
      <c r="G191" s="117">
        <v>47.423117567772117</v>
      </c>
      <c r="H191" s="108">
        <v>12.933577518483304</v>
      </c>
    </row>
    <row r="192" spans="2:8" ht="15" customHeight="1" x14ac:dyDescent="0.25">
      <c r="B192" s="338"/>
      <c r="C192" s="186" t="s">
        <v>527</v>
      </c>
      <c r="D192" s="165">
        <v>11</v>
      </c>
      <c r="E192" s="165" t="s">
        <v>1148</v>
      </c>
      <c r="F192" s="114">
        <v>382.40959152442019</v>
      </c>
      <c r="G192" s="115">
        <v>42.065055067686231</v>
      </c>
      <c r="H192" s="108">
        <v>11.472287745732606</v>
      </c>
    </row>
    <row r="193" spans="2:8" ht="15" customHeight="1" x14ac:dyDescent="0.25">
      <c r="B193" s="338"/>
      <c r="C193" s="186" t="s">
        <v>528</v>
      </c>
      <c r="D193" s="165">
        <v>11</v>
      </c>
      <c r="E193" s="165" t="s">
        <v>1148</v>
      </c>
      <c r="F193" s="114">
        <v>22.266939430536777</v>
      </c>
      <c r="G193" s="116">
        <v>2.4493633373590455</v>
      </c>
      <c r="H193" s="108">
        <v>0.6680081829161032</v>
      </c>
    </row>
    <row r="194" spans="2:8" ht="15" customHeight="1" x14ac:dyDescent="0.25">
      <c r="B194" s="338"/>
      <c r="C194" s="186" t="s">
        <v>529</v>
      </c>
      <c r="D194" s="165">
        <v>11</v>
      </c>
      <c r="E194" s="165" t="s">
        <v>1148</v>
      </c>
      <c r="F194" s="114">
        <v>0</v>
      </c>
      <c r="G194" s="115">
        <v>0</v>
      </c>
      <c r="H194" s="108">
        <v>0</v>
      </c>
    </row>
    <row r="195" spans="2:8" ht="15" customHeight="1" x14ac:dyDescent="0.25">
      <c r="B195" s="338"/>
      <c r="C195" s="186" t="s">
        <v>530</v>
      </c>
      <c r="D195" s="165">
        <v>11</v>
      </c>
      <c r="E195" s="165" t="s">
        <v>1148</v>
      </c>
      <c r="F195" s="114">
        <v>0</v>
      </c>
      <c r="G195" s="115">
        <v>0</v>
      </c>
      <c r="H195" s="108">
        <v>0</v>
      </c>
    </row>
    <row r="196" spans="2:8" ht="15" customHeight="1" x14ac:dyDescent="0.25">
      <c r="B196" s="338"/>
      <c r="C196" s="186" t="s">
        <v>531</v>
      </c>
      <c r="D196" s="165">
        <v>11</v>
      </c>
      <c r="E196" s="165" t="s">
        <v>1148</v>
      </c>
      <c r="F196" s="114">
        <v>0</v>
      </c>
      <c r="G196" s="115">
        <v>0</v>
      </c>
      <c r="H196" s="108">
        <v>0</v>
      </c>
    </row>
    <row r="197" spans="2:8" ht="15" customHeight="1" x14ac:dyDescent="0.25">
      <c r="B197" s="338"/>
      <c r="C197" s="186" t="s">
        <v>532</v>
      </c>
      <c r="D197" s="165">
        <v>11</v>
      </c>
      <c r="E197" s="165" t="s">
        <v>1148</v>
      </c>
      <c r="F197" s="114">
        <v>0</v>
      </c>
      <c r="G197" s="115">
        <v>0</v>
      </c>
      <c r="H197" s="108">
        <v>0</v>
      </c>
    </row>
    <row r="198" spans="2:8" ht="15" customHeight="1" x14ac:dyDescent="0.25">
      <c r="B198" s="338"/>
      <c r="C198" s="186" t="s">
        <v>363</v>
      </c>
      <c r="D198" s="165">
        <v>11</v>
      </c>
      <c r="E198" s="165" t="s">
        <v>1148</v>
      </c>
      <c r="F198" s="114">
        <v>18.997938443827831</v>
      </c>
      <c r="G198" s="118">
        <v>2.0897732288210618</v>
      </c>
      <c r="H198" s="110">
        <v>0.56993815331483499</v>
      </c>
    </row>
    <row r="199" spans="2:8" ht="15" customHeight="1" x14ac:dyDescent="0.25">
      <c r="B199" s="338"/>
      <c r="C199" s="186" t="s">
        <v>533</v>
      </c>
      <c r="D199" s="165">
        <v>11</v>
      </c>
      <c r="E199" s="165" t="s">
        <v>1148</v>
      </c>
      <c r="F199" s="114">
        <v>0</v>
      </c>
      <c r="G199" s="110">
        <v>0</v>
      </c>
      <c r="H199" s="110">
        <v>0</v>
      </c>
    </row>
    <row r="200" spans="2:8" ht="15" customHeight="1" x14ac:dyDescent="0.25">
      <c r="B200" s="338"/>
      <c r="C200" s="186" t="s">
        <v>534</v>
      </c>
      <c r="D200" s="165">
        <v>11</v>
      </c>
      <c r="E200" s="165" t="s">
        <v>1148</v>
      </c>
      <c r="F200" s="114">
        <v>9.9012223417949397</v>
      </c>
      <c r="G200" s="110">
        <v>1.0891344575974433</v>
      </c>
      <c r="H200" s="110">
        <v>0.29703667025384817</v>
      </c>
    </row>
    <row r="201" spans="2:8" ht="15" customHeight="1" x14ac:dyDescent="0.25">
      <c r="B201" s="338"/>
      <c r="C201" s="186" t="s">
        <v>535</v>
      </c>
      <c r="D201" s="165">
        <v>11</v>
      </c>
      <c r="E201" s="165" t="s">
        <v>1148</v>
      </c>
      <c r="F201" s="114">
        <v>239.09086608006069</v>
      </c>
      <c r="G201" s="110">
        <v>26.299995268806676</v>
      </c>
      <c r="H201" s="110">
        <v>7.172725982401821</v>
      </c>
    </row>
    <row r="202" spans="2:8" ht="15" customHeight="1" x14ac:dyDescent="0.25">
      <c r="B202" s="338"/>
      <c r="C202" s="186" t="s">
        <v>536</v>
      </c>
      <c r="D202" s="165">
        <v>11</v>
      </c>
      <c r="E202" s="165" t="s">
        <v>1148</v>
      </c>
      <c r="F202" s="114">
        <v>7.0751869693265714</v>
      </c>
      <c r="G202" s="110">
        <v>0.77827056662592309</v>
      </c>
      <c r="H202" s="110">
        <v>0.21225560907979715</v>
      </c>
    </row>
    <row r="203" spans="2:8" ht="15" customHeight="1" x14ac:dyDescent="0.25">
      <c r="B203" s="338"/>
      <c r="C203" s="186" t="s">
        <v>537</v>
      </c>
      <c r="D203" s="165">
        <v>11</v>
      </c>
      <c r="E203" s="165" t="s">
        <v>1148</v>
      </c>
      <c r="F203" s="114">
        <v>414.00070897704944</v>
      </c>
      <c r="G203" s="110">
        <v>45.540077987475442</v>
      </c>
      <c r="H203" s="110">
        <v>12.420021269311484</v>
      </c>
    </row>
    <row r="204" spans="2:8" ht="15" customHeight="1" x14ac:dyDescent="0.25">
      <c r="B204" s="338"/>
      <c r="C204" s="186" t="s">
        <v>538</v>
      </c>
      <c r="D204" s="165">
        <v>11</v>
      </c>
      <c r="E204" s="165" t="s">
        <v>1148</v>
      </c>
      <c r="F204" s="114">
        <v>0</v>
      </c>
      <c r="G204" s="110">
        <v>0</v>
      </c>
      <c r="H204" s="110">
        <v>0</v>
      </c>
    </row>
    <row r="205" spans="2:8" ht="15" customHeight="1" x14ac:dyDescent="0.25">
      <c r="B205" s="338"/>
      <c r="C205" s="186" t="s">
        <v>539</v>
      </c>
      <c r="D205" s="165">
        <v>11</v>
      </c>
      <c r="E205" s="165" t="s">
        <v>1148</v>
      </c>
      <c r="F205" s="114">
        <v>247.6344595131273</v>
      </c>
      <c r="G205" s="110">
        <v>27.239790546444006</v>
      </c>
      <c r="H205" s="110">
        <v>7.429033785393818</v>
      </c>
    </row>
    <row r="206" spans="2:8" ht="15" customHeight="1" x14ac:dyDescent="0.25">
      <c r="B206" s="338"/>
      <c r="C206" s="186" t="s">
        <v>540</v>
      </c>
      <c r="D206" s="165">
        <v>11</v>
      </c>
      <c r="E206" s="165" t="s">
        <v>1148</v>
      </c>
      <c r="F206" s="114">
        <v>121.2572151139502</v>
      </c>
      <c r="G206" s="110">
        <v>13.338293662534522</v>
      </c>
      <c r="H206" s="110">
        <v>3.6377164534185051</v>
      </c>
    </row>
    <row r="207" spans="2:8" ht="15" customHeight="1" x14ac:dyDescent="0.25">
      <c r="B207" s="338"/>
      <c r="C207" s="186" t="s">
        <v>541</v>
      </c>
      <c r="D207" s="165">
        <v>11</v>
      </c>
      <c r="E207" s="165" t="s">
        <v>1148</v>
      </c>
      <c r="F207" s="114">
        <v>256.00153307289418</v>
      </c>
      <c r="G207" s="110">
        <v>28.160168638018362</v>
      </c>
      <c r="H207" s="110">
        <v>7.6800459921868258</v>
      </c>
    </row>
    <row r="208" spans="2:8" ht="15" customHeight="1" x14ac:dyDescent="0.25">
      <c r="B208" s="338"/>
      <c r="C208" s="186" t="s">
        <v>542</v>
      </c>
      <c r="D208" s="165">
        <v>11</v>
      </c>
      <c r="E208" s="165" t="s">
        <v>1148</v>
      </c>
      <c r="F208" s="114">
        <v>188.32328246215292</v>
      </c>
      <c r="G208" s="110">
        <v>20.715561070836824</v>
      </c>
      <c r="H208" s="110">
        <v>5.6496984738645875</v>
      </c>
    </row>
    <row r="209" spans="2:8" ht="15" customHeight="1" x14ac:dyDescent="0.25">
      <c r="B209" s="338"/>
      <c r="C209" s="186" t="s">
        <v>543</v>
      </c>
      <c r="D209" s="165">
        <v>11</v>
      </c>
      <c r="E209" s="165" t="s">
        <v>1148</v>
      </c>
      <c r="F209" s="114">
        <v>422.80610811366029</v>
      </c>
      <c r="G209" s="110">
        <v>46.508671892502633</v>
      </c>
      <c r="H209" s="110">
        <v>12.684183243409809</v>
      </c>
    </row>
    <row r="210" spans="2:8" ht="15" customHeight="1" x14ac:dyDescent="0.25">
      <c r="B210" s="338"/>
      <c r="C210" s="186" t="s">
        <v>544</v>
      </c>
      <c r="D210" s="165">
        <v>11</v>
      </c>
      <c r="E210" s="165" t="s">
        <v>1148</v>
      </c>
      <c r="F210" s="114">
        <v>0</v>
      </c>
      <c r="G210" s="110">
        <v>0</v>
      </c>
      <c r="H210" s="110">
        <v>0</v>
      </c>
    </row>
    <row r="211" spans="2:8" ht="15" customHeight="1" x14ac:dyDescent="0.25">
      <c r="B211" s="338"/>
      <c r="C211" s="186" t="s">
        <v>545</v>
      </c>
      <c r="D211" s="165">
        <v>11</v>
      </c>
      <c r="E211" s="165" t="s">
        <v>1148</v>
      </c>
      <c r="F211" s="114">
        <v>0</v>
      </c>
      <c r="G211" s="110">
        <v>0</v>
      </c>
      <c r="H211" s="110">
        <v>0</v>
      </c>
    </row>
    <row r="212" spans="2:8" ht="15" customHeight="1" x14ac:dyDescent="0.25">
      <c r="B212" s="338"/>
      <c r="C212" s="186" t="s">
        <v>546</v>
      </c>
      <c r="D212" s="165">
        <v>11</v>
      </c>
      <c r="E212" s="165" t="s">
        <v>1148</v>
      </c>
      <c r="F212" s="114">
        <v>0</v>
      </c>
      <c r="G212" s="110">
        <v>0</v>
      </c>
      <c r="H212" s="110">
        <v>0</v>
      </c>
    </row>
    <row r="213" spans="2:8" ht="15" customHeight="1" x14ac:dyDescent="0.25">
      <c r="B213" s="338"/>
      <c r="C213" s="186" t="s">
        <v>374</v>
      </c>
      <c r="D213" s="165">
        <v>11</v>
      </c>
      <c r="E213" s="165" t="s">
        <v>1148</v>
      </c>
      <c r="F213" s="114">
        <v>261.45675636842384</v>
      </c>
      <c r="G213" s="110">
        <v>28.760243200526627</v>
      </c>
      <c r="H213" s="110">
        <v>7.843702691052715</v>
      </c>
    </row>
    <row r="214" spans="2:8" ht="15" customHeight="1" x14ac:dyDescent="0.25">
      <c r="B214" s="338"/>
      <c r="C214" s="186" t="s">
        <v>547</v>
      </c>
      <c r="D214" s="165">
        <v>11</v>
      </c>
      <c r="E214" s="165" t="s">
        <v>1148</v>
      </c>
      <c r="F214" s="114">
        <v>159.92816906788374</v>
      </c>
      <c r="G214" s="110">
        <v>17.592098597467213</v>
      </c>
      <c r="H214" s="110">
        <v>4.7978450720365124</v>
      </c>
    </row>
    <row r="215" spans="2:8" ht="15" customHeight="1" x14ac:dyDescent="0.25">
      <c r="B215" s="338"/>
      <c r="C215" s="186" t="s">
        <v>548</v>
      </c>
      <c r="D215" s="165">
        <v>11</v>
      </c>
      <c r="E215" s="165" t="s">
        <v>1148</v>
      </c>
      <c r="F215" s="114">
        <v>659.08100181298357</v>
      </c>
      <c r="G215" s="110">
        <v>72.498910199428195</v>
      </c>
      <c r="H215" s="110">
        <v>19.772430054389506</v>
      </c>
    </row>
    <row r="216" spans="2:8" ht="15" customHeight="1" x14ac:dyDescent="0.25">
      <c r="B216" s="338"/>
      <c r="C216" s="186" t="s">
        <v>549</v>
      </c>
      <c r="D216" s="165">
        <v>11</v>
      </c>
      <c r="E216" s="165" t="s">
        <v>1148</v>
      </c>
      <c r="F216" s="114">
        <v>3.9173123679134428E-3</v>
      </c>
      <c r="G216" s="110">
        <v>4.3090436047047868E-4</v>
      </c>
      <c r="H216" s="110">
        <v>1.1751937103740327E-4</v>
      </c>
    </row>
    <row r="217" spans="2:8" ht="15" customHeight="1" x14ac:dyDescent="0.25">
      <c r="B217" s="338"/>
      <c r="C217" s="186" t="s">
        <v>550</v>
      </c>
      <c r="D217" s="165">
        <v>11</v>
      </c>
      <c r="E217" s="165" t="s">
        <v>1148</v>
      </c>
      <c r="F217" s="114">
        <v>121.79142684227119</v>
      </c>
      <c r="G217" s="110">
        <v>13.397056952649834</v>
      </c>
      <c r="H217" s="110">
        <v>3.6537428052681356</v>
      </c>
    </row>
    <row r="218" spans="2:8" ht="15" customHeight="1" x14ac:dyDescent="0.25">
      <c r="B218" s="338"/>
      <c r="C218" s="186" t="s">
        <v>551</v>
      </c>
      <c r="D218" s="165">
        <v>11</v>
      </c>
      <c r="E218" s="165" t="s">
        <v>1148</v>
      </c>
      <c r="F218" s="114">
        <v>0</v>
      </c>
      <c r="G218" s="110">
        <v>0</v>
      </c>
      <c r="H218" s="110">
        <v>0</v>
      </c>
    </row>
    <row r="219" spans="2:8" ht="15" customHeight="1" x14ac:dyDescent="0.25">
      <c r="B219" s="338"/>
      <c r="C219" s="186" t="s">
        <v>552</v>
      </c>
      <c r="D219" s="165">
        <v>11</v>
      </c>
      <c r="E219" s="165" t="s">
        <v>1148</v>
      </c>
      <c r="F219" s="114">
        <v>33.883278294911889</v>
      </c>
      <c r="G219" s="110">
        <v>3.7271606124403078</v>
      </c>
      <c r="H219" s="110">
        <v>1.0164983488473567</v>
      </c>
    </row>
    <row r="220" spans="2:8" ht="15" customHeight="1" x14ac:dyDescent="0.25">
      <c r="B220" s="338"/>
      <c r="C220" s="186" t="s">
        <v>553</v>
      </c>
      <c r="D220" s="165">
        <v>11</v>
      </c>
      <c r="E220" s="165" t="s">
        <v>1148</v>
      </c>
      <c r="F220" s="114">
        <v>1.6049347983585767</v>
      </c>
      <c r="G220" s="110">
        <v>0.1765428278194435</v>
      </c>
      <c r="H220" s="110">
        <v>4.8148043950757308E-2</v>
      </c>
    </row>
    <row r="221" spans="2:8" ht="15" customHeight="1" x14ac:dyDescent="0.25">
      <c r="B221" s="338"/>
      <c r="C221" s="186" t="s">
        <v>554</v>
      </c>
      <c r="D221" s="165">
        <v>11</v>
      </c>
      <c r="E221" s="165" t="s">
        <v>1148</v>
      </c>
      <c r="F221" s="114">
        <v>59.933078596634004</v>
      </c>
      <c r="G221" s="110">
        <v>6.5926386456297399</v>
      </c>
      <c r="H221" s="110">
        <v>1.79799235789902</v>
      </c>
    </row>
    <row r="222" spans="2:8" ht="15" customHeight="1" x14ac:dyDescent="0.25">
      <c r="B222" s="338"/>
      <c r="C222" s="186" t="s">
        <v>381</v>
      </c>
      <c r="D222" s="165">
        <v>11</v>
      </c>
      <c r="E222" s="165" t="s">
        <v>1148</v>
      </c>
      <c r="F222" s="114">
        <v>348.6303428847379</v>
      </c>
      <c r="G222" s="110">
        <v>38.34933771732117</v>
      </c>
      <c r="H222" s="110">
        <v>10.458910286542137</v>
      </c>
    </row>
    <row r="223" spans="2:8" ht="15" customHeight="1" x14ac:dyDescent="0.25">
      <c r="B223" s="338"/>
      <c r="C223" s="186" t="s">
        <v>555</v>
      </c>
      <c r="D223" s="165">
        <v>11</v>
      </c>
      <c r="E223" s="165" t="s">
        <v>1148</v>
      </c>
      <c r="F223" s="114">
        <v>17.339790696075323</v>
      </c>
      <c r="G223" s="110">
        <v>1.9073769765682855</v>
      </c>
      <c r="H223" s="110">
        <v>0.52019372088225968</v>
      </c>
    </row>
    <row r="224" spans="2:8" ht="15" customHeight="1" x14ac:dyDescent="0.25">
      <c r="B224" s="338"/>
      <c r="C224" s="186" t="s">
        <v>556</v>
      </c>
      <c r="D224" s="165">
        <v>11</v>
      </c>
      <c r="E224" s="165" t="s">
        <v>1148</v>
      </c>
      <c r="F224" s="114">
        <v>596.12735265213769</v>
      </c>
      <c r="G224" s="110">
        <v>65.574008791735153</v>
      </c>
      <c r="H224" s="110">
        <v>17.88382057956413</v>
      </c>
    </row>
    <row r="225" spans="2:8" ht="15" customHeight="1" x14ac:dyDescent="0.25">
      <c r="B225" s="338"/>
      <c r="C225" s="186" t="s">
        <v>557</v>
      </c>
      <c r="D225" s="165">
        <v>11</v>
      </c>
      <c r="E225" s="165" t="s">
        <v>1148</v>
      </c>
      <c r="F225" s="114">
        <v>222.0532704177312</v>
      </c>
      <c r="G225" s="110">
        <v>24.425859745950433</v>
      </c>
      <c r="H225" s="110">
        <v>6.6615981125319363</v>
      </c>
    </row>
    <row r="226" spans="2:8" ht="15" customHeight="1" x14ac:dyDescent="0.25">
      <c r="B226" s="338"/>
      <c r="C226" s="186" t="s">
        <v>558</v>
      </c>
      <c r="D226" s="165">
        <v>11</v>
      </c>
      <c r="E226" s="165" t="s">
        <v>1148</v>
      </c>
      <c r="F226" s="114">
        <v>64.716615154918202</v>
      </c>
      <c r="G226" s="110">
        <v>7.1188276670410024</v>
      </c>
      <c r="H226" s="110">
        <v>1.941498454647546</v>
      </c>
    </row>
    <row r="227" spans="2:8" ht="15" customHeight="1" x14ac:dyDescent="0.25">
      <c r="B227" s="338"/>
      <c r="C227" s="186" t="s">
        <v>559</v>
      </c>
      <c r="D227" s="165">
        <v>11</v>
      </c>
      <c r="E227" s="165" t="s">
        <v>1148</v>
      </c>
      <c r="F227" s="114">
        <v>314.14837584959417</v>
      </c>
      <c r="G227" s="110">
        <v>34.556321343455359</v>
      </c>
      <c r="H227" s="110">
        <v>9.4244512754878258</v>
      </c>
    </row>
    <row r="228" spans="2:8" ht="15" customHeight="1" x14ac:dyDescent="0.25">
      <c r="B228" s="338"/>
      <c r="C228" s="186" t="s">
        <v>560</v>
      </c>
      <c r="D228" s="165">
        <v>11</v>
      </c>
      <c r="E228" s="165" t="s">
        <v>1148</v>
      </c>
      <c r="F228" s="114">
        <v>465.02748311416525</v>
      </c>
      <c r="G228" s="110">
        <v>51.153023142558183</v>
      </c>
      <c r="H228" s="110">
        <v>13.950824493424957</v>
      </c>
    </row>
    <row r="229" spans="2:8" ht="15" customHeight="1" x14ac:dyDescent="0.25">
      <c r="B229" s="338"/>
      <c r="C229" s="186" t="s">
        <v>561</v>
      </c>
      <c r="D229" s="165">
        <v>11</v>
      </c>
      <c r="E229" s="165" t="s">
        <v>1148</v>
      </c>
      <c r="F229" s="114">
        <v>260.8711085887366</v>
      </c>
      <c r="G229" s="110">
        <v>28.695821944761029</v>
      </c>
      <c r="H229" s="110">
        <v>7.8261332576620983</v>
      </c>
    </row>
    <row r="230" spans="2:8" ht="15" customHeight="1" x14ac:dyDescent="0.25">
      <c r="B230" s="338"/>
      <c r="C230" s="186" t="s">
        <v>562</v>
      </c>
      <c r="D230" s="165">
        <v>11</v>
      </c>
      <c r="E230" s="165" t="s">
        <v>1148</v>
      </c>
      <c r="F230" s="114">
        <v>0</v>
      </c>
      <c r="G230" s="110">
        <v>0</v>
      </c>
      <c r="H230" s="110">
        <v>0</v>
      </c>
    </row>
    <row r="231" spans="2:8" ht="15" customHeight="1" x14ac:dyDescent="0.25">
      <c r="B231" s="338"/>
      <c r="C231" s="186" t="s">
        <v>563</v>
      </c>
      <c r="D231" s="165">
        <v>11</v>
      </c>
      <c r="E231" s="165" t="s">
        <v>1148</v>
      </c>
      <c r="F231" s="114">
        <v>2837.936595111787</v>
      </c>
      <c r="G231" s="110">
        <v>312.17302546229655</v>
      </c>
      <c r="H231" s="110">
        <v>85.138097853353599</v>
      </c>
    </row>
    <row r="232" spans="2:8" ht="15" customHeight="1" x14ac:dyDescent="0.25">
      <c r="B232" s="338"/>
      <c r="C232" s="186" t="s">
        <v>564</v>
      </c>
      <c r="D232" s="165">
        <v>11</v>
      </c>
      <c r="E232" s="165" t="s">
        <v>1148</v>
      </c>
      <c r="F232" s="114">
        <v>375.41110444995786</v>
      </c>
      <c r="G232" s="110">
        <v>41.295221489495368</v>
      </c>
      <c r="H232" s="110">
        <v>11.262333133498736</v>
      </c>
    </row>
    <row r="233" spans="2:8" ht="15" customHeight="1" x14ac:dyDescent="0.25">
      <c r="B233" s="338"/>
      <c r="C233" s="186" t="s">
        <v>565</v>
      </c>
      <c r="D233" s="165">
        <v>11</v>
      </c>
      <c r="E233" s="165" t="s">
        <v>1148</v>
      </c>
      <c r="F233" s="114">
        <v>94.190222351417873</v>
      </c>
      <c r="G233" s="110">
        <v>10.360924458655967</v>
      </c>
      <c r="H233" s="110">
        <v>2.825706670542536</v>
      </c>
    </row>
    <row r="234" spans="2:8" ht="15" customHeight="1" x14ac:dyDescent="0.25">
      <c r="B234" s="338"/>
      <c r="C234" s="186" t="s">
        <v>566</v>
      </c>
      <c r="D234" s="165">
        <v>11</v>
      </c>
      <c r="E234" s="165" t="s">
        <v>1148</v>
      </c>
      <c r="F234" s="114">
        <v>510.80151737301168</v>
      </c>
      <c r="G234" s="110">
        <v>56.188166911031288</v>
      </c>
      <c r="H234" s="110">
        <v>15.324045521190349</v>
      </c>
    </row>
    <row r="235" spans="2:8" ht="15" customHeight="1" x14ac:dyDescent="0.25">
      <c r="B235" s="338"/>
      <c r="C235" s="186" t="s">
        <v>567</v>
      </c>
      <c r="D235" s="165">
        <v>11</v>
      </c>
      <c r="E235" s="165" t="s">
        <v>1148</v>
      </c>
      <c r="F235" s="114">
        <v>132.77036751984397</v>
      </c>
      <c r="G235" s="110">
        <v>14.604740427182838</v>
      </c>
      <c r="H235" s="110">
        <v>3.9831110255953188</v>
      </c>
    </row>
    <row r="236" spans="2:8" ht="15" customHeight="1" x14ac:dyDescent="0.25">
      <c r="B236" s="338"/>
      <c r="C236" s="186" t="s">
        <v>568</v>
      </c>
      <c r="D236" s="165">
        <v>11</v>
      </c>
      <c r="E236" s="165" t="s">
        <v>1148</v>
      </c>
      <c r="F236" s="114">
        <v>526.79984511899863</v>
      </c>
      <c r="G236" s="110">
        <v>57.947982963089856</v>
      </c>
      <c r="H236" s="110">
        <v>15.80399535356996</v>
      </c>
    </row>
    <row r="237" spans="2:8" ht="15" customHeight="1" x14ac:dyDescent="0.25">
      <c r="B237" s="338"/>
      <c r="C237" s="186" t="s">
        <v>569</v>
      </c>
      <c r="D237" s="165">
        <v>11</v>
      </c>
      <c r="E237" s="165" t="s">
        <v>1148</v>
      </c>
      <c r="F237" s="114">
        <v>483.71909875473659</v>
      </c>
      <c r="G237" s="110">
        <v>53.209100863021035</v>
      </c>
      <c r="H237" s="110">
        <v>14.511572962642099</v>
      </c>
    </row>
    <row r="238" spans="2:8" ht="15" customHeight="1" x14ac:dyDescent="0.25">
      <c r="B238" s="338"/>
      <c r="C238" s="186" t="s">
        <v>570</v>
      </c>
      <c r="D238" s="165">
        <v>11</v>
      </c>
      <c r="E238" s="165" t="s">
        <v>1148</v>
      </c>
      <c r="F238" s="114">
        <v>601.89652070506327</v>
      </c>
      <c r="G238" s="110">
        <v>66.208617277556968</v>
      </c>
      <c r="H238" s="110">
        <v>18.056895621151899</v>
      </c>
    </row>
    <row r="239" spans="2:8" ht="15" customHeight="1" x14ac:dyDescent="0.25">
      <c r="B239" s="338"/>
      <c r="C239" s="186" t="s">
        <v>571</v>
      </c>
      <c r="D239" s="165">
        <v>11</v>
      </c>
      <c r="E239" s="165" t="s">
        <v>1148</v>
      </c>
      <c r="F239" s="114">
        <v>180.038620523166</v>
      </c>
      <c r="G239" s="110">
        <v>19.804248257548259</v>
      </c>
      <c r="H239" s="110">
        <v>5.40115861569498</v>
      </c>
    </row>
    <row r="240" spans="2:8" ht="15" customHeight="1" x14ac:dyDescent="0.25">
      <c r="B240" s="338"/>
      <c r="C240" s="186" t="s">
        <v>572</v>
      </c>
      <c r="D240" s="165">
        <v>11</v>
      </c>
      <c r="E240" s="165" t="s">
        <v>1148</v>
      </c>
      <c r="F240" s="114">
        <v>879.25124699884736</v>
      </c>
      <c r="G240" s="110">
        <v>96.717637169873214</v>
      </c>
      <c r="H240" s="110">
        <v>26.377537409965417</v>
      </c>
    </row>
    <row r="241" spans="2:8" ht="15" customHeight="1" x14ac:dyDescent="0.25">
      <c r="B241" s="338"/>
      <c r="C241" s="186" t="s">
        <v>573</v>
      </c>
      <c r="D241" s="165">
        <v>11</v>
      </c>
      <c r="E241" s="165" t="s">
        <v>1148</v>
      </c>
      <c r="F241" s="114">
        <v>1995.6357387211458</v>
      </c>
      <c r="G241" s="110">
        <v>219.51993125932603</v>
      </c>
      <c r="H241" s="110">
        <v>59.869072161634364</v>
      </c>
    </row>
    <row r="242" spans="2:8" ht="15" customHeight="1" x14ac:dyDescent="0.25">
      <c r="B242" s="338"/>
      <c r="C242" s="186" t="s">
        <v>574</v>
      </c>
      <c r="D242" s="165">
        <v>11</v>
      </c>
      <c r="E242" s="165" t="s">
        <v>1148</v>
      </c>
      <c r="F242" s="114">
        <v>1392.8285302493746</v>
      </c>
      <c r="G242" s="110">
        <v>153.21113832743123</v>
      </c>
      <c r="H242" s="110">
        <v>41.784855907481244</v>
      </c>
    </row>
    <row r="243" spans="2:8" ht="15" customHeight="1" x14ac:dyDescent="0.25">
      <c r="B243" s="338"/>
      <c r="C243" s="186" t="s">
        <v>575</v>
      </c>
      <c r="D243" s="165">
        <v>11</v>
      </c>
      <c r="E243" s="165" t="s">
        <v>1148</v>
      </c>
      <c r="F243" s="114">
        <v>0</v>
      </c>
      <c r="G243" s="110">
        <v>0</v>
      </c>
      <c r="H243" s="110">
        <v>0</v>
      </c>
    </row>
    <row r="244" spans="2:8" ht="15" customHeight="1" x14ac:dyDescent="0.25">
      <c r="B244" s="338"/>
      <c r="C244" s="186" t="s">
        <v>576</v>
      </c>
      <c r="D244" s="165">
        <v>11</v>
      </c>
      <c r="E244" s="165" t="s">
        <v>1148</v>
      </c>
      <c r="F244" s="114">
        <v>952.95999763962232</v>
      </c>
      <c r="G244" s="110">
        <v>104.82559974035846</v>
      </c>
      <c r="H244" s="110">
        <v>28.588799929188671</v>
      </c>
    </row>
    <row r="245" spans="2:8" ht="15" customHeight="1" x14ac:dyDescent="0.25">
      <c r="B245" s="338"/>
      <c r="C245" s="186" t="s">
        <v>405</v>
      </c>
      <c r="D245" s="165">
        <v>11</v>
      </c>
      <c r="E245" s="165" t="s">
        <v>1148</v>
      </c>
      <c r="F245" s="114">
        <v>155.58627363371755</v>
      </c>
      <c r="G245" s="110">
        <v>17.114490099708931</v>
      </c>
      <c r="H245" s="110">
        <v>4.6675882090115266</v>
      </c>
    </row>
    <row r="246" spans="2:8" ht="15" customHeight="1" x14ac:dyDescent="0.25">
      <c r="B246" s="338"/>
      <c r="C246" s="186" t="s">
        <v>577</v>
      </c>
      <c r="D246" s="165">
        <v>11</v>
      </c>
      <c r="E246" s="165" t="s">
        <v>1148</v>
      </c>
      <c r="F246" s="114">
        <v>89.024060850832257</v>
      </c>
      <c r="G246" s="110">
        <v>9.7926466935915499</v>
      </c>
      <c r="H246" s="110">
        <v>2.6707218255249678</v>
      </c>
    </row>
    <row r="247" spans="2:8" ht="15" customHeight="1" x14ac:dyDescent="0.25">
      <c r="B247" s="338"/>
      <c r="C247" s="186" t="s">
        <v>578</v>
      </c>
      <c r="D247" s="165">
        <v>11</v>
      </c>
      <c r="E247" s="165" t="s">
        <v>1148</v>
      </c>
      <c r="F247" s="114">
        <v>0</v>
      </c>
      <c r="G247" s="110">
        <v>0</v>
      </c>
      <c r="H247" s="110">
        <v>0</v>
      </c>
    </row>
    <row r="248" spans="2:8" ht="15" customHeight="1" x14ac:dyDescent="0.25">
      <c r="B248" s="338"/>
      <c r="C248" s="186" t="s">
        <v>579</v>
      </c>
      <c r="D248" s="165">
        <v>11</v>
      </c>
      <c r="E248" s="165" t="s">
        <v>1148</v>
      </c>
      <c r="F248" s="114">
        <v>0</v>
      </c>
      <c r="G248" s="110">
        <v>0</v>
      </c>
      <c r="H248" s="110">
        <v>0</v>
      </c>
    </row>
    <row r="249" spans="2:8" ht="15" customHeight="1" x14ac:dyDescent="0.25">
      <c r="B249" s="329" t="s">
        <v>580</v>
      </c>
      <c r="C249" s="186" t="s">
        <v>581</v>
      </c>
      <c r="D249" s="165">
        <v>24</v>
      </c>
      <c r="E249" s="186" t="s">
        <v>1144</v>
      </c>
      <c r="F249" s="119">
        <v>14.060590514578088</v>
      </c>
      <c r="G249" s="95">
        <v>1.5466649566035895</v>
      </c>
      <c r="H249" s="95">
        <v>0.42181771543734253</v>
      </c>
    </row>
    <row r="250" spans="2:8" ht="15" customHeight="1" x14ac:dyDescent="0.25">
      <c r="B250" s="329"/>
      <c r="C250" s="186" t="s">
        <v>582</v>
      </c>
      <c r="D250" s="165">
        <v>24</v>
      </c>
      <c r="E250" s="186" t="s">
        <v>1144</v>
      </c>
      <c r="F250" s="119">
        <v>15.556112290051075</v>
      </c>
      <c r="G250" s="95">
        <v>1.7111723519056186</v>
      </c>
      <c r="H250" s="95">
        <v>0.46668336870153221</v>
      </c>
    </row>
    <row r="251" spans="2:8" ht="15" customHeight="1" x14ac:dyDescent="0.25">
      <c r="B251" s="329"/>
      <c r="C251" s="186" t="s">
        <v>583</v>
      </c>
      <c r="D251" s="165">
        <v>24</v>
      </c>
      <c r="E251" s="186" t="s">
        <v>1144</v>
      </c>
      <c r="F251" s="119">
        <v>0</v>
      </c>
      <c r="G251" s="95">
        <v>0</v>
      </c>
      <c r="H251" s="95">
        <v>0</v>
      </c>
    </row>
    <row r="252" spans="2:8" ht="15" customHeight="1" x14ac:dyDescent="0.25">
      <c r="B252" s="329"/>
      <c r="C252" s="186" t="s">
        <v>584</v>
      </c>
      <c r="D252" s="165">
        <v>24</v>
      </c>
      <c r="E252" s="186" t="s">
        <v>1144</v>
      </c>
      <c r="F252" s="119">
        <v>0</v>
      </c>
      <c r="G252" s="95">
        <v>0</v>
      </c>
      <c r="H252" s="95">
        <v>0</v>
      </c>
    </row>
    <row r="253" spans="2:8" ht="15" customHeight="1" x14ac:dyDescent="0.25">
      <c r="B253" s="329"/>
      <c r="C253" s="186" t="s">
        <v>585</v>
      </c>
      <c r="D253" s="165">
        <v>24</v>
      </c>
      <c r="E253" s="186" t="s">
        <v>1144</v>
      </c>
      <c r="F253" s="119">
        <v>0</v>
      </c>
      <c r="G253" s="95">
        <v>0</v>
      </c>
      <c r="H253" s="95">
        <v>0</v>
      </c>
    </row>
    <row r="254" spans="2:8" ht="15" customHeight="1" x14ac:dyDescent="0.25">
      <c r="B254" s="329"/>
      <c r="C254" s="186" t="s">
        <v>586</v>
      </c>
      <c r="D254" s="165">
        <v>24</v>
      </c>
      <c r="E254" s="186" t="s">
        <v>1144</v>
      </c>
      <c r="F254" s="119">
        <v>22.153516352872234</v>
      </c>
      <c r="G254" s="95">
        <v>2.4368867988159457</v>
      </c>
      <c r="H254" s="95">
        <v>0.66460549058616702</v>
      </c>
    </row>
    <row r="255" spans="2:8" ht="15" customHeight="1" x14ac:dyDescent="0.25">
      <c r="B255" s="329"/>
      <c r="C255" s="186" t="s">
        <v>587</v>
      </c>
      <c r="D255" s="165">
        <v>24</v>
      </c>
      <c r="E255" s="186" t="s">
        <v>1144</v>
      </c>
      <c r="F255" s="119">
        <v>0</v>
      </c>
      <c r="G255" s="95">
        <v>0</v>
      </c>
      <c r="H255" s="95">
        <v>0</v>
      </c>
    </row>
    <row r="256" spans="2:8" ht="15" customHeight="1" x14ac:dyDescent="0.25">
      <c r="B256" s="329"/>
      <c r="C256" s="186" t="s">
        <v>588</v>
      </c>
      <c r="D256" s="165">
        <v>24</v>
      </c>
      <c r="E256" s="186" t="s">
        <v>1144</v>
      </c>
      <c r="F256" s="119">
        <v>0</v>
      </c>
      <c r="G256" s="95">
        <v>0</v>
      </c>
      <c r="H256" s="95">
        <v>0</v>
      </c>
    </row>
    <row r="257" spans="2:8" ht="15" customHeight="1" x14ac:dyDescent="0.25">
      <c r="B257" s="329"/>
      <c r="C257" s="186" t="s">
        <v>589</v>
      </c>
      <c r="D257" s="165">
        <v>24</v>
      </c>
      <c r="E257" s="186" t="s">
        <v>1144</v>
      </c>
      <c r="F257" s="119">
        <v>0</v>
      </c>
      <c r="G257" s="95">
        <v>0</v>
      </c>
      <c r="H257" s="95">
        <v>0</v>
      </c>
    </row>
    <row r="258" spans="2:8" ht="15" customHeight="1" x14ac:dyDescent="0.25">
      <c r="B258" s="329"/>
      <c r="C258" s="186" t="s">
        <v>590</v>
      </c>
      <c r="D258" s="165">
        <v>24</v>
      </c>
      <c r="E258" s="186" t="s">
        <v>1144</v>
      </c>
      <c r="F258" s="119">
        <v>0</v>
      </c>
      <c r="G258" s="95">
        <v>0</v>
      </c>
      <c r="H258" s="95">
        <v>0</v>
      </c>
    </row>
    <row r="259" spans="2:8" ht="15" customHeight="1" x14ac:dyDescent="0.25">
      <c r="B259" s="329"/>
      <c r="C259" s="186" t="s">
        <v>591</v>
      </c>
      <c r="D259" s="165">
        <v>24</v>
      </c>
      <c r="E259" s="186" t="s">
        <v>1144</v>
      </c>
      <c r="F259" s="119">
        <v>0</v>
      </c>
      <c r="G259" s="95">
        <v>0</v>
      </c>
      <c r="H259" s="95">
        <v>0</v>
      </c>
    </row>
    <row r="260" spans="2:8" ht="15" customHeight="1" x14ac:dyDescent="0.25">
      <c r="B260" s="329"/>
      <c r="C260" s="186" t="s">
        <v>592</v>
      </c>
      <c r="D260" s="165">
        <v>24</v>
      </c>
      <c r="E260" s="186" t="s">
        <v>1144</v>
      </c>
      <c r="F260" s="119">
        <v>0</v>
      </c>
      <c r="G260" s="95">
        <v>0</v>
      </c>
      <c r="H260" s="95">
        <v>0</v>
      </c>
    </row>
    <row r="261" spans="2:8" ht="15" customHeight="1" x14ac:dyDescent="0.25">
      <c r="B261" s="329"/>
      <c r="C261" s="186" t="s">
        <v>593</v>
      </c>
      <c r="D261" s="165">
        <v>12</v>
      </c>
      <c r="E261" s="186" t="s">
        <v>598</v>
      </c>
      <c r="F261" s="119">
        <v>0</v>
      </c>
      <c r="G261" s="95">
        <v>0</v>
      </c>
      <c r="H261" s="95">
        <v>0</v>
      </c>
    </row>
    <row r="262" spans="2:8" ht="15" customHeight="1" x14ac:dyDescent="0.25">
      <c r="B262" s="329"/>
      <c r="C262" s="186" t="s">
        <v>594</v>
      </c>
      <c r="D262" s="165">
        <v>12</v>
      </c>
      <c r="E262" s="186" t="s">
        <v>598</v>
      </c>
      <c r="F262" s="119">
        <v>0</v>
      </c>
      <c r="G262" s="120">
        <v>0</v>
      </c>
      <c r="H262" s="121">
        <v>0</v>
      </c>
    </row>
    <row r="263" spans="2:8" ht="15" customHeight="1" x14ac:dyDescent="0.25">
      <c r="B263" s="329"/>
      <c r="C263" s="186" t="s">
        <v>595</v>
      </c>
      <c r="D263" s="165">
        <v>12</v>
      </c>
      <c r="E263" s="186" t="s">
        <v>598</v>
      </c>
      <c r="F263" s="119">
        <v>0</v>
      </c>
      <c r="G263" s="120">
        <v>0</v>
      </c>
      <c r="H263" s="121">
        <v>0</v>
      </c>
    </row>
    <row r="264" spans="2:8" ht="15" customHeight="1" x14ac:dyDescent="0.25">
      <c r="B264" s="329"/>
      <c r="C264" s="186" t="s">
        <v>596</v>
      </c>
      <c r="D264" s="218">
        <v>25</v>
      </c>
      <c r="E264" s="218" t="s">
        <v>1149</v>
      </c>
      <c r="F264" s="119">
        <v>0</v>
      </c>
      <c r="G264" s="120">
        <v>0</v>
      </c>
      <c r="H264" s="121">
        <v>0</v>
      </c>
    </row>
    <row r="265" spans="2:8" ht="15" customHeight="1" x14ac:dyDescent="0.25">
      <c r="B265" s="329"/>
      <c r="C265" s="186" t="s">
        <v>597</v>
      </c>
      <c r="D265" s="218">
        <v>25</v>
      </c>
      <c r="E265" s="218" t="s">
        <v>1149</v>
      </c>
      <c r="F265" s="119">
        <v>0</v>
      </c>
      <c r="G265" s="120">
        <v>0</v>
      </c>
      <c r="H265" s="121">
        <v>0</v>
      </c>
    </row>
    <row r="266" spans="2:8" ht="15" customHeight="1" x14ac:dyDescent="0.25">
      <c r="B266" s="329"/>
      <c r="C266" s="186" t="s">
        <v>598</v>
      </c>
      <c r="D266" s="165">
        <v>12</v>
      </c>
      <c r="E266" s="186" t="s">
        <v>598</v>
      </c>
      <c r="F266" s="119">
        <v>0</v>
      </c>
      <c r="G266" s="120">
        <v>0</v>
      </c>
      <c r="H266" s="121">
        <v>0</v>
      </c>
    </row>
    <row r="267" spans="2:8" ht="15" customHeight="1" x14ac:dyDescent="0.25">
      <c r="B267" s="329"/>
      <c r="C267" s="186" t="s">
        <v>474</v>
      </c>
      <c r="D267" s="165">
        <v>24</v>
      </c>
      <c r="E267" s="186" t="s">
        <v>1144</v>
      </c>
      <c r="F267" s="119">
        <v>0</v>
      </c>
      <c r="G267" s="120">
        <v>0</v>
      </c>
      <c r="H267" s="121">
        <v>0</v>
      </c>
    </row>
    <row r="268" spans="2:8" ht="15" customHeight="1" x14ac:dyDescent="0.25">
      <c r="B268" s="329"/>
      <c r="C268" s="186" t="s">
        <v>599</v>
      </c>
      <c r="D268" s="165">
        <v>24</v>
      </c>
      <c r="E268" s="186" t="s">
        <v>1144</v>
      </c>
      <c r="F268" s="119">
        <v>271.21995286750632</v>
      </c>
      <c r="G268" s="120">
        <v>29.8341948154257</v>
      </c>
      <c r="H268" s="121">
        <v>8.1365985860251904</v>
      </c>
    </row>
    <row r="269" spans="2:8" ht="15" customHeight="1" x14ac:dyDescent="0.25">
      <c r="B269" s="329"/>
      <c r="C269" s="186" t="s">
        <v>600</v>
      </c>
      <c r="D269" s="165">
        <v>24</v>
      </c>
      <c r="E269" s="186" t="s">
        <v>1144</v>
      </c>
      <c r="F269" s="119">
        <v>1576.1547664485965</v>
      </c>
      <c r="G269" s="120">
        <v>173.37702430934567</v>
      </c>
      <c r="H269" s="121">
        <v>47.284642993457901</v>
      </c>
    </row>
    <row r="270" spans="2:8" ht="15" customHeight="1" x14ac:dyDescent="0.25">
      <c r="B270" s="329"/>
      <c r="C270" s="186" t="s">
        <v>601</v>
      </c>
      <c r="D270" s="165">
        <v>24</v>
      </c>
      <c r="E270" s="186" t="s">
        <v>1144</v>
      </c>
      <c r="F270" s="119">
        <v>797.58989109443223</v>
      </c>
      <c r="G270" s="120">
        <v>87.734888020387558</v>
      </c>
      <c r="H270" s="121">
        <v>23.927696732832967</v>
      </c>
    </row>
    <row r="271" spans="2:8" ht="15" customHeight="1" x14ac:dyDescent="0.25">
      <c r="B271" s="329"/>
      <c r="C271" s="186" t="s">
        <v>602</v>
      </c>
      <c r="D271" s="165">
        <v>12</v>
      </c>
      <c r="E271" s="186" t="s">
        <v>598</v>
      </c>
      <c r="F271" s="119">
        <v>81.424388775381928</v>
      </c>
      <c r="G271" s="120">
        <v>8.9566827652920136</v>
      </c>
      <c r="H271" s="121">
        <v>2.442731663261458</v>
      </c>
    </row>
    <row r="272" spans="2:8" ht="15" customHeight="1" x14ac:dyDescent="0.25">
      <c r="B272" s="329"/>
      <c r="C272" s="186" t="s">
        <v>603</v>
      </c>
      <c r="D272" s="165">
        <v>12</v>
      </c>
      <c r="E272" s="186" t="s">
        <v>598</v>
      </c>
      <c r="F272" s="119">
        <v>404.02569038315676</v>
      </c>
      <c r="G272" s="120">
        <v>44.442825942147245</v>
      </c>
      <c r="H272" s="121">
        <v>12.120770711494702</v>
      </c>
    </row>
    <row r="273" spans="2:8" ht="15" customHeight="1" x14ac:dyDescent="0.25">
      <c r="B273" s="329"/>
      <c r="C273" s="186" t="s">
        <v>604</v>
      </c>
      <c r="D273" s="165">
        <v>12</v>
      </c>
      <c r="E273" s="186" t="s">
        <v>598</v>
      </c>
      <c r="F273" s="119">
        <v>323.80830492463167</v>
      </c>
      <c r="G273" s="120">
        <v>35.618913541709482</v>
      </c>
      <c r="H273" s="121">
        <v>9.7142491477389488</v>
      </c>
    </row>
    <row r="274" spans="2:8" ht="15" customHeight="1" x14ac:dyDescent="0.25">
      <c r="B274" s="329"/>
      <c r="C274" s="186" t="s">
        <v>605</v>
      </c>
      <c r="D274" s="165">
        <v>12</v>
      </c>
      <c r="E274" s="186" t="s">
        <v>598</v>
      </c>
      <c r="F274" s="119">
        <v>0</v>
      </c>
      <c r="G274" s="120">
        <v>0</v>
      </c>
      <c r="H274" s="121">
        <v>0</v>
      </c>
    </row>
    <row r="275" spans="2:8" ht="15" customHeight="1" x14ac:dyDescent="0.25">
      <c r="B275" s="329"/>
      <c r="C275" s="186" t="s">
        <v>606</v>
      </c>
      <c r="D275" s="165">
        <v>8</v>
      </c>
      <c r="E275" s="186" t="s">
        <v>606</v>
      </c>
      <c r="F275" s="141">
        <v>1401.0208285567171</v>
      </c>
      <c r="G275" s="99">
        <v>154.11229114123887</v>
      </c>
      <c r="H275" s="142">
        <v>42.030624856701507</v>
      </c>
    </row>
    <row r="276" spans="2:8" ht="15" customHeight="1" x14ac:dyDescent="0.25">
      <c r="B276" s="329"/>
      <c r="C276" s="186" t="s">
        <v>607</v>
      </c>
      <c r="D276" s="165">
        <v>10</v>
      </c>
      <c r="E276" s="186" t="s">
        <v>1150</v>
      </c>
      <c r="F276" s="141">
        <v>1937.1657468934441</v>
      </c>
      <c r="G276" s="99">
        <v>213.08823215827888</v>
      </c>
      <c r="H276" s="142">
        <v>58.114972406803325</v>
      </c>
    </row>
    <row r="277" spans="2:8" ht="15" customHeight="1" x14ac:dyDescent="0.25">
      <c r="B277" s="329"/>
      <c r="C277" s="186" t="s">
        <v>608</v>
      </c>
      <c r="D277" s="165">
        <v>24</v>
      </c>
      <c r="E277" s="186" t="s">
        <v>1144</v>
      </c>
      <c r="F277" s="119">
        <v>13.224078185702144</v>
      </c>
      <c r="G277" s="120">
        <v>1.4546486004272361</v>
      </c>
      <c r="H277" s="121">
        <v>0.39672234557106428</v>
      </c>
    </row>
    <row r="278" spans="2:8" ht="15" customHeight="1" x14ac:dyDescent="0.25">
      <c r="B278" s="329"/>
      <c r="C278" s="186" t="s">
        <v>609</v>
      </c>
      <c r="D278" s="165">
        <v>12</v>
      </c>
      <c r="E278" s="186" t="s">
        <v>598</v>
      </c>
      <c r="F278" s="119">
        <v>130.04901561001884</v>
      </c>
      <c r="G278" s="120">
        <v>14.305391717102072</v>
      </c>
      <c r="H278" s="121">
        <v>3.9014704683005648</v>
      </c>
    </row>
    <row r="279" spans="2:8" ht="15" customHeight="1" x14ac:dyDescent="0.25">
      <c r="B279" s="329"/>
      <c r="C279" s="186" t="s">
        <v>610</v>
      </c>
      <c r="D279" s="165">
        <v>24</v>
      </c>
      <c r="E279" s="186" t="s">
        <v>1144</v>
      </c>
      <c r="F279" s="119">
        <v>690.2238127599544</v>
      </c>
      <c r="G279" s="120">
        <v>75.924619403595003</v>
      </c>
      <c r="H279" s="121">
        <v>20.706714382798634</v>
      </c>
    </row>
    <row r="280" spans="2:8" ht="15" customHeight="1" x14ac:dyDescent="0.25">
      <c r="B280" s="329"/>
      <c r="C280" s="186" t="s">
        <v>611</v>
      </c>
      <c r="D280" s="165">
        <v>24</v>
      </c>
      <c r="E280" s="186" t="s">
        <v>1144</v>
      </c>
      <c r="F280" s="119">
        <v>0</v>
      </c>
      <c r="G280" s="120">
        <v>0</v>
      </c>
      <c r="H280" s="121">
        <v>0</v>
      </c>
    </row>
    <row r="281" spans="2:8" ht="15" customHeight="1" x14ac:dyDescent="0.25">
      <c r="B281" s="329"/>
      <c r="C281" s="186" t="s">
        <v>612</v>
      </c>
      <c r="D281" s="165">
        <v>24</v>
      </c>
      <c r="E281" s="186" t="s">
        <v>1144</v>
      </c>
      <c r="F281" s="119">
        <v>166.17859784910013</v>
      </c>
      <c r="G281" s="120">
        <v>18.279645763401014</v>
      </c>
      <c r="H281" s="121">
        <v>4.9853579354730035</v>
      </c>
    </row>
    <row r="282" spans="2:8" ht="15" customHeight="1" x14ac:dyDescent="0.25">
      <c r="B282" s="329"/>
      <c r="C282" s="186" t="s">
        <v>613</v>
      </c>
      <c r="D282" s="165">
        <v>24</v>
      </c>
      <c r="E282" s="186" t="s">
        <v>1144</v>
      </c>
      <c r="F282" s="119">
        <v>2612.1236025248468</v>
      </c>
      <c r="G282" s="120">
        <v>287.33359627773314</v>
      </c>
      <c r="H282" s="121">
        <v>78.363708075745393</v>
      </c>
    </row>
    <row r="283" spans="2:8" ht="15" customHeight="1" x14ac:dyDescent="0.25">
      <c r="B283" s="329"/>
      <c r="C283" s="186" t="s">
        <v>614</v>
      </c>
      <c r="D283" s="165">
        <v>24</v>
      </c>
      <c r="E283" s="186" t="s">
        <v>1144</v>
      </c>
      <c r="F283" s="119">
        <v>1208.5209718240783</v>
      </c>
      <c r="G283" s="120">
        <v>132.93730690064862</v>
      </c>
      <c r="H283" s="121">
        <v>36.255629154722342</v>
      </c>
    </row>
    <row r="284" spans="2:8" ht="15" customHeight="1" x14ac:dyDescent="0.25">
      <c r="B284" s="329"/>
      <c r="C284" s="186" t="s">
        <v>615</v>
      </c>
      <c r="D284" s="165">
        <v>24</v>
      </c>
      <c r="E284" s="186" t="s">
        <v>1144</v>
      </c>
      <c r="F284" s="119">
        <v>69.007758388045033</v>
      </c>
      <c r="G284" s="120">
        <v>7.5908534226849547</v>
      </c>
      <c r="H284" s="121">
        <v>2.0702327516413508</v>
      </c>
    </row>
    <row r="285" spans="2:8" ht="15" customHeight="1" x14ac:dyDescent="0.25">
      <c r="B285" s="329"/>
      <c r="C285" s="186" t="s">
        <v>616</v>
      </c>
      <c r="D285" s="165">
        <v>24</v>
      </c>
      <c r="E285" s="186" t="s">
        <v>1144</v>
      </c>
      <c r="F285" s="119">
        <v>1067.4855370041851</v>
      </c>
      <c r="G285" s="120">
        <v>117.42340907046035</v>
      </c>
      <c r="H285" s="121">
        <v>32.024566110125548</v>
      </c>
    </row>
    <row r="286" spans="2:8" ht="15" customHeight="1" x14ac:dyDescent="0.25">
      <c r="B286" s="329"/>
      <c r="C286" s="186" t="s">
        <v>617</v>
      </c>
      <c r="D286" s="165">
        <v>24</v>
      </c>
      <c r="E286" s="186" t="s">
        <v>1144</v>
      </c>
      <c r="F286" s="119">
        <v>1249.9806403615216</v>
      </c>
      <c r="G286" s="120">
        <v>137.49787043976741</v>
      </c>
      <c r="H286" s="121">
        <v>37.499419210845659</v>
      </c>
    </row>
    <row r="287" spans="2:8" x14ac:dyDescent="0.25">
      <c r="B287" s="330" t="s">
        <v>618</v>
      </c>
      <c r="C287" s="186" t="s">
        <v>619</v>
      </c>
      <c r="D287" s="165">
        <v>12</v>
      </c>
      <c r="E287" s="186" t="s">
        <v>598</v>
      </c>
      <c r="F287" s="122">
        <v>0</v>
      </c>
      <c r="G287" s="123">
        <v>0</v>
      </c>
      <c r="H287" s="123">
        <v>0</v>
      </c>
    </row>
    <row r="288" spans="2:8" x14ac:dyDescent="0.25">
      <c r="B288" s="331"/>
      <c r="C288" s="186" t="s">
        <v>620</v>
      </c>
      <c r="D288" s="165">
        <v>12</v>
      </c>
      <c r="E288" s="186" t="s">
        <v>598</v>
      </c>
      <c r="F288" s="122">
        <v>0</v>
      </c>
      <c r="G288" s="123">
        <v>0</v>
      </c>
      <c r="H288" s="123">
        <v>0</v>
      </c>
    </row>
    <row r="289" spans="2:8" x14ac:dyDescent="0.25">
      <c r="B289" s="331"/>
      <c r="C289" s="186" t="s">
        <v>621</v>
      </c>
      <c r="D289" s="165">
        <v>12</v>
      </c>
      <c r="E289" s="186" t="s">
        <v>598</v>
      </c>
      <c r="F289" s="122">
        <v>0</v>
      </c>
      <c r="G289" s="123">
        <v>0</v>
      </c>
      <c r="H289" s="123">
        <v>0</v>
      </c>
    </row>
    <row r="290" spans="2:8" x14ac:dyDescent="0.25">
      <c r="B290" s="331"/>
      <c r="C290" s="186" t="s">
        <v>622</v>
      </c>
      <c r="D290" s="165">
        <v>12</v>
      </c>
      <c r="E290" s="186" t="s">
        <v>598</v>
      </c>
      <c r="F290" s="122">
        <v>0</v>
      </c>
      <c r="G290" s="123">
        <v>0</v>
      </c>
      <c r="H290" s="123">
        <v>0</v>
      </c>
    </row>
    <row r="291" spans="2:8" x14ac:dyDescent="0.25">
      <c r="B291" s="331"/>
      <c r="C291" s="186" t="s">
        <v>623</v>
      </c>
      <c r="D291" s="165">
        <v>12</v>
      </c>
      <c r="E291" s="186" t="s">
        <v>598</v>
      </c>
      <c r="F291" s="122">
        <v>0</v>
      </c>
      <c r="G291" s="123">
        <v>0</v>
      </c>
      <c r="H291" s="123">
        <v>0</v>
      </c>
    </row>
    <row r="292" spans="2:8" x14ac:dyDescent="0.25">
      <c r="B292" s="331"/>
      <c r="C292" s="186" t="s">
        <v>624</v>
      </c>
      <c r="D292" s="165">
        <v>12</v>
      </c>
      <c r="E292" s="186" t="s">
        <v>598</v>
      </c>
      <c r="F292" s="122">
        <v>0</v>
      </c>
      <c r="G292" s="123">
        <v>0</v>
      </c>
      <c r="H292" s="123">
        <v>0</v>
      </c>
    </row>
    <row r="293" spans="2:8" x14ac:dyDescent="0.25">
      <c r="B293" s="331"/>
      <c r="C293" s="186" t="s">
        <v>625</v>
      </c>
      <c r="D293" s="165">
        <v>12</v>
      </c>
      <c r="E293" s="186" t="s">
        <v>598</v>
      </c>
      <c r="F293" s="122">
        <v>0</v>
      </c>
      <c r="G293" s="123">
        <v>0</v>
      </c>
      <c r="H293" s="123">
        <v>0</v>
      </c>
    </row>
    <row r="294" spans="2:8" x14ac:dyDescent="0.25">
      <c r="B294" s="331"/>
      <c r="C294" s="186" t="s">
        <v>626</v>
      </c>
      <c r="D294" s="165">
        <v>24</v>
      </c>
      <c r="E294" s="186" t="s">
        <v>1144</v>
      </c>
      <c r="F294" s="122">
        <v>0</v>
      </c>
      <c r="G294" s="123">
        <v>0</v>
      </c>
      <c r="H294" s="123">
        <v>0</v>
      </c>
    </row>
    <row r="295" spans="2:8" x14ac:dyDescent="0.25">
      <c r="B295" s="331"/>
      <c r="C295" s="186" t="s">
        <v>627</v>
      </c>
      <c r="D295" s="165">
        <v>24</v>
      </c>
      <c r="E295" s="186" t="s">
        <v>1144</v>
      </c>
      <c r="F295" s="122">
        <v>0</v>
      </c>
      <c r="G295" s="123">
        <v>0</v>
      </c>
      <c r="H295" s="123">
        <v>0</v>
      </c>
    </row>
    <row r="296" spans="2:8" x14ac:dyDescent="0.25">
      <c r="B296" s="331"/>
      <c r="C296" s="186" t="s">
        <v>598</v>
      </c>
      <c r="D296" s="165">
        <v>12</v>
      </c>
      <c r="E296" s="186" t="s">
        <v>598</v>
      </c>
      <c r="F296" s="122">
        <v>0</v>
      </c>
      <c r="G296" s="123">
        <v>0</v>
      </c>
      <c r="H296" s="123">
        <v>0</v>
      </c>
    </row>
    <row r="297" spans="2:8" x14ac:dyDescent="0.25">
      <c r="B297" s="331"/>
      <c r="C297" s="186" t="s">
        <v>628</v>
      </c>
      <c r="D297" s="165">
        <v>12</v>
      </c>
      <c r="E297" s="186" t="s">
        <v>598</v>
      </c>
      <c r="F297" s="122">
        <v>0</v>
      </c>
      <c r="G297" s="123">
        <v>0</v>
      </c>
      <c r="H297" s="123">
        <v>0</v>
      </c>
    </row>
    <row r="298" spans="2:8" x14ac:dyDescent="0.25">
      <c r="B298" s="331"/>
      <c r="C298" s="186" t="s">
        <v>629</v>
      </c>
      <c r="D298" s="165">
        <v>12</v>
      </c>
      <c r="E298" s="186" t="s">
        <v>598</v>
      </c>
      <c r="F298" s="122">
        <v>390.3107113065812</v>
      </c>
      <c r="G298" s="123">
        <v>42.934178243723935</v>
      </c>
      <c r="H298" s="123">
        <v>11.709321339197437</v>
      </c>
    </row>
    <row r="299" spans="2:8" x14ac:dyDescent="0.25">
      <c r="B299" s="331"/>
      <c r="C299" s="186" t="s">
        <v>630</v>
      </c>
      <c r="D299" s="165">
        <v>12</v>
      </c>
      <c r="E299" s="186" t="s">
        <v>598</v>
      </c>
      <c r="F299" s="122">
        <v>0</v>
      </c>
      <c r="G299" s="123">
        <v>0</v>
      </c>
      <c r="H299" s="123">
        <v>0</v>
      </c>
    </row>
    <row r="300" spans="2:8" x14ac:dyDescent="0.25">
      <c r="B300" s="331"/>
      <c r="C300" s="186" t="s">
        <v>631</v>
      </c>
      <c r="D300" s="165">
        <v>12</v>
      </c>
      <c r="E300" s="186" t="s">
        <v>598</v>
      </c>
      <c r="F300" s="122">
        <v>0</v>
      </c>
      <c r="G300" s="123">
        <v>0</v>
      </c>
      <c r="H300" s="123">
        <v>0</v>
      </c>
    </row>
    <row r="301" spans="2:8" x14ac:dyDescent="0.25">
      <c r="B301" s="331"/>
      <c r="C301" s="186" t="s">
        <v>632</v>
      </c>
      <c r="D301" s="165">
        <v>12</v>
      </c>
      <c r="E301" s="186" t="s">
        <v>598</v>
      </c>
      <c r="F301" s="122">
        <v>188.44846437770633</v>
      </c>
      <c r="G301" s="123">
        <v>20.729331081547699</v>
      </c>
      <c r="H301" s="123">
        <v>5.6534539313311898</v>
      </c>
    </row>
    <row r="302" spans="2:8" x14ac:dyDescent="0.25">
      <c r="B302" s="331"/>
      <c r="C302" s="186" t="s">
        <v>633</v>
      </c>
      <c r="D302" s="165">
        <v>12</v>
      </c>
      <c r="E302" s="186" t="s">
        <v>598</v>
      </c>
      <c r="F302" s="122">
        <v>0</v>
      </c>
      <c r="G302" s="123">
        <v>0</v>
      </c>
      <c r="H302" s="123">
        <v>0</v>
      </c>
    </row>
    <row r="303" spans="2:8" x14ac:dyDescent="0.25">
      <c r="B303" s="331"/>
      <c r="C303" s="186" t="s">
        <v>634</v>
      </c>
      <c r="D303" s="165">
        <v>12</v>
      </c>
      <c r="E303" s="186" t="s">
        <v>598</v>
      </c>
      <c r="F303" s="122">
        <v>0</v>
      </c>
      <c r="G303" s="123">
        <v>0</v>
      </c>
      <c r="H303" s="123">
        <v>0</v>
      </c>
    </row>
    <row r="304" spans="2:8" x14ac:dyDescent="0.25">
      <c r="B304" s="331"/>
      <c r="C304" s="186" t="s">
        <v>635</v>
      </c>
      <c r="D304" s="165">
        <v>12</v>
      </c>
      <c r="E304" s="186" t="s">
        <v>598</v>
      </c>
      <c r="F304" s="122">
        <v>25.829860371438475</v>
      </c>
      <c r="G304" s="123">
        <v>2.8412846408582326</v>
      </c>
      <c r="H304" s="123">
        <v>0.7748958111431542</v>
      </c>
    </row>
    <row r="305" spans="2:8" x14ac:dyDescent="0.25">
      <c r="B305" s="331"/>
      <c r="C305" s="186" t="s">
        <v>636</v>
      </c>
      <c r="D305" s="165">
        <v>12</v>
      </c>
      <c r="E305" s="186" t="s">
        <v>598</v>
      </c>
      <c r="F305" s="122">
        <v>0</v>
      </c>
      <c r="G305" s="123">
        <v>0</v>
      </c>
      <c r="H305" s="123">
        <v>0</v>
      </c>
    </row>
    <row r="306" spans="2:8" x14ac:dyDescent="0.25">
      <c r="B306" s="331"/>
      <c r="C306" s="186" t="s">
        <v>637</v>
      </c>
      <c r="D306" s="165">
        <v>12</v>
      </c>
      <c r="E306" s="186" t="s">
        <v>598</v>
      </c>
      <c r="F306" s="122">
        <v>0</v>
      </c>
      <c r="G306" s="123">
        <v>0</v>
      </c>
      <c r="H306" s="123">
        <v>0</v>
      </c>
    </row>
    <row r="307" spans="2:8" x14ac:dyDescent="0.25">
      <c r="B307" s="331"/>
      <c r="C307" s="186" t="s">
        <v>638</v>
      </c>
      <c r="D307" s="165">
        <v>12</v>
      </c>
      <c r="E307" s="186" t="s">
        <v>598</v>
      </c>
      <c r="F307" s="122">
        <v>70.084243956689377</v>
      </c>
      <c r="G307" s="123">
        <v>7.7092668352358311</v>
      </c>
      <c r="H307" s="123">
        <v>2.1025273187006812</v>
      </c>
    </row>
    <row r="308" spans="2:8" x14ac:dyDescent="0.25">
      <c r="B308" s="331"/>
      <c r="C308" s="186" t="s">
        <v>639</v>
      </c>
      <c r="D308" s="165">
        <v>12</v>
      </c>
      <c r="E308" s="186" t="s">
        <v>598</v>
      </c>
      <c r="F308" s="122">
        <v>1.8609223982373979</v>
      </c>
      <c r="G308" s="123">
        <v>0.20470146380611379</v>
      </c>
      <c r="H308" s="123">
        <v>5.5827671947121932E-2</v>
      </c>
    </row>
    <row r="309" spans="2:8" x14ac:dyDescent="0.25">
      <c r="B309" s="331"/>
      <c r="C309" s="186" t="s">
        <v>640</v>
      </c>
      <c r="D309" s="165">
        <v>12</v>
      </c>
      <c r="E309" s="186" t="s">
        <v>598</v>
      </c>
      <c r="F309" s="122">
        <v>521.85749427011183</v>
      </c>
      <c r="G309" s="123">
        <v>57.404324369712306</v>
      </c>
      <c r="H309" s="123">
        <v>15.655724828103354</v>
      </c>
    </row>
    <row r="310" spans="2:8" x14ac:dyDescent="0.25">
      <c r="B310" s="331"/>
      <c r="C310" s="186" t="s">
        <v>550</v>
      </c>
      <c r="D310" s="165">
        <v>12</v>
      </c>
      <c r="E310" s="186" t="s">
        <v>598</v>
      </c>
      <c r="F310" s="122">
        <v>169.77160156050763</v>
      </c>
      <c r="G310" s="123">
        <v>18.674876171655843</v>
      </c>
      <c r="H310" s="123">
        <v>5.0931480468152293</v>
      </c>
    </row>
    <row r="311" spans="2:8" x14ac:dyDescent="0.25">
      <c r="B311" s="331"/>
      <c r="C311" s="186" t="s">
        <v>641</v>
      </c>
      <c r="D311" s="165">
        <v>12</v>
      </c>
      <c r="E311" s="186" t="s">
        <v>598</v>
      </c>
      <c r="F311" s="122">
        <v>0</v>
      </c>
      <c r="G311" s="123">
        <v>0</v>
      </c>
      <c r="H311" s="123">
        <v>0</v>
      </c>
    </row>
    <row r="312" spans="2:8" x14ac:dyDescent="0.25">
      <c r="B312" s="331"/>
      <c r="C312" s="186" t="s">
        <v>642</v>
      </c>
      <c r="D312" s="165">
        <v>24</v>
      </c>
      <c r="E312" s="186" t="s">
        <v>1144</v>
      </c>
      <c r="F312" s="122">
        <v>0</v>
      </c>
      <c r="G312" s="123">
        <v>0</v>
      </c>
      <c r="H312" s="123">
        <v>0</v>
      </c>
    </row>
    <row r="313" spans="2:8" x14ac:dyDescent="0.25">
      <c r="B313" s="331"/>
      <c r="C313" s="186" t="s">
        <v>553</v>
      </c>
      <c r="D313" s="165">
        <v>12</v>
      </c>
      <c r="E313" s="186" t="s">
        <v>598</v>
      </c>
      <c r="F313" s="122">
        <v>105.6522531681961</v>
      </c>
      <c r="G313" s="123">
        <v>11.62174784850157</v>
      </c>
      <c r="H313" s="123">
        <v>3.1695675950458826</v>
      </c>
    </row>
    <row r="314" spans="2:8" x14ac:dyDescent="0.25">
      <c r="B314" s="331"/>
      <c r="C314" s="186" t="s">
        <v>643</v>
      </c>
      <c r="D314" s="165">
        <v>12</v>
      </c>
      <c r="E314" s="186" t="s">
        <v>598</v>
      </c>
      <c r="F314" s="122">
        <v>0</v>
      </c>
      <c r="G314" s="123">
        <v>0</v>
      </c>
      <c r="H314" s="123">
        <v>0</v>
      </c>
    </row>
    <row r="315" spans="2:8" x14ac:dyDescent="0.25">
      <c r="B315" s="331"/>
      <c r="C315" s="186" t="s">
        <v>494</v>
      </c>
      <c r="D315" s="165">
        <v>12</v>
      </c>
      <c r="E315" s="186" t="s">
        <v>598</v>
      </c>
      <c r="F315" s="122">
        <v>239.75191709764857</v>
      </c>
      <c r="G315" s="123">
        <v>26.372710880741348</v>
      </c>
      <c r="H315" s="123">
        <v>7.1925575129294588</v>
      </c>
    </row>
    <row r="316" spans="2:8" x14ac:dyDescent="0.25">
      <c r="B316" s="331"/>
      <c r="C316" s="186" t="s">
        <v>562</v>
      </c>
      <c r="D316" s="165">
        <v>12</v>
      </c>
      <c r="E316" s="186" t="s">
        <v>598</v>
      </c>
      <c r="F316" s="122">
        <v>0</v>
      </c>
      <c r="G316" s="123">
        <v>0</v>
      </c>
      <c r="H316" s="123">
        <v>0</v>
      </c>
    </row>
    <row r="317" spans="2:8" x14ac:dyDescent="0.25">
      <c r="B317" s="331"/>
      <c r="C317" s="186" t="s">
        <v>644</v>
      </c>
      <c r="D317" s="165">
        <v>24</v>
      </c>
      <c r="E317" s="186" t="s">
        <v>1144</v>
      </c>
      <c r="F317" s="122">
        <v>0</v>
      </c>
      <c r="G317" s="123">
        <v>0</v>
      </c>
      <c r="H317" s="123">
        <v>0</v>
      </c>
    </row>
    <row r="318" spans="2:8" x14ac:dyDescent="0.25">
      <c r="B318" s="331"/>
      <c r="C318" s="186" t="s">
        <v>645</v>
      </c>
      <c r="D318" s="165">
        <v>12</v>
      </c>
      <c r="E318" s="186" t="s">
        <v>598</v>
      </c>
      <c r="F318" s="122">
        <v>68.496037907200304</v>
      </c>
      <c r="G318" s="123">
        <v>7.5345641697920334</v>
      </c>
      <c r="H318" s="123">
        <v>2.0548811372160087</v>
      </c>
    </row>
    <row r="319" spans="2:8" x14ac:dyDescent="0.25">
      <c r="B319" s="331"/>
      <c r="C319" s="186" t="s">
        <v>646</v>
      </c>
      <c r="D319" s="165">
        <v>12</v>
      </c>
      <c r="E319" s="186" t="s">
        <v>598</v>
      </c>
      <c r="F319" s="122">
        <v>1.5494824137766607</v>
      </c>
      <c r="G319" s="123">
        <v>0.1704430655154327</v>
      </c>
      <c r="H319" s="123">
        <v>4.6484472413299817E-2</v>
      </c>
    </row>
    <row r="320" spans="2:8" x14ac:dyDescent="0.25">
      <c r="B320" s="331"/>
      <c r="C320" s="186" t="s">
        <v>647</v>
      </c>
      <c r="D320" s="165">
        <v>12</v>
      </c>
      <c r="E320" s="186" t="s">
        <v>598</v>
      </c>
      <c r="F320" s="122">
        <v>712.28110251357793</v>
      </c>
      <c r="G320" s="123">
        <v>78.35092127649358</v>
      </c>
      <c r="H320" s="123">
        <v>21.368433075407339</v>
      </c>
    </row>
    <row r="321" spans="2:8" x14ac:dyDescent="0.25">
      <c r="B321" s="331"/>
      <c r="C321" s="186" t="s">
        <v>648</v>
      </c>
      <c r="D321" s="165">
        <v>12</v>
      </c>
      <c r="E321" s="186" t="s">
        <v>598</v>
      </c>
      <c r="F321" s="122">
        <v>85.597029472486909</v>
      </c>
      <c r="G321" s="123">
        <v>9.4156732419735594</v>
      </c>
      <c r="H321" s="123">
        <v>2.5679108841746068</v>
      </c>
    </row>
    <row r="322" spans="2:8" x14ac:dyDescent="0.25">
      <c r="B322" s="331"/>
      <c r="C322" s="186" t="s">
        <v>649</v>
      </c>
      <c r="D322" s="165">
        <v>12</v>
      </c>
      <c r="E322" s="186" t="s">
        <v>598</v>
      </c>
      <c r="F322" s="122">
        <v>1032.8798696669621</v>
      </c>
      <c r="G322" s="123">
        <v>113.61678566336585</v>
      </c>
      <c r="H322" s="123">
        <v>30.986396090008864</v>
      </c>
    </row>
    <row r="323" spans="2:8" x14ac:dyDescent="0.25">
      <c r="B323" s="331"/>
      <c r="C323" s="186" t="s">
        <v>650</v>
      </c>
      <c r="D323" s="165">
        <v>12</v>
      </c>
      <c r="E323" s="186" t="s">
        <v>598</v>
      </c>
      <c r="F323" s="122">
        <v>0</v>
      </c>
      <c r="G323" s="123">
        <v>0</v>
      </c>
      <c r="H323" s="123">
        <v>0</v>
      </c>
    </row>
    <row r="324" spans="2:8" x14ac:dyDescent="0.25">
      <c r="B324" s="331"/>
      <c r="C324" s="186" t="s">
        <v>651</v>
      </c>
      <c r="D324" s="165">
        <v>12</v>
      </c>
      <c r="E324" s="186" t="s">
        <v>598</v>
      </c>
      <c r="F324" s="122">
        <v>252.59868151019296</v>
      </c>
      <c r="G324" s="123">
        <v>27.785854966121228</v>
      </c>
      <c r="H324" s="123">
        <v>7.5779604453057878</v>
      </c>
    </row>
    <row r="325" spans="2:8" x14ac:dyDescent="0.25">
      <c r="B325" s="331"/>
      <c r="C325" s="186" t="s">
        <v>652</v>
      </c>
      <c r="D325" s="165">
        <v>12</v>
      </c>
      <c r="E325" s="186" t="s">
        <v>598</v>
      </c>
      <c r="F325" s="122">
        <v>919.13814962433912</v>
      </c>
      <c r="G325" s="123">
        <v>101.10519645867731</v>
      </c>
      <c r="H325" s="123">
        <v>27.574144488730173</v>
      </c>
    </row>
    <row r="326" spans="2:8" x14ac:dyDescent="0.25">
      <c r="B326" s="331"/>
      <c r="C326" s="186" t="s">
        <v>653</v>
      </c>
      <c r="D326" s="165">
        <v>12</v>
      </c>
      <c r="E326" s="186" t="s">
        <v>598</v>
      </c>
      <c r="F326" s="122">
        <v>2.1454844642359605</v>
      </c>
      <c r="G326" s="123">
        <v>0.23600329106595566</v>
      </c>
      <c r="H326" s="123">
        <v>6.4364533927078804E-2</v>
      </c>
    </row>
    <row r="327" spans="2:8" x14ac:dyDescent="0.25">
      <c r="B327" s="331"/>
      <c r="C327" s="186" t="s">
        <v>654</v>
      </c>
      <c r="D327" s="165">
        <v>12</v>
      </c>
      <c r="E327" s="186" t="s">
        <v>598</v>
      </c>
      <c r="F327" s="122">
        <v>413.60250593714397</v>
      </c>
      <c r="G327" s="123">
        <v>45.496275653085839</v>
      </c>
      <c r="H327" s="123">
        <v>12.408075178114316</v>
      </c>
    </row>
    <row r="328" spans="2:8" x14ac:dyDescent="0.25">
      <c r="B328" s="331"/>
      <c r="C328" s="186" t="s">
        <v>655</v>
      </c>
      <c r="D328" s="165">
        <v>12</v>
      </c>
      <c r="E328" s="186" t="s">
        <v>598</v>
      </c>
      <c r="F328" s="122">
        <v>421.60476432391329</v>
      </c>
      <c r="G328" s="123">
        <v>46.376524075630471</v>
      </c>
      <c r="H328" s="123">
        <v>12.6481429297174</v>
      </c>
    </row>
    <row r="329" spans="2:8" x14ac:dyDescent="0.25">
      <c r="B329" s="332"/>
      <c r="C329" s="186" t="s">
        <v>656</v>
      </c>
      <c r="D329" s="165">
        <v>12</v>
      </c>
      <c r="E329" s="186" t="s">
        <v>598</v>
      </c>
      <c r="F329" s="122">
        <v>5.3217069638214314E-2</v>
      </c>
      <c r="G329" s="123">
        <v>5.8538776602035745E-3</v>
      </c>
      <c r="H329" s="123">
        <v>1.596512089146429E-3</v>
      </c>
    </row>
    <row r="330" spans="2:8" x14ac:dyDescent="0.25">
      <c r="B330" s="333" t="s">
        <v>657</v>
      </c>
      <c r="C330" s="32" t="s">
        <v>658</v>
      </c>
      <c r="D330" s="165">
        <v>16</v>
      </c>
      <c r="E330" s="131" t="s">
        <v>1143</v>
      </c>
      <c r="F330" s="122">
        <v>0</v>
      </c>
      <c r="G330" s="123">
        <v>0</v>
      </c>
      <c r="H330" s="123">
        <v>0</v>
      </c>
    </row>
    <row r="331" spans="2:8" x14ac:dyDescent="0.25">
      <c r="B331" s="334"/>
      <c r="C331" s="32" t="s">
        <v>659</v>
      </c>
      <c r="D331" s="165">
        <v>16</v>
      </c>
      <c r="E331" s="131" t="s">
        <v>1143</v>
      </c>
      <c r="F331" s="122">
        <v>0</v>
      </c>
      <c r="G331" s="123">
        <v>0</v>
      </c>
      <c r="H331" s="123">
        <v>0</v>
      </c>
    </row>
    <row r="332" spans="2:8" x14ac:dyDescent="0.25">
      <c r="B332" s="334"/>
      <c r="C332" s="32" t="s">
        <v>660</v>
      </c>
      <c r="D332" s="165">
        <v>16</v>
      </c>
      <c r="E332" s="131" t="s">
        <v>1143</v>
      </c>
      <c r="F332" s="122">
        <v>0</v>
      </c>
      <c r="G332" s="123">
        <v>0</v>
      </c>
      <c r="H332" s="123">
        <v>0</v>
      </c>
    </row>
    <row r="333" spans="2:8" x14ac:dyDescent="0.25">
      <c r="B333" s="334"/>
      <c r="C333" s="32" t="s">
        <v>661</v>
      </c>
      <c r="D333" s="165">
        <v>16</v>
      </c>
      <c r="E333" s="131" t="s">
        <v>1143</v>
      </c>
      <c r="F333" s="122">
        <v>0</v>
      </c>
      <c r="G333" s="123">
        <v>0</v>
      </c>
      <c r="H333" s="123">
        <v>0</v>
      </c>
    </row>
    <row r="334" spans="2:8" x14ac:dyDescent="0.25">
      <c r="B334" s="334"/>
      <c r="C334" s="32" t="s">
        <v>662</v>
      </c>
      <c r="D334" s="165">
        <v>16</v>
      </c>
      <c r="E334" s="131" t="s">
        <v>1143</v>
      </c>
      <c r="F334" s="122">
        <v>0</v>
      </c>
      <c r="G334" s="123">
        <v>0</v>
      </c>
      <c r="H334" s="123">
        <v>0</v>
      </c>
    </row>
    <row r="335" spans="2:8" x14ac:dyDescent="0.25">
      <c r="B335" s="334"/>
      <c r="C335" s="32" t="s">
        <v>663</v>
      </c>
      <c r="D335" s="165">
        <v>16</v>
      </c>
      <c r="E335" s="131" t="s">
        <v>1143</v>
      </c>
      <c r="F335" s="122">
        <v>0</v>
      </c>
      <c r="G335" s="123">
        <v>0</v>
      </c>
      <c r="H335" s="123">
        <v>0</v>
      </c>
    </row>
    <row r="336" spans="2:8" x14ac:dyDescent="0.25">
      <c r="B336" s="334"/>
      <c r="C336" s="32" t="s">
        <v>664</v>
      </c>
      <c r="D336" s="218">
        <v>25</v>
      </c>
      <c r="E336" s="218" t="s">
        <v>1149</v>
      </c>
      <c r="F336" s="122">
        <v>0</v>
      </c>
      <c r="G336" s="123">
        <v>0</v>
      </c>
      <c r="H336" s="123">
        <v>0</v>
      </c>
    </row>
    <row r="337" spans="2:8" x14ac:dyDescent="0.25">
      <c r="B337" s="334"/>
      <c r="C337" s="32" t="s">
        <v>665</v>
      </c>
      <c r="D337" s="218">
        <v>25</v>
      </c>
      <c r="E337" s="218" t="s">
        <v>1149</v>
      </c>
      <c r="F337" s="122">
        <v>0</v>
      </c>
      <c r="G337" s="123">
        <v>0</v>
      </c>
      <c r="H337" s="123">
        <v>0</v>
      </c>
    </row>
    <row r="338" spans="2:8" x14ac:dyDescent="0.25">
      <c r="B338" s="334"/>
      <c r="C338" s="32" t="s">
        <v>666</v>
      </c>
      <c r="D338" s="218">
        <v>25</v>
      </c>
      <c r="E338" s="218" t="s">
        <v>1149</v>
      </c>
      <c r="F338" s="122">
        <v>0</v>
      </c>
      <c r="G338" s="123">
        <v>0</v>
      </c>
      <c r="H338" s="123">
        <v>0</v>
      </c>
    </row>
    <row r="339" spans="2:8" x14ac:dyDescent="0.25">
      <c r="B339" s="334"/>
      <c r="C339" s="32" t="s">
        <v>667</v>
      </c>
      <c r="D339" s="218">
        <v>25</v>
      </c>
      <c r="E339" s="218" t="s">
        <v>1149</v>
      </c>
      <c r="F339" s="122">
        <v>0</v>
      </c>
      <c r="G339" s="123">
        <v>0</v>
      </c>
      <c r="H339" s="123">
        <v>0</v>
      </c>
    </row>
    <row r="340" spans="2:8" x14ac:dyDescent="0.25">
      <c r="B340" s="334"/>
      <c r="C340" s="32" t="s">
        <v>668</v>
      </c>
      <c r="D340" s="165">
        <v>16</v>
      </c>
      <c r="E340" s="131" t="s">
        <v>1143</v>
      </c>
      <c r="F340" s="122">
        <v>0</v>
      </c>
      <c r="G340" s="123">
        <v>0</v>
      </c>
      <c r="H340" s="123">
        <v>0</v>
      </c>
    </row>
    <row r="341" spans="2:8" x14ac:dyDescent="0.25">
      <c r="B341" s="334"/>
      <c r="C341" s="32" t="s">
        <v>669</v>
      </c>
      <c r="D341" s="165">
        <v>16</v>
      </c>
      <c r="E341" s="131" t="s">
        <v>1143</v>
      </c>
      <c r="F341" s="122">
        <v>0</v>
      </c>
      <c r="G341" s="123">
        <v>0</v>
      </c>
      <c r="H341" s="123">
        <v>0</v>
      </c>
    </row>
    <row r="342" spans="2:8" x14ac:dyDescent="0.25">
      <c r="B342" s="334"/>
      <c r="C342" s="32" t="s">
        <v>670</v>
      </c>
      <c r="D342" s="165">
        <v>16</v>
      </c>
      <c r="E342" s="131" t="s">
        <v>1143</v>
      </c>
      <c r="F342" s="122">
        <v>0</v>
      </c>
      <c r="G342" s="123">
        <v>0</v>
      </c>
      <c r="H342" s="123">
        <v>0</v>
      </c>
    </row>
    <row r="343" spans="2:8" x14ac:dyDescent="0.25">
      <c r="B343" s="334"/>
      <c r="C343" s="32" t="s">
        <v>671</v>
      </c>
      <c r="D343" s="165">
        <v>16</v>
      </c>
      <c r="E343" s="131" t="s">
        <v>1143</v>
      </c>
      <c r="F343" s="122">
        <v>0</v>
      </c>
      <c r="G343" s="123">
        <v>0</v>
      </c>
      <c r="H343" s="123">
        <v>0</v>
      </c>
    </row>
    <row r="344" spans="2:8" x14ac:dyDescent="0.25">
      <c r="B344" s="334"/>
      <c r="C344" s="32" t="s">
        <v>672</v>
      </c>
      <c r="D344" s="218">
        <v>25</v>
      </c>
      <c r="E344" s="218" t="s">
        <v>1149</v>
      </c>
      <c r="F344" s="122">
        <v>0</v>
      </c>
      <c r="G344" s="123">
        <v>0</v>
      </c>
      <c r="H344" s="123">
        <v>0</v>
      </c>
    </row>
    <row r="345" spans="2:8" x14ac:dyDescent="0.25">
      <c r="B345" s="334"/>
      <c r="C345" s="32" t="s">
        <v>673</v>
      </c>
      <c r="D345" s="218">
        <v>25</v>
      </c>
      <c r="E345" s="218" t="s">
        <v>1149</v>
      </c>
      <c r="F345" s="122">
        <v>0</v>
      </c>
      <c r="G345" s="123">
        <v>0</v>
      </c>
      <c r="H345" s="123">
        <v>0</v>
      </c>
    </row>
    <row r="346" spans="2:8" x14ac:dyDescent="0.25">
      <c r="B346" s="334"/>
      <c r="C346" s="32" t="s">
        <v>674</v>
      </c>
      <c r="D346" s="165">
        <v>16</v>
      </c>
      <c r="E346" s="131" t="s">
        <v>1143</v>
      </c>
      <c r="F346" s="122">
        <v>0</v>
      </c>
      <c r="G346" s="123">
        <v>0</v>
      </c>
      <c r="H346" s="123">
        <v>0</v>
      </c>
    </row>
    <row r="347" spans="2:8" x14ac:dyDescent="0.25">
      <c r="B347" s="334"/>
      <c r="C347" s="32" t="s">
        <v>675</v>
      </c>
      <c r="D347" s="218">
        <v>25</v>
      </c>
      <c r="E347" s="218" t="s">
        <v>1149</v>
      </c>
      <c r="F347" s="122">
        <v>0</v>
      </c>
      <c r="G347" s="123">
        <v>0</v>
      </c>
      <c r="H347" s="123">
        <v>0</v>
      </c>
    </row>
    <row r="348" spans="2:8" x14ac:dyDescent="0.25">
      <c r="B348" s="334"/>
      <c r="C348" s="32" t="s">
        <v>676</v>
      </c>
      <c r="D348" s="218">
        <v>25</v>
      </c>
      <c r="E348" s="218" t="s">
        <v>1149</v>
      </c>
      <c r="F348" s="122">
        <v>0</v>
      </c>
      <c r="G348" s="123">
        <v>0</v>
      </c>
      <c r="H348" s="123">
        <v>0</v>
      </c>
    </row>
    <row r="349" spans="2:8" x14ac:dyDescent="0.25">
      <c r="B349" s="335"/>
      <c r="C349" s="32" t="s">
        <v>677</v>
      </c>
      <c r="D349" s="218">
        <v>25</v>
      </c>
      <c r="E349" s="218" t="s">
        <v>1149</v>
      </c>
      <c r="F349" s="122">
        <v>0</v>
      </c>
      <c r="G349" s="123">
        <v>0</v>
      </c>
      <c r="H349" s="123">
        <v>0</v>
      </c>
    </row>
    <row r="350" spans="2:8" x14ac:dyDescent="0.25">
      <c r="B350" s="336" t="s">
        <v>678</v>
      </c>
      <c r="C350" s="186" t="s">
        <v>679</v>
      </c>
      <c r="D350" s="165">
        <v>13</v>
      </c>
      <c r="E350" s="186" t="s">
        <v>1151</v>
      </c>
      <c r="F350" s="124">
        <v>69.335913607236535</v>
      </c>
      <c r="G350" s="125">
        <v>7.6269504967960193</v>
      </c>
      <c r="H350" s="125">
        <v>7.6269504967960193</v>
      </c>
    </row>
    <row r="351" spans="2:8" x14ac:dyDescent="0.25">
      <c r="B351" s="336"/>
      <c r="C351" s="186" t="s">
        <v>630</v>
      </c>
      <c r="D351" s="165">
        <v>13</v>
      </c>
      <c r="E351" s="186" t="s">
        <v>1151</v>
      </c>
      <c r="F351" s="126">
        <v>383.33996888485234</v>
      </c>
      <c r="G351" s="127">
        <v>42.167396577333761</v>
      </c>
      <c r="H351" s="127">
        <v>42.167396577333761</v>
      </c>
    </row>
    <row r="352" spans="2:8" x14ac:dyDescent="0.25">
      <c r="B352" s="336"/>
      <c r="C352" s="186" t="s">
        <v>680</v>
      </c>
      <c r="D352" s="165">
        <v>13</v>
      </c>
      <c r="E352" s="186" t="s">
        <v>1151</v>
      </c>
      <c r="F352" s="124">
        <v>114.48266287705482</v>
      </c>
      <c r="G352" s="125">
        <v>12.593092916476035</v>
      </c>
      <c r="H352" s="125">
        <v>12.593092916476035</v>
      </c>
    </row>
    <row r="353" spans="2:8" x14ac:dyDescent="0.25">
      <c r="B353" s="336"/>
      <c r="C353" s="186" t="s">
        <v>681</v>
      </c>
      <c r="D353" s="165">
        <v>13</v>
      </c>
      <c r="E353" s="186" t="s">
        <v>1151</v>
      </c>
      <c r="F353" s="124">
        <v>54.54061139943866</v>
      </c>
      <c r="G353" s="125">
        <v>5.9994672539382536</v>
      </c>
      <c r="H353" s="125">
        <v>5.9994672539382536</v>
      </c>
    </row>
    <row r="354" spans="2:8" x14ac:dyDescent="0.25">
      <c r="B354" s="336"/>
      <c r="C354" s="186" t="s">
        <v>682</v>
      </c>
      <c r="D354" s="165">
        <v>13</v>
      </c>
      <c r="E354" s="186" t="s">
        <v>1151</v>
      </c>
      <c r="F354" s="124">
        <v>361.48633373007146</v>
      </c>
      <c r="G354" s="125">
        <v>39.763496710307869</v>
      </c>
      <c r="H354" s="125">
        <v>39.763496710307869</v>
      </c>
    </row>
    <row r="355" spans="2:8" x14ac:dyDescent="0.25">
      <c r="B355" s="336"/>
      <c r="C355" s="186" t="s">
        <v>683</v>
      </c>
      <c r="D355" s="165">
        <v>13</v>
      </c>
      <c r="E355" s="186" t="s">
        <v>1151</v>
      </c>
      <c r="F355" s="124">
        <v>556.70871136181552</v>
      </c>
      <c r="G355" s="125">
        <v>61.237958249799711</v>
      </c>
      <c r="H355" s="125">
        <v>61.237958249799711</v>
      </c>
    </row>
    <row r="356" spans="2:8" x14ac:dyDescent="0.25">
      <c r="B356" s="336"/>
      <c r="C356" s="186" t="s">
        <v>684</v>
      </c>
      <c r="D356" s="165">
        <v>13</v>
      </c>
      <c r="E356" s="186" t="s">
        <v>1151</v>
      </c>
      <c r="F356" s="124">
        <v>0</v>
      </c>
      <c r="G356" s="125">
        <v>0</v>
      </c>
      <c r="H356" s="125">
        <v>0</v>
      </c>
    </row>
    <row r="357" spans="2:8" x14ac:dyDescent="0.25">
      <c r="B357" s="336"/>
      <c r="C357" s="186" t="s">
        <v>685</v>
      </c>
      <c r="D357" s="165">
        <v>13</v>
      </c>
      <c r="E357" s="186" t="s">
        <v>1151</v>
      </c>
      <c r="F357" s="124">
        <v>529.17847188224971</v>
      </c>
      <c r="G357" s="125">
        <v>58.209631907047473</v>
      </c>
      <c r="H357" s="125">
        <v>58.209631907047473</v>
      </c>
    </row>
    <row r="358" spans="2:8" x14ac:dyDescent="0.25">
      <c r="B358" s="336"/>
      <c r="C358" s="186" t="s">
        <v>613</v>
      </c>
      <c r="D358" s="165">
        <v>13</v>
      </c>
      <c r="E358" s="186" t="s">
        <v>1151</v>
      </c>
      <c r="F358" s="128">
        <v>377.06941706806805</v>
      </c>
      <c r="G358" s="129">
        <v>41.477635877487486</v>
      </c>
      <c r="H358" s="129">
        <v>41.477635877487486</v>
      </c>
    </row>
    <row r="359" spans="2:8" x14ac:dyDescent="0.25">
      <c r="B359" s="336"/>
      <c r="C359" s="186" t="s">
        <v>686</v>
      </c>
      <c r="D359" s="165">
        <v>13</v>
      </c>
      <c r="E359" s="186" t="s">
        <v>1151</v>
      </c>
      <c r="F359" s="128">
        <v>362.0182781538681</v>
      </c>
      <c r="G359" s="123">
        <v>39.822010596925494</v>
      </c>
      <c r="H359" s="123">
        <v>39.822010596925494</v>
      </c>
    </row>
    <row r="360" spans="2:8" x14ac:dyDescent="0.25">
      <c r="B360" s="336"/>
      <c r="C360" s="186" t="s">
        <v>687</v>
      </c>
      <c r="D360" s="165">
        <v>13</v>
      </c>
      <c r="E360" s="186" t="s">
        <v>1151</v>
      </c>
      <c r="F360" s="128">
        <v>218.14625267785544</v>
      </c>
      <c r="G360" s="129">
        <v>23.996087794564101</v>
      </c>
      <c r="H360" s="129">
        <v>23.996087794564101</v>
      </c>
    </row>
    <row r="361" spans="2:8" x14ac:dyDescent="0.25">
      <c r="B361" s="336"/>
      <c r="C361" s="186" t="s">
        <v>688</v>
      </c>
      <c r="D361" s="165">
        <v>13</v>
      </c>
      <c r="E361" s="186" t="s">
        <v>1151</v>
      </c>
      <c r="F361" s="128">
        <v>17.156749714739416</v>
      </c>
      <c r="G361" s="129">
        <v>1.887242468621336</v>
      </c>
      <c r="H361" s="129">
        <v>1.887242468621336</v>
      </c>
    </row>
    <row r="362" spans="2:8" x14ac:dyDescent="0.25">
      <c r="B362" s="336"/>
      <c r="C362" s="186" t="s">
        <v>689</v>
      </c>
      <c r="D362" s="165">
        <v>13</v>
      </c>
      <c r="E362" s="186" t="s">
        <v>1151</v>
      </c>
      <c r="F362" s="128">
        <v>453.7058484047152</v>
      </c>
      <c r="G362" s="129">
        <v>49.907643324518681</v>
      </c>
      <c r="H362" s="129">
        <v>49.907643324518681</v>
      </c>
    </row>
    <row r="363" spans="2:8" x14ac:dyDescent="0.25">
      <c r="B363" s="336"/>
      <c r="C363" s="186" t="s">
        <v>690</v>
      </c>
      <c r="D363" s="165">
        <v>13</v>
      </c>
      <c r="E363" s="186" t="s">
        <v>1151</v>
      </c>
      <c r="F363" s="128">
        <v>149.81153552155152</v>
      </c>
      <c r="G363" s="129">
        <v>16.479268907370667</v>
      </c>
      <c r="H363" s="129">
        <v>16.479268907370667</v>
      </c>
    </row>
    <row r="364" spans="2:8" x14ac:dyDescent="0.25">
      <c r="B364" s="336"/>
      <c r="C364" s="186" t="s">
        <v>691</v>
      </c>
      <c r="D364" s="165">
        <v>13</v>
      </c>
      <c r="E364" s="186" t="s">
        <v>1151</v>
      </c>
      <c r="F364" s="128">
        <v>51.235842657662751</v>
      </c>
      <c r="G364" s="129">
        <v>5.635942692342903</v>
      </c>
      <c r="H364" s="129">
        <v>5.635942692342903</v>
      </c>
    </row>
    <row r="365" spans="2:8" x14ac:dyDescent="0.25">
      <c r="B365" s="336"/>
      <c r="C365" s="186" t="s">
        <v>692</v>
      </c>
      <c r="D365" s="165">
        <v>13</v>
      </c>
      <c r="E365" s="186" t="s">
        <v>1151</v>
      </c>
      <c r="F365" s="130">
        <v>224.94422684880851</v>
      </c>
      <c r="G365" s="129">
        <v>24.743864953368938</v>
      </c>
      <c r="H365" s="129">
        <v>24.743864953368938</v>
      </c>
    </row>
    <row r="366" spans="2:8" x14ac:dyDescent="0.25">
      <c r="B366" s="336"/>
      <c r="C366" s="186" t="s">
        <v>693</v>
      </c>
      <c r="D366" s="165">
        <v>13</v>
      </c>
      <c r="E366" s="186" t="s">
        <v>1151</v>
      </c>
      <c r="F366" s="130">
        <v>145.15292343631728</v>
      </c>
      <c r="G366" s="129">
        <v>15.966821577994901</v>
      </c>
      <c r="H366" s="129">
        <v>15.966821577994901</v>
      </c>
    </row>
    <row r="367" spans="2:8" x14ac:dyDescent="0.25">
      <c r="B367" s="336"/>
      <c r="C367" s="186" t="s">
        <v>694</v>
      </c>
      <c r="D367" s="165">
        <v>13</v>
      </c>
      <c r="E367" s="186" t="s">
        <v>1151</v>
      </c>
      <c r="F367" s="130">
        <v>1360.5903422752613</v>
      </c>
      <c r="G367" s="129">
        <v>149.66493765027877</v>
      </c>
      <c r="H367" s="129">
        <v>149.66493765027877</v>
      </c>
    </row>
    <row r="368" spans="2:8" x14ac:dyDescent="0.25">
      <c r="B368" s="336"/>
      <c r="C368" s="186" t="s">
        <v>695</v>
      </c>
      <c r="D368" s="165">
        <v>13</v>
      </c>
      <c r="E368" s="186" t="s">
        <v>1151</v>
      </c>
      <c r="F368" s="130">
        <v>265.54893201264446</v>
      </c>
      <c r="G368" s="129">
        <v>29.210382521390894</v>
      </c>
      <c r="H368" s="129">
        <v>29.210382521390894</v>
      </c>
    </row>
    <row r="369" spans="2:11" x14ac:dyDescent="0.25">
      <c r="B369" s="336"/>
      <c r="C369" s="186" t="s">
        <v>696</v>
      </c>
      <c r="D369" s="165">
        <v>14</v>
      </c>
      <c r="E369" s="186" t="s">
        <v>1152</v>
      </c>
      <c r="F369" s="145">
        <v>517.34972311906154</v>
      </c>
      <c r="G369" s="146">
        <v>56.908469543096771</v>
      </c>
      <c r="H369" s="146">
        <v>56.908469543096771</v>
      </c>
    </row>
    <row r="370" spans="2:11" x14ac:dyDescent="0.25">
      <c r="B370" s="336"/>
      <c r="C370" s="186" t="s">
        <v>697</v>
      </c>
      <c r="D370" s="165">
        <v>13</v>
      </c>
      <c r="E370" s="186" t="s">
        <v>1151</v>
      </c>
      <c r="F370" s="130">
        <v>1021.1262860212986</v>
      </c>
      <c r="G370" s="129">
        <v>112.32389146234286</v>
      </c>
      <c r="H370" s="129">
        <v>112.32389146234286</v>
      </c>
    </row>
    <row r="371" spans="2:11" x14ac:dyDescent="0.25">
      <c r="B371" s="336"/>
      <c r="C371" s="186" t="s">
        <v>698</v>
      </c>
      <c r="D371" s="165">
        <v>13</v>
      </c>
      <c r="E371" s="186" t="s">
        <v>1151</v>
      </c>
      <c r="F371" s="130">
        <v>24.15638405788982</v>
      </c>
      <c r="G371" s="129">
        <v>2.657202246367881</v>
      </c>
      <c r="H371" s="129">
        <v>2.657202246367881</v>
      </c>
    </row>
    <row r="372" spans="2:11" x14ac:dyDescent="0.25">
      <c r="B372" s="336"/>
      <c r="C372" s="186" t="s">
        <v>699</v>
      </c>
      <c r="D372" s="165">
        <v>13</v>
      </c>
      <c r="E372" s="186" t="s">
        <v>1151</v>
      </c>
      <c r="F372" s="130">
        <v>332.17279344536217</v>
      </c>
      <c r="G372" s="129">
        <v>36.539007278989843</v>
      </c>
      <c r="H372" s="129">
        <v>36.539007278989843</v>
      </c>
    </row>
    <row r="373" spans="2:11" x14ac:dyDescent="0.25">
      <c r="B373" s="329" t="s">
        <v>700</v>
      </c>
      <c r="C373" s="131" t="s">
        <v>701</v>
      </c>
      <c r="D373" s="218">
        <v>25</v>
      </c>
      <c r="E373" s="218" t="s">
        <v>1149</v>
      </c>
      <c r="F373" s="124">
        <v>0</v>
      </c>
      <c r="G373" s="125">
        <v>0</v>
      </c>
      <c r="H373" s="129">
        <v>0</v>
      </c>
    </row>
    <row r="374" spans="2:11" x14ac:dyDescent="0.25">
      <c r="B374" s="329"/>
      <c r="C374" s="131" t="s">
        <v>702</v>
      </c>
      <c r="D374" s="218">
        <v>25</v>
      </c>
      <c r="E374" s="218" t="s">
        <v>1149</v>
      </c>
      <c r="F374" s="124">
        <v>0</v>
      </c>
      <c r="G374" s="127">
        <v>0</v>
      </c>
      <c r="H374" s="129">
        <v>0</v>
      </c>
    </row>
    <row r="375" spans="2:11" x14ac:dyDescent="0.25">
      <c r="B375" s="329"/>
      <c r="C375" s="131" t="s">
        <v>703</v>
      </c>
      <c r="D375" s="218">
        <v>25</v>
      </c>
      <c r="E375" s="218" t="s">
        <v>1149</v>
      </c>
      <c r="F375" s="124">
        <v>0</v>
      </c>
      <c r="G375" s="125">
        <v>0</v>
      </c>
      <c r="H375" s="129">
        <v>0</v>
      </c>
      <c r="J375" s="144" t="e">
        <f>#REF!-#REF!</f>
        <v>#REF!</v>
      </c>
    </row>
    <row r="376" spans="2:11" x14ac:dyDescent="0.25">
      <c r="B376" s="329"/>
      <c r="C376" s="131" t="s">
        <v>704</v>
      </c>
      <c r="D376" s="218">
        <v>25</v>
      </c>
      <c r="E376" s="218" t="s">
        <v>1149</v>
      </c>
      <c r="F376" s="124">
        <v>0</v>
      </c>
      <c r="G376" s="125">
        <v>0</v>
      </c>
      <c r="H376" s="129">
        <v>0</v>
      </c>
      <c r="K376" s="144" t="e">
        <f>#REF!-#REF!</f>
        <v>#REF!</v>
      </c>
    </row>
    <row r="377" spans="2:11" x14ac:dyDescent="0.25">
      <c r="B377" s="329"/>
      <c r="C377" s="131" t="s">
        <v>705</v>
      </c>
      <c r="D377" s="165">
        <v>16</v>
      </c>
      <c r="E377" s="131" t="s">
        <v>1143</v>
      </c>
      <c r="F377" s="124">
        <v>0</v>
      </c>
      <c r="G377" s="125">
        <v>0</v>
      </c>
      <c r="H377" s="129">
        <v>0</v>
      </c>
    </row>
    <row r="378" spans="2:11" x14ac:dyDescent="0.25">
      <c r="B378" s="329"/>
      <c r="C378" s="131" t="s">
        <v>706</v>
      </c>
      <c r="D378" s="165">
        <v>16</v>
      </c>
      <c r="E378" s="131" t="s">
        <v>1143</v>
      </c>
      <c r="F378" s="124">
        <v>0</v>
      </c>
      <c r="G378" s="125">
        <v>0</v>
      </c>
      <c r="H378" s="129">
        <v>0</v>
      </c>
    </row>
    <row r="379" spans="2:11" x14ac:dyDescent="0.25">
      <c r="B379" s="329"/>
      <c r="C379" s="131" t="s">
        <v>707</v>
      </c>
      <c r="D379" s="165">
        <v>16</v>
      </c>
      <c r="E379" s="131" t="s">
        <v>1143</v>
      </c>
      <c r="F379" s="124">
        <v>0</v>
      </c>
      <c r="G379" s="125">
        <v>0</v>
      </c>
      <c r="H379" s="129">
        <v>0</v>
      </c>
    </row>
    <row r="380" spans="2:11" x14ac:dyDescent="0.25">
      <c r="B380" s="329"/>
      <c r="C380" s="131" t="s">
        <v>708</v>
      </c>
      <c r="D380" s="165">
        <v>16</v>
      </c>
      <c r="E380" s="131" t="s">
        <v>1143</v>
      </c>
      <c r="F380" s="124">
        <v>0</v>
      </c>
      <c r="G380" s="125">
        <v>0</v>
      </c>
      <c r="H380" s="129">
        <v>0</v>
      </c>
    </row>
    <row r="381" spans="2:11" x14ac:dyDescent="0.25">
      <c r="B381" s="329"/>
      <c r="C381" s="131" t="s">
        <v>709</v>
      </c>
      <c r="D381" s="165">
        <v>16</v>
      </c>
      <c r="E381" s="131" t="s">
        <v>1143</v>
      </c>
      <c r="F381" s="124">
        <v>0</v>
      </c>
      <c r="G381" s="129">
        <v>0</v>
      </c>
      <c r="H381" s="129">
        <v>0</v>
      </c>
    </row>
    <row r="382" spans="2:11" x14ac:dyDescent="0.25">
      <c r="B382" s="329"/>
      <c r="C382" s="131" t="s">
        <v>710</v>
      </c>
      <c r="D382" s="165">
        <v>16</v>
      </c>
      <c r="E382" s="131" t="s">
        <v>1143</v>
      </c>
      <c r="F382" s="124">
        <v>0</v>
      </c>
      <c r="G382" s="123">
        <v>0</v>
      </c>
      <c r="H382" s="129">
        <v>0</v>
      </c>
    </row>
    <row r="383" spans="2:11" x14ac:dyDescent="0.25">
      <c r="B383" s="329"/>
      <c r="C383" s="131" t="s">
        <v>711</v>
      </c>
      <c r="D383" s="165">
        <v>16</v>
      </c>
      <c r="E383" s="131" t="s">
        <v>1143</v>
      </c>
      <c r="F383" s="124">
        <v>0</v>
      </c>
      <c r="G383" s="129">
        <v>0</v>
      </c>
      <c r="H383" s="129">
        <v>0</v>
      </c>
    </row>
    <row r="384" spans="2:11" x14ac:dyDescent="0.25">
      <c r="B384" s="329"/>
      <c r="C384" s="131" t="s">
        <v>712</v>
      </c>
      <c r="D384" s="165">
        <v>16</v>
      </c>
      <c r="E384" s="131" t="s">
        <v>1143</v>
      </c>
      <c r="F384" s="124">
        <v>0</v>
      </c>
      <c r="G384" s="129">
        <v>0</v>
      </c>
      <c r="H384" s="129">
        <v>0</v>
      </c>
    </row>
    <row r="385" spans="2:8" x14ac:dyDescent="0.25">
      <c r="B385" s="329"/>
      <c r="C385" s="131" t="s">
        <v>713</v>
      </c>
      <c r="D385" s="165">
        <v>16</v>
      </c>
      <c r="E385" s="131" t="s">
        <v>1143</v>
      </c>
      <c r="F385" s="124">
        <v>0</v>
      </c>
      <c r="G385" s="129">
        <v>0</v>
      </c>
      <c r="H385" s="129">
        <v>0</v>
      </c>
    </row>
    <row r="386" spans="2:8" x14ac:dyDescent="0.25">
      <c r="B386" s="329"/>
      <c r="C386" s="131" t="s">
        <v>714</v>
      </c>
      <c r="D386" s="165">
        <v>26</v>
      </c>
      <c r="E386" s="131" t="s">
        <v>1143</v>
      </c>
      <c r="F386" s="124">
        <v>0</v>
      </c>
      <c r="G386" s="129">
        <v>0</v>
      </c>
      <c r="H386" s="129">
        <v>0</v>
      </c>
    </row>
    <row r="387" spans="2:8" x14ac:dyDescent="0.25">
      <c r="B387" s="329"/>
      <c r="C387" s="131" t="s">
        <v>715</v>
      </c>
      <c r="D387" s="165">
        <v>26</v>
      </c>
      <c r="E387" s="131" t="s">
        <v>1143</v>
      </c>
      <c r="F387" s="124">
        <v>0</v>
      </c>
      <c r="G387" s="129">
        <v>0</v>
      </c>
      <c r="H387" s="129">
        <v>0</v>
      </c>
    </row>
    <row r="388" spans="2:8" x14ac:dyDescent="0.25">
      <c r="B388" s="329"/>
      <c r="C388" s="131" t="s">
        <v>716</v>
      </c>
      <c r="D388" s="165">
        <v>26</v>
      </c>
      <c r="E388" s="131" t="s">
        <v>1143</v>
      </c>
      <c r="F388" s="124">
        <v>0</v>
      </c>
      <c r="G388" s="129">
        <v>0</v>
      </c>
      <c r="H388" s="129">
        <v>0</v>
      </c>
    </row>
    <row r="389" spans="2:8" x14ac:dyDescent="0.25">
      <c r="B389" s="329"/>
      <c r="C389" s="131" t="s">
        <v>717</v>
      </c>
      <c r="D389" s="165">
        <v>16</v>
      </c>
      <c r="E389" s="131" t="s">
        <v>1143</v>
      </c>
      <c r="F389" s="124">
        <v>120.89581792427946</v>
      </c>
      <c r="G389" s="129">
        <v>13.298539971670744</v>
      </c>
      <c r="H389" s="129">
        <v>3.626874537728384</v>
      </c>
    </row>
    <row r="390" spans="2:8" x14ac:dyDescent="0.25">
      <c r="B390" s="329"/>
      <c r="C390" s="131" t="s">
        <v>718</v>
      </c>
      <c r="D390" s="218">
        <v>25</v>
      </c>
      <c r="E390" s="218" t="s">
        <v>1149</v>
      </c>
      <c r="F390" s="124">
        <v>62.308062666977435</v>
      </c>
      <c r="G390" s="129">
        <v>6.8538868933675179</v>
      </c>
      <c r="H390" s="129">
        <v>1.8692418800093229</v>
      </c>
    </row>
    <row r="391" spans="2:8" x14ac:dyDescent="0.25">
      <c r="B391" s="329"/>
      <c r="C391" s="131" t="s">
        <v>719</v>
      </c>
      <c r="D391" s="165">
        <v>18</v>
      </c>
      <c r="E391" s="131" t="s">
        <v>755</v>
      </c>
      <c r="F391" s="124">
        <v>0</v>
      </c>
      <c r="G391" s="129">
        <v>0</v>
      </c>
      <c r="H391" s="129">
        <v>0</v>
      </c>
    </row>
    <row r="392" spans="2:8" x14ac:dyDescent="0.25">
      <c r="B392" s="329"/>
      <c r="C392" s="131" t="s">
        <v>720</v>
      </c>
      <c r="D392" s="165">
        <v>16</v>
      </c>
      <c r="E392" s="131" t="s">
        <v>1143</v>
      </c>
      <c r="F392" s="124">
        <v>1.4213796534326233</v>
      </c>
      <c r="G392" s="129">
        <v>0.15635176187758856</v>
      </c>
      <c r="H392" s="129">
        <v>4.2641389602978697E-2</v>
      </c>
    </row>
    <row r="393" spans="2:8" x14ac:dyDescent="0.25">
      <c r="B393" s="329"/>
      <c r="C393" s="131" t="s">
        <v>721</v>
      </c>
      <c r="D393" s="165">
        <v>16</v>
      </c>
      <c r="E393" s="131" t="s">
        <v>1143</v>
      </c>
      <c r="F393" s="124">
        <v>0</v>
      </c>
      <c r="G393" s="129">
        <v>0</v>
      </c>
      <c r="H393" s="129">
        <v>0</v>
      </c>
    </row>
    <row r="394" spans="2:8" x14ac:dyDescent="0.25">
      <c r="B394" s="329"/>
      <c r="C394" s="131" t="s">
        <v>722</v>
      </c>
      <c r="D394" s="165">
        <v>16</v>
      </c>
      <c r="E394" s="131" t="s">
        <v>1143</v>
      </c>
      <c r="F394" s="124">
        <v>0</v>
      </c>
      <c r="G394" s="129">
        <v>0</v>
      </c>
      <c r="H394" s="129">
        <v>0</v>
      </c>
    </row>
    <row r="395" spans="2:8" x14ac:dyDescent="0.25">
      <c r="B395" s="329"/>
      <c r="C395" s="131" t="s">
        <v>723</v>
      </c>
      <c r="D395" s="165">
        <v>16</v>
      </c>
      <c r="E395" s="131" t="s">
        <v>1143</v>
      </c>
      <c r="F395" s="124">
        <v>583.9481061306119</v>
      </c>
      <c r="G395" s="129">
        <v>64.234291674367313</v>
      </c>
      <c r="H395" s="129">
        <v>17.518443183918357</v>
      </c>
    </row>
    <row r="396" spans="2:8" x14ac:dyDescent="0.25">
      <c r="B396" s="329"/>
      <c r="C396" s="131" t="s">
        <v>724</v>
      </c>
      <c r="D396" s="165">
        <v>16</v>
      </c>
      <c r="E396" s="131" t="s">
        <v>1143</v>
      </c>
      <c r="F396" s="124">
        <v>97.87714568726669</v>
      </c>
      <c r="G396" s="129">
        <v>10.766486025599336</v>
      </c>
      <c r="H396" s="129">
        <v>2.9363143706180006</v>
      </c>
    </row>
    <row r="397" spans="2:8" x14ac:dyDescent="0.25">
      <c r="B397" s="329"/>
      <c r="C397" s="131" t="s">
        <v>725</v>
      </c>
      <c r="D397" s="218">
        <v>25</v>
      </c>
      <c r="E397" s="218" t="s">
        <v>1149</v>
      </c>
      <c r="F397" s="124">
        <v>0</v>
      </c>
      <c r="G397" s="129">
        <v>0</v>
      </c>
      <c r="H397" s="129">
        <v>0</v>
      </c>
    </row>
    <row r="398" spans="2:8" x14ac:dyDescent="0.25">
      <c r="B398" s="329"/>
      <c r="C398" s="131" t="s">
        <v>726</v>
      </c>
      <c r="D398" s="218">
        <v>25</v>
      </c>
      <c r="E398" s="218" t="s">
        <v>1149</v>
      </c>
      <c r="F398" s="124">
        <v>50.584391431054982</v>
      </c>
      <c r="G398" s="129">
        <v>5.5642830574160493</v>
      </c>
      <c r="H398" s="129">
        <v>1.5175317429316495</v>
      </c>
    </row>
    <row r="399" spans="2:8" x14ac:dyDescent="0.25">
      <c r="B399" s="329"/>
      <c r="C399" s="131" t="s">
        <v>727</v>
      </c>
      <c r="D399" s="218">
        <v>25</v>
      </c>
      <c r="E399" s="218" t="s">
        <v>1149</v>
      </c>
      <c r="F399" s="124">
        <v>20.832643330073545</v>
      </c>
      <c r="G399" s="129">
        <v>2.2915907663080901</v>
      </c>
      <c r="H399" s="129">
        <v>0.62497929990220646</v>
      </c>
    </row>
    <row r="400" spans="2:8" x14ac:dyDescent="0.25">
      <c r="B400" s="329"/>
      <c r="C400" s="131" t="s">
        <v>728</v>
      </c>
      <c r="D400" s="165">
        <v>18</v>
      </c>
      <c r="E400" s="131" t="s">
        <v>755</v>
      </c>
      <c r="F400" s="124">
        <v>0</v>
      </c>
      <c r="G400" s="129">
        <v>0</v>
      </c>
      <c r="H400" s="129">
        <v>0</v>
      </c>
    </row>
    <row r="401" spans="2:8" x14ac:dyDescent="0.25">
      <c r="B401" s="329"/>
      <c r="C401" s="131" t="s">
        <v>376</v>
      </c>
      <c r="D401" s="165">
        <v>18</v>
      </c>
      <c r="E401" s="131" t="s">
        <v>755</v>
      </c>
      <c r="F401" s="124">
        <v>133.79352467386076</v>
      </c>
      <c r="G401" s="129">
        <v>14.717287714124684</v>
      </c>
      <c r="H401" s="129">
        <v>4.0138057402158225</v>
      </c>
    </row>
    <row r="402" spans="2:8" x14ac:dyDescent="0.25">
      <c r="B402" s="329"/>
      <c r="C402" s="131" t="s">
        <v>729</v>
      </c>
      <c r="D402" s="165">
        <v>16</v>
      </c>
      <c r="E402" s="131" t="s">
        <v>1143</v>
      </c>
      <c r="F402" s="124">
        <v>0</v>
      </c>
      <c r="G402" s="129">
        <v>0</v>
      </c>
      <c r="H402" s="129">
        <v>0</v>
      </c>
    </row>
    <row r="403" spans="2:8" x14ac:dyDescent="0.25">
      <c r="B403" s="329"/>
      <c r="C403" s="131" t="s">
        <v>730</v>
      </c>
      <c r="D403" s="218">
        <v>25</v>
      </c>
      <c r="E403" s="218" t="s">
        <v>1149</v>
      </c>
      <c r="F403" s="124">
        <v>0</v>
      </c>
      <c r="G403" s="129">
        <v>0</v>
      </c>
      <c r="H403" s="129">
        <v>0</v>
      </c>
    </row>
    <row r="404" spans="2:8" x14ac:dyDescent="0.25">
      <c r="B404" s="329"/>
      <c r="C404" s="131" t="s">
        <v>731</v>
      </c>
      <c r="D404" s="165">
        <v>18</v>
      </c>
      <c r="E404" s="131" t="s">
        <v>755</v>
      </c>
      <c r="F404" s="124">
        <v>412.52771118368526</v>
      </c>
      <c r="G404" s="129">
        <v>45.378048230205387</v>
      </c>
      <c r="H404" s="129">
        <v>12.375831335510558</v>
      </c>
    </row>
    <row r="405" spans="2:8" x14ac:dyDescent="0.25">
      <c r="B405" s="329"/>
      <c r="C405" s="131" t="s">
        <v>732</v>
      </c>
      <c r="D405" s="165">
        <v>16</v>
      </c>
      <c r="E405" s="131" t="s">
        <v>1143</v>
      </c>
      <c r="F405" s="124">
        <v>0</v>
      </c>
      <c r="G405" s="129">
        <v>0</v>
      </c>
      <c r="H405" s="129">
        <v>0</v>
      </c>
    </row>
    <row r="406" spans="2:8" x14ac:dyDescent="0.25">
      <c r="B406" s="329"/>
      <c r="C406" s="131" t="s">
        <v>733</v>
      </c>
      <c r="D406" s="165">
        <v>26</v>
      </c>
      <c r="E406" s="131" t="s">
        <v>1143</v>
      </c>
      <c r="F406" s="124">
        <v>0</v>
      </c>
      <c r="G406" s="129">
        <v>0</v>
      </c>
      <c r="H406" s="129">
        <v>0</v>
      </c>
    </row>
    <row r="407" spans="2:8" x14ac:dyDescent="0.25">
      <c r="B407" s="329"/>
      <c r="C407" s="131" t="s">
        <v>734</v>
      </c>
      <c r="D407" s="165">
        <v>16</v>
      </c>
      <c r="E407" s="131" t="s">
        <v>1143</v>
      </c>
      <c r="F407" s="124">
        <v>5.755375434527598E-3</v>
      </c>
      <c r="G407" s="129">
        <v>6.3309129779803581E-4</v>
      </c>
      <c r="H407" s="129">
        <v>1.7266126303582796E-4</v>
      </c>
    </row>
    <row r="408" spans="2:8" x14ac:dyDescent="0.25">
      <c r="B408" s="329"/>
      <c r="C408" s="131" t="s">
        <v>735</v>
      </c>
      <c r="D408" s="218">
        <v>25</v>
      </c>
      <c r="E408" s="218" t="s">
        <v>1149</v>
      </c>
      <c r="F408" s="124">
        <v>124.66419142918272</v>
      </c>
      <c r="G408" s="129">
        <v>13.713061057210098</v>
      </c>
      <c r="H408" s="129">
        <v>3.7399257428754811</v>
      </c>
    </row>
    <row r="409" spans="2:8" x14ac:dyDescent="0.25">
      <c r="B409" s="329"/>
      <c r="C409" s="131" t="s">
        <v>736</v>
      </c>
      <c r="D409" s="165">
        <v>16</v>
      </c>
      <c r="E409" s="131" t="s">
        <v>1143</v>
      </c>
      <c r="F409" s="124">
        <v>0</v>
      </c>
      <c r="G409" s="129">
        <v>0</v>
      </c>
      <c r="H409" s="129">
        <v>0</v>
      </c>
    </row>
    <row r="410" spans="2:8" x14ac:dyDescent="0.25">
      <c r="B410" s="329"/>
      <c r="C410" s="131" t="s">
        <v>737</v>
      </c>
      <c r="D410" s="165">
        <v>18</v>
      </c>
      <c r="E410" s="131" t="s">
        <v>755</v>
      </c>
      <c r="F410" s="124">
        <v>160.15332272258814</v>
      </c>
      <c r="G410" s="129">
        <v>17.6168654994847</v>
      </c>
      <c r="H410" s="129">
        <v>4.8045996816776446</v>
      </c>
    </row>
    <row r="411" spans="2:8" x14ac:dyDescent="0.25">
      <c r="B411" s="329"/>
      <c r="C411" s="131" t="s">
        <v>560</v>
      </c>
      <c r="D411" s="218">
        <v>25</v>
      </c>
      <c r="E411" s="218" t="s">
        <v>1149</v>
      </c>
      <c r="F411" s="124">
        <v>0.67160912409018148</v>
      </c>
      <c r="G411" s="129">
        <v>7.3877003649919976E-2</v>
      </c>
      <c r="H411" s="129">
        <v>2.0148273722705442E-2</v>
      </c>
    </row>
    <row r="412" spans="2:8" x14ac:dyDescent="0.25">
      <c r="B412" s="329"/>
      <c r="C412" s="131" t="s">
        <v>738</v>
      </c>
      <c r="D412" s="165">
        <v>16</v>
      </c>
      <c r="E412" s="131" t="s">
        <v>1143</v>
      </c>
      <c r="F412" s="124">
        <v>0</v>
      </c>
      <c r="G412" s="129">
        <v>0</v>
      </c>
      <c r="H412" s="129">
        <v>0</v>
      </c>
    </row>
    <row r="413" spans="2:8" x14ac:dyDescent="0.25">
      <c r="B413" s="329"/>
      <c r="C413" s="131" t="s">
        <v>739</v>
      </c>
      <c r="D413" s="165">
        <v>16</v>
      </c>
      <c r="E413" s="131" t="s">
        <v>1143</v>
      </c>
      <c r="F413" s="124">
        <v>569.43678342385385</v>
      </c>
      <c r="G413" s="129">
        <v>62.638046176623931</v>
      </c>
      <c r="H413" s="129">
        <v>17.083103502715613</v>
      </c>
    </row>
    <row r="414" spans="2:8" x14ac:dyDescent="0.25">
      <c r="B414" s="329"/>
      <c r="C414" s="131" t="s">
        <v>740</v>
      </c>
      <c r="D414" s="165">
        <v>18</v>
      </c>
      <c r="E414" s="131" t="s">
        <v>755</v>
      </c>
      <c r="F414" s="124">
        <v>258.3799457449943</v>
      </c>
      <c r="G414" s="129">
        <v>28.421794031949375</v>
      </c>
      <c r="H414" s="129">
        <v>7.7513983723498283</v>
      </c>
    </row>
    <row r="415" spans="2:8" x14ac:dyDescent="0.25">
      <c r="B415" s="329"/>
      <c r="C415" s="131" t="s">
        <v>563</v>
      </c>
      <c r="D415" s="165">
        <v>16</v>
      </c>
      <c r="E415" s="131" t="s">
        <v>1143</v>
      </c>
      <c r="F415" s="124">
        <v>0</v>
      </c>
      <c r="G415" s="129">
        <v>0</v>
      </c>
      <c r="H415" s="129">
        <v>0</v>
      </c>
    </row>
    <row r="416" spans="2:8" x14ac:dyDescent="0.25">
      <c r="B416" s="329"/>
      <c r="C416" s="131" t="s">
        <v>566</v>
      </c>
      <c r="D416" s="165">
        <v>16</v>
      </c>
      <c r="E416" s="131" t="s">
        <v>1143</v>
      </c>
      <c r="F416" s="124">
        <v>40.794411329322735</v>
      </c>
      <c r="G416" s="129">
        <v>4.4873852462255011</v>
      </c>
      <c r="H416" s="129">
        <v>1.223832339879682</v>
      </c>
    </row>
    <row r="417" spans="2:8" x14ac:dyDescent="0.25">
      <c r="B417" s="329"/>
      <c r="C417" s="131" t="s">
        <v>741</v>
      </c>
      <c r="D417" s="165">
        <v>18</v>
      </c>
      <c r="E417" s="131" t="s">
        <v>755</v>
      </c>
      <c r="F417" s="124">
        <v>0</v>
      </c>
      <c r="G417" s="129">
        <v>0</v>
      </c>
      <c r="H417" s="129">
        <v>0</v>
      </c>
    </row>
    <row r="418" spans="2:8" x14ac:dyDescent="0.25">
      <c r="B418" s="329"/>
      <c r="C418" s="131" t="s">
        <v>742</v>
      </c>
      <c r="D418" s="218">
        <v>25</v>
      </c>
      <c r="E418" s="218" t="s">
        <v>1149</v>
      </c>
      <c r="F418" s="124">
        <v>211.69981643061075</v>
      </c>
      <c r="G418" s="129">
        <v>23.286979807367185</v>
      </c>
      <c r="H418" s="129">
        <v>6.3509944929183222</v>
      </c>
    </row>
    <row r="419" spans="2:8" x14ac:dyDescent="0.25">
      <c r="B419" s="329"/>
      <c r="C419" s="131" t="s">
        <v>569</v>
      </c>
      <c r="D419" s="218">
        <v>25</v>
      </c>
      <c r="E419" s="218" t="s">
        <v>1149</v>
      </c>
      <c r="F419" s="124">
        <v>2.2926984443075282</v>
      </c>
      <c r="G419" s="129">
        <v>0.25219682887382816</v>
      </c>
      <c r="H419" s="129">
        <v>6.8780953329225847E-2</v>
      </c>
    </row>
    <row r="420" spans="2:8" x14ac:dyDescent="0.25">
      <c r="B420" s="329"/>
      <c r="C420" s="131" t="s">
        <v>743</v>
      </c>
      <c r="D420" s="165">
        <v>18</v>
      </c>
      <c r="E420" s="131" t="s">
        <v>755</v>
      </c>
      <c r="F420" s="124">
        <v>501.83275350083034</v>
      </c>
      <c r="G420" s="129">
        <v>55.201602885091333</v>
      </c>
      <c r="H420" s="129">
        <v>15.054982605024909</v>
      </c>
    </row>
    <row r="421" spans="2:8" x14ac:dyDescent="0.25">
      <c r="B421" s="329"/>
      <c r="C421" s="131" t="s">
        <v>744</v>
      </c>
      <c r="D421" s="165">
        <v>16</v>
      </c>
      <c r="E421" s="131" t="s">
        <v>1143</v>
      </c>
      <c r="F421" s="124">
        <v>0</v>
      </c>
      <c r="G421" s="129">
        <v>0</v>
      </c>
      <c r="H421" s="129">
        <v>0</v>
      </c>
    </row>
    <row r="422" spans="2:8" x14ac:dyDescent="0.25">
      <c r="B422" s="329"/>
      <c r="C422" s="131" t="s">
        <v>745</v>
      </c>
      <c r="D422" s="165">
        <v>26</v>
      </c>
      <c r="E422" s="131" t="s">
        <v>1143</v>
      </c>
      <c r="F422" s="124">
        <v>0</v>
      </c>
      <c r="G422" s="129">
        <v>0</v>
      </c>
      <c r="H422" s="129">
        <v>0</v>
      </c>
    </row>
    <row r="423" spans="2:8" x14ac:dyDescent="0.25">
      <c r="B423" s="329"/>
      <c r="C423" s="131" t="s">
        <v>746</v>
      </c>
      <c r="D423" s="165">
        <v>18</v>
      </c>
      <c r="E423" s="131" t="s">
        <v>755</v>
      </c>
      <c r="F423" s="124">
        <v>0</v>
      </c>
      <c r="G423" s="129">
        <v>0</v>
      </c>
      <c r="H423" s="129">
        <v>0</v>
      </c>
    </row>
    <row r="424" spans="2:8" x14ac:dyDescent="0.25">
      <c r="B424" s="329"/>
      <c r="C424" s="131" t="s">
        <v>747</v>
      </c>
      <c r="D424" s="165">
        <v>16</v>
      </c>
      <c r="E424" s="131" t="s">
        <v>1143</v>
      </c>
      <c r="F424" s="124">
        <v>798.38319765346228</v>
      </c>
      <c r="G424" s="129">
        <v>87.822151741880845</v>
      </c>
      <c r="H424" s="129">
        <v>23.951495929603869</v>
      </c>
    </row>
    <row r="425" spans="2:8" x14ac:dyDescent="0.25">
      <c r="B425" s="329"/>
      <c r="C425" s="148" t="s">
        <v>748</v>
      </c>
      <c r="D425" s="216">
        <v>15</v>
      </c>
      <c r="E425" s="148" t="s">
        <v>1153</v>
      </c>
      <c r="F425" s="147">
        <v>98.946879334996993</v>
      </c>
      <c r="G425" s="146">
        <v>10.884156726849669</v>
      </c>
      <c r="H425" s="146">
        <v>2.9684063800499096</v>
      </c>
    </row>
    <row r="426" spans="2:8" x14ac:dyDescent="0.25">
      <c r="B426" s="329"/>
      <c r="C426" s="131" t="s">
        <v>749</v>
      </c>
      <c r="D426" s="165">
        <v>18</v>
      </c>
      <c r="E426" s="131" t="s">
        <v>755</v>
      </c>
      <c r="F426" s="124">
        <v>187.9195272424972</v>
      </c>
      <c r="G426" s="129">
        <v>20.671147996674694</v>
      </c>
      <c r="H426" s="129">
        <v>5.6375858172749158</v>
      </c>
    </row>
    <row r="427" spans="2:8" x14ac:dyDescent="0.25">
      <c r="B427" s="329"/>
      <c r="C427" s="131" t="s">
        <v>750</v>
      </c>
      <c r="D427" s="218">
        <v>25</v>
      </c>
      <c r="E427" s="218" t="s">
        <v>1149</v>
      </c>
      <c r="F427" s="124">
        <v>226.31559803109104</v>
      </c>
      <c r="G427" s="129">
        <v>24.894715783420015</v>
      </c>
      <c r="H427" s="129">
        <v>6.789467940932731</v>
      </c>
    </row>
    <row r="428" spans="2:8" x14ac:dyDescent="0.25">
      <c r="B428" s="329"/>
      <c r="C428" s="131" t="s">
        <v>751</v>
      </c>
      <c r="D428" s="218">
        <v>25</v>
      </c>
      <c r="E428" s="218" t="s">
        <v>1149</v>
      </c>
      <c r="F428" s="124">
        <v>0</v>
      </c>
      <c r="G428" s="129">
        <v>0</v>
      </c>
      <c r="H428" s="129">
        <v>0</v>
      </c>
    </row>
    <row r="429" spans="2:8" x14ac:dyDescent="0.25">
      <c r="B429" s="329"/>
      <c r="C429" s="131" t="s">
        <v>617</v>
      </c>
      <c r="D429" s="218">
        <v>25</v>
      </c>
      <c r="E429" s="218" t="s">
        <v>1149</v>
      </c>
      <c r="F429" s="124">
        <v>0</v>
      </c>
      <c r="G429" s="129">
        <v>0</v>
      </c>
      <c r="H429" s="129">
        <v>0</v>
      </c>
    </row>
    <row r="430" spans="2:8" x14ac:dyDescent="0.25">
      <c r="B430" s="329"/>
      <c r="C430" s="131" t="s">
        <v>405</v>
      </c>
      <c r="D430" s="218">
        <v>25</v>
      </c>
      <c r="E430" s="218" t="s">
        <v>1149</v>
      </c>
      <c r="F430" s="124">
        <v>125.08932895597439</v>
      </c>
      <c r="G430" s="129">
        <v>13.759826185157186</v>
      </c>
      <c r="H430" s="129">
        <v>3.7526798686792322</v>
      </c>
    </row>
    <row r="431" spans="2:8" x14ac:dyDescent="0.25">
      <c r="B431" s="329"/>
      <c r="C431" s="131" t="s">
        <v>752</v>
      </c>
      <c r="D431" s="165">
        <v>16</v>
      </c>
      <c r="E431" s="131" t="s">
        <v>1143</v>
      </c>
      <c r="F431" s="124">
        <v>205.53607377856437</v>
      </c>
      <c r="G431" s="129">
        <v>22.608968115642082</v>
      </c>
      <c r="H431" s="129">
        <v>6.1660822133569297</v>
      </c>
    </row>
    <row r="432" spans="2:8" x14ac:dyDescent="0.25">
      <c r="B432" s="329"/>
      <c r="C432" s="131" t="s">
        <v>753</v>
      </c>
      <c r="D432" s="165">
        <v>16</v>
      </c>
      <c r="E432" s="131" t="s">
        <v>1143</v>
      </c>
      <c r="F432" s="124">
        <v>212.82024787518895</v>
      </c>
      <c r="G432" s="129">
        <v>23.410227266270788</v>
      </c>
      <c r="H432" s="129">
        <v>6.384607436255668</v>
      </c>
    </row>
    <row r="433" spans="2:8" x14ac:dyDescent="0.25">
      <c r="B433" s="329"/>
      <c r="C433" s="131" t="s">
        <v>754</v>
      </c>
      <c r="D433" s="218">
        <v>25</v>
      </c>
      <c r="E433" s="218" t="s">
        <v>1149</v>
      </c>
      <c r="F433" s="124">
        <v>151.30315465599864</v>
      </c>
      <c r="G433" s="129">
        <v>16.64334701215985</v>
      </c>
      <c r="H433" s="129">
        <v>4.5390946396799592</v>
      </c>
    </row>
    <row r="434" spans="2:8" x14ac:dyDescent="0.25">
      <c r="B434" s="329"/>
      <c r="C434" s="131" t="s">
        <v>755</v>
      </c>
      <c r="D434" s="165">
        <v>18</v>
      </c>
      <c r="E434" s="131" t="s">
        <v>755</v>
      </c>
      <c r="F434" s="147">
        <v>789.30614865187806</v>
      </c>
      <c r="G434" s="146">
        <v>86.823676351706581</v>
      </c>
      <c r="H434" s="146">
        <v>23.679184459556343</v>
      </c>
    </row>
    <row r="435" spans="2:8" x14ac:dyDescent="0.25">
      <c r="B435" s="336" t="s">
        <v>756</v>
      </c>
      <c r="C435" s="32" t="s">
        <v>757</v>
      </c>
      <c r="D435" s="165">
        <v>17</v>
      </c>
      <c r="E435" s="32" t="s">
        <v>1154</v>
      </c>
      <c r="F435" s="122">
        <v>0</v>
      </c>
      <c r="G435" s="123">
        <v>0</v>
      </c>
      <c r="H435" s="123">
        <v>0</v>
      </c>
    </row>
    <row r="436" spans="2:8" x14ac:dyDescent="0.25">
      <c r="B436" s="336"/>
      <c r="C436" s="32" t="s">
        <v>758</v>
      </c>
      <c r="D436" s="165">
        <v>17</v>
      </c>
      <c r="E436" s="32" t="s">
        <v>1154</v>
      </c>
      <c r="F436" s="122">
        <v>0</v>
      </c>
      <c r="G436" s="123">
        <v>0</v>
      </c>
      <c r="H436" s="123">
        <v>0</v>
      </c>
    </row>
    <row r="437" spans="2:8" x14ac:dyDescent="0.25">
      <c r="B437" s="336"/>
      <c r="C437" s="32" t="s">
        <v>759</v>
      </c>
      <c r="D437" s="165">
        <v>17</v>
      </c>
      <c r="E437" s="32" t="s">
        <v>1154</v>
      </c>
      <c r="F437" s="122">
        <v>11.09368289791963</v>
      </c>
      <c r="G437" s="123">
        <v>1.2203051187711593</v>
      </c>
      <c r="H437" s="123">
        <v>0.33281048693758891</v>
      </c>
    </row>
    <row r="438" spans="2:8" x14ac:dyDescent="0.25">
      <c r="B438" s="336"/>
      <c r="C438" s="32" t="s">
        <v>760</v>
      </c>
      <c r="D438" s="165">
        <v>17</v>
      </c>
      <c r="E438" s="32" t="s">
        <v>1154</v>
      </c>
      <c r="F438" s="122">
        <v>71.79743301808</v>
      </c>
      <c r="G438" s="123">
        <v>7.8977176319888018</v>
      </c>
      <c r="H438" s="123">
        <v>2.1539229905424002</v>
      </c>
    </row>
    <row r="439" spans="2:8" x14ac:dyDescent="0.25">
      <c r="B439" s="336"/>
      <c r="C439" s="32" t="s">
        <v>761</v>
      </c>
      <c r="D439" s="165">
        <v>17</v>
      </c>
      <c r="E439" s="32" t="s">
        <v>1154</v>
      </c>
      <c r="F439" s="122">
        <v>10.310101383390995</v>
      </c>
      <c r="G439" s="123">
        <v>1.1341111521730094</v>
      </c>
      <c r="H439" s="123">
        <v>0.30930304150172988</v>
      </c>
    </row>
    <row r="440" spans="2:8" x14ac:dyDescent="0.25">
      <c r="B440" s="336"/>
      <c r="C440" s="32" t="s">
        <v>762</v>
      </c>
      <c r="D440" s="165">
        <v>17</v>
      </c>
      <c r="E440" s="32" t="s">
        <v>1154</v>
      </c>
      <c r="F440" s="122">
        <v>0</v>
      </c>
      <c r="G440" s="123">
        <v>0</v>
      </c>
      <c r="H440" s="123">
        <v>0</v>
      </c>
    </row>
    <row r="441" spans="2:8" x14ac:dyDescent="0.25">
      <c r="B441" s="336"/>
      <c r="C441" s="32" t="s">
        <v>763</v>
      </c>
      <c r="D441" s="165">
        <v>17</v>
      </c>
      <c r="E441" s="32" t="s">
        <v>1154</v>
      </c>
      <c r="F441" s="122">
        <v>0</v>
      </c>
      <c r="G441" s="123">
        <v>0</v>
      </c>
      <c r="H441" s="123">
        <v>0</v>
      </c>
    </row>
    <row r="442" spans="2:8" x14ac:dyDescent="0.25">
      <c r="B442" s="336"/>
      <c r="C442" s="32" t="s">
        <v>764</v>
      </c>
      <c r="D442" s="165">
        <v>17</v>
      </c>
      <c r="E442" s="32" t="s">
        <v>1154</v>
      </c>
      <c r="F442" s="122">
        <v>108.83315593599254</v>
      </c>
      <c r="G442" s="123">
        <v>11.971647152959179</v>
      </c>
      <c r="H442" s="123">
        <v>3.2649946780797761</v>
      </c>
    </row>
    <row r="443" spans="2:8" x14ac:dyDescent="0.25">
      <c r="B443" s="336"/>
      <c r="C443" s="32" t="s">
        <v>765</v>
      </c>
      <c r="D443" s="165">
        <v>17</v>
      </c>
      <c r="E443" s="32" t="s">
        <v>1154</v>
      </c>
      <c r="F443" s="122">
        <v>6.4650979825864106</v>
      </c>
      <c r="G443" s="123">
        <v>0.71116077808450529</v>
      </c>
      <c r="H443" s="123">
        <v>0.19395293947759235</v>
      </c>
    </row>
    <row r="444" spans="2:8" x14ac:dyDescent="0.25">
      <c r="B444" s="336"/>
      <c r="C444" s="32" t="s">
        <v>766</v>
      </c>
      <c r="D444" s="165">
        <v>17</v>
      </c>
      <c r="E444" s="32" t="s">
        <v>1154</v>
      </c>
      <c r="F444" s="122">
        <v>372.28670953172099</v>
      </c>
      <c r="G444" s="123">
        <v>40.951538048489311</v>
      </c>
      <c r="H444" s="123">
        <v>11.168601285951629</v>
      </c>
    </row>
    <row r="445" spans="2:8" x14ac:dyDescent="0.25">
      <c r="B445" s="336"/>
      <c r="C445" s="32" t="s">
        <v>767</v>
      </c>
      <c r="D445" s="165">
        <v>17</v>
      </c>
      <c r="E445" s="32" t="s">
        <v>1154</v>
      </c>
      <c r="F445" s="122">
        <v>112.54921963125852</v>
      </c>
      <c r="G445" s="123">
        <v>12.380414159438439</v>
      </c>
      <c r="H445" s="123">
        <v>3.3764765889377557</v>
      </c>
    </row>
    <row r="446" spans="2:8" x14ac:dyDescent="0.25">
      <c r="B446" s="336"/>
      <c r="C446" s="32" t="s">
        <v>768</v>
      </c>
      <c r="D446" s="165">
        <v>17</v>
      </c>
      <c r="E446" s="32" t="s">
        <v>1154</v>
      </c>
      <c r="F446" s="122">
        <v>685.10101217599993</v>
      </c>
      <c r="G446" s="123">
        <v>75.361111339359994</v>
      </c>
      <c r="H446" s="123">
        <v>20.553030365279994</v>
      </c>
    </row>
    <row r="447" spans="2:8" x14ac:dyDescent="0.25">
      <c r="B447" s="336"/>
      <c r="C447" s="32" t="s">
        <v>769</v>
      </c>
      <c r="D447" s="165">
        <v>17</v>
      </c>
      <c r="E447" s="32" t="s">
        <v>1154</v>
      </c>
      <c r="F447" s="122">
        <v>502.82836345946015</v>
      </c>
      <c r="G447" s="123">
        <v>55.311119980540624</v>
      </c>
      <c r="H447" s="123">
        <v>15.084850903783805</v>
      </c>
    </row>
    <row r="448" spans="2:8" x14ac:dyDescent="0.25">
      <c r="B448" s="336"/>
      <c r="C448" s="32" t="s">
        <v>373</v>
      </c>
      <c r="D448" s="165">
        <v>17</v>
      </c>
      <c r="E448" s="32" t="s">
        <v>1154</v>
      </c>
      <c r="F448" s="122">
        <v>61.563849415444444</v>
      </c>
      <c r="G448" s="123">
        <v>6.7720234356988893</v>
      </c>
      <c r="H448" s="123">
        <v>1.8469154824633334</v>
      </c>
    </row>
    <row r="449" spans="2:8" x14ac:dyDescent="0.25">
      <c r="B449" s="336"/>
      <c r="C449" s="32" t="s">
        <v>770</v>
      </c>
      <c r="D449" s="165">
        <v>17</v>
      </c>
      <c r="E449" s="32" t="s">
        <v>1154</v>
      </c>
      <c r="F449" s="122">
        <v>1.3387265133428369E-3</v>
      </c>
      <c r="G449" s="123">
        <v>1.4725991646771208E-4</v>
      </c>
      <c r="H449" s="123">
        <v>4.0161795400285103E-5</v>
      </c>
    </row>
    <row r="450" spans="2:8" x14ac:dyDescent="0.25">
      <c r="B450" s="336"/>
      <c r="C450" s="32" t="s">
        <v>771</v>
      </c>
      <c r="D450" s="165">
        <v>17</v>
      </c>
      <c r="E450" s="32" t="s">
        <v>1154</v>
      </c>
      <c r="F450" s="122">
        <v>3.1624419161098838</v>
      </c>
      <c r="G450" s="123">
        <v>0.34786861077208719</v>
      </c>
      <c r="H450" s="123">
        <v>9.4873257483296516E-2</v>
      </c>
    </row>
    <row r="451" spans="2:8" x14ac:dyDescent="0.25">
      <c r="B451" s="336"/>
      <c r="C451" s="32" t="s">
        <v>772</v>
      </c>
      <c r="D451" s="165">
        <v>17</v>
      </c>
      <c r="E451" s="32" t="s">
        <v>1154</v>
      </c>
      <c r="F451" s="122">
        <v>3.6632905354098302</v>
      </c>
      <c r="G451" s="123">
        <v>0.40296195889508135</v>
      </c>
      <c r="H451" s="123">
        <v>0.1098987160622949</v>
      </c>
    </row>
    <row r="452" spans="2:8" x14ac:dyDescent="0.25">
      <c r="B452" s="336"/>
      <c r="C452" s="32" t="s">
        <v>773</v>
      </c>
      <c r="D452" s="165">
        <v>17</v>
      </c>
      <c r="E452" s="32" t="s">
        <v>1154</v>
      </c>
      <c r="F452" s="122">
        <v>0</v>
      </c>
      <c r="G452" s="123">
        <v>0</v>
      </c>
      <c r="H452" s="123">
        <v>0</v>
      </c>
    </row>
    <row r="453" spans="2:8" x14ac:dyDescent="0.25">
      <c r="B453" s="336"/>
      <c r="C453" s="32" t="s">
        <v>774</v>
      </c>
      <c r="D453" s="165">
        <v>17</v>
      </c>
      <c r="E453" s="32" t="s">
        <v>1154</v>
      </c>
      <c r="F453" s="122">
        <v>68.684537422484354</v>
      </c>
      <c r="G453" s="123">
        <v>7.5552991164732797</v>
      </c>
      <c r="H453" s="123">
        <v>2.0605361226745305</v>
      </c>
    </row>
    <row r="454" spans="2:8" x14ac:dyDescent="0.25">
      <c r="B454" s="336"/>
      <c r="C454" s="32" t="s">
        <v>775</v>
      </c>
      <c r="D454" s="165">
        <v>17</v>
      </c>
      <c r="E454" s="32" t="s">
        <v>1154</v>
      </c>
      <c r="F454" s="122">
        <v>107.77244177410078</v>
      </c>
      <c r="G454" s="123">
        <v>11.854968595151087</v>
      </c>
      <c r="H454" s="123">
        <v>3.2331732532230233</v>
      </c>
    </row>
    <row r="455" spans="2:8" x14ac:dyDescent="0.25">
      <c r="B455" s="336"/>
      <c r="C455" s="32" t="s">
        <v>776</v>
      </c>
      <c r="D455" s="165">
        <v>17</v>
      </c>
      <c r="E455" s="32" t="s">
        <v>1154</v>
      </c>
      <c r="F455" s="122">
        <v>76.470494038730919</v>
      </c>
      <c r="G455" s="123">
        <v>8.4117543442604017</v>
      </c>
      <c r="H455" s="123">
        <v>2.2941148211619273</v>
      </c>
    </row>
    <row r="456" spans="2:8" x14ac:dyDescent="0.25">
      <c r="B456" s="336"/>
      <c r="C456" s="32" t="s">
        <v>777</v>
      </c>
      <c r="D456" s="165">
        <v>17</v>
      </c>
      <c r="E456" s="32" t="s">
        <v>1154</v>
      </c>
      <c r="F456" s="122">
        <v>0</v>
      </c>
      <c r="G456" s="123">
        <v>0</v>
      </c>
      <c r="H456" s="123">
        <v>0</v>
      </c>
    </row>
    <row r="457" spans="2:8" x14ac:dyDescent="0.25">
      <c r="B457" s="336"/>
      <c r="C457" s="32" t="s">
        <v>778</v>
      </c>
      <c r="D457" s="165">
        <v>17</v>
      </c>
      <c r="E457" s="32" t="s">
        <v>1154</v>
      </c>
      <c r="F457" s="122">
        <v>46.592981043446954</v>
      </c>
      <c r="G457" s="123">
        <v>5.1252279147791651</v>
      </c>
      <c r="H457" s="123">
        <v>1.3977894313034085</v>
      </c>
    </row>
    <row r="458" spans="2:8" x14ac:dyDescent="0.25">
      <c r="B458" s="336"/>
      <c r="C458" s="32" t="s">
        <v>779</v>
      </c>
      <c r="D458" s="165">
        <v>17</v>
      </c>
      <c r="E458" s="32" t="s">
        <v>1154</v>
      </c>
      <c r="F458" s="122">
        <v>0</v>
      </c>
      <c r="G458" s="123">
        <v>0</v>
      </c>
      <c r="H458" s="123">
        <v>0</v>
      </c>
    </row>
    <row r="459" spans="2:8" x14ac:dyDescent="0.25">
      <c r="B459" s="336"/>
      <c r="C459" s="32" t="s">
        <v>780</v>
      </c>
      <c r="D459" s="165">
        <v>17</v>
      </c>
      <c r="E459" s="32" t="s">
        <v>1154</v>
      </c>
      <c r="F459" s="122">
        <v>0</v>
      </c>
      <c r="G459" s="123">
        <v>0</v>
      </c>
      <c r="H459" s="123">
        <v>0</v>
      </c>
    </row>
    <row r="460" spans="2:8" x14ac:dyDescent="0.25">
      <c r="B460" s="336"/>
      <c r="C460" s="32" t="s">
        <v>781</v>
      </c>
      <c r="D460" s="165">
        <v>17</v>
      </c>
      <c r="E460" s="32" t="s">
        <v>1154</v>
      </c>
      <c r="F460" s="122">
        <v>0</v>
      </c>
      <c r="G460" s="123">
        <v>0</v>
      </c>
      <c r="H460" s="123">
        <v>0</v>
      </c>
    </row>
    <row r="461" spans="2:8" x14ac:dyDescent="0.25">
      <c r="B461" s="336"/>
      <c r="C461" s="32" t="s">
        <v>782</v>
      </c>
      <c r="D461" s="165">
        <v>17</v>
      </c>
      <c r="E461" s="32" t="s">
        <v>1154</v>
      </c>
      <c r="F461" s="122">
        <v>0.1886033130543377</v>
      </c>
      <c r="G461" s="123">
        <v>2.074636443597715E-2</v>
      </c>
      <c r="H461" s="123">
        <v>5.6580993916301309E-3</v>
      </c>
    </row>
    <row r="462" spans="2:8" x14ac:dyDescent="0.25">
      <c r="B462" s="336"/>
      <c r="C462" s="32" t="s">
        <v>783</v>
      </c>
      <c r="D462" s="165">
        <v>17</v>
      </c>
      <c r="E462" s="32" t="s">
        <v>1154</v>
      </c>
      <c r="F462" s="122">
        <v>410.69223706092106</v>
      </c>
      <c r="G462" s="123">
        <v>45.176146076701329</v>
      </c>
      <c r="H462" s="123">
        <v>12.320767111827632</v>
      </c>
    </row>
    <row r="463" spans="2:8" x14ac:dyDescent="0.25">
      <c r="B463" s="336"/>
      <c r="C463" s="32" t="s">
        <v>784</v>
      </c>
      <c r="D463" s="165">
        <v>17</v>
      </c>
      <c r="E463" s="32" t="s">
        <v>1154</v>
      </c>
      <c r="F463" s="122">
        <v>0</v>
      </c>
      <c r="G463" s="123">
        <v>0</v>
      </c>
      <c r="H463" s="123">
        <v>0</v>
      </c>
    </row>
    <row r="464" spans="2:8" x14ac:dyDescent="0.25">
      <c r="B464" s="336"/>
      <c r="C464" s="32" t="s">
        <v>785</v>
      </c>
      <c r="D464" s="165">
        <v>17</v>
      </c>
      <c r="E464" s="32" t="s">
        <v>1154</v>
      </c>
      <c r="F464" s="122">
        <v>0</v>
      </c>
      <c r="G464" s="123">
        <v>0</v>
      </c>
      <c r="H464" s="123">
        <v>0</v>
      </c>
    </row>
    <row r="465" spans="2:8" x14ac:dyDescent="0.25">
      <c r="B465" s="336"/>
      <c r="C465" s="32" t="s">
        <v>786</v>
      </c>
      <c r="D465" s="165">
        <v>17</v>
      </c>
      <c r="E465" s="32" t="s">
        <v>1154</v>
      </c>
      <c r="F465" s="122">
        <v>0</v>
      </c>
      <c r="G465" s="123">
        <v>0</v>
      </c>
      <c r="H465" s="123">
        <v>0</v>
      </c>
    </row>
    <row r="466" spans="2:8" x14ac:dyDescent="0.25">
      <c r="B466" s="336"/>
      <c r="C466" s="32" t="s">
        <v>787</v>
      </c>
      <c r="D466" s="165">
        <v>17</v>
      </c>
      <c r="E466" s="32" t="s">
        <v>1154</v>
      </c>
      <c r="F466" s="122">
        <v>92.325178258668018</v>
      </c>
      <c r="G466" s="123">
        <v>10.155769608453484</v>
      </c>
      <c r="H466" s="123">
        <v>2.7697553477600403</v>
      </c>
    </row>
    <row r="467" spans="2:8" x14ac:dyDescent="0.25">
      <c r="B467" s="336"/>
      <c r="C467" s="32" t="s">
        <v>788</v>
      </c>
      <c r="D467" s="165">
        <v>17</v>
      </c>
      <c r="E467" s="32" t="s">
        <v>1154</v>
      </c>
      <c r="F467" s="122">
        <v>0</v>
      </c>
      <c r="G467" s="123">
        <v>0</v>
      </c>
      <c r="H467" s="123">
        <v>0</v>
      </c>
    </row>
    <row r="468" spans="2:8" x14ac:dyDescent="0.25">
      <c r="B468" s="336"/>
      <c r="C468" s="32" t="s">
        <v>789</v>
      </c>
      <c r="D468" s="165">
        <v>17</v>
      </c>
      <c r="E468" s="32" t="s">
        <v>1154</v>
      </c>
      <c r="F468" s="122">
        <v>62.491227803476939</v>
      </c>
      <c r="G468" s="123">
        <v>6.8740350583824643</v>
      </c>
      <c r="H468" s="123">
        <v>1.8747368341043085</v>
      </c>
    </row>
    <row r="469" spans="2:8" x14ac:dyDescent="0.25">
      <c r="B469" s="336"/>
      <c r="C469" s="32" t="s">
        <v>790</v>
      </c>
      <c r="D469" s="165">
        <v>17</v>
      </c>
      <c r="E469" s="32" t="s">
        <v>1154</v>
      </c>
      <c r="F469" s="122">
        <v>296.95244630213102</v>
      </c>
      <c r="G469" s="123">
        <v>32.664769093234412</v>
      </c>
      <c r="H469" s="123">
        <v>8.90857338906393</v>
      </c>
    </row>
    <row r="470" spans="2:8" x14ac:dyDescent="0.25">
      <c r="B470" s="336"/>
      <c r="C470" s="32" t="s">
        <v>791</v>
      </c>
      <c r="D470" s="165">
        <v>17</v>
      </c>
      <c r="E470" s="32" t="s">
        <v>1154</v>
      </c>
      <c r="F470" s="122">
        <v>322.85129433731686</v>
      </c>
      <c r="G470" s="123">
        <v>35.513642377104858</v>
      </c>
      <c r="H470" s="123">
        <v>9.6855388301195049</v>
      </c>
    </row>
    <row r="471" spans="2:8" x14ac:dyDescent="0.25">
      <c r="B471" s="336"/>
      <c r="C471" s="32" t="s">
        <v>692</v>
      </c>
      <c r="D471" s="165">
        <v>17</v>
      </c>
      <c r="E471" s="32" t="s">
        <v>1154</v>
      </c>
      <c r="F471" s="122">
        <v>146.51882155763175</v>
      </c>
      <c r="G471" s="123">
        <v>16.117070371339494</v>
      </c>
      <c r="H471" s="123">
        <v>4.3955646467289524</v>
      </c>
    </row>
    <row r="472" spans="2:8" x14ac:dyDescent="0.25">
      <c r="B472" s="336"/>
      <c r="C472" s="32" t="s">
        <v>792</v>
      </c>
      <c r="D472" s="165">
        <v>17</v>
      </c>
      <c r="E472" s="32" t="s">
        <v>1154</v>
      </c>
      <c r="F472" s="122">
        <v>0</v>
      </c>
      <c r="G472" s="123">
        <v>0</v>
      </c>
      <c r="H472" s="123">
        <v>0</v>
      </c>
    </row>
    <row r="473" spans="2:8" x14ac:dyDescent="0.25">
      <c r="B473" s="336"/>
      <c r="C473" s="32" t="s">
        <v>793</v>
      </c>
      <c r="D473" s="165">
        <v>17</v>
      </c>
      <c r="E473" s="32" t="s">
        <v>1154</v>
      </c>
      <c r="F473" s="122">
        <v>0</v>
      </c>
      <c r="G473" s="123">
        <v>0</v>
      </c>
      <c r="H473" s="123">
        <v>0</v>
      </c>
    </row>
    <row r="474" spans="2:8" x14ac:dyDescent="0.25">
      <c r="B474" s="336"/>
      <c r="C474" s="32" t="s">
        <v>794</v>
      </c>
      <c r="D474" s="165">
        <v>17</v>
      </c>
      <c r="E474" s="32" t="s">
        <v>1154</v>
      </c>
      <c r="F474" s="122">
        <v>614.21632999717337</v>
      </c>
      <c r="G474" s="123">
        <v>67.563796299689088</v>
      </c>
      <c r="H474" s="123">
        <v>18.426489899915204</v>
      </c>
    </row>
    <row r="475" spans="2:8" x14ac:dyDescent="0.25">
      <c r="B475" s="336"/>
      <c r="C475" s="32" t="s">
        <v>795</v>
      </c>
      <c r="D475" s="165">
        <v>17</v>
      </c>
      <c r="E475" s="32" t="s">
        <v>1154</v>
      </c>
      <c r="F475" s="122">
        <v>62.701075697685958</v>
      </c>
      <c r="G475" s="123">
        <v>6.8971183267454572</v>
      </c>
      <c r="H475" s="123">
        <v>1.8810322709305787</v>
      </c>
    </row>
    <row r="476" spans="2:8" x14ac:dyDescent="0.25">
      <c r="B476" s="336"/>
      <c r="C476" s="32" t="s">
        <v>796</v>
      </c>
      <c r="D476" s="165">
        <v>17</v>
      </c>
      <c r="E476" s="32" t="s">
        <v>1154</v>
      </c>
      <c r="F476" s="122">
        <v>0</v>
      </c>
      <c r="G476" s="123">
        <v>0</v>
      </c>
      <c r="H476" s="123">
        <v>0</v>
      </c>
    </row>
    <row r="477" spans="2:8" x14ac:dyDescent="0.25">
      <c r="B477" s="336"/>
      <c r="C477" s="32" t="s">
        <v>797</v>
      </c>
      <c r="D477" s="165">
        <v>17</v>
      </c>
      <c r="E477" s="32" t="s">
        <v>1154</v>
      </c>
      <c r="F477" s="122">
        <v>399.60650143704527</v>
      </c>
      <c r="G477" s="123">
        <v>43.956715158074978</v>
      </c>
      <c r="H477" s="123">
        <v>11.988195043111357</v>
      </c>
    </row>
    <row r="478" spans="2:8" x14ac:dyDescent="0.25">
      <c r="B478" s="336"/>
      <c r="C478" s="32" t="s">
        <v>798</v>
      </c>
      <c r="D478" s="165">
        <v>17</v>
      </c>
      <c r="E478" s="32" t="s">
        <v>1154</v>
      </c>
      <c r="F478" s="122">
        <v>72.334414603452672</v>
      </c>
      <c r="G478" s="123">
        <v>7.9567856063797953</v>
      </c>
      <c r="H478" s="123">
        <v>2.17003243810358</v>
      </c>
    </row>
    <row r="479" spans="2:8" x14ac:dyDescent="0.25">
      <c r="B479" s="336"/>
      <c r="C479" s="32" t="s">
        <v>799</v>
      </c>
      <c r="D479" s="165">
        <v>17</v>
      </c>
      <c r="E479" s="32" t="s">
        <v>1154</v>
      </c>
      <c r="F479" s="122">
        <v>0</v>
      </c>
      <c r="G479" s="123">
        <v>0</v>
      </c>
      <c r="H479" s="123">
        <v>0</v>
      </c>
    </row>
    <row r="480" spans="2:8" x14ac:dyDescent="0.25">
      <c r="B480" s="336"/>
      <c r="C480" s="32" t="s">
        <v>800</v>
      </c>
      <c r="D480" s="165">
        <v>17</v>
      </c>
      <c r="E480" s="32" t="s">
        <v>1154</v>
      </c>
      <c r="F480" s="122">
        <v>522.25699543801386</v>
      </c>
      <c r="G480" s="123">
        <v>57.448269498181538</v>
      </c>
      <c r="H480" s="123">
        <v>15.667709863140416</v>
      </c>
    </row>
    <row r="481" spans="2:8" x14ac:dyDescent="0.25">
      <c r="B481" s="337" t="s">
        <v>801</v>
      </c>
      <c r="C481" s="132" t="s">
        <v>802</v>
      </c>
      <c r="D481" s="165">
        <v>26</v>
      </c>
      <c r="E481" s="131" t="s">
        <v>1143</v>
      </c>
      <c r="F481" s="130">
        <v>0</v>
      </c>
      <c r="G481" s="123">
        <v>0</v>
      </c>
      <c r="H481" s="123">
        <v>0</v>
      </c>
    </row>
    <row r="482" spans="2:8" x14ac:dyDescent="0.25">
      <c r="B482" s="337"/>
      <c r="C482" s="132" t="s">
        <v>803</v>
      </c>
      <c r="D482" s="165">
        <v>26</v>
      </c>
      <c r="E482" s="131" t="s">
        <v>1143</v>
      </c>
      <c r="F482" s="130">
        <v>0</v>
      </c>
      <c r="G482" s="123">
        <v>0</v>
      </c>
      <c r="H482" s="123">
        <v>0</v>
      </c>
    </row>
    <row r="483" spans="2:8" x14ac:dyDescent="0.25">
      <c r="B483" s="337"/>
      <c r="C483" s="132" t="s">
        <v>804</v>
      </c>
      <c r="D483" s="165">
        <v>26</v>
      </c>
      <c r="E483" s="131" t="s">
        <v>1143</v>
      </c>
      <c r="F483" s="130">
        <v>0</v>
      </c>
      <c r="G483" s="123">
        <v>0</v>
      </c>
      <c r="H483" s="123">
        <v>0</v>
      </c>
    </row>
    <row r="484" spans="2:8" x14ac:dyDescent="0.25">
      <c r="B484" s="337"/>
      <c r="C484" s="132" t="s">
        <v>805</v>
      </c>
      <c r="D484" s="165">
        <v>16</v>
      </c>
      <c r="E484" s="131" t="s">
        <v>1143</v>
      </c>
      <c r="F484" s="130">
        <v>0</v>
      </c>
      <c r="G484" s="123">
        <v>0</v>
      </c>
      <c r="H484" s="123">
        <v>0</v>
      </c>
    </row>
    <row r="485" spans="2:8" x14ac:dyDescent="0.25">
      <c r="B485" s="337"/>
      <c r="C485" s="132" t="s">
        <v>806</v>
      </c>
      <c r="D485" s="165">
        <v>26</v>
      </c>
      <c r="E485" s="131" t="s">
        <v>1143</v>
      </c>
      <c r="F485" s="130">
        <v>0</v>
      </c>
      <c r="G485" s="123">
        <v>0</v>
      </c>
      <c r="H485" s="123">
        <v>0</v>
      </c>
    </row>
    <row r="486" spans="2:8" x14ac:dyDescent="0.25">
      <c r="B486" s="337"/>
      <c r="C486" s="132" t="s">
        <v>807</v>
      </c>
      <c r="D486" s="165">
        <v>26</v>
      </c>
      <c r="E486" s="131" t="s">
        <v>1143</v>
      </c>
      <c r="F486" s="130">
        <v>0</v>
      </c>
      <c r="G486" s="123">
        <v>0</v>
      </c>
      <c r="H486" s="123">
        <v>0</v>
      </c>
    </row>
    <row r="487" spans="2:8" x14ac:dyDescent="0.25">
      <c r="B487" s="337"/>
      <c r="C487" s="132" t="s">
        <v>808</v>
      </c>
      <c r="D487" s="165">
        <v>26</v>
      </c>
      <c r="E487" s="131" t="s">
        <v>1143</v>
      </c>
      <c r="F487" s="130">
        <v>0</v>
      </c>
      <c r="G487" s="123">
        <v>0</v>
      </c>
      <c r="H487" s="123">
        <v>0</v>
      </c>
    </row>
    <row r="488" spans="2:8" x14ac:dyDescent="0.25">
      <c r="B488" s="337"/>
      <c r="C488" s="132" t="s">
        <v>809</v>
      </c>
      <c r="D488" s="165">
        <v>26</v>
      </c>
      <c r="E488" s="131" t="s">
        <v>1143</v>
      </c>
      <c r="F488" s="130">
        <v>0</v>
      </c>
      <c r="G488" s="123">
        <v>0</v>
      </c>
      <c r="H488" s="123">
        <v>0</v>
      </c>
    </row>
    <row r="489" spans="2:8" x14ac:dyDescent="0.25">
      <c r="B489" s="337"/>
      <c r="C489" s="132" t="s">
        <v>810</v>
      </c>
      <c r="D489" s="165">
        <v>26</v>
      </c>
      <c r="E489" s="131" t="s">
        <v>1143</v>
      </c>
      <c r="F489" s="130">
        <v>3.2303194870801395</v>
      </c>
      <c r="G489" s="123">
        <v>0.35533514357881535</v>
      </c>
      <c r="H489" s="123">
        <v>9.6909584612404176E-2</v>
      </c>
    </row>
    <row r="490" spans="2:8" x14ac:dyDescent="0.25">
      <c r="B490" s="337"/>
      <c r="C490" s="132" t="s">
        <v>811</v>
      </c>
      <c r="D490" s="165">
        <v>26</v>
      </c>
      <c r="E490" s="131" t="s">
        <v>1143</v>
      </c>
      <c r="F490" s="130">
        <v>2.236626869086713</v>
      </c>
      <c r="G490" s="123">
        <v>0.24602895559953844</v>
      </c>
      <c r="H490" s="123">
        <v>6.7098806072601394E-2</v>
      </c>
    </row>
    <row r="491" spans="2:8" x14ac:dyDescent="0.25">
      <c r="B491" s="337"/>
      <c r="C491" s="132" t="s">
        <v>812</v>
      </c>
      <c r="D491" s="165">
        <v>26</v>
      </c>
      <c r="E491" s="131" t="s">
        <v>1143</v>
      </c>
      <c r="F491" s="130">
        <v>127.1115134349302</v>
      </c>
      <c r="G491" s="123">
        <v>13.982266477842323</v>
      </c>
      <c r="H491" s="123">
        <v>3.8133454030479053</v>
      </c>
    </row>
    <row r="492" spans="2:8" x14ac:dyDescent="0.25">
      <c r="B492" s="337"/>
      <c r="C492" s="132" t="s">
        <v>813</v>
      </c>
      <c r="D492" s="165">
        <v>26</v>
      </c>
      <c r="E492" s="131" t="s">
        <v>1143</v>
      </c>
      <c r="F492" s="130">
        <v>252.91977972783246</v>
      </c>
      <c r="G492" s="123">
        <v>27.821175770061576</v>
      </c>
      <c r="H492" s="123">
        <v>7.5875933918349734</v>
      </c>
    </row>
    <row r="493" spans="2:8" x14ac:dyDescent="0.25">
      <c r="B493" s="337"/>
      <c r="C493" s="132" t="s">
        <v>814</v>
      </c>
      <c r="D493" s="165">
        <v>26</v>
      </c>
      <c r="E493" s="131" t="s">
        <v>1143</v>
      </c>
      <c r="F493" s="130">
        <v>0</v>
      </c>
      <c r="G493" s="123">
        <v>0</v>
      </c>
      <c r="H493" s="123">
        <v>0</v>
      </c>
    </row>
    <row r="494" spans="2:8" x14ac:dyDescent="0.25">
      <c r="B494" s="337"/>
      <c r="C494" s="132" t="s">
        <v>815</v>
      </c>
      <c r="D494" s="165">
        <v>26</v>
      </c>
      <c r="E494" s="131" t="s">
        <v>1143</v>
      </c>
      <c r="F494" s="130">
        <v>699.89527853934669</v>
      </c>
      <c r="G494" s="127">
        <v>76.988480639328145</v>
      </c>
      <c r="H494" s="133">
        <v>20.9968583561804</v>
      </c>
    </row>
    <row r="495" spans="2:8" x14ac:dyDescent="0.25">
      <c r="B495" s="337"/>
      <c r="C495" s="132" t="s">
        <v>816</v>
      </c>
      <c r="D495" s="165">
        <v>16</v>
      </c>
      <c r="E495" s="131" t="s">
        <v>1143</v>
      </c>
      <c r="F495" s="130">
        <v>0</v>
      </c>
      <c r="G495" s="127">
        <v>0</v>
      </c>
      <c r="H495" s="133">
        <v>0</v>
      </c>
    </row>
    <row r="496" spans="2:8" x14ac:dyDescent="0.25">
      <c r="B496" s="337"/>
      <c r="C496" s="132" t="s">
        <v>817</v>
      </c>
      <c r="D496" s="165">
        <v>26</v>
      </c>
      <c r="E496" s="131" t="s">
        <v>1143</v>
      </c>
      <c r="F496" s="130">
        <v>0</v>
      </c>
      <c r="G496" s="127">
        <v>0</v>
      </c>
      <c r="H496" s="133">
        <v>0</v>
      </c>
    </row>
    <row r="497" spans="2:8" x14ac:dyDescent="0.25">
      <c r="B497" s="337"/>
      <c r="C497" s="132" t="s">
        <v>818</v>
      </c>
      <c r="D497" s="165">
        <v>26</v>
      </c>
      <c r="E497" s="131" t="s">
        <v>1143</v>
      </c>
      <c r="F497" s="130">
        <v>1.6728695136563738</v>
      </c>
      <c r="G497" s="127">
        <v>0.18401564650220109</v>
      </c>
      <c r="H497" s="133">
        <v>5.0186085409691203E-2</v>
      </c>
    </row>
    <row r="498" spans="2:8" x14ac:dyDescent="0.25">
      <c r="B498" s="337"/>
      <c r="C498" s="132" t="s">
        <v>819</v>
      </c>
      <c r="D498" s="165">
        <v>26</v>
      </c>
      <c r="E498" s="131" t="s">
        <v>1143</v>
      </c>
      <c r="F498" s="130">
        <v>18.318922706328035</v>
      </c>
      <c r="G498" s="127">
        <v>2.0150814976960838</v>
      </c>
      <c r="H498" s="133">
        <v>0.54956768118984101</v>
      </c>
    </row>
    <row r="499" spans="2:8" x14ac:dyDescent="0.25">
      <c r="B499" s="337"/>
      <c r="C499" s="132" t="s">
        <v>820</v>
      </c>
      <c r="D499" s="165">
        <v>26</v>
      </c>
      <c r="E499" s="131" t="s">
        <v>1143</v>
      </c>
      <c r="F499" s="130">
        <v>0</v>
      </c>
      <c r="G499" s="127">
        <v>0</v>
      </c>
      <c r="H499" s="133">
        <v>0</v>
      </c>
    </row>
    <row r="500" spans="2:8" x14ac:dyDescent="0.25">
      <c r="B500" s="337"/>
      <c r="C500" s="132" t="s">
        <v>821</v>
      </c>
      <c r="D500" s="165">
        <v>26</v>
      </c>
      <c r="E500" s="131" t="s">
        <v>1143</v>
      </c>
      <c r="F500" s="130">
        <v>0</v>
      </c>
      <c r="G500" s="127">
        <v>0</v>
      </c>
      <c r="H500" s="133">
        <v>0</v>
      </c>
    </row>
    <row r="501" spans="2:8" x14ac:dyDescent="0.25">
      <c r="B501" s="337"/>
      <c r="C501" s="132" t="s">
        <v>822</v>
      </c>
      <c r="D501" s="165">
        <v>26</v>
      </c>
      <c r="E501" s="131" t="s">
        <v>1143</v>
      </c>
      <c r="F501" s="130">
        <v>6.6674413263818311</v>
      </c>
      <c r="G501" s="127">
        <v>0.7334185459020014</v>
      </c>
      <c r="H501" s="133">
        <v>0.20002323979145489</v>
      </c>
    </row>
    <row r="502" spans="2:8" x14ac:dyDescent="0.25">
      <c r="B502" s="337"/>
      <c r="C502" s="132" t="s">
        <v>823</v>
      </c>
      <c r="D502" s="165">
        <v>26</v>
      </c>
      <c r="E502" s="131" t="s">
        <v>1143</v>
      </c>
      <c r="F502" s="130">
        <v>6.5651702724542931</v>
      </c>
      <c r="G502" s="127">
        <v>0.72216872996997228</v>
      </c>
      <c r="H502" s="133">
        <v>0.1969551081736288</v>
      </c>
    </row>
    <row r="503" spans="2:8" x14ac:dyDescent="0.25">
      <c r="B503" s="337"/>
      <c r="C503" s="132" t="s">
        <v>824</v>
      </c>
      <c r="D503" s="165">
        <v>26</v>
      </c>
      <c r="E503" s="131" t="s">
        <v>1143</v>
      </c>
      <c r="F503" s="130">
        <v>284.77229493068876</v>
      </c>
      <c r="G503" s="127">
        <v>31.324952442375768</v>
      </c>
      <c r="H503" s="133">
        <v>8.5431688479206631</v>
      </c>
    </row>
    <row r="504" spans="2:8" x14ac:dyDescent="0.25">
      <c r="B504" s="337"/>
      <c r="C504" s="132" t="s">
        <v>825</v>
      </c>
      <c r="D504" s="165">
        <v>26</v>
      </c>
      <c r="E504" s="131" t="s">
        <v>1143</v>
      </c>
      <c r="F504" s="130">
        <v>0</v>
      </c>
      <c r="G504" s="127">
        <v>0</v>
      </c>
      <c r="H504" s="133">
        <v>0</v>
      </c>
    </row>
    <row r="505" spans="2:8" x14ac:dyDescent="0.25">
      <c r="B505" s="337"/>
      <c r="C505" s="132" t="s">
        <v>826</v>
      </c>
      <c r="D505" s="165">
        <v>26</v>
      </c>
      <c r="E505" s="131" t="s">
        <v>1143</v>
      </c>
      <c r="F505" s="130">
        <v>104.79510472298858</v>
      </c>
      <c r="G505" s="127">
        <v>11.527461519528742</v>
      </c>
      <c r="H505" s="133">
        <v>3.1438531416896569</v>
      </c>
    </row>
    <row r="506" spans="2:8" x14ac:dyDescent="0.25">
      <c r="B506" s="337"/>
      <c r="C506" s="132" t="s">
        <v>827</v>
      </c>
      <c r="D506" s="165">
        <v>26</v>
      </c>
      <c r="E506" s="131" t="s">
        <v>1143</v>
      </c>
      <c r="F506" s="130">
        <v>0</v>
      </c>
      <c r="G506" s="127">
        <v>0</v>
      </c>
      <c r="H506" s="133">
        <v>0</v>
      </c>
    </row>
    <row r="507" spans="2:8" x14ac:dyDescent="0.25">
      <c r="B507" s="337"/>
      <c r="C507" s="132" t="s">
        <v>828</v>
      </c>
      <c r="D507" s="165">
        <v>26</v>
      </c>
      <c r="E507" s="131" t="s">
        <v>1143</v>
      </c>
      <c r="F507" s="130">
        <v>0</v>
      </c>
      <c r="G507" s="127">
        <v>0</v>
      </c>
      <c r="H507" s="133">
        <v>0</v>
      </c>
    </row>
    <row r="508" spans="2:8" x14ac:dyDescent="0.25">
      <c r="B508" s="337"/>
      <c r="C508" s="132" t="s">
        <v>829</v>
      </c>
      <c r="D508" s="165">
        <v>26</v>
      </c>
      <c r="E508" s="131" t="s">
        <v>1143</v>
      </c>
      <c r="F508" s="130">
        <v>0</v>
      </c>
      <c r="G508" s="127">
        <v>0</v>
      </c>
      <c r="H508" s="133">
        <v>0</v>
      </c>
    </row>
    <row r="509" spans="2:8" x14ac:dyDescent="0.25">
      <c r="B509" s="337"/>
      <c r="C509" s="132" t="s">
        <v>830</v>
      </c>
      <c r="D509" s="165">
        <v>26</v>
      </c>
      <c r="E509" s="131" t="s">
        <v>1143</v>
      </c>
      <c r="F509" s="130">
        <v>10.714600697824999</v>
      </c>
      <c r="G509" s="127">
        <v>1.17860607676075</v>
      </c>
      <c r="H509" s="133">
        <v>0.32143802093474994</v>
      </c>
    </row>
    <row r="510" spans="2:8" x14ac:dyDescent="0.25">
      <c r="B510" s="337"/>
      <c r="C510" s="132" t="s">
        <v>831</v>
      </c>
      <c r="D510" s="165">
        <v>26</v>
      </c>
      <c r="E510" s="131" t="s">
        <v>1143</v>
      </c>
      <c r="F510" s="130">
        <v>0</v>
      </c>
      <c r="G510" s="127">
        <v>0</v>
      </c>
      <c r="H510" s="133">
        <v>0</v>
      </c>
    </row>
    <row r="511" spans="2:8" x14ac:dyDescent="0.25">
      <c r="B511" s="337"/>
      <c r="C511" s="132" t="s">
        <v>832</v>
      </c>
      <c r="D511" s="165">
        <v>26</v>
      </c>
      <c r="E511" s="131" t="s">
        <v>1143</v>
      </c>
      <c r="F511" s="130">
        <v>240.09473316045197</v>
      </c>
      <c r="G511" s="127">
        <v>26.410420647649715</v>
      </c>
      <c r="H511" s="133">
        <v>7.202841994813558</v>
      </c>
    </row>
    <row r="512" spans="2:8" x14ac:dyDescent="0.25">
      <c r="B512" s="337"/>
      <c r="C512" s="132" t="s">
        <v>833</v>
      </c>
      <c r="D512" s="165">
        <v>26</v>
      </c>
      <c r="E512" s="131" t="s">
        <v>1143</v>
      </c>
      <c r="F512" s="130">
        <v>330.83879338375073</v>
      </c>
      <c r="G512" s="127">
        <v>36.392267272212585</v>
      </c>
      <c r="H512" s="133">
        <v>9.9251638015125234</v>
      </c>
    </row>
    <row r="513" spans="2:8" x14ac:dyDescent="0.25">
      <c r="B513" s="337"/>
      <c r="C513" s="132" t="s">
        <v>834</v>
      </c>
      <c r="D513" s="165">
        <v>26</v>
      </c>
      <c r="E513" s="131" t="s">
        <v>1143</v>
      </c>
      <c r="F513" s="130">
        <v>0</v>
      </c>
      <c r="G513" s="127">
        <v>0</v>
      </c>
      <c r="H513" s="133">
        <v>0</v>
      </c>
    </row>
    <row r="514" spans="2:8" x14ac:dyDescent="0.25">
      <c r="B514" s="337"/>
      <c r="C514" s="132" t="s">
        <v>835</v>
      </c>
      <c r="D514" s="165">
        <v>26</v>
      </c>
      <c r="E514" s="131" t="s">
        <v>1143</v>
      </c>
      <c r="F514" s="130">
        <v>0</v>
      </c>
      <c r="G514" s="127">
        <v>0</v>
      </c>
      <c r="H514" s="133">
        <v>0</v>
      </c>
    </row>
    <row r="515" spans="2:8" x14ac:dyDescent="0.25">
      <c r="B515" s="337"/>
      <c r="C515" s="132" t="s">
        <v>836</v>
      </c>
      <c r="D515" s="165">
        <v>26</v>
      </c>
      <c r="E515" s="131" t="s">
        <v>1143</v>
      </c>
      <c r="F515" s="130">
        <v>10.496108183810508</v>
      </c>
      <c r="G515" s="127">
        <v>1.1545719002191561</v>
      </c>
      <c r="H515" s="133">
        <v>0.31488324551431524</v>
      </c>
    </row>
    <row r="516" spans="2:8" x14ac:dyDescent="0.25">
      <c r="B516" s="337"/>
      <c r="C516" s="132" t="s">
        <v>837</v>
      </c>
      <c r="D516" s="165">
        <v>26</v>
      </c>
      <c r="E516" s="131" t="s">
        <v>1143</v>
      </c>
      <c r="F516" s="130">
        <v>0</v>
      </c>
      <c r="G516" s="127">
        <v>0</v>
      </c>
      <c r="H516" s="133">
        <v>0</v>
      </c>
    </row>
    <row r="517" spans="2:8" x14ac:dyDescent="0.25">
      <c r="B517" s="337"/>
      <c r="C517" s="132" t="s">
        <v>838</v>
      </c>
      <c r="D517" s="165">
        <v>26</v>
      </c>
      <c r="E517" s="131" t="s">
        <v>1143</v>
      </c>
      <c r="F517" s="130">
        <v>315.31727444612358</v>
      </c>
      <c r="G517" s="127">
        <v>34.684900189073595</v>
      </c>
      <c r="H517" s="133">
        <v>9.4595182333837062</v>
      </c>
    </row>
    <row r="518" spans="2:8" x14ac:dyDescent="0.25">
      <c r="B518" s="337"/>
      <c r="C518" s="132" t="s">
        <v>839</v>
      </c>
      <c r="D518" s="165">
        <v>26</v>
      </c>
      <c r="E518" s="131" t="s">
        <v>1143</v>
      </c>
      <c r="F518" s="130">
        <v>0</v>
      </c>
      <c r="G518" s="127">
        <v>0</v>
      </c>
      <c r="H518" s="133">
        <v>0</v>
      </c>
    </row>
    <row r="519" spans="2:8" x14ac:dyDescent="0.25">
      <c r="B519" s="337"/>
      <c r="C519" s="132" t="s">
        <v>840</v>
      </c>
      <c r="D519" s="165">
        <v>26</v>
      </c>
      <c r="E519" s="131" t="s">
        <v>1143</v>
      </c>
      <c r="F519" s="130">
        <v>0</v>
      </c>
      <c r="G519" s="127">
        <v>0</v>
      </c>
      <c r="H519" s="133">
        <v>0</v>
      </c>
    </row>
    <row r="520" spans="2:8" x14ac:dyDescent="0.25">
      <c r="B520" s="337"/>
      <c r="C520" s="132" t="s">
        <v>841</v>
      </c>
      <c r="D520" s="165">
        <v>26</v>
      </c>
      <c r="E520" s="131" t="s">
        <v>1143</v>
      </c>
      <c r="F520" s="130">
        <v>0</v>
      </c>
      <c r="G520" s="127">
        <v>0</v>
      </c>
      <c r="H520" s="133">
        <v>0</v>
      </c>
    </row>
    <row r="521" spans="2:8" x14ac:dyDescent="0.25">
      <c r="B521" s="337"/>
      <c r="C521" s="132" t="s">
        <v>842</v>
      </c>
      <c r="D521" s="165">
        <v>26</v>
      </c>
      <c r="E521" s="131" t="s">
        <v>1143</v>
      </c>
      <c r="F521" s="130">
        <v>0</v>
      </c>
      <c r="G521" s="127">
        <v>0</v>
      </c>
      <c r="H521" s="133">
        <v>0</v>
      </c>
    </row>
    <row r="522" spans="2:8" x14ac:dyDescent="0.25">
      <c r="B522" s="337"/>
      <c r="C522" s="132" t="s">
        <v>843</v>
      </c>
      <c r="D522" s="165">
        <v>26</v>
      </c>
      <c r="E522" s="131" t="s">
        <v>1143</v>
      </c>
      <c r="F522" s="130">
        <v>0</v>
      </c>
      <c r="G522" s="127">
        <v>0</v>
      </c>
      <c r="H522" s="133">
        <v>0</v>
      </c>
    </row>
    <row r="523" spans="2:8" x14ac:dyDescent="0.25">
      <c r="B523" s="337"/>
      <c r="C523" s="132" t="s">
        <v>844</v>
      </c>
      <c r="D523" s="165">
        <v>26</v>
      </c>
      <c r="E523" s="131" t="s">
        <v>1143</v>
      </c>
      <c r="F523" s="130">
        <v>500.35008653565006</v>
      </c>
      <c r="G523" s="127">
        <v>55.038509518921522</v>
      </c>
      <c r="H523" s="133">
        <v>15.010502596069502</v>
      </c>
    </row>
    <row r="524" spans="2:8" x14ac:dyDescent="0.25">
      <c r="B524" s="337"/>
      <c r="C524" s="132" t="s">
        <v>845</v>
      </c>
      <c r="D524" s="165">
        <v>26</v>
      </c>
      <c r="E524" s="131" t="s">
        <v>1143</v>
      </c>
      <c r="F524" s="130">
        <v>414.71762428684656</v>
      </c>
      <c r="G524" s="127">
        <v>45.618938671553117</v>
      </c>
      <c r="H524" s="133">
        <v>12.441528728605393</v>
      </c>
    </row>
    <row r="525" spans="2:8" x14ac:dyDescent="0.25">
      <c r="B525" s="329" t="s">
        <v>846</v>
      </c>
      <c r="C525" s="76" t="s">
        <v>847</v>
      </c>
      <c r="D525" s="165">
        <v>26</v>
      </c>
      <c r="E525" s="131" t="s">
        <v>1143</v>
      </c>
      <c r="F525" s="122">
        <v>0</v>
      </c>
      <c r="G525" s="123">
        <v>0</v>
      </c>
      <c r="H525" s="123">
        <v>0</v>
      </c>
    </row>
    <row r="526" spans="2:8" x14ac:dyDescent="0.25">
      <c r="B526" s="329"/>
      <c r="C526" s="76" t="s">
        <v>848</v>
      </c>
      <c r="D526" s="165">
        <v>26</v>
      </c>
      <c r="E526" s="131" t="s">
        <v>1143</v>
      </c>
      <c r="F526" s="122">
        <v>52.391559589694445</v>
      </c>
      <c r="G526" s="123">
        <v>5.7630715548663893</v>
      </c>
      <c r="H526" s="123">
        <v>1.5717467876908333</v>
      </c>
    </row>
    <row r="527" spans="2:8" x14ac:dyDescent="0.25">
      <c r="B527" s="329"/>
      <c r="C527" s="76" t="s">
        <v>849</v>
      </c>
      <c r="D527" s="165">
        <v>26</v>
      </c>
      <c r="E527" s="131" t="s">
        <v>1143</v>
      </c>
      <c r="F527" s="122">
        <v>0</v>
      </c>
      <c r="G527" s="123">
        <v>0</v>
      </c>
      <c r="H527" s="123">
        <v>0</v>
      </c>
    </row>
    <row r="528" spans="2:8" x14ac:dyDescent="0.25">
      <c r="B528" s="329"/>
      <c r="C528" s="76" t="s">
        <v>850</v>
      </c>
      <c r="D528" s="165">
        <v>26</v>
      </c>
      <c r="E528" s="131" t="s">
        <v>1143</v>
      </c>
      <c r="F528" s="122">
        <v>0</v>
      </c>
      <c r="G528" s="123">
        <v>0</v>
      </c>
      <c r="H528" s="123">
        <v>0</v>
      </c>
    </row>
    <row r="529" spans="2:8" x14ac:dyDescent="0.25">
      <c r="B529" s="329"/>
      <c r="C529" s="76" t="s">
        <v>851</v>
      </c>
      <c r="D529" s="165">
        <v>26</v>
      </c>
      <c r="E529" s="131" t="s">
        <v>1143</v>
      </c>
      <c r="F529" s="122">
        <v>0.30008418743791815</v>
      </c>
      <c r="G529" s="123">
        <v>3.3009260618170999E-2</v>
      </c>
      <c r="H529" s="123">
        <v>9.0025256231375441E-3</v>
      </c>
    </row>
    <row r="530" spans="2:8" x14ac:dyDescent="0.25">
      <c r="B530" s="329"/>
      <c r="C530" s="76" t="s">
        <v>852</v>
      </c>
      <c r="D530" s="165">
        <v>26</v>
      </c>
      <c r="E530" s="131" t="s">
        <v>1143</v>
      </c>
      <c r="F530" s="122">
        <v>61.437492092714407</v>
      </c>
      <c r="G530" s="123">
        <v>6.7581241301985857</v>
      </c>
      <c r="H530" s="123">
        <v>1.8431247627814322</v>
      </c>
    </row>
    <row r="531" spans="2:8" x14ac:dyDescent="0.25">
      <c r="B531" s="329"/>
      <c r="C531" s="76" t="s">
        <v>853</v>
      </c>
      <c r="D531" s="165">
        <v>26</v>
      </c>
      <c r="E531" s="131" t="s">
        <v>1143</v>
      </c>
      <c r="F531" s="122">
        <v>193.44608091093653</v>
      </c>
      <c r="G531" s="123">
        <v>21.279068900203022</v>
      </c>
      <c r="H531" s="123">
        <v>5.8033824273280965</v>
      </c>
    </row>
    <row r="532" spans="2:8" x14ac:dyDescent="0.25">
      <c r="B532" s="329"/>
      <c r="C532" s="76" t="s">
        <v>854</v>
      </c>
      <c r="D532" s="165">
        <v>26</v>
      </c>
      <c r="E532" s="131" t="s">
        <v>1143</v>
      </c>
      <c r="F532" s="122">
        <v>37.763946179059175</v>
      </c>
      <c r="G532" s="123">
        <v>4.1540340796965092</v>
      </c>
      <c r="H532" s="123">
        <v>1.1329183853717752</v>
      </c>
    </row>
    <row r="533" spans="2:8" x14ac:dyDescent="0.25">
      <c r="B533" s="329"/>
      <c r="C533" s="76" t="s">
        <v>855</v>
      </c>
      <c r="D533" s="165">
        <v>26</v>
      </c>
      <c r="E533" s="131" t="s">
        <v>1143</v>
      </c>
      <c r="F533" s="122">
        <v>14.746451154129243</v>
      </c>
      <c r="G533" s="123">
        <v>1.622109626954217</v>
      </c>
      <c r="H533" s="123">
        <v>0.44239353462387732</v>
      </c>
    </row>
    <row r="534" spans="2:8" x14ac:dyDescent="0.25">
      <c r="B534" s="329"/>
      <c r="C534" s="76" t="s">
        <v>856</v>
      </c>
      <c r="D534" s="165">
        <v>26</v>
      </c>
      <c r="E534" s="131" t="s">
        <v>1143</v>
      </c>
      <c r="F534" s="122">
        <v>7.239259212117422</v>
      </c>
      <c r="G534" s="123">
        <v>0.79631851333291648</v>
      </c>
      <c r="H534" s="123">
        <v>0.21717777636352267</v>
      </c>
    </row>
    <row r="535" spans="2:8" x14ac:dyDescent="0.25">
      <c r="B535" s="329"/>
      <c r="C535" s="76" t="s">
        <v>857</v>
      </c>
      <c r="D535" s="165">
        <v>26</v>
      </c>
      <c r="E535" s="131" t="s">
        <v>1143</v>
      </c>
      <c r="F535" s="122">
        <v>0</v>
      </c>
      <c r="G535" s="123">
        <v>0</v>
      </c>
      <c r="H535" s="123">
        <v>0</v>
      </c>
    </row>
    <row r="536" spans="2:8" x14ac:dyDescent="0.25">
      <c r="B536" s="329"/>
      <c r="C536" s="76" t="s">
        <v>684</v>
      </c>
      <c r="D536" s="165">
        <v>26</v>
      </c>
      <c r="E536" s="131" t="s">
        <v>1143</v>
      </c>
      <c r="F536" s="122">
        <v>21.551987190858778</v>
      </c>
      <c r="G536" s="123">
        <v>2.3707185909944655</v>
      </c>
      <c r="H536" s="123">
        <v>0.64655961572576326</v>
      </c>
    </row>
    <row r="537" spans="2:8" x14ac:dyDescent="0.25">
      <c r="B537" s="329"/>
      <c r="C537" s="186" t="s">
        <v>858</v>
      </c>
      <c r="D537" s="165">
        <v>26</v>
      </c>
      <c r="E537" s="131" t="s">
        <v>1143</v>
      </c>
      <c r="F537" s="122">
        <v>60.558650704135943</v>
      </c>
      <c r="G537" s="123">
        <v>6.6614515774549545</v>
      </c>
      <c r="H537" s="123">
        <v>1.8167595211240781</v>
      </c>
    </row>
    <row r="538" spans="2:8" x14ac:dyDescent="0.25">
      <c r="B538" s="329"/>
      <c r="C538" s="186" t="s">
        <v>859</v>
      </c>
      <c r="D538" s="165">
        <v>26</v>
      </c>
      <c r="E538" s="131" t="s">
        <v>1143</v>
      </c>
      <c r="F538" s="122">
        <v>3.7966755402751575</v>
      </c>
      <c r="G538" s="123">
        <v>0.41763430943026736</v>
      </c>
      <c r="H538" s="123">
        <v>0.11390026620825472</v>
      </c>
    </row>
    <row r="539" spans="2:8" x14ac:dyDescent="0.25">
      <c r="B539" s="329"/>
      <c r="C539" s="76" t="s">
        <v>860</v>
      </c>
      <c r="D539" s="165">
        <v>26</v>
      </c>
      <c r="E539" s="131" t="s">
        <v>1143</v>
      </c>
      <c r="F539" s="122">
        <v>2.9539469542068599</v>
      </c>
      <c r="G539" s="123">
        <v>0.32493416496275462</v>
      </c>
      <c r="H539" s="123">
        <v>8.8618408626205791E-2</v>
      </c>
    </row>
    <row r="540" spans="2:8" x14ac:dyDescent="0.25">
      <c r="B540" s="329"/>
      <c r="C540" s="76" t="s">
        <v>861</v>
      </c>
      <c r="D540" s="165">
        <v>26</v>
      </c>
      <c r="E540" s="131" t="s">
        <v>1143</v>
      </c>
      <c r="F540" s="122">
        <v>0</v>
      </c>
      <c r="G540" s="123">
        <v>0</v>
      </c>
      <c r="H540" s="123">
        <v>0</v>
      </c>
    </row>
    <row r="541" spans="2:8" x14ac:dyDescent="0.25">
      <c r="B541" s="329"/>
      <c r="C541" s="76" t="s">
        <v>862</v>
      </c>
      <c r="D541" s="165">
        <v>26</v>
      </c>
      <c r="E541" s="131" t="s">
        <v>1143</v>
      </c>
      <c r="F541" s="122">
        <v>36.555466661402562</v>
      </c>
      <c r="G541" s="123">
        <v>4.0211013327542817</v>
      </c>
      <c r="H541" s="123">
        <v>1.0966639998420766</v>
      </c>
    </row>
    <row r="542" spans="2:8" x14ac:dyDescent="0.25">
      <c r="B542" s="329"/>
      <c r="C542" s="76" t="s">
        <v>863</v>
      </c>
      <c r="D542" s="165">
        <v>19</v>
      </c>
      <c r="E542" s="76" t="s">
        <v>876</v>
      </c>
      <c r="F542" s="122">
        <v>47.55813915787018</v>
      </c>
      <c r="G542" s="123">
        <v>5.2313953073657204</v>
      </c>
      <c r="H542" s="123">
        <v>1.4267441747361054</v>
      </c>
    </row>
    <row r="543" spans="2:8" x14ac:dyDescent="0.25">
      <c r="B543" s="329"/>
      <c r="C543" s="76" t="s">
        <v>864</v>
      </c>
      <c r="D543" s="165">
        <v>26</v>
      </c>
      <c r="E543" s="131" t="s">
        <v>1143</v>
      </c>
      <c r="F543" s="122">
        <v>14.449673038887328</v>
      </c>
      <c r="G543" s="123">
        <v>1.5894640342776063</v>
      </c>
      <c r="H543" s="123">
        <v>0.43349019116661985</v>
      </c>
    </row>
    <row r="544" spans="2:8" x14ac:dyDescent="0.25">
      <c r="B544" s="329"/>
      <c r="C544" s="186" t="s">
        <v>865</v>
      </c>
      <c r="D544" s="165">
        <v>26</v>
      </c>
      <c r="E544" s="131" t="s">
        <v>1143</v>
      </c>
      <c r="F544" s="122">
        <v>21.017378015917398</v>
      </c>
      <c r="G544" s="123">
        <v>2.3119115817509144</v>
      </c>
      <c r="H544" s="123">
        <v>0.63052134047752206</v>
      </c>
    </row>
    <row r="545" spans="2:8" x14ac:dyDescent="0.25">
      <c r="B545" s="329"/>
      <c r="C545" s="186" t="s">
        <v>866</v>
      </c>
      <c r="D545" s="165">
        <v>26</v>
      </c>
      <c r="E545" s="131" t="s">
        <v>1143</v>
      </c>
      <c r="F545" s="122">
        <v>17.20467967304355</v>
      </c>
      <c r="G545" s="123">
        <v>1.892514764034791</v>
      </c>
      <c r="H545" s="123">
        <v>0.51614039019130653</v>
      </c>
    </row>
    <row r="546" spans="2:8" x14ac:dyDescent="0.25">
      <c r="B546" s="329"/>
      <c r="C546" s="76" t="s">
        <v>867</v>
      </c>
      <c r="D546" s="165">
        <v>26</v>
      </c>
      <c r="E546" s="131" t="s">
        <v>1143</v>
      </c>
      <c r="F546" s="122">
        <v>27.950774874700699</v>
      </c>
      <c r="G546" s="123">
        <v>3.0745852362170774</v>
      </c>
      <c r="H546" s="123">
        <v>0.83852324624102093</v>
      </c>
    </row>
    <row r="547" spans="2:8" x14ac:dyDescent="0.25">
      <c r="B547" s="329"/>
      <c r="C547" s="134" t="s">
        <v>868</v>
      </c>
      <c r="D547" s="165">
        <v>19</v>
      </c>
      <c r="E547" s="76" t="s">
        <v>876</v>
      </c>
      <c r="F547" s="122">
        <v>0</v>
      </c>
      <c r="G547" s="123">
        <v>0</v>
      </c>
      <c r="H547" s="123">
        <v>0</v>
      </c>
    </row>
    <row r="548" spans="2:8" x14ac:dyDescent="0.25">
      <c r="B548" s="329"/>
      <c r="C548" s="76" t="s">
        <v>869</v>
      </c>
      <c r="D548" s="165">
        <v>26</v>
      </c>
      <c r="E548" s="131" t="s">
        <v>1143</v>
      </c>
      <c r="F548" s="122">
        <v>42.655930919737926</v>
      </c>
      <c r="G548" s="123">
        <v>4.6921524011711728</v>
      </c>
      <c r="H548" s="123">
        <v>1.2796779275921379</v>
      </c>
    </row>
    <row r="549" spans="2:8" x14ac:dyDescent="0.25">
      <c r="B549" s="329"/>
      <c r="C549" s="76" t="s">
        <v>870</v>
      </c>
      <c r="D549" s="165">
        <v>26</v>
      </c>
      <c r="E549" s="131" t="s">
        <v>1143</v>
      </c>
      <c r="F549" s="122">
        <v>0</v>
      </c>
      <c r="G549" s="123">
        <v>0</v>
      </c>
      <c r="H549" s="123">
        <v>0</v>
      </c>
    </row>
    <row r="550" spans="2:8" x14ac:dyDescent="0.25">
      <c r="B550" s="329"/>
      <c r="C550" s="76" t="s">
        <v>871</v>
      </c>
      <c r="D550" s="165">
        <v>26</v>
      </c>
      <c r="E550" s="131" t="s">
        <v>1143</v>
      </c>
      <c r="F550" s="122">
        <v>0</v>
      </c>
      <c r="G550" s="123">
        <v>0</v>
      </c>
      <c r="H550" s="123">
        <v>0</v>
      </c>
    </row>
    <row r="551" spans="2:8" x14ac:dyDescent="0.25">
      <c r="B551" s="329"/>
      <c r="C551" s="76" t="s">
        <v>872</v>
      </c>
      <c r="D551" s="165">
        <v>26</v>
      </c>
      <c r="E551" s="131" t="s">
        <v>1143</v>
      </c>
      <c r="F551" s="122">
        <v>15.286669148367409</v>
      </c>
      <c r="G551" s="123">
        <v>1.6815336063204149</v>
      </c>
      <c r="H551" s="123">
        <v>0.45860007445102219</v>
      </c>
    </row>
    <row r="552" spans="2:8" x14ac:dyDescent="0.25">
      <c r="B552" s="329"/>
      <c r="C552" s="76" t="s">
        <v>873</v>
      </c>
      <c r="D552" s="165">
        <v>19</v>
      </c>
      <c r="E552" s="76" t="s">
        <v>876</v>
      </c>
      <c r="F552" s="122">
        <v>72.242900172744328</v>
      </c>
      <c r="G552" s="123">
        <v>7.9467190190018773</v>
      </c>
      <c r="H552" s="123">
        <v>2.1672870051823296</v>
      </c>
    </row>
    <row r="553" spans="2:8" x14ac:dyDescent="0.25">
      <c r="B553" s="329"/>
      <c r="C553" s="76" t="s">
        <v>874</v>
      </c>
      <c r="D553" s="165">
        <v>26</v>
      </c>
      <c r="E553" s="131" t="s">
        <v>1143</v>
      </c>
      <c r="F553" s="122">
        <v>105.80891545957053</v>
      </c>
      <c r="G553" s="123">
        <v>11.638980700552759</v>
      </c>
      <c r="H553" s="123">
        <v>3.1742674637871153</v>
      </c>
    </row>
    <row r="554" spans="2:8" x14ac:dyDescent="0.25">
      <c r="B554" s="329"/>
      <c r="C554" s="76" t="s">
        <v>875</v>
      </c>
      <c r="D554" s="165">
        <v>19</v>
      </c>
      <c r="E554" s="76" t="s">
        <v>876</v>
      </c>
      <c r="F554" s="122">
        <v>25.660417560441168</v>
      </c>
      <c r="G554" s="123">
        <v>2.8226459316485291</v>
      </c>
      <c r="H554" s="123">
        <v>0.76981252681323509</v>
      </c>
    </row>
    <row r="555" spans="2:8" x14ac:dyDescent="0.25">
      <c r="B555" s="329"/>
      <c r="C555" s="76" t="s">
        <v>876</v>
      </c>
      <c r="D555" s="165">
        <v>19</v>
      </c>
      <c r="E555" s="76" t="s">
        <v>876</v>
      </c>
      <c r="F555" s="150">
        <v>524.02625195255371</v>
      </c>
      <c r="G555" s="149">
        <v>57.642887714780912</v>
      </c>
      <c r="H555" s="149">
        <v>15.72078755857661</v>
      </c>
    </row>
    <row r="556" spans="2:8" x14ac:dyDescent="0.25">
      <c r="B556" s="329"/>
      <c r="C556" s="76" t="s">
        <v>694</v>
      </c>
      <c r="D556" s="165">
        <v>19</v>
      </c>
      <c r="E556" s="76" t="s">
        <v>876</v>
      </c>
      <c r="F556" s="122">
        <v>111.07635822873638</v>
      </c>
      <c r="G556" s="123">
        <v>12.218399405161003</v>
      </c>
      <c r="H556" s="123">
        <v>3.3322907468620913</v>
      </c>
    </row>
    <row r="557" spans="2:8" x14ac:dyDescent="0.25">
      <c r="B557" s="329"/>
      <c r="C557" s="76" t="s">
        <v>877</v>
      </c>
      <c r="D557" s="165">
        <v>26</v>
      </c>
      <c r="E557" s="131" t="s">
        <v>1143</v>
      </c>
      <c r="F557" s="122">
        <v>44.472020739928794</v>
      </c>
      <c r="G557" s="123">
        <v>4.8919222813921674</v>
      </c>
      <c r="H557" s="123">
        <v>1.3341606221978639</v>
      </c>
    </row>
    <row r="558" spans="2:8" x14ac:dyDescent="0.25">
      <c r="B558" s="329"/>
      <c r="C558" s="76" t="s">
        <v>878</v>
      </c>
      <c r="D558" s="165">
        <v>26</v>
      </c>
      <c r="E558" s="131" t="s">
        <v>1143</v>
      </c>
      <c r="F558" s="122">
        <v>0</v>
      </c>
      <c r="G558" s="123">
        <v>0</v>
      </c>
      <c r="H558" s="123">
        <v>0</v>
      </c>
    </row>
    <row r="559" spans="2:8" x14ac:dyDescent="0.25">
      <c r="B559" s="329"/>
      <c r="C559" s="76" t="s">
        <v>879</v>
      </c>
      <c r="D559" s="165">
        <v>26</v>
      </c>
      <c r="E559" s="131" t="s">
        <v>1143</v>
      </c>
      <c r="F559" s="122">
        <v>0</v>
      </c>
      <c r="G559" s="123">
        <v>0</v>
      </c>
      <c r="H559" s="123">
        <v>0</v>
      </c>
    </row>
    <row r="560" spans="2:8" x14ac:dyDescent="0.25">
      <c r="B560" s="329"/>
      <c r="C560" s="76" t="s">
        <v>880</v>
      </c>
      <c r="D560" s="165">
        <v>19</v>
      </c>
      <c r="E560" s="76" t="s">
        <v>876</v>
      </c>
      <c r="F560" s="122">
        <v>119.82332575201293</v>
      </c>
      <c r="G560" s="123">
        <v>13.180565832721426</v>
      </c>
      <c r="H560" s="123">
        <v>3.5946997725603884</v>
      </c>
    </row>
    <row r="561" spans="2:8" x14ac:dyDescent="0.25">
      <c r="B561" s="329"/>
      <c r="C561" s="76" t="s">
        <v>881</v>
      </c>
      <c r="D561" s="165">
        <v>19</v>
      </c>
      <c r="E561" s="76" t="s">
        <v>876</v>
      </c>
      <c r="F561" s="122">
        <v>51.162399428519485</v>
      </c>
      <c r="G561" s="123">
        <v>5.6278639371371435</v>
      </c>
      <c r="H561" s="123">
        <v>1.5348719828555846</v>
      </c>
    </row>
    <row r="562" spans="2:8" x14ac:dyDescent="0.25">
      <c r="B562" s="329"/>
      <c r="C562" s="76" t="s">
        <v>405</v>
      </c>
      <c r="D562" s="165">
        <v>26</v>
      </c>
      <c r="E562" s="131" t="s">
        <v>1143</v>
      </c>
      <c r="F562" s="122">
        <v>21.53324482079497</v>
      </c>
      <c r="G562" s="123">
        <v>2.3686569302874467</v>
      </c>
      <c r="H562" s="123">
        <v>0.64599734462384917</v>
      </c>
    </row>
    <row r="563" spans="2:8" x14ac:dyDescent="0.25">
      <c r="B563" s="329"/>
      <c r="C563" s="76" t="s">
        <v>882</v>
      </c>
      <c r="D563" s="165">
        <v>26</v>
      </c>
      <c r="E563" s="131" t="s">
        <v>1143</v>
      </c>
      <c r="F563" s="122">
        <v>48.242610036990463</v>
      </c>
      <c r="G563" s="123">
        <v>5.3066871040689509</v>
      </c>
      <c r="H563" s="123">
        <v>1.4472783011097137</v>
      </c>
    </row>
    <row r="564" spans="2:8" x14ac:dyDescent="0.25">
      <c r="B564" s="329"/>
      <c r="C564" s="76" t="s">
        <v>883</v>
      </c>
      <c r="D564" s="165">
        <v>26</v>
      </c>
      <c r="E564" s="131" t="s">
        <v>1143</v>
      </c>
      <c r="F564" s="122">
        <v>93.495868824463628</v>
      </c>
      <c r="G564" s="135">
        <v>10.284545570691</v>
      </c>
      <c r="H564" s="123">
        <v>2.804876064733909</v>
      </c>
    </row>
    <row r="565" spans="2:8" x14ac:dyDescent="0.25">
      <c r="B565" s="329"/>
      <c r="C565" s="76" t="s">
        <v>884</v>
      </c>
      <c r="D565" s="165">
        <v>26</v>
      </c>
      <c r="E565" s="131" t="s">
        <v>1143</v>
      </c>
      <c r="F565" s="122">
        <v>88.485656371856038</v>
      </c>
      <c r="G565" s="123">
        <v>9.7334222009041653</v>
      </c>
      <c r="H565" s="123">
        <v>2.6545696911556811</v>
      </c>
    </row>
    <row r="566" spans="2:8" ht="18.75" x14ac:dyDescent="0.3">
      <c r="G566" s="151">
        <f>SUM(G2:G565)</f>
        <v>16325.122456581659</v>
      </c>
      <c r="H566" s="151">
        <f>SUM(H2:H565)</f>
        <v>5059.4467812548965</v>
      </c>
    </row>
    <row r="567" spans="2:8" x14ac:dyDescent="0.25">
      <c r="C567" s="136" t="s">
        <v>885</v>
      </c>
    </row>
  </sheetData>
  <autoFilter ref="B1:H567"/>
  <mergeCells count="13">
    <mergeCell ref="B249:B286"/>
    <mergeCell ref="B2:B69"/>
    <mergeCell ref="B70:B83"/>
    <mergeCell ref="B84:B113"/>
    <mergeCell ref="B114:B183"/>
    <mergeCell ref="B184:B248"/>
    <mergeCell ref="B525:B565"/>
    <mergeCell ref="B287:B329"/>
    <mergeCell ref="B330:B349"/>
    <mergeCell ref="B350:B372"/>
    <mergeCell ref="B373:B434"/>
    <mergeCell ref="B435:B480"/>
    <mergeCell ref="B481:B5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17" sqref="F17"/>
    </sheetView>
  </sheetViews>
  <sheetFormatPr baseColWidth="10" defaultRowHeight="15" x14ac:dyDescent="0.25"/>
  <cols>
    <col min="2" max="2" width="39" bestFit="1" customWidth="1"/>
    <col min="3" max="3" width="15" hidden="1" customWidth="1"/>
    <col min="4" max="4" width="13.7109375" hidden="1" customWidth="1"/>
    <col min="5" max="5" width="15.85546875" customWidth="1"/>
    <col min="6" max="6" width="15.7109375" customWidth="1"/>
  </cols>
  <sheetData>
    <row r="1" spans="1:7" x14ac:dyDescent="0.25">
      <c r="A1" s="213" t="s">
        <v>1135</v>
      </c>
      <c r="B1" s="213" t="s">
        <v>1126</v>
      </c>
      <c r="C1" s="213" t="s">
        <v>1132</v>
      </c>
      <c r="D1" s="213" t="s">
        <v>1133</v>
      </c>
      <c r="E1" s="213" t="s">
        <v>1134</v>
      </c>
      <c r="F1" s="213" t="s">
        <v>1155</v>
      </c>
      <c r="G1">
        <v>1000</v>
      </c>
    </row>
    <row r="2" spans="1:7" x14ac:dyDescent="0.25">
      <c r="A2" s="210">
        <v>15</v>
      </c>
      <c r="B2" s="268" t="s">
        <v>1197</v>
      </c>
      <c r="C2" s="269">
        <f>+'CARGAS SEC CAFETERO'!G425</f>
        <v>10.884156726849669</v>
      </c>
      <c r="D2" s="270">
        <f>+'CARGAS SEC CAFETERO'!H425</f>
        <v>2.9684063800499096</v>
      </c>
      <c r="E2" s="271">
        <f t="shared" ref="E2:E25" si="0">C2*$G$1</f>
        <v>10884.156726849669</v>
      </c>
      <c r="F2" s="271">
        <f t="shared" ref="F2:F25" si="1">D2*$G$1</f>
        <v>2968.4063800499098</v>
      </c>
    </row>
    <row r="3" spans="1:7" x14ac:dyDescent="0.25">
      <c r="A3" s="210">
        <v>6</v>
      </c>
      <c r="B3" s="268" t="s">
        <v>1198</v>
      </c>
      <c r="C3" s="269">
        <f>+'CARGAS SEC CAFETERO'!G147+'CARGAS SEC CAFETERO'!G155</f>
        <v>77.155896004835185</v>
      </c>
      <c r="D3" s="270">
        <f>+'CARGAS SEC CAFETERO'!H147+'CARGAS SEC CAFETERO'!H155</f>
        <v>21.042517092227776</v>
      </c>
      <c r="E3" s="271">
        <f t="shared" si="0"/>
        <v>77155.896004835187</v>
      </c>
      <c r="F3" s="271">
        <f t="shared" si="1"/>
        <v>21042.517092227776</v>
      </c>
    </row>
    <row r="4" spans="1:7" x14ac:dyDescent="0.25">
      <c r="A4" s="210">
        <v>19</v>
      </c>
      <c r="B4" s="268" t="s">
        <v>1199</v>
      </c>
      <c r="C4" s="269">
        <f>+'CARGAS SEC CAFETERO'!G542+'CARGAS SEC CAFETERO'!G547+'CARGAS SEC CAFETERO'!G552+'CARGAS SEC CAFETERO'!G554+'CARGAS SEC CAFETERO'!G555+'CARGAS SEC CAFETERO'!G556+'CARGAS SEC CAFETERO'!G560+'CARGAS SEC CAFETERO'!G561</f>
        <v>104.67047714781663</v>
      </c>
      <c r="D4" s="270">
        <f>+'CARGAS SEC CAFETERO'!H542+'CARGAS SEC CAFETERO'!H547+'CARGAS SEC CAFETERO'!H552+'CARGAS SEC CAFETERO'!H554+'CARGAS SEC CAFETERO'!H555+'CARGAS SEC CAFETERO'!H556+'CARGAS SEC CAFETERO'!H560+'CARGAS SEC CAFETERO'!H561</f>
        <v>28.546493767586348</v>
      </c>
      <c r="E4" s="271">
        <f t="shared" si="0"/>
        <v>104670.47714781662</v>
      </c>
      <c r="F4" s="271">
        <f t="shared" si="1"/>
        <v>28546.493767586348</v>
      </c>
    </row>
    <row r="5" spans="1:7" x14ac:dyDescent="0.25">
      <c r="A5" s="210">
        <v>25</v>
      </c>
      <c r="B5" s="209" t="s">
        <v>1200</v>
      </c>
      <c r="C5" s="208">
        <f>+'CARGAS SEC CAFETERO'!G264+'CARGAS SEC CAFETERO'!G265+'CARGAS SEC CAFETERO'!G336+'CARGAS SEC CAFETERO'!G337+'CARGAS SEC CAFETERO'!G338+'CARGAS SEC CAFETERO'!G339+'CARGAS SEC CAFETERO'!G344+'CARGAS SEC CAFETERO'!G345+'CARGAS SEC CAFETERO'!G347+'CARGAS SEC CAFETERO'!G348+'CARGAS SEC CAFETERO'!G349+'CARGAS SEC CAFETERO'!G373+'CARGAS SEC CAFETERO'!G374+'CARGAS SEC CAFETERO'!G375+'CARGAS SEC CAFETERO'!G376+'CARGAS SEC CAFETERO'!G390+'CARGAS SEC CAFETERO'!G397+'CARGAS SEC CAFETERO'!G398+'CARGAS SEC CAFETERO'!G399+'CARGAS SEC CAFETERO'!G403+'CARGAS SEC CAFETERO'!G408+'CARGAS SEC CAFETERO'!G411+'CARGAS SEC CAFETERO'!G418+'CARGAS SEC CAFETERO'!G419+'CARGAS SEC CAFETERO'!G427+'CARGAS SEC CAFETERO'!G428+'CARGAS SEC CAFETERO'!G429+'CARGAS SEC CAFETERO'!G430+'CARGAS SEC CAFETERO'!G433</f>
        <v>107.33376439492973</v>
      </c>
      <c r="D5" s="207">
        <f>+'CARGAS SEC CAFETERO'!H264+'CARGAS SEC CAFETERO'!H265+'CARGAS SEC CAFETERO'!H336+'CARGAS SEC CAFETERO'!H337+'CARGAS SEC CAFETERO'!H338+'CARGAS SEC CAFETERO'!H339+'CARGAS SEC CAFETERO'!H344+'CARGAS SEC CAFETERO'!H345+'CARGAS SEC CAFETERO'!H347+'CARGAS SEC CAFETERO'!H348+'CARGAS SEC CAFETERO'!H349+'CARGAS SEC CAFETERO'!H373+'CARGAS SEC CAFETERO'!H374+'CARGAS SEC CAFETERO'!H375+'CARGAS SEC CAFETERO'!H376+'CARGAS SEC CAFETERO'!H390+'CARGAS SEC CAFETERO'!H397+'CARGAS SEC CAFETERO'!H398+'CARGAS SEC CAFETERO'!H399+'CARGAS SEC CAFETERO'!H403+'CARGAS SEC CAFETERO'!H408+'CARGAS SEC CAFETERO'!H411+'CARGAS SEC CAFETERO'!H418+'CARGAS SEC CAFETERO'!H419+'CARGAS SEC CAFETERO'!H427+'CARGAS SEC CAFETERO'!H428+'CARGAS SEC CAFETERO'!H429+'CARGAS SEC CAFETERO'!H430+'CARGAS SEC CAFETERO'!H433</f>
        <v>29.272844834980837</v>
      </c>
      <c r="E5" s="206">
        <f t="shared" si="0"/>
        <v>107333.76439492973</v>
      </c>
      <c r="F5" s="206">
        <f t="shared" si="1"/>
        <v>29272.844834980839</v>
      </c>
    </row>
    <row r="6" spans="1:7" x14ac:dyDescent="0.25">
      <c r="A6" s="210">
        <v>3</v>
      </c>
      <c r="B6" s="268" t="s">
        <v>1201</v>
      </c>
      <c r="C6" s="269">
        <f>+'CARGAS SEC CAFETERO'!G22+'CARGAS SEC CAFETERO'!G35+'CARGAS SEC CAFETERO'!G40+'CARGAS SEC CAFETERO'!G46</f>
        <v>113.3313579841149</v>
      </c>
      <c r="D6" s="270">
        <f>+'CARGAS SEC CAFETERO'!H22+'CARGAS SEC CAFETERO'!H35+'CARGAS SEC CAFETERO'!H40+'CARGAS SEC CAFETERO'!H46</f>
        <v>30.90855217748588</v>
      </c>
      <c r="E6" s="271">
        <f t="shared" si="0"/>
        <v>113331.3579841149</v>
      </c>
      <c r="F6" s="271">
        <f t="shared" si="1"/>
        <v>30908.552177485879</v>
      </c>
    </row>
    <row r="7" spans="1:7" ht="26.25" x14ac:dyDescent="0.25">
      <c r="A7" s="210">
        <v>21</v>
      </c>
      <c r="B7" s="209" t="s">
        <v>1221</v>
      </c>
      <c r="C7" s="208">
        <f>+'CARGAS SEC CAFETERO'!G5+'CARGAS SEC CAFETERO'!G18</f>
        <v>123.37564892994241</v>
      </c>
      <c r="D7" s="207">
        <f>+'CARGAS SEC CAFETERO'!H5+'CARGAS SEC CAFETERO'!H18</f>
        <v>33.647904253620652</v>
      </c>
      <c r="E7" s="206">
        <f t="shared" si="0"/>
        <v>123375.64892994241</v>
      </c>
      <c r="F7" s="206">
        <f t="shared" si="1"/>
        <v>33647.904253620654</v>
      </c>
    </row>
    <row r="8" spans="1:7" ht="26.25" x14ac:dyDescent="0.25">
      <c r="A8" s="210">
        <v>20</v>
      </c>
      <c r="B8" s="209" t="s">
        <v>1202</v>
      </c>
      <c r="C8" s="212">
        <f>+'CARGAS SEC CAFETERO'!G6+'CARGAS SEC CAFETERO'!G7+'CARGAS SEC CAFETERO'!G8+'CARGAS SEC CAFETERO'!G9+'CARGAS SEC CAFETERO'!G10+'CARGAS SEC CAFETERO'!G11+'CARGAS SEC CAFETERO'!G12+'CARGAS SEC CAFETERO'!G13+'CARGAS SEC CAFETERO'!G14+'CARGAS SEC CAFETERO'!G15+'CARGAS SEC CAFETERO'!G16+'CARGAS SEC CAFETERO'!G17+'CARGAS SEC CAFETERO'!G23+'CARGAS SEC CAFETERO'!G26+'CARGAS SEC CAFETERO'!G27+'CARGAS SEC CAFETERO'!G28+'CARGAS SEC CAFETERO'!G31+'CARGAS SEC CAFETERO'!G32+'CARGAS SEC CAFETERO'!G33+'CARGAS SEC CAFETERO'!G41+'CARGAS SEC CAFETERO'!G42+'CARGAS SEC CAFETERO'!G43+'CARGAS SEC CAFETERO'!G45+'CARGAS SEC CAFETERO'!G47+'CARGAS SEC CAFETERO'!G48+'CARGAS SEC CAFETERO'!G53+'CARGAS SEC CAFETERO'!G54+'CARGAS SEC CAFETERO'!G55+'CARGAS SEC CAFETERO'!G59+'CARGAS SEC CAFETERO'!G60+'CARGAS SEC CAFETERO'!G61+'CARGAS SEC CAFETERO'!G62+'CARGAS SEC CAFETERO'!G64+'CARGAS SEC CAFETERO'!G65+'CARGAS SEC CAFETERO'!G66+'CARGAS SEC CAFETERO'!G67+'CARGAS SEC CAFETERO'!G68</f>
        <v>142.22825648364289</v>
      </c>
      <c r="D8" s="211">
        <f>+'CARGAS SEC CAFETERO'!H6+'CARGAS SEC CAFETERO'!H7+'CARGAS SEC CAFETERO'!H8+'CARGAS SEC CAFETERO'!H9+'CARGAS SEC CAFETERO'!H10+'CARGAS SEC CAFETERO'!H11+'CARGAS SEC CAFETERO'!H12+'CARGAS SEC CAFETERO'!H13+'CARGAS SEC CAFETERO'!H14+'CARGAS SEC CAFETERO'!H15+'CARGAS SEC CAFETERO'!H16+'CARGAS SEC CAFETERO'!H17+'CARGAS SEC CAFETERO'!H23+'CARGAS SEC CAFETERO'!H26+'CARGAS SEC CAFETERO'!H27+'CARGAS SEC CAFETERO'!H28+'CARGAS SEC CAFETERO'!H31+'CARGAS SEC CAFETERO'!H32+'CARGAS SEC CAFETERO'!H33+'CARGAS SEC CAFETERO'!H41+'CARGAS SEC CAFETERO'!H42+'CARGAS SEC CAFETERO'!H43+'CARGAS SEC CAFETERO'!H45+'CARGAS SEC CAFETERO'!H47+'CARGAS SEC CAFETERO'!H48+'CARGAS SEC CAFETERO'!H53+'CARGAS SEC CAFETERO'!H54+'CARGAS SEC CAFETERO'!H55+'CARGAS SEC CAFETERO'!H59+'CARGAS SEC CAFETERO'!H60+'CARGAS SEC CAFETERO'!H61+'CARGAS SEC CAFETERO'!H62+'CARGAS SEC CAFETERO'!H64+'CARGAS SEC CAFETERO'!H65+'CARGAS SEC CAFETERO'!H66+'CARGAS SEC CAFETERO'!H67+'CARGAS SEC CAFETERO'!H68</f>
        <v>38.789524495538984</v>
      </c>
      <c r="E8" s="206">
        <f t="shared" si="0"/>
        <v>142228.25648364291</v>
      </c>
      <c r="F8" s="206">
        <f t="shared" si="1"/>
        <v>38789.524495538986</v>
      </c>
    </row>
    <row r="9" spans="1:7" x14ac:dyDescent="0.25">
      <c r="A9" s="210">
        <v>8</v>
      </c>
      <c r="B9" s="268" t="s">
        <v>1203</v>
      </c>
      <c r="C9" s="269">
        <f>+'CARGAS SEC CAFETERO'!G275</f>
        <v>154.11229114123887</v>
      </c>
      <c r="D9" s="270">
        <f>+'CARGAS SEC CAFETERO'!H275</f>
        <v>42.030624856701507</v>
      </c>
      <c r="E9" s="271">
        <f t="shared" si="0"/>
        <v>154112.29114123888</v>
      </c>
      <c r="F9" s="271">
        <f t="shared" si="1"/>
        <v>42030.624856701506</v>
      </c>
    </row>
    <row r="10" spans="1:7" x14ac:dyDescent="0.25">
      <c r="A10" s="210">
        <v>14</v>
      </c>
      <c r="B10" s="268" t="s">
        <v>1204</v>
      </c>
      <c r="C10" s="274">
        <f>+'CARGAS SEC CAFETERO'!G369</f>
        <v>56.908469543096771</v>
      </c>
      <c r="D10" s="274">
        <f>+'CARGAS SEC CAFETERO'!H369</f>
        <v>56.908469543096771</v>
      </c>
      <c r="E10" s="271">
        <f t="shared" si="0"/>
        <v>56908.469543096769</v>
      </c>
      <c r="F10" s="271">
        <f t="shared" si="1"/>
        <v>56908.469543096769</v>
      </c>
    </row>
    <row r="11" spans="1:7" x14ac:dyDescent="0.25">
      <c r="A11" s="210">
        <v>10</v>
      </c>
      <c r="B11" s="268" t="s">
        <v>1205</v>
      </c>
      <c r="C11" s="269">
        <f>+'CARGAS SEC CAFETERO'!G276</f>
        <v>213.08823215827888</v>
      </c>
      <c r="D11" s="270">
        <f>+'CARGAS SEC CAFETERO'!H276</f>
        <v>58.114972406803325</v>
      </c>
      <c r="E11" s="271">
        <f t="shared" si="0"/>
        <v>213088.23215827887</v>
      </c>
      <c r="F11" s="271">
        <f t="shared" si="1"/>
        <v>58114.972406803325</v>
      </c>
    </row>
    <row r="12" spans="1:7" x14ac:dyDescent="0.25">
      <c r="A12" s="210">
        <v>18</v>
      </c>
      <c r="B12" s="268" t="s">
        <v>1206</v>
      </c>
      <c r="C12" s="269">
        <f>+'CARGAS SEC CAFETERO'!G391+'CARGAS SEC CAFETERO'!G400+'CARGAS SEC CAFETERO'!G401+'CARGAS SEC CAFETERO'!G404+'CARGAS SEC CAFETERO'!G410+'CARGAS SEC CAFETERO'!G414+'CARGAS SEC CAFETERO'!G417+'CARGAS SEC CAFETERO'!G420+'CARGAS SEC CAFETERO'!G423+'CARGAS SEC CAFETERO'!G426+'CARGAS SEC CAFETERO'!G434</f>
        <v>268.83042270923681</v>
      </c>
      <c r="D12" s="270">
        <f>+'CARGAS SEC CAFETERO'!H391+'CARGAS SEC CAFETERO'!H400+'CARGAS SEC CAFETERO'!H401+'CARGAS SEC CAFETERO'!H404+'CARGAS SEC CAFETERO'!H410+'CARGAS SEC CAFETERO'!H414+'CARGAS SEC CAFETERO'!H417+'CARGAS SEC CAFETERO'!H420+'CARGAS SEC CAFETERO'!H423+'CARGAS SEC CAFETERO'!H426+'CARGAS SEC CAFETERO'!H434</f>
        <v>73.317388011610021</v>
      </c>
      <c r="E12" s="271">
        <f t="shared" si="0"/>
        <v>268830.42270923679</v>
      </c>
      <c r="F12" s="271">
        <f t="shared" si="1"/>
        <v>73317.388011610019</v>
      </c>
    </row>
    <row r="13" spans="1:7" ht="26.25" x14ac:dyDescent="0.25">
      <c r="A13" s="210">
        <v>22</v>
      </c>
      <c r="B13" s="209" t="s">
        <v>1222</v>
      </c>
      <c r="C13" s="208">
        <f>+'CARGAS SEC CAFETERO'!G4+'CARGAS SEC CAFETERO'!G19+'CARGAS SEC CAFETERO'!G44</f>
        <v>278.57674416466295</v>
      </c>
      <c r="D13" s="207">
        <f>+'CARGAS SEC CAFETERO'!H4+'CARGAS SEC CAFETERO'!H19+'CARGAS SEC CAFETERO'!H44</f>
        <v>75.975475681271718</v>
      </c>
      <c r="E13" s="206">
        <f t="shared" si="0"/>
        <v>278576.74416466296</v>
      </c>
      <c r="F13" s="206">
        <f t="shared" si="1"/>
        <v>75975.475681271724</v>
      </c>
    </row>
    <row r="14" spans="1:7" x14ac:dyDescent="0.25">
      <c r="A14" s="210">
        <v>16</v>
      </c>
      <c r="B14" s="268" t="s">
        <v>1207</v>
      </c>
      <c r="C14" s="269">
        <f>+'CARGAS SEC CAFETERO'!G330+'CARGAS SEC CAFETERO'!G331+'CARGAS SEC CAFETERO'!G332+'CARGAS SEC CAFETERO'!G333+'CARGAS SEC CAFETERO'!G334+'CARGAS SEC CAFETERO'!G335+'CARGAS SEC CAFETERO'!G340+'CARGAS SEC CAFETERO'!G341+'CARGAS SEC CAFETERO'!G342+'CARGAS SEC CAFETERO'!G343+'CARGAS SEC CAFETERO'!G346+'CARGAS SEC CAFETERO'!G377+'CARGAS SEC CAFETERO'!G378+'CARGAS SEC CAFETERO'!G379+'CARGAS SEC CAFETERO'!G380+'CARGAS SEC CAFETERO'!G381+'CARGAS SEC CAFETERO'!G382+'CARGAS SEC CAFETERO'!G383+'CARGAS SEC CAFETERO'!G384+'CARGAS SEC CAFETERO'!G385+'CARGAS SEC CAFETERO'!G389+'CARGAS SEC CAFETERO'!G392+'CARGAS SEC CAFETERO'!G393+'CARGAS SEC CAFETERO'!G394+'CARGAS SEC CAFETERO'!G395+'CARGAS SEC CAFETERO'!G396+'CARGAS SEC CAFETERO'!G402+'CARGAS SEC CAFETERO'!G405+'CARGAS SEC CAFETERO'!G407+'CARGAS SEC CAFETERO'!G409+'CARGAS SEC CAFETERO'!G412+'CARGAS SEC CAFETERO'!G413+'CARGAS SEC CAFETERO'!G415+'CARGAS SEC CAFETERO'!G416+'CARGAS SEC CAFETERO'!G421+'CARGAS SEC CAFETERO'!G424+'CARGAS SEC CAFETERO'!G431+'CARGAS SEC CAFETERO'!G432+'CARGAS SEC CAFETERO'!G484+'CARGAS SEC CAFETERO'!G495</f>
        <v>289.42308107145595</v>
      </c>
      <c r="D14" s="270">
        <f>+'CARGAS SEC CAFETERO'!H330+'CARGAS SEC CAFETERO'!H331+'CARGAS SEC CAFETERO'!H332+'CARGAS SEC CAFETERO'!H333+'CARGAS SEC CAFETERO'!H334+'CARGAS SEC CAFETERO'!H335+'CARGAS SEC CAFETERO'!H340+'CARGAS SEC CAFETERO'!H341+'CARGAS SEC CAFETERO'!H342+'CARGAS SEC CAFETERO'!H343+'CARGAS SEC CAFETERO'!H346+'CARGAS SEC CAFETERO'!H377+'CARGAS SEC CAFETERO'!H378+'CARGAS SEC CAFETERO'!H379+'CARGAS SEC CAFETERO'!H380+'CARGAS SEC CAFETERO'!H381+'CARGAS SEC CAFETERO'!H382+'CARGAS SEC CAFETERO'!H383+'CARGAS SEC CAFETERO'!H384+'CARGAS SEC CAFETERO'!H385+'CARGAS SEC CAFETERO'!H389+'CARGAS SEC CAFETERO'!H392+'CARGAS SEC CAFETERO'!H393+'CARGAS SEC CAFETERO'!H394+'CARGAS SEC CAFETERO'!H395+'CARGAS SEC CAFETERO'!H396+'CARGAS SEC CAFETERO'!H402+'CARGAS SEC CAFETERO'!H405+'CARGAS SEC CAFETERO'!H407+'CARGAS SEC CAFETERO'!H409+'CARGAS SEC CAFETERO'!H412+'CARGAS SEC CAFETERO'!H413+'CARGAS SEC CAFETERO'!H415+'CARGAS SEC CAFETERO'!H416+'CARGAS SEC CAFETERO'!H421+'CARGAS SEC CAFETERO'!H424+'CARGAS SEC CAFETERO'!H431+'CARGAS SEC CAFETERO'!H432+'CARGAS SEC CAFETERO'!H484+'CARGAS SEC CAFETERO'!H495</f>
        <v>78.933567564942521</v>
      </c>
      <c r="E14" s="271">
        <f t="shared" si="0"/>
        <v>289423.08107145596</v>
      </c>
      <c r="F14" s="271">
        <f t="shared" si="1"/>
        <v>78933.567564942525</v>
      </c>
    </row>
    <row r="15" spans="1:7" x14ac:dyDescent="0.25">
      <c r="A15" s="210">
        <v>1</v>
      </c>
      <c r="B15" s="268" t="s">
        <v>1208</v>
      </c>
      <c r="C15" s="269">
        <f>+'CARGAS SEC CAFETERO'!G52+'CARGAS SEC CAFETERO'!G63+'CARGAS SEC CAFETERO'!G69</f>
        <v>371.77964171508313</v>
      </c>
      <c r="D15" s="270">
        <f>+'CARGAS SEC CAFETERO'!H52+'CARGAS SEC CAFETERO'!H63+'CARGAS SEC CAFETERO'!H69</f>
        <v>101.39444774047719</v>
      </c>
      <c r="E15" s="271">
        <f t="shared" si="0"/>
        <v>371779.64171508315</v>
      </c>
      <c r="F15" s="271">
        <f t="shared" si="1"/>
        <v>101394.44774047719</v>
      </c>
    </row>
    <row r="16" spans="1:7" x14ac:dyDescent="0.25">
      <c r="A16" s="210">
        <v>9</v>
      </c>
      <c r="B16" s="268" t="s">
        <v>1209</v>
      </c>
      <c r="C16" s="269">
        <f>+'CARGAS SEC CAFETERO'!G136+'CARGAS SEC CAFETERO'!G137+'CARGAS SEC CAFETERO'!G143+'CARGAS SEC CAFETERO'!G151+'CARGAS SEC CAFETERO'!G153+'CARGAS SEC CAFETERO'!G156+'CARGAS SEC CAFETERO'!G167+'CARGAS SEC CAFETERO'!G179</f>
        <v>375.06018404409741</v>
      </c>
      <c r="D16" s="270">
        <f>+'CARGAS SEC CAFETERO'!H136+'CARGAS SEC CAFETERO'!H137+'CARGAS SEC CAFETERO'!H143+'CARGAS SEC CAFETERO'!H151+'CARGAS SEC CAFETERO'!H153+'CARGAS SEC CAFETERO'!H156+'CARGAS SEC CAFETERO'!H167+'CARGAS SEC CAFETERO'!H179</f>
        <v>102.28914110293564</v>
      </c>
      <c r="E16" s="271">
        <f t="shared" si="0"/>
        <v>375060.18404409743</v>
      </c>
      <c r="F16" s="271">
        <f t="shared" si="1"/>
        <v>102289.14110293564</v>
      </c>
    </row>
    <row r="17" spans="1:6" x14ac:dyDescent="0.25">
      <c r="A17" s="210">
        <v>26</v>
      </c>
      <c r="B17" s="209" t="s">
        <v>1210</v>
      </c>
      <c r="C17" s="208">
        <f>+'CARGAS SEC CAFETERO'!G386+'CARGAS SEC CAFETERO'!G387+'CARGAS SEC CAFETERO'!G388+'CARGAS SEC CAFETERO'!G406+'CARGAS SEC CAFETERO'!G422+'CARGAS SEC CAFETERO'!G481+'CARGAS SEC CAFETERO'!G482+'CARGAS SEC CAFETERO'!G483+'CARGAS SEC CAFETERO'!G485+'CARGAS SEC CAFETERO'!G486+'CARGAS SEC CAFETERO'!G487+'CARGAS SEC CAFETERO'!G488+'CARGAS SEC CAFETERO'!G489+'CARGAS SEC CAFETERO'!G490+'CARGAS SEC CAFETERO'!G491+'CARGAS SEC CAFETERO'!G492+'CARGAS SEC CAFETERO'!G493+'CARGAS SEC CAFETERO'!G494+'CARGAS SEC CAFETERO'!G496+'CARGAS SEC CAFETERO'!G497+'CARGAS SEC CAFETERO'!G498+'CARGAS SEC CAFETERO'!G499+'CARGAS SEC CAFETERO'!G500+'CARGAS SEC CAFETERO'!G501+'CARGAS SEC CAFETERO'!G502+'CARGAS SEC CAFETERO'!G503+'CARGAS SEC CAFETERO'!G504+'CARGAS SEC CAFETERO'!G505+'CARGAS SEC CAFETERO'!G506+'CARGAS SEC CAFETERO'!G507+'CARGAS SEC CAFETERO'!G508+'CARGAS SEC CAFETERO'!G509+'CARGAS SEC CAFETERO'!G510+'CARGAS SEC CAFETERO'!G511+'CARGAS SEC CAFETERO'!G512+'CARGAS SEC CAFETERO'!G513+'CARGAS SEC CAFETERO'!G514+'CARGAS SEC CAFETERO'!G515+'CARGAS SEC CAFETERO'!G516+'CARGAS SEC CAFETERO'!G517+'CARGAS SEC CAFETERO'!G518+'CARGAS SEC CAFETERO'!G519+'CARGAS SEC CAFETERO'!G520+'CARGAS SEC CAFETERO'!G521+'CARGAS SEC CAFETERO'!G522+'CARGAS SEC CAFETERO'!G523+'CARGAS SEC CAFETERO'!G524+'CARGAS SEC CAFETERO'!G525+'CARGAS SEC CAFETERO'!G526+'CARGAS SEC CAFETERO'!G527+'CARGAS SEC CAFETERO'!G528+'CARGAS SEC CAFETERO'!G529+'CARGAS SEC CAFETERO'!G530+'CARGAS SEC CAFETERO'!G531+'CARGAS SEC CAFETERO'!G532+'CARGAS SEC CAFETERO'!G533+'CARGAS SEC CAFETERO'!G534+'CARGAS SEC CAFETERO'!G535+'CARGAS SEC CAFETERO'!G536+'CARGAS SEC CAFETERO'!G537+'CARGAS SEC CAFETERO'!G538+'CARGAS SEC CAFETERO'!G539+'CARGAS SEC CAFETERO'!G540+'CARGAS SEC CAFETERO'!G541+'CARGAS SEC CAFETERO'!G543+'CARGAS SEC CAFETERO'!G544+'CARGAS SEC CAFETERO'!G545+'CARGAS SEC CAFETERO'!G546+'CARGAS SEC CAFETERO'!G548+'CARGAS SEC CAFETERO'!G549+'CARGAS SEC CAFETERO'!G550+'CARGAS SEC CAFETERO'!G551+'CARGAS SEC CAFETERO'!G553+'CARGAS SEC CAFETERO'!G557+'CARGAS SEC CAFETERO'!G558+'CARGAS SEC CAFETERO'!G559+'CARGAS SEC CAFETERO'!G562+'CARGAS SEC CAFETERO'!G563+'CARGAS SEC CAFETERO'!G564+'CARGAS SEC CAFETERO'!G565</f>
        <v>480.04655209791053</v>
      </c>
      <c r="D17" s="207">
        <f>+'CARGAS SEC CAFETERO'!H386+'CARGAS SEC CAFETERO'!H387+'CARGAS SEC CAFETERO'!H388+'CARGAS SEC CAFETERO'!H406+'CARGAS SEC CAFETERO'!H422+'CARGAS SEC CAFETERO'!H481+'CARGAS SEC CAFETERO'!H482+'CARGAS SEC CAFETERO'!H483+'CARGAS SEC CAFETERO'!H485+'CARGAS SEC CAFETERO'!H486+'CARGAS SEC CAFETERO'!H487+'CARGAS SEC CAFETERO'!H488+'CARGAS SEC CAFETERO'!H489+'CARGAS SEC CAFETERO'!H490+'CARGAS SEC CAFETERO'!H491+'CARGAS SEC CAFETERO'!H492+'CARGAS SEC CAFETERO'!H493+'CARGAS SEC CAFETERO'!H494+'CARGAS SEC CAFETERO'!H496+'CARGAS SEC CAFETERO'!H497+'CARGAS SEC CAFETERO'!H498+'CARGAS SEC CAFETERO'!H499+'CARGAS SEC CAFETERO'!H500+'CARGAS SEC CAFETERO'!H501+'CARGAS SEC CAFETERO'!H502+'CARGAS SEC CAFETERO'!H503+'CARGAS SEC CAFETERO'!H504+'CARGAS SEC CAFETERO'!H505+'CARGAS SEC CAFETERO'!H506+'CARGAS SEC CAFETERO'!H507+'CARGAS SEC CAFETERO'!H508+'CARGAS SEC CAFETERO'!H509+'CARGAS SEC CAFETERO'!H510+'CARGAS SEC CAFETERO'!H511+'CARGAS SEC CAFETERO'!H512+'CARGAS SEC CAFETERO'!H513+'CARGAS SEC CAFETERO'!H514+'CARGAS SEC CAFETERO'!H515+'CARGAS SEC CAFETERO'!H516+'CARGAS SEC CAFETERO'!H517+'CARGAS SEC CAFETERO'!H518+'CARGAS SEC CAFETERO'!H519+'CARGAS SEC CAFETERO'!H520+'CARGAS SEC CAFETERO'!H521+'CARGAS SEC CAFETERO'!H522+'CARGAS SEC CAFETERO'!H523+'CARGAS SEC CAFETERO'!H524+'CARGAS SEC CAFETERO'!H525+'CARGAS SEC CAFETERO'!H526+'CARGAS SEC CAFETERO'!H527+'CARGAS SEC CAFETERO'!H528+'CARGAS SEC CAFETERO'!H529+'CARGAS SEC CAFETERO'!H530+'CARGAS SEC CAFETERO'!H531+'CARGAS SEC CAFETERO'!H532+'CARGAS SEC CAFETERO'!H533+'CARGAS SEC CAFETERO'!H534+'CARGAS SEC CAFETERO'!H535+'CARGAS SEC CAFETERO'!H536+'CARGAS SEC CAFETERO'!H537+'CARGAS SEC CAFETERO'!H538+'CARGAS SEC CAFETERO'!H539+'CARGAS SEC CAFETERO'!H540+'CARGAS SEC CAFETERO'!H541+'CARGAS SEC CAFETERO'!H543+'CARGAS SEC CAFETERO'!H544+'CARGAS SEC CAFETERO'!H545+'CARGAS SEC CAFETERO'!H546+'CARGAS SEC CAFETERO'!H548+'CARGAS SEC CAFETERO'!H549+'CARGAS SEC CAFETERO'!H550+'CARGAS SEC CAFETERO'!H551+'CARGAS SEC CAFETERO'!H553+'CARGAS SEC CAFETERO'!H557+'CARGAS SEC CAFETERO'!H558+'CARGAS SEC CAFETERO'!H559+'CARGAS SEC CAFETERO'!H562+'CARGAS SEC CAFETERO'!H563+'CARGAS SEC CAFETERO'!H564+'CARGAS SEC CAFETERO'!H565</f>
        <v>130.92178693579382</v>
      </c>
      <c r="E17" s="206">
        <f t="shared" si="0"/>
        <v>480046.55209791055</v>
      </c>
      <c r="F17" s="206">
        <f t="shared" si="1"/>
        <v>130921.78693579382</v>
      </c>
    </row>
    <row r="18" spans="1:6" x14ac:dyDescent="0.25">
      <c r="A18" s="210">
        <v>17</v>
      </c>
      <c r="B18" s="268" t="s">
        <v>1211</v>
      </c>
      <c r="C18" s="269">
        <f>+'CARGAS SEC CAFETERO'!G435+'CARGAS SEC CAFETERO'!G436+'CARGAS SEC CAFETERO'!G437+'CARGAS SEC CAFETERO'!G438+'CARGAS SEC CAFETERO'!G439+'CARGAS SEC CAFETERO'!G440+'CARGAS SEC CAFETERO'!G441+'CARGAS SEC CAFETERO'!G442+'CARGAS SEC CAFETERO'!G443+'CARGAS SEC CAFETERO'!G444+'CARGAS SEC CAFETERO'!G445+'CARGAS SEC CAFETERO'!G446+'CARGAS SEC CAFETERO'!G447+'CARGAS SEC CAFETERO'!G448+'CARGAS SEC CAFETERO'!G449+'CARGAS SEC CAFETERO'!G450+'CARGAS SEC CAFETERO'!G451+'CARGAS SEC CAFETERO'!G452+'CARGAS SEC CAFETERO'!G453+'CARGAS SEC CAFETERO'!G454+'CARGAS SEC CAFETERO'!G455+'CARGAS SEC CAFETERO'!G456+'CARGAS SEC CAFETERO'!G457+'CARGAS SEC CAFETERO'!G458+'CARGAS SEC CAFETERO'!G459+'CARGAS SEC CAFETERO'!G460+'CARGAS SEC CAFETERO'!G461+'CARGAS SEC CAFETERO'!G462+'CARGAS SEC CAFETERO'!G463+'CARGAS SEC CAFETERO'!G464+'CARGAS SEC CAFETERO'!G465+'CARGAS SEC CAFETERO'!G466+'CARGAS SEC CAFETERO'!G467+'CARGAS SEC CAFETERO'!G468+'CARGAS SEC CAFETERO'!G469+'CARGAS SEC CAFETERO'!G470+'CARGAS SEC CAFETERO'!G471+'CARGAS SEC CAFETERO'!G472+'CARGAS SEC CAFETERO'!G473+'CARGAS SEC CAFETERO'!G474+'CARGAS SEC CAFETERO'!G475+'CARGAS SEC CAFETERO'!G476+'CARGAS SEC CAFETERO'!G477+'CARGAS SEC CAFETERO'!G478+'CARGAS SEC CAFETERO'!G479+'CARGAS SEC CAFETERO'!G480</f>
        <v>577.75424043647433</v>
      </c>
      <c r="D18" s="270">
        <f>+'CARGAS SEC CAFETERO'!H435+'CARGAS SEC CAFETERO'!H436+'CARGAS SEC CAFETERO'!H437+'CARGAS SEC CAFETERO'!H438+'CARGAS SEC CAFETERO'!H439+'CARGAS SEC CAFETERO'!H440+'CARGAS SEC CAFETERO'!H441+'CARGAS SEC CAFETERO'!H442+'CARGAS SEC CAFETERO'!H443+'CARGAS SEC CAFETERO'!H444+'CARGAS SEC CAFETERO'!H445+'CARGAS SEC CAFETERO'!H446+'CARGAS SEC CAFETERO'!H447+'CARGAS SEC CAFETERO'!H448+'CARGAS SEC CAFETERO'!H449+'CARGAS SEC CAFETERO'!H450+'CARGAS SEC CAFETERO'!H451+'CARGAS SEC CAFETERO'!H452+'CARGAS SEC CAFETERO'!H453+'CARGAS SEC CAFETERO'!H454+'CARGAS SEC CAFETERO'!H455+'CARGAS SEC CAFETERO'!H456+'CARGAS SEC CAFETERO'!H457+'CARGAS SEC CAFETERO'!H458+'CARGAS SEC CAFETERO'!H459+'CARGAS SEC CAFETERO'!H460+'CARGAS SEC CAFETERO'!H461+'CARGAS SEC CAFETERO'!H462+'CARGAS SEC CAFETERO'!H463+'CARGAS SEC CAFETERO'!H464+'CARGAS SEC CAFETERO'!H465+'CARGAS SEC CAFETERO'!H466+'CARGAS SEC CAFETERO'!H467+'CARGAS SEC CAFETERO'!H468+'CARGAS SEC CAFETERO'!H469+'CARGAS SEC CAFETERO'!H470+'CARGAS SEC CAFETERO'!H471+'CARGAS SEC CAFETERO'!H472+'CARGAS SEC CAFETERO'!H473+'CARGAS SEC CAFETERO'!H474+'CARGAS SEC CAFETERO'!H475+'CARGAS SEC CAFETERO'!H476+'CARGAS SEC CAFETERO'!H477+'CARGAS SEC CAFETERO'!H478+'CARGAS SEC CAFETERO'!H479+'CARGAS SEC CAFETERO'!H480</f>
        <v>157.5693383008566</v>
      </c>
      <c r="E18" s="271">
        <f t="shared" si="0"/>
        <v>577754.24043647433</v>
      </c>
      <c r="F18" s="271">
        <f t="shared" si="1"/>
        <v>157569.33830085659</v>
      </c>
    </row>
    <row r="19" spans="1:6" x14ac:dyDescent="0.25">
      <c r="A19" s="210">
        <v>5</v>
      </c>
      <c r="B19" s="268" t="s">
        <v>1212</v>
      </c>
      <c r="C19" s="273">
        <f>+'CARGAS SEC CAFETERO'!G76+'CARGAS SEC CAFETERO'!G77+'CARGAS SEC CAFETERO'!G78+'CARGAS SEC CAFETERO'!G79+'CARGAS SEC CAFETERO'!G80+'CARGAS SEC CAFETERO'!G81+'CARGAS SEC CAFETERO'!G82</f>
        <v>595.73411457675525</v>
      </c>
      <c r="D19" s="275">
        <f>+'CARGAS SEC CAFETERO'!H76+'CARGAS SEC CAFETERO'!H77+'CARGAS SEC CAFETERO'!H78+'CARGAS SEC CAFETERO'!H79+'CARGAS SEC CAFETERO'!H80+'CARGAS SEC CAFETERO'!H81+'CARGAS SEC CAFETERO'!H82</f>
        <v>162.47294033911504</v>
      </c>
      <c r="E19" s="271">
        <f t="shared" si="0"/>
        <v>595734.11457675521</v>
      </c>
      <c r="F19" s="271">
        <f t="shared" si="1"/>
        <v>162472.94033911504</v>
      </c>
    </row>
    <row r="20" spans="1:6" ht="26.25" x14ac:dyDescent="0.25">
      <c r="A20" s="210">
        <v>23</v>
      </c>
      <c r="B20" s="209" t="s">
        <v>1220</v>
      </c>
      <c r="C20" s="208">
        <f>+'CARGAS SEC CAFETERO'!G2+'CARGAS SEC CAFETERO'!G3+'CARGAS SEC CAFETERO'!G20+'CARGAS SEC CAFETERO'!G21+'CARGAS SEC CAFETERO'!G36+'CARGAS SEC CAFETERO'!G37+'CARGAS SEC CAFETERO'!G39+'CARGAS SEC CAFETERO'!G49+'CARGAS SEC CAFETERO'!G133+'CARGAS SEC CAFETERO'!G149+'CARGAS SEC CAFETERO'!G150+'CARGAS SEC CAFETERO'!G154+'CARGAS SEC CAFETERO'!G163+'CARGAS SEC CAFETERO'!G168+'CARGAS SEC CAFETERO'!G175+'CARGAS SEC CAFETERO'!G180+'CARGAS SEC CAFETERO'!G181</f>
        <v>707.87017539754481</v>
      </c>
      <c r="D20" s="207">
        <f>+'CARGAS SEC CAFETERO'!H2+'CARGAS SEC CAFETERO'!H3+'CARGAS SEC CAFETERO'!H20+'CARGAS SEC CAFETERO'!H21+'CARGAS SEC CAFETERO'!H36+'CARGAS SEC CAFETERO'!H37+'CARGAS SEC CAFETERO'!H39+'CARGAS SEC CAFETERO'!H49+'CARGAS SEC CAFETERO'!H133+'CARGAS SEC CAFETERO'!H149+'CARGAS SEC CAFETERO'!H150+'CARGAS SEC CAFETERO'!H154+'CARGAS SEC CAFETERO'!H163+'CARGAS SEC CAFETERO'!H168+'CARGAS SEC CAFETERO'!H175+'CARGAS SEC CAFETERO'!H180+'CARGAS SEC CAFETERO'!H181</f>
        <v>193.05550238114853</v>
      </c>
      <c r="E20" s="206">
        <f t="shared" si="0"/>
        <v>707870.17539754487</v>
      </c>
      <c r="F20" s="206">
        <f t="shared" si="1"/>
        <v>193055.50238114852</v>
      </c>
    </row>
    <row r="21" spans="1:6" x14ac:dyDescent="0.25">
      <c r="A21" s="210">
        <v>12</v>
      </c>
      <c r="B21" s="268" t="s">
        <v>1213</v>
      </c>
      <c r="C21" s="269">
        <f>+'CARGAS SEC CAFETERO'!G261+'CARGAS SEC CAFETERO'!G262+'CARGAS SEC CAFETERO'!G263+'CARGAS SEC CAFETERO'!G266+'CARGAS SEC CAFETERO'!G271+'CARGAS SEC CAFETERO'!G272+'CARGAS SEC CAFETERO'!G273+'CARGAS SEC CAFETERO'!G274+'CARGAS SEC CAFETERO'!G278+'CARGAS SEC CAFETERO'!G287+'CARGAS SEC CAFETERO'!G288+'CARGAS SEC CAFETERO'!G289+'CARGAS SEC CAFETERO'!G290+'CARGAS SEC CAFETERO'!G291+'CARGAS SEC CAFETERO'!G292+'CARGAS SEC CAFETERO'!G293+'CARGAS SEC CAFETERO'!G296+'CARGAS SEC CAFETERO'!G297+'CARGAS SEC CAFETERO'!G298+'CARGAS SEC CAFETERO'!G299+'CARGAS SEC CAFETERO'!G300+'CARGAS SEC CAFETERO'!G301+'CARGAS SEC CAFETERO'!G302+'CARGAS SEC CAFETERO'!G303+'CARGAS SEC CAFETERO'!G304+'CARGAS SEC CAFETERO'!G305+'CARGAS SEC CAFETERO'!G306+'CARGAS SEC CAFETERO'!G307+'CARGAS SEC CAFETERO'!G308+'CARGAS SEC CAFETERO'!G309+'CARGAS SEC CAFETERO'!G310+'CARGAS SEC CAFETERO'!G311+'CARGAS SEC CAFETERO'!G313+'CARGAS SEC CAFETERO'!G314+'CARGAS SEC CAFETERO'!G315+'CARGAS SEC CAFETERO'!G316+'CARGAS SEC CAFETERO'!G318+'CARGAS SEC CAFETERO'!G319+'CARGAS SEC CAFETERO'!G320+'CARGAS SEC CAFETERO'!G321+'CARGAS SEC CAFETERO'!G322+'CARGAS SEC CAFETERO'!G323+'CARGAS SEC CAFETERO'!G324+'CARGAS SEC CAFETERO'!G325+'CARGAS SEC CAFETERO'!G326+'CARGAS SEC CAFETERO'!G327+'CARGAS SEC CAFETERO'!G328+'CARGAS SEC CAFETERO'!G329</f>
        <v>721.91033124141518</v>
      </c>
      <c r="D21" s="270">
        <f>+'CARGAS SEC CAFETERO'!H261+'CARGAS SEC CAFETERO'!H262+'CARGAS SEC CAFETERO'!H263+'CARGAS SEC CAFETERO'!H266+'CARGAS SEC CAFETERO'!H271+'CARGAS SEC CAFETERO'!H272+'CARGAS SEC CAFETERO'!H273+'CARGAS SEC CAFETERO'!H274+'CARGAS SEC CAFETERO'!H278+'CARGAS SEC CAFETERO'!H287+'CARGAS SEC CAFETERO'!H288+'CARGAS SEC CAFETERO'!H289+'CARGAS SEC CAFETERO'!H290+'CARGAS SEC CAFETERO'!H291+'CARGAS SEC CAFETERO'!H292+'CARGAS SEC CAFETERO'!H293+'CARGAS SEC CAFETERO'!H296+'CARGAS SEC CAFETERO'!H297+'CARGAS SEC CAFETERO'!H298+'CARGAS SEC CAFETERO'!H299+'CARGAS SEC CAFETERO'!H300+'CARGAS SEC CAFETERO'!H301+'CARGAS SEC CAFETERO'!H302+'CARGAS SEC CAFETERO'!H303+'CARGAS SEC CAFETERO'!H304+'CARGAS SEC CAFETERO'!H305+'CARGAS SEC CAFETERO'!H306+'CARGAS SEC CAFETERO'!H307+'CARGAS SEC CAFETERO'!H308+'CARGAS SEC CAFETERO'!H309+'CARGAS SEC CAFETERO'!H310+'CARGAS SEC CAFETERO'!H311+'CARGAS SEC CAFETERO'!H313+'CARGAS SEC CAFETERO'!H314+'CARGAS SEC CAFETERO'!H315+'CARGAS SEC CAFETERO'!H316+'CARGAS SEC CAFETERO'!H318+'CARGAS SEC CAFETERO'!H319+'CARGAS SEC CAFETERO'!H320+'CARGAS SEC CAFETERO'!H321+'CARGAS SEC CAFETERO'!H322+'CARGAS SEC CAFETERO'!H323+'CARGAS SEC CAFETERO'!H324+'CARGAS SEC CAFETERO'!H325+'CARGAS SEC CAFETERO'!H326+'CARGAS SEC CAFETERO'!H327+'CARGAS SEC CAFETERO'!H328+'CARGAS SEC CAFETERO'!H329</f>
        <v>196.88463579311326</v>
      </c>
      <c r="E21" s="271">
        <f t="shared" si="0"/>
        <v>721910.33124141523</v>
      </c>
      <c r="F21" s="271">
        <f t="shared" si="1"/>
        <v>196884.63579311327</v>
      </c>
    </row>
    <row r="22" spans="1:6" x14ac:dyDescent="0.25">
      <c r="A22" s="210">
        <v>4</v>
      </c>
      <c r="B22" s="268" t="s">
        <v>1214</v>
      </c>
      <c r="C22" s="269">
        <f>+'CARGAS SEC CAFETERO'!G70+'CARGAS SEC CAFETERO'!G71+'CARGAS SEC CAFETERO'!G72+'CARGAS SEC CAFETERO'!G73+'CARGAS SEC CAFETERO'!G75+'CARGAS SEC CAFETERO'!G83+'CARGAS SEC CAFETERO'!G122+'CARGAS SEC CAFETERO'!G123+'CARGAS SEC CAFETERO'!G124+'CARGAS SEC CAFETERO'!G125+'CARGAS SEC CAFETERO'!G126+'CARGAS SEC CAFETERO'!G127+'CARGAS SEC CAFETERO'!G128+'CARGAS SEC CAFETERO'!G129+'CARGAS SEC CAFETERO'!G130+'CARGAS SEC CAFETERO'!G131+'CARGAS SEC CAFETERO'!G135+'CARGAS SEC CAFETERO'!G140+'CARGAS SEC CAFETERO'!G141+'CARGAS SEC CAFETERO'!G142+'CARGAS SEC CAFETERO'!G144+'CARGAS SEC CAFETERO'!G145+'CARGAS SEC CAFETERO'!G146+'CARGAS SEC CAFETERO'!G152+'CARGAS SEC CAFETERO'!G157+'CARGAS SEC CAFETERO'!G159+'CARGAS SEC CAFETERO'!G164+'CARGAS SEC CAFETERO'!G170+'CARGAS SEC CAFETERO'!G172+'CARGAS SEC CAFETERO'!G173+'CARGAS SEC CAFETERO'!G174+'CARGAS SEC CAFETERO'!G177+'CARGAS SEC CAFETERO'!G178</f>
        <v>924.37828460395576</v>
      </c>
      <c r="D22" s="270">
        <f>+'CARGAS SEC CAFETERO'!H70+'CARGAS SEC CAFETERO'!H71+'CARGAS SEC CAFETERO'!H72+'CARGAS SEC CAFETERO'!H73+'CARGAS SEC CAFETERO'!H75+'CARGAS SEC CAFETERO'!H83+'CARGAS SEC CAFETERO'!H122+'CARGAS SEC CAFETERO'!H123+'CARGAS SEC CAFETERO'!H124+'CARGAS SEC CAFETERO'!H125+'CARGAS SEC CAFETERO'!H126+'CARGAS SEC CAFETERO'!H127+'CARGAS SEC CAFETERO'!H128+'CARGAS SEC CAFETERO'!H129+'CARGAS SEC CAFETERO'!H130+'CARGAS SEC CAFETERO'!H131+'CARGAS SEC CAFETERO'!H135+'CARGAS SEC CAFETERO'!H140+'CARGAS SEC CAFETERO'!H141+'CARGAS SEC CAFETERO'!H142+'CARGAS SEC CAFETERO'!H144+'CARGAS SEC CAFETERO'!H145+'CARGAS SEC CAFETERO'!H146+'CARGAS SEC CAFETERO'!H152+'CARGAS SEC CAFETERO'!H157+'CARGAS SEC CAFETERO'!H159+'CARGAS SEC CAFETERO'!H164+'CARGAS SEC CAFETERO'!H170+'CARGAS SEC CAFETERO'!H172+'CARGAS SEC CAFETERO'!H173+'CARGAS SEC CAFETERO'!H174+'CARGAS SEC CAFETERO'!H177+'CARGAS SEC CAFETERO'!H178</f>
        <v>252.1031685283516</v>
      </c>
      <c r="E22" s="271">
        <f t="shared" si="0"/>
        <v>924378.28460395581</v>
      </c>
      <c r="F22" s="271">
        <f t="shared" si="1"/>
        <v>252103.16852835161</v>
      </c>
    </row>
    <row r="23" spans="1:6" x14ac:dyDescent="0.25">
      <c r="A23" s="210">
        <v>24</v>
      </c>
      <c r="B23" s="209" t="s">
        <v>1219</v>
      </c>
      <c r="C23" s="208">
        <f>+'CARGAS SEC CAFETERO'!G74+'CARGAS SEC CAFETERO'!G114+'CARGAS SEC CAFETERO'!G115+'CARGAS SEC CAFETERO'!G116+'CARGAS SEC CAFETERO'!G117+'CARGAS SEC CAFETERO'!G118+'CARGAS SEC CAFETERO'!G119+'CARGAS SEC CAFETERO'!G120+'CARGAS SEC CAFETERO'!G121+'CARGAS SEC CAFETERO'!G132+'CARGAS SEC CAFETERO'!G134+'CARGAS SEC CAFETERO'!G138+'CARGAS SEC CAFETERO'!G139+'CARGAS SEC CAFETERO'!G148+'CARGAS SEC CAFETERO'!G158+'CARGAS SEC CAFETERO'!G160+'CARGAS SEC CAFETERO'!G161+'CARGAS SEC CAFETERO'!G162+'CARGAS SEC CAFETERO'!G165+'CARGAS SEC CAFETERO'!G166+'CARGAS SEC CAFETERO'!G169+'CARGAS SEC CAFETERO'!G171+'CARGAS SEC CAFETERO'!G176+'CARGAS SEC CAFETERO'!G182+'CARGAS SEC CAFETERO'!G183+'CARGAS SEC CAFETERO'!G249+'CARGAS SEC CAFETERO'!G250+'CARGAS SEC CAFETERO'!G251+'CARGAS SEC CAFETERO'!G252+'CARGAS SEC CAFETERO'!G253+'CARGAS SEC CAFETERO'!G254+'CARGAS SEC CAFETERO'!G255+'CARGAS SEC CAFETERO'!G256+'CARGAS SEC CAFETERO'!G257+'CARGAS SEC CAFETERO'!G258+'CARGAS SEC CAFETERO'!G259+'CARGAS SEC CAFETERO'!G260+'CARGAS SEC CAFETERO'!G267+'CARGAS SEC CAFETERO'!G268+'CARGAS SEC CAFETERO'!G269+'CARGAS SEC CAFETERO'!G270+'CARGAS SEC CAFETERO'!G277+'CARGAS SEC CAFETERO'!G279+'CARGAS SEC CAFETERO'!G280+'CARGAS SEC CAFETERO'!G281+'CARGAS SEC CAFETERO'!G282+'CARGAS SEC CAFETERO'!G283+'CARGAS SEC CAFETERO'!G284+'CARGAS SEC CAFETERO'!G285+'CARGAS SEC CAFETERO'!G286+'CARGAS SEC CAFETERO'!G294+'CARGAS SEC CAFETERO'!G295+'CARGAS SEC CAFETERO'!G312+'CARGAS SEC CAFETERO'!G317</f>
        <v>1311.2383092006096</v>
      </c>
      <c r="D23" s="207">
        <f>+'CARGAS SEC CAFETERO'!H74+'CARGAS SEC CAFETERO'!H114+'CARGAS SEC CAFETERO'!H115+'CARGAS SEC CAFETERO'!H116+'CARGAS SEC CAFETERO'!H117+'CARGAS SEC CAFETERO'!H118+'CARGAS SEC CAFETERO'!H119+'CARGAS SEC CAFETERO'!H120+'CARGAS SEC CAFETERO'!H121+'CARGAS SEC CAFETERO'!H132+'CARGAS SEC CAFETERO'!H134+'CARGAS SEC CAFETERO'!H138+'CARGAS SEC CAFETERO'!H139+'CARGAS SEC CAFETERO'!H148+'CARGAS SEC CAFETERO'!H158+'CARGAS SEC CAFETERO'!H160+'CARGAS SEC CAFETERO'!H161+'CARGAS SEC CAFETERO'!H162+'CARGAS SEC CAFETERO'!H165+'CARGAS SEC CAFETERO'!H166+'CARGAS SEC CAFETERO'!H169+'CARGAS SEC CAFETERO'!H171+'CARGAS SEC CAFETERO'!H176+'CARGAS SEC CAFETERO'!H182+'CARGAS SEC CAFETERO'!H183+'CARGAS SEC CAFETERO'!H249+'CARGAS SEC CAFETERO'!H250+'CARGAS SEC CAFETERO'!H251+'CARGAS SEC CAFETERO'!H252+'CARGAS SEC CAFETERO'!H253+'CARGAS SEC CAFETERO'!H254+'CARGAS SEC CAFETERO'!H255+'CARGAS SEC CAFETERO'!H256+'CARGAS SEC CAFETERO'!H257+'CARGAS SEC CAFETERO'!H258+'CARGAS SEC CAFETERO'!H259+'CARGAS SEC CAFETERO'!H260+'CARGAS SEC CAFETERO'!H267+'CARGAS SEC CAFETERO'!H268+'CARGAS SEC CAFETERO'!H269+'CARGAS SEC CAFETERO'!H270+'CARGAS SEC CAFETERO'!H277+'CARGAS SEC CAFETERO'!H279+'CARGAS SEC CAFETERO'!H280+'CARGAS SEC CAFETERO'!H281+'CARGAS SEC CAFETERO'!H282+'CARGAS SEC CAFETERO'!H283+'CARGAS SEC CAFETERO'!H284+'CARGAS SEC CAFETERO'!H285+'CARGAS SEC CAFETERO'!H286+'CARGAS SEC CAFETERO'!H294+'CARGAS SEC CAFETERO'!H295+'CARGAS SEC CAFETERO'!H312+'CARGAS SEC CAFETERO'!H317</f>
        <v>357.61044796380253</v>
      </c>
      <c r="E23" s="206">
        <f t="shared" si="0"/>
        <v>1311238.3092006096</v>
      </c>
      <c r="F23" s="206">
        <f t="shared" si="1"/>
        <v>357610.44796380255</v>
      </c>
    </row>
    <row r="24" spans="1:6" x14ac:dyDescent="0.25">
      <c r="A24" s="210">
        <v>11</v>
      </c>
      <c r="B24" s="268" t="s">
        <v>1215</v>
      </c>
      <c r="C24" s="269">
        <f>+'CARGAS SEC CAFETERO'!G184+'CARGAS SEC CAFETERO'!G185+'CARGAS SEC CAFETERO'!G186+'CARGAS SEC CAFETERO'!G187+'CARGAS SEC CAFETERO'!G188+'CARGAS SEC CAFETERO'!G189+'CARGAS SEC CAFETERO'!G190+'CARGAS SEC CAFETERO'!G191+'CARGAS SEC CAFETERO'!G192+'CARGAS SEC CAFETERO'!G193+'CARGAS SEC CAFETERO'!G194+'CARGAS SEC CAFETERO'!G195+'CARGAS SEC CAFETERO'!G196+'CARGAS SEC CAFETERO'!G197+'CARGAS SEC CAFETERO'!G198+'CARGAS SEC CAFETERO'!G199+'CARGAS SEC CAFETERO'!G200+'CARGAS SEC CAFETERO'!G201+'CARGAS SEC CAFETERO'!G202+'CARGAS SEC CAFETERO'!G203+'CARGAS SEC CAFETERO'!G204+'CARGAS SEC CAFETERO'!G205+'CARGAS SEC CAFETERO'!G206+'CARGAS SEC CAFETERO'!G207+'CARGAS SEC CAFETERO'!G208+'CARGAS SEC CAFETERO'!G209+'CARGAS SEC CAFETERO'!G210+'CARGAS SEC CAFETERO'!G211+'CARGAS SEC CAFETERO'!G212+'CARGAS SEC CAFETERO'!G213+'CARGAS SEC CAFETERO'!G214+'CARGAS SEC CAFETERO'!G215+'CARGAS SEC CAFETERO'!G216+'CARGAS SEC CAFETERO'!G217+'CARGAS SEC CAFETERO'!G218+'CARGAS SEC CAFETERO'!G219+'CARGAS SEC CAFETERO'!G220+'CARGAS SEC CAFETERO'!G221+'CARGAS SEC CAFETERO'!G222+'CARGAS SEC CAFETERO'!G223+'CARGAS SEC CAFETERO'!G224+'CARGAS SEC CAFETERO'!G225+'CARGAS SEC CAFETERO'!G226+'CARGAS SEC CAFETERO'!G227+'CARGAS SEC CAFETERO'!G228+'CARGAS SEC CAFETERO'!G229+'CARGAS SEC CAFETERO'!G230+'CARGAS SEC CAFETERO'!G231+'CARGAS SEC CAFETERO'!G232+'CARGAS SEC CAFETERO'!G233+'CARGAS SEC CAFETERO'!G234+'CARGAS SEC CAFETERO'!G235+'CARGAS SEC CAFETERO'!G236+'CARGAS SEC CAFETERO'!G237+'CARGAS SEC CAFETERO'!G238+'CARGAS SEC CAFETERO'!G239+'CARGAS SEC CAFETERO'!G240+'CARGAS SEC CAFETERO'!G241+'CARGAS SEC CAFETERO'!G242+'CARGAS SEC CAFETERO'!G243+'CARGAS SEC CAFETERO'!G244+'CARGAS SEC CAFETERO'!G245+'CARGAS SEC CAFETERO'!G246+'CARGAS SEC CAFETERO'!G247+'CARGAS SEC CAFETERO'!G248</f>
        <v>2035.942783859294</v>
      </c>
      <c r="D24" s="270">
        <f>+'CARGAS SEC CAFETERO'!H184+'CARGAS SEC CAFETERO'!H185+'CARGAS SEC CAFETERO'!H186+'CARGAS SEC CAFETERO'!H187+'CARGAS SEC CAFETERO'!H188+'CARGAS SEC CAFETERO'!H189+'CARGAS SEC CAFETERO'!H190+'CARGAS SEC CAFETERO'!H191+'CARGAS SEC CAFETERO'!H192+'CARGAS SEC CAFETERO'!H193+'CARGAS SEC CAFETERO'!H194+'CARGAS SEC CAFETERO'!H195+'CARGAS SEC CAFETERO'!H196+'CARGAS SEC CAFETERO'!H197+'CARGAS SEC CAFETERO'!H198+'CARGAS SEC CAFETERO'!H199+'CARGAS SEC CAFETERO'!H200+'CARGAS SEC CAFETERO'!H201+'CARGAS SEC CAFETERO'!H202+'CARGAS SEC CAFETERO'!H203+'CARGAS SEC CAFETERO'!H204+'CARGAS SEC CAFETERO'!H205+'CARGAS SEC CAFETERO'!H206+'CARGAS SEC CAFETERO'!H207+'CARGAS SEC CAFETERO'!H208+'CARGAS SEC CAFETERO'!H209+'CARGAS SEC CAFETERO'!H210+'CARGAS SEC CAFETERO'!H211+'CARGAS SEC CAFETERO'!H212+'CARGAS SEC CAFETERO'!H213+'CARGAS SEC CAFETERO'!H214+'CARGAS SEC CAFETERO'!H215+'CARGAS SEC CAFETERO'!H216+'CARGAS SEC CAFETERO'!H217+'CARGAS SEC CAFETERO'!H218+'CARGAS SEC CAFETERO'!H219+'CARGAS SEC CAFETERO'!H220+'CARGAS SEC CAFETERO'!H221+'CARGAS SEC CAFETERO'!H222+'CARGAS SEC CAFETERO'!H223+'CARGAS SEC CAFETERO'!H224+'CARGAS SEC CAFETERO'!H225+'CARGAS SEC CAFETERO'!H226+'CARGAS SEC CAFETERO'!H227+'CARGAS SEC CAFETERO'!H228+'CARGAS SEC CAFETERO'!H229+'CARGAS SEC CAFETERO'!H230+'CARGAS SEC CAFETERO'!H231+'CARGAS SEC CAFETERO'!H232+'CARGAS SEC CAFETERO'!H233+'CARGAS SEC CAFETERO'!H234+'CARGAS SEC CAFETERO'!H235+'CARGAS SEC CAFETERO'!H236+'CARGAS SEC CAFETERO'!H237+'CARGAS SEC CAFETERO'!H238+'CARGAS SEC CAFETERO'!H239+'CARGAS SEC CAFETERO'!H240+'CARGAS SEC CAFETERO'!H241+'CARGAS SEC CAFETERO'!H242+'CARGAS SEC CAFETERO'!H243+'CARGAS SEC CAFETERO'!H244+'CARGAS SEC CAFETERO'!H245+'CARGAS SEC CAFETERO'!H246+'CARGAS SEC CAFETERO'!H247+'CARGAS SEC CAFETERO'!H248</f>
        <v>555.25712287071667</v>
      </c>
      <c r="E24" s="271">
        <f t="shared" si="0"/>
        <v>2035942.7838592939</v>
      </c>
      <c r="F24" s="271">
        <f t="shared" si="1"/>
        <v>555257.12287071662</v>
      </c>
    </row>
    <row r="25" spans="1:6" x14ac:dyDescent="0.25">
      <c r="A25" s="210">
        <v>2</v>
      </c>
      <c r="B25" s="268" t="s">
        <v>1216</v>
      </c>
      <c r="C25" s="269">
        <f>+'CARGAS SEC CAFETERO'!G24+'CARGAS SEC CAFETERO'!G25+'CARGAS SEC CAFETERO'!G29+'CARGAS SEC CAFETERO'!G30+'CARGAS SEC CAFETERO'!G34+'CARGAS SEC CAFETERO'!G38+'CARGAS SEC CAFETERO'!G50+'CARGAS SEC CAFETERO'!G51+'CARGAS SEC CAFETERO'!G56+'CARGAS SEC CAFETERO'!G57+'CARGAS SEC CAFETERO'!G58</f>
        <v>2396.0915322034652</v>
      </c>
      <c r="D25" s="270">
        <f>+'CARGAS SEC CAFETERO'!H24+'CARGAS SEC CAFETERO'!H25+'CARGAS SEC CAFETERO'!H29+'CARGAS SEC CAFETERO'!H30+'CARGAS SEC CAFETERO'!H34+'CARGAS SEC CAFETERO'!H38+'CARGAS SEC CAFETERO'!H50+'CARGAS SEC CAFETERO'!H51+'CARGAS SEC CAFETERO'!H56+'CARGAS SEC CAFETERO'!H57+'CARGAS SEC CAFETERO'!H58</f>
        <v>653.47950878276322</v>
      </c>
      <c r="E25" s="271">
        <f t="shared" si="0"/>
        <v>2396091.5322034652</v>
      </c>
      <c r="F25" s="271">
        <f t="shared" si="1"/>
        <v>653479.50878276327</v>
      </c>
    </row>
    <row r="26" spans="1:6" x14ac:dyDescent="0.25">
      <c r="A26" s="210">
        <v>13</v>
      </c>
      <c r="B26" s="268" t="s">
        <v>1217</v>
      </c>
      <c r="C26" s="269">
        <f>+'CARGAS SEC CAFETERO'!G350+'CARGAS SEC CAFETERO'!G351+'CARGAS SEC CAFETERO'!G352+'CARGAS SEC CAFETERO'!G353+'CARGAS SEC CAFETERO'!G354+'CARGAS SEC CAFETERO'!G355+'CARGAS SEC CAFETERO'!G356+'CARGAS SEC CAFETERO'!G357+'CARGAS SEC CAFETERO'!G358+'CARGAS SEC CAFETERO'!G359+'CARGAS SEC CAFETERO'!G360+'CARGAS SEC CAFETERO'!G361+'CARGAS SEC CAFETERO'!G362+'CARGAS SEC CAFETERO'!G363+'CARGAS SEC CAFETERO'!G364+'CARGAS SEC CAFETERO'!G365+'CARGAS SEC CAFETERO'!G366+'CARGAS SEC CAFETERO'!G367+'CARGAS SEC CAFETERO'!G368+'CARGAS SEC CAFETERO'!G370+'CARGAS SEC CAFETERO'!G371+'CARGAS SEC CAFETERO'!G372</f>
        <v>777.90993346426399</v>
      </c>
      <c r="D26" s="270">
        <v>212.16</v>
      </c>
      <c r="E26" s="271">
        <f>C26*$G$1</f>
        <v>777909.93346426403</v>
      </c>
      <c r="F26" s="271">
        <f>D26*G1</f>
        <v>212160</v>
      </c>
    </row>
    <row r="27" spans="1:6" x14ac:dyDescent="0.25">
      <c r="A27" s="210">
        <v>7</v>
      </c>
      <c r="B27" s="268" t="s">
        <v>1218</v>
      </c>
      <c r="C27" s="269">
        <f>+'CARGAS SEC CAFETERO'!G84+'CARGAS SEC CAFETERO'!G85+'CARGAS SEC CAFETERO'!G86+'CARGAS SEC CAFETERO'!G87+'CARGAS SEC CAFETERO'!G88+'CARGAS SEC CAFETERO'!G89+'CARGAS SEC CAFETERO'!G90+'CARGAS SEC CAFETERO'!G91+'CARGAS SEC CAFETERO'!G92+'CARGAS SEC CAFETERO'!G93+'CARGAS SEC CAFETERO'!G94+'CARGAS SEC CAFETERO'!G95+'CARGAS SEC CAFETERO'!G96+'CARGAS SEC CAFETERO'!G97+'CARGAS SEC CAFETERO'!G98+'CARGAS SEC CAFETERO'!G99+'CARGAS SEC CAFETERO'!G100+'CARGAS SEC CAFETERO'!G101+'CARGAS SEC CAFETERO'!G102+'CARGAS SEC CAFETERO'!G103+'CARGAS SEC CAFETERO'!G104+'CARGAS SEC CAFETERO'!G105+'CARGAS SEC CAFETERO'!G106+'CARGAS SEC CAFETERO'!G107+'CARGAS SEC CAFETERO'!G108+'CARGAS SEC CAFETERO'!G109+'CARGAS SEC CAFETERO'!G110+'CARGAS SEC CAFETERO'!G111+'CARGAS SEC CAFETERO'!G112+'CARGAS SEC CAFETERO'!G113</f>
        <v>3109.4875752806847</v>
      </c>
      <c r="D27" s="270">
        <f>+'CARGAS SEC CAFETERO'!H84+'CARGAS SEC CAFETERO'!H85+'CARGAS SEC CAFETERO'!H86+'CARGAS SEC CAFETERO'!H87+'CARGAS SEC CAFETERO'!H88+'CARGAS SEC CAFETERO'!H89+'CARGAS SEC CAFETERO'!H90+'CARGAS SEC CAFETERO'!H91+'CARGAS SEC CAFETERO'!H92+'CARGAS SEC CAFETERO'!H93+'CARGAS SEC CAFETERO'!H94+'CARGAS SEC CAFETERO'!H95+'CARGAS SEC CAFETERO'!H96+'CARGAS SEC CAFETERO'!H97+'CARGAS SEC CAFETERO'!H98+'CARGAS SEC CAFETERO'!H99+'CARGAS SEC CAFETERO'!H100+'CARGAS SEC CAFETERO'!H101+'CARGAS SEC CAFETERO'!H102+'CARGAS SEC CAFETERO'!H103+'CARGAS SEC CAFETERO'!H104+'CARGAS SEC CAFETERO'!H105+'CARGAS SEC CAFETERO'!H106+'CARGAS SEC CAFETERO'!H107+'CARGAS SEC CAFETERO'!H108+'CARGAS SEC CAFETERO'!H109+'CARGAS SEC CAFETERO'!H110+'CARGAS SEC CAFETERO'!H111+'CARGAS SEC CAFETERO'!H112+'CARGAS SEC CAFETERO'!H113</f>
        <v>848.0420659856411</v>
      </c>
      <c r="E27" s="271">
        <f>C27*$G$1</f>
        <v>3109487.5752806845</v>
      </c>
      <c r="F27" s="271">
        <f>D27*$G$1</f>
        <v>848042.06598564109</v>
      </c>
    </row>
    <row r="28" spans="1:6" ht="18.75" x14ac:dyDescent="0.3">
      <c r="B28" s="272" t="s">
        <v>1196</v>
      </c>
      <c r="C28" s="205">
        <f>SUM(C2:C27)</f>
        <v>16325.122456581656</v>
      </c>
      <c r="D28" s="205">
        <f>SUM(D2:D27)</f>
        <v>4493.6968477906312</v>
      </c>
      <c r="E28" s="219"/>
      <c r="F28" s="219"/>
    </row>
    <row r="31" spans="1:6" x14ac:dyDescent="0.25">
      <c r="E31" s="144">
        <f>SUM(E2:E27)</f>
        <v>16325122.456581658</v>
      </c>
      <c r="F31" s="144">
        <f>SUM(F2:F27)</f>
        <v>4493696.8477906315</v>
      </c>
    </row>
  </sheetData>
  <sortState ref="A2:G28">
    <sortCondition ref="F12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2:I178"/>
  <sheetViews>
    <sheetView zoomScale="60" zoomScaleNormal="60" workbookViewId="0">
      <pane ySplit="870" activePane="bottomLeft"/>
      <selection activeCell="F4" sqref="F4:G4"/>
      <selection pane="bottomLeft" activeCell="E54" sqref="E54"/>
    </sheetView>
  </sheetViews>
  <sheetFormatPr baseColWidth="10" defaultColWidth="9.140625" defaultRowHeight="15" x14ac:dyDescent="0.25"/>
  <cols>
    <col min="2" max="2" width="43.7109375" customWidth="1"/>
    <col min="3" max="3" width="23.42578125" customWidth="1"/>
    <col min="4" max="4" width="17.42578125" customWidth="1"/>
    <col min="5" max="5" width="42.7109375" style="31" customWidth="1"/>
    <col min="6" max="6" width="14.5703125" customWidth="1"/>
    <col min="7" max="7" width="16.140625" customWidth="1"/>
    <col min="8" max="8" width="21" customWidth="1"/>
    <col min="9" max="9" width="15.28515625" customWidth="1"/>
    <col min="10" max="10" width="15.85546875" customWidth="1"/>
  </cols>
  <sheetData>
    <row r="2" spans="2:8" x14ac:dyDescent="0.25">
      <c r="C2" t="e">
        <f>#REF!/E4</f>
        <v>#REF!</v>
      </c>
    </row>
    <row r="3" spans="2:8" ht="33.75" customHeight="1" x14ac:dyDescent="0.25">
      <c r="E3" s="33" t="s">
        <v>161</v>
      </c>
      <c r="F3" s="34" t="s">
        <v>162</v>
      </c>
      <c r="G3" s="35" t="s">
        <v>163</v>
      </c>
      <c r="H3" s="36" t="s">
        <v>164</v>
      </c>
    </row>
    <row r="4" spans="2:8" x14ac:dyDescent="0.25">
      <c r="E4" s="36">
        <v>12</v>
      </c>
      <c r="F4" s="37">
        <v>17.5</v>
      </c>
      <c r="G4" s="36">
        <v>184</v>
      </c>
      <c r="H4" s="36">
        <v>3.5999999999999999E-3</v>
      </c>
    </row>
    <row r="5" spans="2:8" ht="42.75" customHeight="1" x14ac:dyDescent="0.25">
      <c r="B5" s="33" t="s">
        <v>165</v>
      </c>
      <c r="C5" s="33" t="s">
        <v>166</v>
      </c>
      <c r="D5" s="33" t="s">
        <v>886</v>
      </c>
      <c r="E5" s="33" t="s">
        <v>167</v>
      </c>
      <c r="F5" s="33" t="s">
        <v>168</v>
      </c>
      <c r="G5" s="38" t="s">
        <v>169</v>
      </c>
      <c r="H5" s="38" t="s">
        <v>170</v>
      </c>
    </row>
    <row r="6" spans="2:8" ht="19.5" customHeight="1" x14ac:dyDescent="0.25">
      <c r="B6" s="41" t="s">
        <v>171</v>
      </c>
      <c r="C6" s="32" t="s">
        <v>172</v>
      </c>
      <c r="D6" s="36" t="s">
        <v>887</v>
      </c>
      <c r="E6" s="36">
        <v>14.5</v>
      </c>
      <c r="F6" s="356" t="s">
        <v>173</v>
      </c>
      <c r="G6" s="357"/>
      <c r="H6" s="358"/>
    </row>
    <row r="7" spans="2:8" x14ac:dyDescent="0.25">
      <c r="B7" s="32" t="s">
        <v>174</v>
      </c>
      <c r="C7" s="32" t="s">
        <v>175</v>
      </c>
      <c r="D7" s="36" t="s">
        <v>888</v>
      </c>
      <c r="E7" s="36">
        <v>5.88</v>
      </c>
      <c r="F7" s="39">
        <f>E7*0.2</f>
        <v>1.1759999999999999</v>
      </c>
      <c r="G7" s="40">
        <f>F7*$F$4*$H$4*$E$4*365</f>
        <v>324.50543999999996</v>
      </c>
      <c r="H7" s="40">
        <f>F7*$G$4*$H$4*$E$4*365</f>
        <v>3411.942912</v>
      </c>
    </row>
    <row r="8" spans="2:8" x14ac:dyDescent="0.25">
      <c r="B8" s="32" t="s">
        <v>889</v>
      </c>
      <c r="C8" s="32" t="s">
        <v>176</v>
      </c>
      <c r="D8" s="36" t="s">
        <v>890</v>
      </c>
      <c r="E8" s="36">
        <v>24.58</v>
      </c>
      <c r="F8" s="39">
        <f t="shared" ref="F8:F70" si="0">E8*0.2</f>
        <v>4.9160000000000004</v>
      </c>
      <c r="G8" s="40">
        <f t="shared" ref="G8:G71" si="1">F8*$F$4*$H$4*$E$4*365</f>
        <v>1356.5210399999999</v>
      </c>
      <c r="H8" s="40">
        <f t="shared" ref="H8:H71" si="2">F8*$G$4*$H$4*$E$4*365</f>
        <v>14262.849792000003</v>
      </c>
    </row>
    <row r="9" spans="2:8" ht="37.5" customHeight="1" x14ac:dyDescent="0.25">
      <c r="B9" s="158" t="s">
        <v>891</v>
      </c>
      <c r="C9" s="32" t="s">
        <v>177</v>
      </c>
      <c r="D9" s="36" t="s">
        <v>892</v>
      </c>
      <c r="E9" s="36">
        <v>12.52</v>
      </c>
      <c r="F9" s="39">
        <f t="shared" si="0"/>
        <v>2.504</v>
      </c>
      <c r="G9" s="40">
        <f t="shared" si="1"/>
        <v>690.95375999999999</v>
      </c>
      <c r="H9" s="40">
        <f t="shared" si="2"/>
        <v>7264.8852479999987</v>
      </c>
    </row>
    <row r="10" spans="2:8" ht="36" customHeight="1" x14ac:dyDescent="0.25">
      <c r="B10" s="159" t="s">
        <v>237</v>
      </c>
      <c r="C10" s="160" t="s">
        <v>178</v>
      </c>
      <c r="D10" s="45"/>
      <c r="E10" s="45">
        <v>22</v>
      </c>
      <c r="F10" s="46">
        <f t="shared" si="0"/>
        <v>4.4000000000000004</v>
      </c>
      <c r="G10" s="47">
        <f t="shared" si="1"/>
        <v>1214.136</v>
      </c>
      <c r="H10" s="47">
        <f t="shared" si="2"/>
        <v>12765.772799999999</v>
      </c>
    </row>
    <row r="11" spans="2:8" x14ac:dyDescent="0.25">
      <c r="B11" s="161" t="s">
        <v>893</v>
      </c>
      <c r="C11" s="41" t="s">
        <v>160</v>
      </c>
      <c r="D11" s="42" t="s">
        <v>894</v>
      </c>
      <c r="E11" s="42">
        <v>27.3</v>
      </c>
      <c r="F11" s="43">
        <f t="shared" si="0"/>
        <v>5.4600000000000009</v>
      </c>
      <c r="G11" s="40">
        <f t="shared" si="1"/>
        <v>1506.6324000000002</v>
      </c>
      <c r="H11" s="40">
        <f t="shared" si="2"/>
        <v>15841.163520000002</v>
      </c>
    </row>
    <row r="12" spans="2:8" x14ac:dyDescent="0.25">
      <c r="B12" s="359" t="s">
        <v>895</v>
      </c>
      <c r="C12" s="362" t="s">
        <v>179</v>
      </c>
      <c r="D12" s="45" t="s">
        <v>896</v>
      </c>
      <c r="E12" s="45">
        <v>50.53</v>
      </c>
      <c r="F12" s="46">
        <f t="shared" si="0"/>
        <v>10.106000000000002</v>
      </c>
      <c r="G12" s="47">
        <f t="shared" si="1"/>
        <v>2788.6496400000005</v>
      </c>
      <c r="H12" s="47">
        <f t="shared" si="2"/>
        <v>29320.659072000006</v>
      </c>
    </row>
    <row r="13" spans="2:8" x14ac:dyDescent="0.25">
      <c r="B13" s="360"/>
      <c r="C13" s="363"/>
      <c r="D13" s="45"/>
      <c r="E13" s="45">
        <v>17.37</v>
      </c>
      <c r="F13" s="46">
        <f t="shared" si="0"/>
        <v>3.4740000000000002</v>
      </c>
      <c r="G13" s="47">
        <f t="shared" si="1"/>
        <v>958.61555999999996</v>
      </c>
      <c r="H13" s="47">
        <f t="shared" si="2"/>
        <v>10079.157888</v>
      </c>
    </row>
    <row r="14" spans="2:8" x14ac:dyDescent="0.25">
      <c r="B14" s="361"/>
      <c r="C14" s="364"/>
      <c r="D14" s="45" t="s">
        <v>897</v>
      </c>
      <c r="E14" s="45">
        <v>32.299999999999997</v>
      </c>
      <c r="F14" s="46">
        <f t="shared" si="0"/>
        <v>6.46</v>
      </c>
      <c r="G14" s="47">
        <f t="shared" si="1"/>
        <v>1782.5723999999998</v>
      </c>
      <c r="H14" s="47">
        <f t="shared" si="2"/>
        <v>18742.47552</v>
      </c>
    </row>
    <row r="15" spans="2:8" x14ac:dyDescent="0.25">
      <c r="B15" s="160" t="s">
        <v>898</v>
      </c>
      <c r="C15" s="160"/>
      <c r="D15" s="45" t="s">
        <v>899</v>
      </c>
      <c r="E15" s="45">
        <v>0.33</v>
      </c>
      <c r="F15" s="46">
        <f t="shared" si="0"/>
        <v>6.6000000000000003E-2</v>
      </c>
      <c r="G15" s="47">
        <f t="shared" si="1"/>
        <v>18.212040000000002</v>
      </c>
      <c r="H15" s="47">
        <f t="shared" si="2"/>
        <v>191.486592</v>
      </c>
    </row>
    <row r="16" spans="2:8" x14ac:dyDescent="0.25">
      <c r="B16" s="32" t="s">
        <v>900</v>
      </c>
      <c r="C16" s="32" t="s">
        <v>180</v>
      </c>
      <c r="D16" s="36" t="s">
        <v>901</v>
      </c>
      <c r="E16" s="36">
        <v>0.51</v>
      </c>
      <c r="F16" s="39">
        <f t="shared" si="0"/>
        <v>0.10200000000000001</v>
      </c>
      <c r="G16" s="40">
        <f t="shared" si="1"/>
        <v>28.145879999999998</v>
      </c>
      <c r="H16" s="40">
        <f t="shared" si="2"/>
        <v>295.93382400000002</v>
      </c>
    </row>
    <row r="17" spans="2:8" ht="32.25" customHeight="1" x14ac:dyDescent="0.25">
      <c r="B17" s="162" t="s">
        <v>902</v>
      </c>
      <c r="C17" s="160" t="s">
        <v>181</v>
      </c>
      <c r="D17" s="45" t="s">
        <v>903</v>
      </c>
      <c r="E17" s="45">
        <v>2.33</v>
      </c>
      <c r="F17" s="46">
        <f t="shared" si="0"/>
        <v>0.46600000000000003</v>
      </c>
      <c r="G17" s="47">
        <f t="shared" si="1"/>
        <v>128.58804000000001</v>
      </c>
      <c r="H17" s="47">
        <f t="shared" si="2"/>
        <v>1352.0113919999997</v>
      </c>
    </row>
    <row r="18" spans="2:8" x14ac:dyDescent="0.25">
      <c r="B18" s="41" t="s">
        <v>904</v>
      </c>
      <c r="C18" s="41" t="s">
        <v>182</v>
      </c>
      <c r="D18" s="36" t="s">
        <v>905</v>
      </c>
      <c r="E18" s="42">
        <v>0.82</v>
      </c>
      <c r="F18" s="39">
        <f t="shared" si="0"/>
        <v>0.16400000000000001</v>
      </c>
      <c r="G18" s="40">
        <f t="shared" si="1"/>
        <v>45.254160000000006</v>
      </c>
      <c r="H18" s="40">
        <f t="shared" si="2"/>
        <v>475.81516800000009</v>
      </c>
    </row>
    <row r="19" spans="2:8" x14ac:dyDescent="0.25">
      <c r="B19" s="41" t="s">
        <v>906</v>
      </c>
      <c r="C19" s="41" t="s">
        <v>183</v>
      </c>
      <c r="D19" s="42" t="s">
        <v>907</v>
      </c>
      <c r="E19" s="42">
        <v>9.7100000000000009</v>
      </c>
      <c r="F19" s="39">
        <f t="shared" si="0"/>
        <v>1.9420000000000002</v>
      </c>
      <c r="G19" s="40">
        <f t="shared" si="1"/>
        <v>535.87547999999992</v>
      </c>
      <c r="H19" s="40">
        <f t="shared" si="2"/>
        <v>5634.3479040000011</v>
      </c>
    </row>
    <row r="20" spans="2:8" x14ac:dyDescent="0.25">
      <c r="B20" s="160" t="s">
        <v>908</v>
      </c>
      <c r="C20" s="160" t="s">
        <v>184</v>
      </c>
      <c r="D20" s="45" t="s">
        <v>909</v>
      </c>
      <c r="E20" s="45">
        <v>0.16</v>
      </c>
      <c r="F20" s="46">
        <f t="shared" si="0"/>
        <v>3.2000000000000001E-2</v>
      </c>
      <c r="G20" s="47">
        <f t="shared" si="1"/>
        <v>8.8300799999999988</v>
      </c>
      <c r="H20" s="47">
        <f t="shared" si="2"/>
        <v>92.841983999999982</v>
      </c>
    </row>
    <row r="21" spans="2:8" x14ac:dyDescent="0.25">
      <c r="B21" s="41" t="s">
        <v>910</v>
      </c>
      <c r="C21" s="41" t="s">
        <v>185</v>
      </c>
      <c r="D21" s="42" t="s">
        <v>911</v>
      </c>
      <c r="E21" s="42">
        <v>4.99</v>
      </c>
      <c r="F21" s="39">
        <f t="shared" si="0"/>
        <v>0.99800000000000011</v>
      </c>
      <c r="G21" s="40">
        <f t="shared" si="1"/>
        <v>275.38812000000007</v>
      </c>
      <c r="H21" s="40">
        <f t="shared" si="2"/>
        <v>2895.5093760000004</v>
      </c>
    </row>
    <row r="22" spans="2:8" x14ac:dyDescent="0.25">
      <c r="B22" s="41" t="s">
        <v>912</v>
      </c>
      <c r="C22" s="41" t="s">
        <v>186</v>
      </c>
      <c r="D22" s="42" t="s">
        <v>913</v>
      </c>
      <c r="E22" s="42">
        <v>1.55</v>
      </c>
      <c r="F22" s="39">
        <f t="shared" si="0"/>
        <v>0.31000000000000005</v>
      </c>
      <c r="G22" s="40">
        <f t="shared" si="1"/>
        <v>85.54140000000001</v>
      </c>
      <c r="H22" s="40">
        <f t="shared" si="2"/>
        <v>899.40672000000018</v>
      </c>
    </row>
    <row r="23" spans="2:8" x14ac:dyDescent="0.25">
      <c r="B23" s="41" t="s">
        <v>914</v>
      </c>
      <c r="C23" s="41" t="s">
        <v>187</v>
      </c>
      <c r="D23" s="42" t="s">
        <v>915</v>
      </c>
      <c r="E23" s="42">
        <v>0.06</v>
      </c>
      <c r="F23" s="39">
        <f t="shared" si="0"/>
        <v>1.2E-2</v>
      </c>
      <c r="G23" s="40">
        <f t="shared" si="1"/>
        <v>3.31128</v>
      </c>
      <c r="H23" s="40">
        <f t="shared" si="2"/>
        <v>34.815744000000002</v>
      </c>
    </row>
    <row r="24" spans="2:8" x14ac:dyDescent="0.25">
      <c r="B24" s="41" t="s">
        <v>916</v>
      </c>
      <c r="C24" s="41" t="s">
        <v>188</v>
      </c>
      <c r="D24" s="42" t="s">
        <v>917</v>
      </c>
      <c r="E24" s="42">
        <v>1.07</v>
      </c>
      <c r="F24" s="39">
        <f t="shared" si="0"/>
        <v>0.21400000000000002</v>
      </c>
      <c r="G24" s="40">
        <f t="shared" si="1"/>
        <v>59.051160000000003</v>
      </c>
      <c r="H24" s="40">
        <f t="shared" si="2"/>
        <v>620.88076799999999</v>
      </c>
    </row>
    <row r="25" spans="2:8" x14ac:dyDescent="0.25">
      <c r="B25" s="41" t="s">
        <v>918</v>
      </c>
      <c r="C25" s="41" t="s">
        <v>189</v>
      </c>
      <c r="D25" s="42" t="s">
        <v>911</v>
      </c>
      <c r="E25" s="42">
        <v>29.01</v>
      </c>
      <c r="F25" s="39">
        <f t="shared" si="0"/>
        <v>5.8020000000000005</v>
      </c>
      <c r="G25" s="40">
        <f t="shared" si="1"/>
        <v>1601.00388</v>
      </c>
      <c r="H25" s="40">
        <f t="shared" si="2"/>
        <v>16833.412224</v>
      </c>
    </row>
    <row r="26" spans="2:8" x14ac:dyDescent="0.25">
      <c r="B26" s="160" t="s">
        <v>919</v>
      </c>
      <c r="C26" s="160" t="s">
        <v>190</v>
      </c>
      <c r="D26" s="45" t="s">
        <v>920</v>
      </c>
      <c r="E26" s="45">
        <v>0.26</v>
      </c>
      <c r="F26" s="46">
        <f t="shared" si="0"/>
        <v>5.2000000000000005E-2</v>
      </c>
      <c r="G26" s="47">
        <f t="shared" si="1"/>
        <v>14.348879999999999</v>
      </c>
      <c r="H26" s="47">
        <f t="shared" si="2"/>
        <v>150.86822400000003</v>
      </c>
    </row>
    <row r="27" spans="2:8" x14ac:dyDescent="0.25">
      <c r="B27" s="160" t="s">
        <v>921</v>
      </c>
      <c r="C27" s="160" t="s">
        <v>191</v>
      </c>
      <c r="D27" s="45" t="s">
        <v>922</v>
      </c>
      <c r="E27" s="45">
        <v>3.92</v>
      </c>
      <c r="F27" s="46">
        <f t="shared" si="0"/>
        <v>0.78400000000000003</v>
      </c>
      <c r="G27" s="47">
        <f t="shared" si="1"/>
        <v>216.33696</v>
      </c>
      <c r="H27" s="47">
        <f t="shared" si="2"/>
        <v>2274.6286079999995</v>
      </c>
    </row>
    <row r="28" spans="2:8" ht="30" customHeight="1" x14ac:dyDescent="0.25">
      <c r="B28" s="162" t="s">
        <v>923</v>
      </c>
      <c r="C28" s="160" t="s">
        <v>192</v>
      </c>
      <c r="D28" s="45" t="s">
        <v>924</v>
      </c>
      <c r="E28" s="45">
        <v>1.73</v>
      </c>
      <c r="F28" s="46">
        <f t="shared" si="0"/>
        <v>0.34600000000000003</v>
      </c>
      <c r="G28" s="47">
        <f t="shared" si="1"/>
        <v>95.475240000000014</v>
      </c>
      <c r="H28" s="47">
        <f t="shared" si="2"/>
        <v>1003.853952</v>
      </c>
    </row>
    <row r="29" spans="2:8" x14ac:dyDescent="0.25">
      <c r="B29" s="41" t="s">
        <v>925</v>
      </c>
      <c r="C29" s="41" t="s">
        <v>193</v>
      </c>
      <c r="D29" s="42" t="s">
        <v>926</v>
      </c>
      <c r="E29" s="42">
        <v>1.06</v>
      </c>
      <c r="F29" s="39">
        <f t="shared" si="0"/>
        <v>0.21200000000000002</v>
      </c>
      <c r="G29" s="40">
        <f t="shared" si="1"/>
        <v>58.499280000000006</v>
      </c>
      <c r="H29" s="40">
        <f t="shared" si="2"/>
        <v>615.07814399999995</v>
      </c>
    </row>
    <row r="30" spans="2:8" ht="33.75" customHeight="1" x14ac:dyDescent="0.25">
      <c r="B30" s="162" t="s">
        <v>927</v>
      </c>
      <c r="C30" s="160" t="s">
        <v>194</v>
      </c>
      <c r="D30" s="45" t="s">
        <v>928</v>
      </c>
      <c r="E30" s="45">
        <v>9.4600000000000009</v>
      </c>
      <c r="F30" s="46">
        <f t="shared" si="0"/>
        <v>1.8920000000000003</v>
      </c>
      <c r="G30" s="47">
        <f t="shared" si="1"/>
        <v>522.07848000000013</v>
      </c>
      <c r="H30" s="47">
        <f t="shared" si="2"/>
        <v>5489.2823040000003</v>
      </c>
    </row>
    <row r="31" spans="2:8" x14ac:dyDescent="0.25">
      <c r="B31" s="160" t="s">
        <v>929</v>
      </c>
      <c r="C31" s="160" t="s">
        <v>195</v>
      </c>
      <c r="D31" s="45" t="s">
        <v>930</v>
      </c>
      <c r="E31" s="45">
        <v>4.47</v>
      </c>
      <c r="F31" s="46">
        <f t="shared" si="0"/>
        <v>0.89400000000000002</v>
      </c>
      <c r="G31" s="47">
        <f t="shared" si="1"/>
        <v>246.69036</v>
      </c>
      <c r="H31" s="47">
        <f t="shared" si="2"/>
        <v>2593.7729279999999</v>
      </c>
    </row>
    <row r="32" spans="2:8" x14ac:dyDescent="0.25">
      <c r="B32" s="365" t="s">
        <v>931</v>
      </c>
      <c r="C32" s="366" t="s">
        <v>196</v>
      </c>
      <c r="D32" s="42" t="s">
        <v>932</v>
      </c>
      <c r="E32" s="42">
        <v>13.2</v>
      </c>
      <c r="F32" s="39">
        <f>E32*0.26</f>
        <v>3.4319999999999999</v>
      </c>
      <c r="G32" s="40">
        <f t="shared" si="1"/>
        <v>947.02607999999998</v>
      </c>
      <c r="H32" s="40">
        <f t="shared" si="2"/>
        <v>9957.3027839999977</v>
      </c>
    </row>
    <row r="33" spans="2:8" x14ac:dyDescent="0.25">
      <c r="B33" s="365"/>
      <c r="C33" s="366"/>
      <c r="D33" s="42" t="s">
        <v>933</v>
      </c>
      <c r="E33" s="42">
        <v>25.7</v>
      </c>
      <c r="F33" s="39">
        <f>E33*0.26</f>
        <v>6.6820000000000004</v>
      </c>
      <c r="G33" s="40">
        <f t="shared" si="1"/>
        <v>1843.8310800000002</v>
      </c>
      <c r="H33" s="40">
        <f t="shared" si="2"/>
        <v>19386.566783999999</v>
      </c>
    </row>
    <row r="34" spans="2:8" ht="31.5" customHeight="1" x14ac:dyDescent="0.25">
      <c r="B34" s="161" t="s">
        <v>934</v>
      </c>
      <c r="C34" s="32" t="s">
        <v>197</v>
      </c>
      <c r="D34" s="42" t="s">
        <v>935</v>
      </c>
      <c r="E34" s="42">
        <v>5.01</v>
      </c>
      <c r="F34" s="39">
        <f t="shared" si="0"/>
        <v>1.002</v>
      </c>
      <c r="G34" s="40">
        <f t="shared" si="1"/>
        <v>276.49187999999998</v>
      </c>
      <c r="H34" s="40">
        <f t="shared" si="2"/>
        <v>2907.1146239999998</v>
      </c>
    </row>
    <row r="35" spans="2:8" x14ac:dyDescent="0.25">
      <c r="B35" s="41" t="s">
        <v>936</v>
      </c>
      <c r="C35" s="32" t="s">
        <v>198</v>
      </c>
      <c r="D35" s="42" t="s">
        <v>922</v>
      </c>
      <c r="E35" s="42">
        <v>0.35</v>
      </c>
      <c r="F35" s="39">
        <f t="shared" si="0"/>
        <v>6.9999999999999993E-2</v>
      </c>
      <c r="G35" s="40">
        <f t="shared" si="1"/>
        <v>19.315799999999996</v>
      </c>
      <c r="H35" s="40">
        <f t="shared" si="2"/>
        <v>203.09183999999996</v>
      </c>
    </row>
    <row r="36" spans="2:8" x14ac:dyDescent="0.25">
      <c r="B36" s="160" t="s">
        <v>937</v>
      </c>
      <c r="C36" s="160" t="s">
        <v>199</v>
      </c>
      <c r="D36" s="45" t="s">
        <v>938</v>
      </c>
      <c r="E36" s="45">
        <v>0.02</v>
      </c>
      <c r="F36" s="46">
        <f t="shared" si="0"/>
        <v>4.0000000000000001E-3</v>
      </c>
      <c r="G36" s="47">
        <f t="shared" si="1"/>
        <v>1.1037599999999999</v>
      </c>
      <c r="H36" s="47">
        <f t="shared" si="2"/>
        <v>11.605247999999998</v>
      </c>
    </row>
    <row r="37" spans="2:8" x14ac:dyDescent="0.25">
      <c r="B37" s="160" t="s">
        <v>939</v>
      </c>
      <c r="C37" s="160" t="s">
        <v>200</v>
      </c>
      <c r="D37" s="45" t="s">
        <v>940</v>
      </c>
      <c r="E37" s="45">
        <v>1.48</v>
      </c>
      <c r="F37" s="46">
        <f t="shared" si="0"/>
        <v>0.29599999999999999</v>
      </c>
      <c r="G37" s="47">
        <f t="shared" si="1"/>
        <v>81.678239999999988</v>
      </c>
      <c r="H37" s="47">
        <f t="shared" si="2"/>
        <v>858.78835199999992</v>
      </c>
    </row>
    <row r="38" spans="2:8" ht="37.5" customHeight="1" x14ac:dyDescent="0.25">
      <c r="B38" s="162" t="s">
        <v>941</v>
      </c>
      <c r="C38" s="160" t="s">
        <v>201</v>
      </c>
      <c r="D38" s="45" t="s">
        <v>942</v>
      </c>
      <c r="E38" s="45">
        <v>1.34</v>
      </c>
      <c r="F38" s="46">
        <f t="shared" si="0"/>
        <v>0.26800000000000002</v>
      </c>
      <c r="G38" s="47">
        <f t="shared" si="1"/>
        <v>73.951920000000001</v>
      </c>
      <c r="H38" s="47">
        <f t="shared" si="2"/>
        <v>777.55161600000008</v>
      </c>
    </row>
    <row r="39" spans="2:8" x14ac:dyDescent="0.25">
      <c r="B39" s="160" t="s">
        <v>943</v>
      </c>
      <c r="C39" s="160" t="s">
        <v>202</v>
      </c>
      <c r="D39" s="45" t="s">
        <v>944</v>
      </c>
      <c r="E39" s="45">
        <v>4.21</v>
      </c>
      <c r="F39" s="46">
        <f t="shared" si="0"/>
        <v>0.84200000000000008</v>
      </c>
      <c r="G39" s="47">
        <f t="shared" si="1"/>
        <v>232.34147999999999</v>
      </c>
      <c r="H39" s="47">
        <f t="shared" si="2"/>
        <v>2442.9047040000005</v>
      </c>
    </row>
    <row r="40" spans="2:8" x14ac:dyDescent="0.25">
      <c r="B40" s="41" t="s">
        <v>945</v>
      </c>
      <c r="C40" s="32" t="s">
        <v>203</v>
      </c>
      <c r="D40" s="36" t="s">
        <v>946</v>
      </c>
      <c r="E40" s="42">
        <v>0.13</v>
      </c>
      <c r="F40" s="39">
        <f t="shared" si="0"/>
        <v>2.6000000000000002E-2</v>
      </c>
      <c r="G40" s="40">
        <f t="shared" si="1"/>
        <v>7.1744399999999997</v>
      </c>
      <c r="H40" s="40">
        <f t="shared" si="2"/>
        <v>75.434112000000013</v>
      </c>
    </row>
    <row r="41" spans="2:8" x14ac:dyDescent="0.25">
      <c r="B41" s="160" t="s">
        <v>947</v>
      </c>
      <c r="C41" s="160" t="s">
        <v>204</v>
      </c>
      <c r="D41" s="45" t="s">
        <v>948</v>
      </c>
      <c r="E41" s="45">
        <v>0.02</v>
      </c>
      <c r="F41" s="46">
        <f t="shared" si="0"/>
        <v>4.0000000000000001E-3</v>
      </c>
      <c r="G41" s="47">
        <f t="shared" si="1"/>
        <v>1.1037599999999999</v>
      </c>
      <c r="H41" s="47">
        <f t="shared" si="2"/>
        <v>11.605247999999998</v>
      </c>
    </row>
    <row r="42" spans="2:8" x14ac:dyDescent="0.25">
      <c r="B42" s="160" t="s">
        <v>949</v>
      </c>
      <c r="C42" s="160" t="s">
        <v>205</v>
      </c>
      <c r="D42" s="45" t="s">
        <v>950</v>
      </c>
      <c r="E42" s="45">
        <v>0.02</v>
      </c>
      <c r="F42" s="46">
        <f t="shared" si="0"/>
        <v>4.0000000000000001E-3</v>
      </c>
      <c r="G42" s="47">
        <f t="shared" si="1"/>
        <v>1.1037599999999999</v>
      </c>
      <c r="H42" s="47">
        <f t="shared" si="2"/>
        <v>11.605247999999998</v>
      </c>
    </row>
    <row r="43" spans="2:8" ht="28.5" customHeight="1" x14ac:dyDescent="0.25">
      <c r="B43" s="162" t="s">
        <v>951</v>
      </c>
      <c r="C43" s="160" t="s">
        <v>206</v>
      </c>
      <c r="D43" s="45" t="s">
        <v>952</v>
      </c>
      <c r="E43" s="45">
        <v>31.03</v>
      </c>
      <c r="F43" s="46">
        <f t="shared" si="0"/>
        <v>6.2060000000000004</v>
      </c>
      <c r="G43" s="47">
        <f t="shared" si="1"/>
        <v>1712.4836399999999</v>
      </c>
      <c r="H43" s="47">
        <f t="shared" si="2"/>
        <v>18005.542271999999</v>
      </c>
    </row>
    <row r="44" spans="2:8" x14ac:dyDescent="0.25">
      <c r="B44" s="160" t="s">
        <v>953</v>
      </c>
      <c r="C44" s="160" t="s">
        <v>207</v>
      </c>
      <c r="D44" s="45" t="s">
        <v>954</v>
      </c>
      <c r="E44" s="45">
        <v>1.63</v>
      </c>
      <c r="F44" s="46">
        <f t="shared" si="0"/>
        <v>0.32600000000000001</v>
      </c>
      <c r="G44" s="47">
        <f t="shared" si="1"/>
        <v>89.956440000000001</v>
      </c>
      <c r="H44" s="47">
        <f t="shared" si="2"/>
        <v>945.82771200000002</v>
      </c>
    </row>
    <row r="45" spans="2:8" x14ac:dyDescent="0.25">
      <c r="B45" s="160" t="s">
        <v>955</v>
      </c>
      <c r="C45" s="160" t="s">
        <v>208</v>
      </c>
      <c r="D45" s="45" t="s">
        <v>956</v>
      </c>
      <c r="E45" s="45">
        <v>1.59</v>
      </c>
      <c r="F45" s="46">
        <f t="shared" si="0"/>
        <v>0.31800000000000006</v>
      </c>
      <c r="G45" s="47">
        <f t="shared" si="1"/>
        <v>87.748920000000012</v>
      </c>
      <c r="H45" s="47">
        <f t="shared" si="2"/>
        <v>922.61721600000033</v>
      </c>
    </row>
    <row r="46" spans="2:8" x14ac:dyDescent="0.25">
      <c r="B46" s="41" t="s">
        <v>957</v>
      </c>
      <c r="C46" s="32" t="s">
        <v>209</v>
      </c>
      <c r="D46" s="36" t="s">
        <v>903</v>
      </c>
      <c r="E46" s="42">
        <v>0.51</v>
      </c>
      <c r="F46" s="39">
        <f t="shared" si="0"/>
        <v>0.10200000000000001</v>
      </c>
      <c r="G46" s="40">
        <f t="shared" si="1"/>
        <v>28.145879999999998</v>
      </c>
      <c r="H46" s="40">
        <f t="shared" si="2"/>
        <v>295.93382400000002</v>
      </c>
    </row>
    <row r="47" spans="2:8" x14ac:dyDescent="0.25">
      <c r="B47" s="41" t="s">
        <v>958</v>
      </c>
      <c r="C47" s="32" t="s">
        <v>210</v>
      </c>
      <c r="D47" s="36" t="s">
        <v>959</v>
      </c>
      <c r="E47" s="42">
        <v>22.35</v>
      </c>
      <c r="F47" s="39">
        <f t="shared" si="0"/>
        <v>4.4700000000000006</v>
      </c>
      <c r="G47" s="40">
        <f t="shared" si="1"/>
        <v>1233.4518</v>
      </c>
      <c r="H47" s="40">
        <f t="shared" si="2"/>
        <v>12968.864640000002</v>
      </c>
    </row>
    <row r="48" spans="2:8" x14ac:dyDescent="0.25">
      <c r="B48" s="41" t="s">
        <v>958</v>
      </c>
      <c r="C48" s="32" t="s">
        <v>211</v>
      </c>
      <c r="D48" s="36" t="s">
        <v>960</v>
      </c>
      <c r="E48" s="42">
        <v>3.72</v>
      </c>
      <c r="F48" s="39">
        <f t="shared" si="0"/>
        <v>0.74400000000000011</v>
      </c>
      <c r="G48" s="40">
        <f t="shared" si="1"/>
        <v>205.29936000000004</v>
      </c>
      <c r="H48" s="40">
        <f t="shared" si="2"/>
        <v>2158.5761280000002</v>
      </c>
    </row>
    <row r="49" spans="2:9" x14ac:dyDescent="0.25">
      <c r="B49" s="160" t="s">
        <v>212</v>
      </c>
      <c r="C49" s="160" t="s">
        <v>213</v>
      </c>
      <c r="D49" s="45" t="s">
        <v>961</v>
      </c>
      <c r="E49" s="45">
        <v>50.43</v>
      </c>
      <c r="F49" s="46">
        <f t="shared" si="0"/>
        <v>10.086</v>
      </c>
      <c r="G49" s="47">
        <f t="shared" si="1"/>
        <v>2783.1308399999994</v>
      </c>
      <c r="H49" s="47">
        <f t="shared" si="2"/>
        <v>29262.632832000003</v>
      </c>
    </row>
    <row r="50" spans="2:9" x14ac:dyDescent="0.25">
      <c r="B50" s="160" t="s">
        <v>214</v>
      </c>
      <c r="C50" s="160" t="s">
        <v>215</v>
      </c>
      <c r="D50" s="45"/>
      <c r="E50" s="45">
        <v>22</v>
      </c>
      <c r="F50" s="46">
        <f t="shared" si="0"/>
        <v>4.4000000000000004</v>
      </c>
      <c r="G50" s="47">
        <f t="shared" si="1"/>
        <v>1214.136</v>
      </c>
      <c r="H50" s="47">
        <f t="shared" si="2"/>
        <v>12765.772799999999</v>
      </c>
      <c r="I50" t="s">
        <v>238</v>
      </c>
    </row>
    <row r="51" spans="2:9" x14ac:dyDescent="0.25">
      <c r="B51" s="41" t="s">
        <v>229</v>
      </c>
      <c r="C51" s="41" t="s">
        <v>216</v>
      </c>
      <c r="D51" s="36"/>
      <c r="E51" s="36">
        <v>4.6500000000000004</v>
      </c>
      <c r="F51" s="43">
        <f t="shared" si="0"/>
        <v>0.93000000000000016</v>
      </c>
      <c r="G51" s="40">
        <f t="shared" si="1"/>
        <v>256.62420000000003</v>
      </c>
      <c r="H51" s="40">
        <f t="shared" si="2"/>
        <v>2698.2201600000008</v>
      </c>
    </row>
    <row r="52" spans="2:9" x14ac:dyDescent="0.25">
      <c r="B52" s="160" t="s">
        <v>217</v>
      </c>
      <c r="C52" s="160"/>
      <c r="D52" s="45"/>
      <c r="E52" s="45">
        <v>31.5</v>
      </c>
      <c r="F52" s="46">
        <f t="shared" si="0"/>
        <v>6.3000000000000007</v>
      </c>
      <c r="G52" s="47">
        <f t="shared" si="1"/>
        <v>1738.422</v>
      </c>
      <c r="H52" s="47">
        <f t="shared" si="2"/>
        <v>18278.265599999999</v>
      </c>
    </row>
    <row r="53" spans="2:9" x14ac:dyDescent="0.25">
      <c r="B53" s="41" t="s">
        <v>962</v>
      </c>
      <c r="C53" s="41" t="s">
        <v>963</v>
      </c>
      <c r="D53" s="36"/>
      <c r="E53" s="36">
        <v>131.38999999999999</v>
      </c>
      <c r="F53" s="43">
        <f t="shared" si="0"/>
        <v>26.277999999999999</v>
      </c>
      <c r="G53" s="40">
        <f t="shared" si="1"/>
        <v>7251.1513199999981</v>
      </c>
      <c r="H53" s="40">
        <f t="shared" si="2"/>
        <v>76240.676735999994</v>
      </c>
    </row>
    <row r="54" spans="2:9" x14ac:dyDescent="0.25">
      <c r="B54" s="41" t="s">
        <v>964</v>
      </c>
      <c r="C54" s="41"/>
      <c r="D54" s="36" t="s">
        <v>965</v>
      </c>
      <c r="E54" s="36">
        <v>5.25</v>
      </c>
      <c r="F54" s="43">
        <f t="shared" si="0"/>
        <v>1.05</v>
      </c>
      <c r="G54" s="40">
        <f t="shared" si="1"/>
        <v>289.73700000000002</v>
      </c>
      <c r="H54" s="40">
        <f t="shared" si="2"/>
        <v>3046.3775999999998</v>
      </c>
    </row>
    <row r="55" spans="2:9" x14ac:dyDescent="0.25">
      <c r="B55" s="163" t="s">
        <v>966</v>
      </c>
      <c r="C55" s="41"/>
      <c r="D55" s="36" t="s">
        <v>967</v>
      </c>
      <c r="E55" s="36">
        <v>35</v>
      </c>
      <c r="F55" s="43">
        <f t="shared" si="0"/>
        <v>7</v>
      </c>
      <c r="G55" s="40">
        <f t="shared" si="1"/>
        <v>1931.58</v>
      </c>
      <c r="H55" s="40">
        <f t="shared" si="2"/>
        <v>20309.183999999997</v>
      </c>
    </row>
    <row r="56" spans="2:9" x14ac:dyDescent="0.25">
      <c r="B56" s="163" t="s">
        <v>968</v>
      </c>
      <c r="C56" s="41"/>
      <c r="D56" s="36" t="s">
        <v>969</v>
      </c>
      <c r="E56" s="36">
        <v>0.99470000000000003</v>
      </c>
      <c r="F56" s="43">
        <f t="shared" si="0"/>
        <v>0.19894000000000001</v>
      </c>
      <c r="G56" s="40">
        <f t="shared" si="1"/>
        <v>54.895503599999998</v>
      </c>
      <c r="H56" s="40">
        <f t="shared" si="2"/>
        <v>577.18700927999998</v>
      </c>
    </row>
    <row r="57" spans="2:9" x14ac:dyDescent="0.25">
      <c r="B57" s="163" t="s">
        <v>968</v>
      </c>
      <c r="C57" s="41"/>
      <c r="D57" s="36" t="s">
        <v>970</v>
      </c>
      <c r="E57" s="36">
        <v>3.4068999999999998</v>
      </c>
      <c r="F57" s="43">
        <f t="shared" si="0"/>
        <v>0.68137999999999999</v>
      </c>
      <c r="G57" s="40">
        <f t="shared" si="1"/>
        <v>188.01999719999998</v>
      </c>
      <c r="H57" s="40">
        <f t="shared" si="2"/>
        <v>1976.8959705599998</v>
      </c>
    </row>
    <row r="58" spans="2:9" x14ac:dyDescent="0.25">
      <c r="B58" s="163" t="s">
        <v>968</v>
      </c>
      <c r="C58" s="41"/>
      <c r="D58" s="36" t="s">
        <v>971</v>
      </c>
      <c r="E58" s="36">
        <v>3.8439999999999999</v>
      </c>
      <c r="F58" s="43">
        <f t="shared" si="0"/>
        <v>0.76880000000000004</v>
      </c>
      <c r="G58" s="40">
        <f t="shared" si="1"/>
        <v>212.14267200000003</v>
      </c>
      <c r="H58" s="40">
        <f t="shared" si="2"/>
        <v>2230.5286656000003</v>
      </c>
    </row>
    <row r="59" spans="2:9" x14ac:dyDescent="0.25">
      <c r="B59" s="163" t="s">
        <v>972</v>
      </c>
      <c r="C59" s="41"/>
      <c r="D59" s="36" t="s">
        <v>973</v>
      </c>
      <c r="E59" s="36">
        <v>5.2149999999999999</v>
      </c>
      <c r="F59" s="43">
        <f t="shared" si="0"/>
        <v>1.0429999999999999</v>
      </c>
      <c r="G59" s="40">
        <f t="shared" si="1"/>
        <v>287.80541999999997</v>
      </c>
      <c r="H59" s="40">
        <f t="shared" si="2"/>
        <v>3026.0684159999996</v>
      </c>
    </row>
    <row r="60" spans="2:9" x14ac:dyDescent="0.25">
      <c r="B60" s="163" t="s">
        <v>974</v>
      </c>
      <c r="C60" s="41"/>
      <c r="D60" s="36" t="s">
        <v>975</v>
      </c>
      <c r="E60" s="36">
        <v>9.66</v>
      </c>
      <c r="F60" s="43">
        <f t="shared" si="0"/>
        <v>1.9320000000000002</v>
      </c>
      <c r="G60" s="40">
        <f t="shared" si="1"/>
        <v>533.11608000000001</v>
      </c>
      <c r="H60" s="40">
        <f t="shared" si="2"/>
        <v>5605.3347840000006</v>
      </c>
    </row>
    <row r="61" spans="2:9" x14ac:dyDescent="0.25">
      <c r="B61" s="163" t="s">
        <v>976</v>
      </c>
      <c r="C61" s="41"/>
      <c r="D61" s="36" t="s">
        <v>977</v>
      </c>
      <c r="E61" s="36">
        <v>0.84</v>
      </c>
      <c r="F61" s="43">
        <f t="shared" si="0"/>
        <v>0.16800000000000001</v>
      </c>
      <c r="G61" s="40">
        <f t="shared" si="1"/>
        <v>46.357920000000007</v>
      </c>
      <c r="H61" s="40">
        <f t="shared" si="2"/>
        <v>487.42041600000005</v>
      </c>
    </row>
    <row r="62" spans="2:9" x14ac:dyDescent="0.25">
      <c r="B62" s="163" t="s">
        <v>978</v>
      </c>
      <c r="C62" s="41"/>
      <c r="D62" s="36" t="s">
        <v>979</v>
      </c>
      <c r="E62" s="36">
        <v>1.68</v>
      </c>
      <c r="F62" s="43">
        <f t="shared" si="0"/>
        <v>0.33600000000000002</v>
      </c>
      <c r="G62" s="40">
        <f t="shared" si="1"/>
        <v>92.715840000000014</v>
      </c>
      <c r="H62" s="40">
        <f t="shared" si="2"/>
        <v>974.84083200000009</v>
      </c>
    </row>
    <row r="63" spans="2:9" x14ac:dyDescent="0.25">
      <c r="B63" s="163" t="s">
        <v>980</v>
      </c>
      <c r="C63" s="41"/>
      <c r="D63" s="36" t="s">
        <v>981</v>
      </c>
      <c r="E63" s="36">
        <v>12.77</v>
      </c>
      <c r="F63" s="43">
        <f t="shared" si="0"/>
        <v>2.5540000000000003</v>
      </c>
      <c r="G63" s="40">
        <f t="shared" si="1"/>
        <v>704.75076000000013</v>
      </c>
      <c r="H63" s="40">
        <f t="shared" si="2"/>
        <v>7409.9508480000004</v>
      </c>
    </row>
    <row r="64" spans="2:9" x14ac:dyDescent="0.25">
      <c r="B64" s="163" t="s">
        <v>982</v>
      </c>
      <c r="C64" s="41"/>
      <c r="D64" s="36" t="s">
        <v>983</v>
      </c>
      <c r="E64" s="36">
        <v>2.8</v>
      </c>
      <c r="F64" s="43">
        <f t="shared" si="0"/>
        <v>0.55999999999999994</v>
      </c>
      <c r="G64" s="40">
        <f t="shared" si="1"/>
        <v>154.52639999999997</v>
      </c>
      <c r="H64" s="40">
        <f t="shared" si="2"/>
        <v>1624.7347199999997</v>
      </c>
    </row>
    <row r="65" spans="2:8" x14ac:dyDescent="0.25">
      <c r="B65" s="163" t="s">
        <v>984</v>
      </c>
      <c r="C65" s="41"/>
      <c r="D65" s="164" t="s">
        <v>985</v>
      </c>
      <c r="E65" s="165">
        <v>1.64</v>
      </c>
      <c r="F65" s="166">
        <f t="shared" si="0"/>
        <v>0.32800000000000001</v>
      </c>
      <c r="G65" s="167">
        <f t="shared" si="1"/>
        <v>90.508320000000012</v>
      </c>
      <c r="H65" s="167">
        <f t="shared" si="2"/>
        <v>951.63033600000017</v>
      </c>
    </row>
    <row r="66" spans="2:8" x14ac:dyDescent="0.25">
      <c r="B66" s="163" t="s">
        <v>986</v>
      </c>
      <c r="C66" s="41"/>
      <c r="D66" s="164" t="s">
        <v>987</v>
      </c>
      <c r="E66" s="165">
        <v>7</v>
      </c>
      <c r="F66" s="166">
        <f t="shared" si="0"/>
        <v>1.4000000000000001</v>
      </c>
      <c r="G66" s="167">
        <f t="shared" si="1"/>
        <v>386.31600000000009</v>
      </c>
      <c r="H66" s="167">
        <f t="shared" si="2"/>
        <v>4061.8368</v>
      </c>
    </row>
    <row r="67" spans="2:8" x14ac:dyDescent="0.25">
      <c r="B67" s="163" t="s">
        <v>986</v>
      </c>
      <c r="C67" s="41"/>
      <c r="D67" s="164" t="s">
        <v>988</v>
      </c>
      <c r="E67" s="165">
        <v>3.21</v>
      </c>
      <c r="F67" s="166">
        <f t="shared" si="0"/>
        <v>0.64200000000000002</v>
      </c>
      <c r="G67" s="167">
        <f t="shared" si="1"/>
        <v>177.15347999999997</v>
      </c>
      <c r="H67" s="167">
        <f t="shared" si="2"/>
        <v>1862.642304</v>
      </c>
    </row>
    <row r="68" spans="2:8" x14ac:dyDescent="0.25">
      <c r="B68" s="163" t="s">
        <v>986</v>
      </c>
      <c r="C68" s="41"/>
      <c r="D68" s="164" t="s">
        <v>989</v>
      </c>
      <c r="E68" s="165">
        <v>3.65</v>
      </c>
      <c r="F68" s="166">
        <f t="shared" si="0"/>
        <v>0.73</v>
      </c>
      <c r="G68" s="167">
        <f t="shared" si="1"/>
        <v>201.43620000000001</v>
      </c>
      <c r="H68" s="167">
        <f t="shared" si="2"/>
        <v>2117.9577599999998</v>
      </c>
    </row>
    <row r="69" spans="2:8" x14ac:dyDescent="0.25">
      <c r="B69" s="163" t="s">
        <v>986</v>
      </c>
      <c r="C69" s="41"/>
      <c r="D69" s="164" t="s">
        <v>990</v>
      </c>
      <c r="E69" s="165">
        <v>1.407</v>
      </c>
      <c r="F69" s="166">
        <f t="shared" si="0"/>
        <v>0.28140000000000004</v>
      </c>
      <c r="G69" s="167">
        <f t="shared" si="1"/>
        <v>77.64951600000002</v>
      </c>
      <c r="H69" s="167">
        <f t="shared" si="2"/>
        <v>816.42919680000011</v>
      </c>
    </row>
    <row r="70" spans="2:8" x14ac:dyDescent="0.25">
      <c r="B70" s="163" t="s">
        <v>986</v>
      </c>
      <c r="C70" s="41"/>
      <c r="D70" s="164" t="s">
        <v>990</v>
      </c>
      <c r="E70" s="165">
        <v>1.407</v>
      </c>
      <c r="F70" s="166">
        <f t="shared" si="0"/>
        <v>0.28140000000000004</v>
      </c>
      <c r="G70" s="167">
        <f t="shared" si="1"/>
        <v>77.64951600000002</v>
      </c>
      <c r="H70" s="167">
        <f t="shared" si="2"/>
        <v>816.42919680000011</v>
      </c>
    </row>
    <row r="71" spans="2:8" x14ac:dyDescent="0.25">
      <c r="B71" s="163" t="s">
        <v>991</v>
      </c>
      <c r="C71" s="41"/>
      <c r="D71" s="164" t="s">
        <v>992</v>
      </c>
      <c r="E71" s="165">
        <v>3.7</v>
      </c>
      <c r="F71" s="166">
        <f t="shared" ref="F71:F134" si="3">E71*0.2</f>
        <v>0.7400000000000001</v>
      </c>
      <c r="G71" s="167">
        <f t="shared" si="1"/>
        <v>204.19560000000001</v>
      </c>
      <c r="H71" s="167">
        <f t="shared" si="2"/>
        <v>2146.9708800000003</v>
      </c>
    </row>
    <row r="72" spans="2:8" x14ac:dyDescent="0.25">
      <c r="B72" s="163" t="s">
        <v>993</v>
      </c>
      <c r="C72" s="41"/>
      <c r="D72" s="164" t="s">
        <v>987</v>
      </c>
      <c r="E72" s="165">
        <v>7</v>
      </c>
      <c r="F72" s="166">
        <f t="shared" si="3"/>
        <v>1.4000000000000001</v>
      </c>
      <c r="G72" s="167">
        <f t="shared" ref="G72:G135" si="4">F72*$F$4*$H$4*$E$4*365</f>
        <v>386.31600000000009</v>
      </c>
      <c r="H72" s="167">
        <f t="shared" ref="H72:H135" si="5">F72*$G$4*$H$4*$E$4*365</f>
        <v>4061.8368</v>
      </c>
    </row>
    <row r="73" spans="2:8" x14ac:dyDescent="0.25">
      <c r="B73" s="163" t="s">
        <v>991</v>
      </c>
      <c r="C73" s="41"/>
      <c r="D73" s="164" t="s">
        <v>994</v>
      </c>
      <c r="E73" s="165">
        <v>4.84</v>
      </c>
      <c r="F73" s="166">
        <f t="shared" si="3"/>
        <v>0.96799999999999997</v>
      </c>
      <c r="G73" s="167">
        <f t="shared" si="4"/>
        <v>267.10991999999999</v>
      </c>
      <c r="H73" s="167">
        <f t="shared" si="5"/>
        <v>2808.4700159999998</v>
      </c>
    </row>
    <row r="74" spans="2:8" x14ac:dyDescent="0.25">
      <c r="B74" s="343" t="s">
        <v>995</v>
      </c>
      <c r="C74" s="41"/>
      <c r="D74" s="164" t="s">
        <v>897</v>
      </c>
      <c r="E74" s="165">
        <v>13.65</v>
      </c>
      <c r="F74" s="166">
        <f t="shared" si="3"/>
        <v>2.7300000000000004</v>
      </c>
      <c r="G74" s="167">
        <f t="shared" si="4"/>
        <v>753.31620000000009</v>
      </c>
      <c r="H74" s="167">
        <f t="shared" si="5"/>
        <v>7920.5817600000009</v>
      </c>
    </row>
    <row r="75" spans="2:8" x14ac:dyDescent="0.25">
      <c r="B75" s="343"/>
      <c r="C75" s="41"/>
      <c r="D75" s="164" t="s">
        <v>996</v>
      </c>
      <c r="E75" s="165">
        <v>15.05</v>
      </c>
      <c r="F75" s="166">
        <f t="shared" si="3"/>
        <v>3.0100000000000002</v>
      </c>
      <c r="G75" s="167">
        <f t="shared" si="4"/>
        <v>830.57940000000019</v>
      </c>
      <c r="H75" s="167">
        <f t="shared" si="5"/>
        <v>8732.9491199999993</v>
      </c>
    </row>
    <row r="76" spans="2:8" x14ac:dyDescent="0.25">
      <c r="B76" s="343"/>
      <c r="C76" s="41"/>
      <c r="D76" s="164" t="s">
        <v>996</v>
      </c>
      <c r="E76" s="165">
        <v>15.05</v>
      </c>
      <c r="F76" s="166">
        <f t="shared" si="3"/>
        <v>3.0100000000000002</v>
      </c>
      <c r="G76" s="167">
        <f t="shared" si="4"/>
        <v>830.57940000000019</v>
      </c>
      <c r="H76" s="167">
        <f t="shared" si="5"/>
        <v>8732.9491199999993</v>
      </c>
    </row>
    <row r="77" spans="2:8" x14ac:dyDescent="0.25">
      <c r="B77" s="163" t="s">
        <v>997</v>
      </c>
      <c r="C77" s="41"/>
      <c r="D77" s="164" t="s">
        <v>998</v>
      </c>
      <c r="E77" s="165">
        <v>2.97</v>
      </c>
      <c r="F77" s="166">
        <f t="shared" si="3"/>
        <v>0.59400000000000008</v>
      </c>
      <c r="G77" s="167">
        <f t="shared" si="4"/>
        <v>163.90836000000002</v>
      </c>
      <c r="H77" s="167">
        <f t="shared" si="5"/>
        <v>1723.3793280000004</v>
      </c>
    </row>
    <row r="78" spans="2:8" x14ac:dyDescent="0.25">
      <c r="B78" s="163" t="s">
        <v>999</v>
      </c>
      <c r="C78" s="41"/>
      <c r="D78" s="164" t="s">
        <v>922</v>
      </c>
      <c r="E78" s="165">
        <v>3.5000000000000003E-2</v>
      </c>
      <c r="F78" s="166">
        <f t="shared" si="3"/>
        <v>7.000000000000001E-3</v>
      </c>
      <c r="G78" s="167">
        <f t="shared" si="4"/>
        <v>1.9315800000000003</v>
      </c>
      <c r="H78" s="167">
        <f t="shared" si="5"/>
        <v>20.309184000000005</v>
      </c>
    </row>
    <row r="79" spans="2:8" x14ac:dyDescent="0.25">
      <c r="B79" s="163" t="s">
        <v>1000</v>
      </c>
      <c r="C79" s="41"/>
      <c r="D79" s="164" t="s">
        <v>1001</v>
      </c>
      <c r="E79" s="165">
        <v>0.87150000000000005</v>
      </c>
      <c r="F79" s="166">
        <f t="shared" si="3"/>
        <v>0.17430000000000001</v>
      </c>
      <c r="G79" s="167">
        <f t="shared" si="4"/>
        <v>48.096342</v>
      </c>
      <c r="H79" s="167">
        <f t="shared" si="5"/>
        <v>505.6986816000001</v>
      </c>
    </row>
    <row r="80" spans="2:8" x14ac:dyDescent="0.25">
      <c r="B80" s="163" t="s">
        <v>999</v>
      </c>
      <c r="C80" s="41"/>
      <c r="D80" s="164" t="s">
        <v>922</v>
      </c>
      <c r="E80" s="165">
        <v>3.5000000000000003E-2</v>
      </c>
      <c r="F80" s="166">
        <f t="shared" si="3"/>
        <v>7.000000000000001E-3</v>
      </c>
      <c r="G80" s="167">
        <f t="shared" si="4"/>
        <v>1.9315800000000003</v>
      </c>
      <c r="H80" s="167">
        <f t="shared" si="5"/>
        <v>20.309184000000005</v>
      </c>
    </row>
    <row r="81" spans="2:8" x14ac:dyDescent="0.25">
      <c r="B81" s="163" t="s">
        <v>1002</v>
      </c>
      <c r="C81" s="41"/>
      <c r="D81" s="164" t="s">
        <v>1003</v>
      </c>
      <c r="E81" s="165">
        <v>3.25</v>
      </c>
      <c r="F81" s="166">
        <f t="shared" si="3"/>
        <v>0.65</v>
      </c>
      <c r="G81" s="167">
        <f t="shared" si="4"/>
        <v>179.36099999999999</v>
      </c>
      <c r="H81" s="167">
        <f t="shared" si="5"/>
        <v>1885.8527999999999</v>
      </c>
    </row>
    <row r="82" spans="2:8" x14ac:dyDescent="0.25">
      <c r="B82" s="163" t="s">
        <v>1004</v>
      </c>
      <c r="C82" s="41"/>
      <c r="D82" s="164" t="s">
        <v>1005</v>
      </c>
      <c r="E82" s="165">
        <v>1.96</v>
      </c>
      <c r="F82" s="166">
        <f t="shared" si="3"/>
        <v>0.39200000000000002</v>
      </c>
      <c r="G82" s="167">
        <f t="shared" si="4"/>
        <v>108.16848</v>
      </c>
      <c r="H82" s="167">
        <f t="shared" si="5"/>
        <v>1137.3143039999998</v>
      </c>
    </row>
    <row r="83" spans="2:8" ht="30" x14ac:dyDescent="0.25">
      <c r="B83" s="163" t="s">
        <v>1006</v>
      </c>
      <c r="C83" s="41"/>
      <c r="D83" s="164" t="s">
        <v>1007</v>
      </c>
      <c r="E83" s="165">
        <v>8.0500000000000007</v>
      </c>
      <c r="F83" s="166">
        <f t="shared" si="3"/>
        <v>1.6100000000000003</v>
      </c>
      <c r="G83" s="167">
        <f t="shared" si="4"/>
        <v>444.26339999999999</v>
      </c>
      <c r="H83" s="167">
        <f t="shared" si="5"/>
        <v>4671.1123200000011</v>
      </c>
    </row>
    <row r="84" spans="2:8" x14ac:dyDescent="0.25">
      <c r="B84" s="163" t="s">
        <v>1008</v>
      </c>
      <c r="C84" s="41"/>
      <c r="D84" s="164" t="s">
        <v>1009</v>
      </c>
      <c r="E84" s="165">
        <v>0.35</v>
      </c>
      <c r="F84" s="166">
        <f t="shared" si="3"/>
        <v>6.9999999999999993E-2</v>
      </c>
      <c r="G84" s="167">
        <f t="shared" si="4"/>
        <v>19.315799999999996</v>
      </c>
      <c r="H84" s="167">
        <f t="shared" si="5"/>
        <v>203.09183999999996</v>
      </c>
    </row>
    <row r="85" spans="2:8" x14ac:dyDescent="0.25">
      <c r="B85" s="163" t="s">
        <v>1010</v>
      </c>
      <c r="C85" s="41"/>
      <c r="D85" s="164" t="s">
        <v>935</v>
      </c>
      <c r="E85" s="165">
        <v>1.35</v>
      </c>
      <c r="F85" s="166">
        <f t="shared" si="3"/>
        <v>0.27</v>
      </c>
      <c r="G85" s="167">
        <f t="shared" si="4"/>
        <v>74.503800000000012</v>
      </c>
      <c r="H85" s="167">
        <f t="shared" si="5"/>
        <v>783.35424</v>
      </c>
    </row>
    <row r="86" spans="2:8" x14ac:dyDescent="0.25">
      <c r="B86" s="163" t="s">
        <v>1011</v>
      </c>
      <c r="C86" s="41"/>
      <c r="D86" s="164" t="s">
        <v>1012</v>
      </c>
      <c r="E86" s="165">
        <v>2.35</v>
      </c>
      <c r="F86" s="166">
        <f t="shared" si="3"/>
        <v>0.47000000000000003</v>
      </c>
      <c r="G86" s="167">
        <f t="shared" si="4"/>
        <v>129.6918</v>
      </c>
      <c r="H86" s="167">
        <f t="shared" si="5"/>
        <v>1363.61664</v>
      </c>
    </row>
    <row r="87" spans="2:8" x14ac:dyDescent="0.25">
      <c r="B87" s="343" t="s">
        <v>1013</v>
      </c>
      <c r="C87" s="41"/>
      <c r="D87" s="164" t="s">
        <v>1014</v>
      </c>
      <c r="E87" s="165">
        <v>3.35</v>
      </c>
      <c r="F87" s="166">
        <f t="shared" si="3"/>
        <v>0.67</v>
      </c>
      <c r="G87" s="167">
        <f t="shared" si="4"/>
        <v>184.87980000000002</v>
      </c>
      <c r="H87" s="167">
        <f t="shared" si="5"/>
        <v>1943.8790399999998</v>
      </c>
    </row>
    <row r="88" spans="2:8" x14ac:dyDescent="0.25">
      <c r="B88" s="343"/>
      <c r="C88" s="41"/>
      <c r="D88" s="164" t="s">
        <v>1015</v>
      </c>
      <c r="E88" s="165">
        <v>4.3499999999999996</v>
      </c>
      <c r="F88" s="166">
        <f t="shared" si="3"/>
        <v>0.87</v>
      </c>
      <c r="G88" s="167">
        <f t="shared" si="4"/>
        <v>240.06779999999998</v>
      </c>
      <c r="H88" s="167">
        <f t="shared" si="5"/>
        <v>2524.1414400000003</v>
      </c>
    </row>
    <row r="89" spans="2:8" x14ac:dyDescent="0.25">
      <c r="B89" s="343"/>
      <c r="C89" s="41"/>
      <c r="D89" s="164" t="s">
        <v>1014</v>
      </c>
      <c r="E89" s="165">
        <v>5.35</v>
      </c>
      <c r="F89" s="166">
        <f t="shared" si="3"/>
        <v>1.07</v>
      </c>
      <c r="G89" s="167">
        <f t="shared" si="4"/>
        <v>295.25579999999997</v>
      </c>
      <c r="H89" s="167">
        <f t="shared" si="5"/>
        <v>3104.4038400000004</v>
      </c>
    </row>
    <row r="90" spans="2:8" x14ac:dyDescent="0.25">
      <c r="B90" s="163" t="s">
        <v>1013</v>
      </c>
      <c r="C90" s="41"/>
      <c r="D90" s="164" t="s">
        <v>1016</v>
      </c>
      <c r="E90" s="165">
        <v>6.35</v>
      </c>
      <c r="F90" s="166">
        <f t="shared" si="3"/>
        <v>1.27</v>
      </c>
      <c r="G90" s="167">
        <f t="shared" si="4"/>
        <v>350.44380000000001</v>
      </c>
      <c r="H90" s="167">
        <f t="shared" si="5"/>
        <v>3684.6662399999996</v>
      </c>
    </row>
    <row r="91" spans="2:8" x14ac:dyDescent="0.25">
      <c r="B91" s="163" t="s">
        <v>1017</v>
      </c>
      <c r="C91" s="41"/>
      <c r="D91" s="164" t="s">
        <v>1018</v>
      </c>
      <c r="E91" s="165">
        <v>7.35</v>
      </c>
      <c r="F91" s="166">
        <f t="shared" si="3"/>
        <v>1.47</v>
      </c>
      <c r="G91" s="167">
        <f t="shared" si="4"/>
        <v>405.63179999999994</v>
      </c>
      <c r="H91" s="167">
        <f t="shared" si="5"/>
        <v>4264.9286400000001</v>
      </c>
    </row>
    <row r="92" spans="2:8" x14ac:dyDescent="0.25">
      <c r="B92" s="163" t="s">
        <v>1019</v>
      </c>
      <c r="C92" s="41"/>
      <c r="D92" s="164" t="s">
        <v>903</v>
      </c>
      <c r="E92" s="165">
        <v>8.35</v>
      </c>
      <c r="F92" s="166">
        <f t="shared" si="3"/>
        <v>1.67</v>
      </c>
      <c r="G92" s="167">
        <f t="shared" si="4"/>
        <v>460.81979999999993</v>
      </c>
      <c r="H92" s="167">
        <f t="shared" si="5"/>
        <v>4845.1910399999997</v>
      </c>
    </row>
    <row r="93" spans="2:8" x14ac:dyDescent="0.25">
      <c r="B93" s="163" t="s">
        <v>1020</v>
      </c>
      <c r="C93" s="41"/>
      <c r="D93" s="164" t="s">
        <v>944</v>
      </c>
      <c r="E93" s="165">
        <v>9.35</v>
      </c>
      <c r="F93" s="166">
        <f t="shared" si="3"/>
        <v>1.87</v>
      </c>
      <c r="G93" s="167">
        <f t="shared" si="4"/>
        <v>516.00780000000009</v>
      </c>
      <c r="H93" s="167">
        <f t="shared" si="5"/>
        <v>5425.4534400000002</v>
      </c>
    </row>
    <row r="94" spans="2:8" x14ac:dyDescent="0.25">
      <c r="B94" s="163" t="s">
        <v>1021</v>
      </c>
      <c r="C94" s="41"/>
      <c r="D94" s="164" t="s">
        <v>1022</v>
      </c>
      <c r="E94" s="165">
        <v>10.35</v>
      </c>
      <c r="F94" s="166">
        <f t="shared" si="3"/>
        <v>2.0699999999999998</v>
      </c>
      <c r="G94" s="167">
        <f t="shared" si="4"/>
        <v>571.19579999999985</v>
      </c>
      <c r="H94" s="167">
        <f t="shared" si="5"/>
        <v>6005.7158399999998</v>
      </c>
    </row>
    <row r="95" spans="2:8" x14ac:dyDescent="0.25">
      <c r="B95" s="163" t="s">
        <v>1023</v>
      </c>
      <c r="C95" s="41"/>
      <c r="D95" s="164" t="s">
        <v>1009</v>
      </c>
      <c r="E95" s="165">
        <v>11.35</v>
      </c>
      <c r="F95" s="166">
        <f t="shared" si="3"/>
        <v>2.27</v>
      </c>
      <c r="G95" s="167">
        <f t="shared" si="4"/>
        <v>626.38380000000006</v>
      </c>
      <c r="H95" s="167">
        <f t="shared" si="5"/>
        <v>6585.9782399999995</v>
      </c>
    </row>
    <row r="96" spans="2:8" x14ac:dyDescent="0.25">
      <c r="B96" s="163" t="s">
        <v>1024</v>
      </c>
      <c r="C96" s="41"/>
      <c r="D96" s="164" t="s">
        <v>905</v>
      </c>
      <c r="E96" s="165">
        <v>12.35</v>
      </c>
      <c r="F96" s="166">
        <f t="shared" si="3"/>
        <v>2.4700000000000002</v>
      </c>
      <c r="G96" s="167">
        <f t="shared" si="4"/>
        <v>681.57179999999994</v>
      </c>
      <c r="H96" s="167">
        <f t="shared" si="5"/>
        <v>7166.24064</v>
      </c>
    </row>
    <row r="97" spans="2:8" x14ac:dyDescent="0.25">
      <c r="B97" s="163" t="s">
        <v>1025</v>
      </c>
      <c r="C97" s="41"/>
      <c r="D97" s="164" t="s">
        <v>903</v>
      </c>
      <c r="E97" s="165">
        <v>13.35</v>
      </c>
      <c r="F97" s="166">
        <f t="shared" si="3"/>
        <v>2.67</v>
      </c>
      <c r="G97" s="167">
        <f t="shared" si="4"/>
        <v>736.75980000000004</v>
      </c>
      <c r="H97" s="167">
        <f t="shared" si="5"/>
        <v>7746.5030399999996</v>
      </c>
    </row>
    <row r="98" spans="2:8" x14ac:dyDescent="0.25">
      <c r="B98" s="163" t="s">
        <v>1026</v>
      </c>
      <c r="C98" s="41"/>
      <c r="D98" s="164" t="s">
        <v>1027</v>
      </c>
      <c r="E98" s="165">
        <v>14.35</v>
      </c>
      <c r="F98" s="166">
        <f t="shared" si="3"/>
        <v>2.87</v>
      </c>
      <c r="G98" s="167">
        <f t="shared" si="4"/>
        <v>791.94779999999992</v>
      </c>
      <c r="H98" s="167">
        <f t="shared" si="5"/>
        <v>8326.765440000001</v>
      </c>
    </row>
    <row r="99" spans="2:8" x14ac:dyDescent="0.25">
      <c r="B99" s="163" t="s">
        <v>1028</v>
      </c>
      <c r="C99" s="41"/>
      <c r="D99" s="164" t="s">
        <v>1029</v>
      </c>
      <c r="E99" s="165">
        <v>15.35</v>
      </c>
      <c r="F99" s="166">
        <f t="shared" si="3"/>
        <v>3.0700000000000003</v>
      </c>
      <c r="G99" s="167">
        <f t="shared" si="4"/>
        <v>847.13580000000002</v>
      </c>
      <c r="H99" s="167">
        <f t="shared" si="5"/>
        <v>8907.0278400000007</v>
      </c>
    </row>
    <row r="100" spans="2:8" x14ac:dyDescent="0.25">
      <c r="B100" s="163" t="s">
        <v>1030</v>
      </c>
      <c r="C100" s="41"/>
      <c r="D100" s="164" t="s">
        <v>1031</v>
      </c>
      <c r="E100" s="165">
        <v>16.350000000000001</v>
      </c>
      <c r="F100" s="166">
        <f t="shared" si="3"/>
        <v>3.2700000000000005</v>
      </c>
      <c r="G100" s="167">
        <f t="shared" si="4"/>
        <v>902.32380000000012</v>
      </c>
      <c r="H100" s="167">
        <f t="shared" si="5"/>
        <v>9487.2902400000003</v>
      </c>
    </row>
    <row r="101" spans="2:8" x14ac:dyDescent="0.25">
      <c r="B101" s="163" t="s">
        <v>1030</v>
      </c>
      <c r="C101" s="41"/>
      <c r="D101" s="164" t="s">
        <v>905</v>
      </c>
      <c r="E101" s="165">
        <v>17.350000000000001</v>
      </c>
      <c r="F101" s="166">
        <f t="shared" si="3"/>
        <v>3.4700000000000006</v>
      </c>
      <c r="G101" s="167">
        <f t="shared" si="4"/>
        <v>957.51180000000022</v>
      </c>
      <c r="H101" s="167">
        <f t="shared" si="5"/>
        <v>10067.552640000002</v>
      </c>
    </row>
    <row r="102" spans="2:8" x14ac:dyDescent="0.25">
      <c r="B102" s="163" t="s">
        <v>1030</v>
      </c>
      <c r="C102" s="41"/>
      <c r="D102" s="164" t="s">
        <v>1032</v>
      </c>
      <c r="E102" s="165">
        <v>18.350000000000001</v>
      </c>
      <c r="F102" s="166">
        <f t="shared" si="3"/>
        <v>3.6700000000000004</v>
      </c>
      <c r="G102" s="167">
        <f t="shared" si="4"/>
        <v>1012.6998000000001</v>
      </c>
      <c r="H102" s="167">
        <f t="shared" si="5"/>
        <v>10647.815040000001</v>
      </c>
    </row>
    <row r="103" spans="2:8" x14ac:dyDescent="0.25">
      <c r="B103" s="163" t="s">
        <v>1030</v>
      </c>
      <c r="C103" s="41"/>
      <c r="D103" s="164" t="s">
        <v>1031</v>
      </c>
      <c r="E103" s="165">
        <v>19.350000000000001</v>
      </c>
      <c r="F103" s="166">
        <f t="shared" si="3"/>
        <v>3.8700000000000006</v>
      </c>
      <c r="G103" s="167">
        <f t="shared" si="4"/>
        <v>1067.8878</v>
      </c>
      <c r="H103" s="167">
        <f t="shared" si="5"/>
        <v>11228.077440000003</v>
      </c>
    </row>
    <row r="104" spans="2:8" x14ac:dyDescent="0.25">
      <c r="B104" s="163" t="s">
        <v>1030</v>
      </c>
      <c r="C104" s="41"/>
      <c r="D104" s="164" t="s">
        <v>965</v>
      </c>
      <c r="E104" s="165">
        <v>20.350000000000001</v>
      </c>
      <c r="F104" s="166">
        <f t="shared" si="3"/>
        <v>4.07</v>
      </c>
      <c r="G104" s="167">
        <f t="shared" si="4"/>
        <v>1123.0758000000001</v>
      </c>
      <c r="H104" s="167">
        <f t="shared" si="5"/>
        <v>11808.339840000001</v>
      </c>
    </row>
    <row r="105" spans="2:8" x14ac:dyDescent="0.25">
      <c r="B105" s="163" t="s">
        <v>1033</v>
      </c>
      <c r="C105" s="41"/>
      <c r="D105" s="164" t="s">
        <v>1032</v>
      </c>
      <c r="E105" s="165">
        <v>21.35</v>
      </c>
      <c r="F105" s="166">
        <f t="shared" si="3"/>
        <v>4.2700000000000005</v>
      </c>
      <c r="G105" s="167">
        <f t="shared" si="4"/>
        <v>1178.2638000000002</v>
      </c>
      <c r="H105" s="167">
        <f t="shared" si="5"/>
        <v>12388.602240000002</v>
      </c>
    </row>
    <row r="106" spans="2:8" x14ac:dyDescent="0.25">
      <c r="B106" s="163" t="s">
        <v>1034</v>
      </c>
      <c r="C106" s="41"/>
      <c r="D106" s="164" t="s">
        <v>1035</v>
      </c>
      <c r="E106" s="165">
        <v>22.35</v>
      </c>
      <c r="F106" s="166">
        <f t="shared" si="3"/>
        <v>4.4700000000000006</v>
      </c>
      <c r="G106" s="167">
        <f t="shared" si="4"/>
        <v>1233.4518</v>
      </c>
      <c r="H106" s="167">
        <f t="shared" si="5"/>
        <v>12968.864640000002</v>
      </c>
    </row>
    <row r="107" spans="2:8" x14ac:dyDescent="0.25">
      <c r="B107" s="163" t="s">
        <v>1036</v>
      </c>
      <c r="C107" s="41"/>
      <c r="D107" s="164" t="s">
        <v>1037</v>
      </c>
      <c r="E107" s="165">
        <v>23.35</v>
      </c>
      <c r="F107" s="166">
        <f t="shared" si="3"/>
        <v>4.6700000000000008</v>
      </c>
      <c r="G107" s="167">
        <f t="shared" si="4"/>
        <v>1288.6398000000002</v>
      </c>
      <c r="H107" s="167">
        <f t="shared" si="5"/>
        <v>13549.127040000003</v>
      </c>
    </row>
    <row r="108" spans="2:8" x14ac:dyDescent="0.25">
      <c r="B108" s="163" t="s">
        <v>1036</v>
      </c>
      <c r="C108" s="41"/>
      <c r="D108" s="164" t="s">
        <v>1038</v>
      </c>
      <c r="E108" s="165">
        <v>24.35</v>
      </c>
      <c r="F108" s="166">
        <f t="shared" si="3"/>
        <v>4.870000000000001</v>
      </c>
      <c r="G108" s="167">
        <f t="shared" si="4"/>
        <v>1343.8278000000005</v>
      </c>
      <c r="H108" s="167">
        <f t="shared" si="5"/>
        <v>14129.389440000001</v>
      </c>
    </row>
    <row r="109" spans="2:8" x14ac:dyDescent="0.25">
      <c r="B109" s="163" t="s">
        <v>1039</v>
      </c>
      <c r="C109" s="41"/>
      <c r="D109" s="164" t="s">
        <v>1029</v>
      </c>
      <c r="E109" s="165">
        <v>25.35</v>
      </c>
      <c r="F109" s="166">
        <f t="shared" si="3"/>
        <v>5.07</v>
      </c>
      <c r="G109" s="167">
        <f t="shared" si="4"/>
        <v>1399.0158000000001</v>
      </c>
      <c r="H109" s="167">
        <f t="shared" si="5"/>
        <v>14709.651840000002</v>
      </c>
    </row>
    <row r="110" spans="2:8" x14ac:dyDescent="0.25">
      <c r="B110" s="163" t="s">
        <v>1039</v>
      </c>
      <c r="C110" s="41"/>
      <c r="D110" s="164" t="s">
        <v>1029</v>
      </c>
      <c r="E110" s="165">
        <v>26.35</v>
      </c>
      <c r="F110" s="166">
        <f t="shared" si="3"/>
        <v>5.2700000000000005</v>
      </c>
      <c r="G110" s="167">
        <f t="shared" si="4"/>
        <v>1454.2038000000002</v>
      </c>
      <c r="H110" s="167">
        <f t="shared" si="5"/>
        <v>15289.914240000002</v>
      </c>
    </row>
    <row r="111" spans="2:8" x14ac:dyDescent="0.25">
      <c r="B111" s="163" t="s">
        <v>1040</v>
      </c>
      <c r="C111" s="41"/>
      <c r="D111" s="164" t="s">
        <v>1018</v>
      </c>
      <c r="E111" s="165">
        <v>27.35</v>
      </c>
      <c r="F111" s="166">
        <f t="shared" si="3"/>
        <v>5.4700000000000006</v>
      </c>
      <c r="G111" s="167">
        <f t="shared" si="4"/>
        <v>1509.3918000000001</v>
      </c>
      <c r="H111" s="167">
        <f t="shared" si="5"/>
        <v>15870.176640000001</v>
      </c>
    </row>
    <row r="112" spans="2:8" x14ac:dyDescent="0.25">
      <c r="B112" s="163" t="s">
        <v>1041</v>
      </c>
      <c r="C112" s="41"/>
      <c r="D112" s="164" t="s">
        <v>1042</v>
      </c>
      <c r="E112" s="165">
        <v>28.35</v>
      </c>
      <c r="F112" s="166">
        <f t="shared" si="3"/>
        <v>5.6700000000000008</v>
      </c>
      <c r="G112" s="167">
        <f t="shared" si="4"/>
        <v>1564.5798000000002</v>
      </c>
      <c r="H112" s="167">
        <f t="shared" si="5"/>
        <v>16450.439040000001</v>
      </c>
    </row>
    <row r="113" spans="2:8" x14ac:dyDescent="0.25">
      <c r="B113" s="163" t="s">
        <v>1043</v>
      </c>
      <c r="C113" s="41"/>
      <c r="D113" s="164" t="s">
        <v>1044</v>
      </c>
      <c r="E113" s="165">
        <v>29.35</v>
      </c>
      <c r="F113" s="166">
        <f t="shared" si="3"/>
        <v>5.870000000000001</v>
      </c>
      <c r="G113" s="167">
        <f t="shared" si="4"/>
        <v>1619.7678000000003</v>
      </c>
      <c r="H113" s="167">
        <f t="shared" si="5"/>
        <v>17030.701440000001</v>
      </c>
    </row>
    <row r="114" spans="2:8" x14ac:dyDescent="0.25">
      <c r="B114" s="163" t="s">
        <v>1045</v>
      </c>
      <c r="C114" s="41"/>
      <c r="D114" s="164" t="s">
        <v>1046</v>
      </c>
      <c r="E114" s="165">
        <v>30.35</v>
      </c>
      <c r="F114" s="166">
        <f t="shared" si="3"/>
        <v>6.07</v>
      </c>
      <c r="G114" s="167">
        <f t="shared" si="4"/>
        <v>1674.9558</v>
      </c>
      <c r="H114" s="167">
        <f t="shared" si="5"/>
        <v>17610.96384</v>
      </c>
    </row>
    <row r="115" spans="2:8" x14ac:dyDescent="0.25">
      <c r="B115" s="163" t="s">
        <v>1047</v>
      </c>
      <c r="C115" s="41"/>
      <c r="D115" s="164" t="s">
        <v>903</v>
      </c>
      <c r="E115" s="165">
        <v>31.35</v>
      </c>
      <c r="F115" s="166">
        <f t="shared" si="3"/>
        <v>6.2700000000000005</v>
      </c>
      <c r="G115" s="167">
        <f t="shared" si="4"/>
        <v>1730.1438000000001</v>
      </c>
      <c r="H115" s="167">
        <f t="shared" si="5"/>
        <v>18191.22624</v>
      </c>
    </row>
    <row r="116" spans="2:8" x14ac:dyDescent="0.25">
      <c r="B116" s="163" t="s">
        <v>1048</v>
      </c>
      <c r="C116" s="41"/>
      <c r="D116" s="164" t="s">
        <v>905</v>
      </c>
      <c r="E116" s="165">
        <v>32.35</v>
      </c>
      <c r="F116" s="166">
        <f t="shared" si="3"/>
        <v>6.4700000000000006</v>
      </c>
      <c r="G116" s="167">
        <f t="shared" si="4"/>
        <v>1785.3318000000002</v>
      </c>
      <c r="H116" s="167">
        <f t="shared" si="5"/>
        <v>18771.48864</v>
      </c>
    </row>
    <row r="117" spans="2:8" x14ac:dyDescent="0.25">
      <c r="B117" s="163" t="s">
        <v>1049</v>
      </c>
      <c r="C117" s="41"/>
      <c r="D117" s="164" t="s">
        <v>1050</v>
      </c>
      <c r="E117" s="165">
        <v>33.35</v>
      </c>
      <c r="F117" s="166">
        <f t="shared" si="3"/>
        <v>6.6700000000000008</v>
      </c>
      <c r="G117" s="167">
        <f t="shared" si="4"/>
        <v>1840.5198000000003</v>
      </c>
      <c r="H117" s="167">
        <f t="shared" si="5"/>
        <v>19351.751040000006</v>
      </c>
    </row>
    <row r="118" spans="2:8" x14ac:dyDescent="0.25">
      <c r="B118" s="163" t="s">
        <v>1051</v>
      </c>
      <c r="C118" s="41"/>
      <c r="D118" s="164" t="s">
        <v>1052</v>
      </c>
      <c r="E118" s="165">
        <v>34.35</v>
      </c>
      <c r="F118" s="166">
        <f t="shared" si="3"/>
        <v>6.870000000000001</v>
      </c>
      <c r="G118" s="167">
        <f t="shared" si="4"/>
        <v>1895.7078000000004</v>
      </c>
      <c r="H118" s="167">
        <f t="shared" si="5"/>
        <v>19932.013439999999</v>
      </c>
    </row>
    <row r="119" spans="2:8" x14ac:dyDescent="0.25">
      <c r="B119" s="163" t="s">
        <v>1053</v>
      </c>
      <c r="C119" s="41"/>
      <c r="D119" s="164" t="s">
        <v>1029</v>
      </c>
      <c r="E119" s="165">
        <v>35.35</v>
      </c>
      <c r="F119" s="166">
        <f t="shared" si="3"/>
        <v>7.07</v>
      </c>
      <c r="G119" s="167">
        <f t="shared" si="4"/>
        <v>1950.8958</v>
      </c>
      <c r="H119" s="167">
        <f t="shared" si="5"/>
        <v>20512.275840000002</v>
      </c>
    </row>
    <row r="120" spans="2:8" x14ac:dyDescent="0.25">
      <c r="B120" s="163" t="s">
        <v>1054</v>
      </c>
      <c r="C120" s="41"/>
      <c r="D120" s="164" t="s">
        <v>1038</v>
      </c>
      <c r="E120" s="165">
        <v>36.35</v>
      </c>
      <c r="F120" s="166">
        <f t="shared" si="3"/>
        <v>7.2700000000000005</v>
      </c>
      <c r="G120" s="167">
        <f t="shared" si="4"/>
        <v>2006.0838000000001</v>
      </c>
      <c r="H120" s="167">
        <f t="shared" si="5"/>
        <v>21092.538240000002</v>
      </c>
    </row>
    <row r="121" spans="2:8" x14ac:dyDescent="0.25">
      <c r="B121" s="163" t="s">
        <v>1030</v>
      </c>
      <c r="C121" s="41"/>
      <c r="D121" s="164" t="s">
        <v>905</v>
      </c>
      <c r="E121" s="165">
        <v>37.35</v>
      </c>
      <c r="F121" s="166">
        <f t="shared" si="3"/>
        <v>7.4700000000000006</v>
      </c>
      <c r="G121" s="167">
        <f t="shared" si="4"/>
        <v>2061.2718</v>
      </c>
      <c r="H121" s="167">
        <f t="shared" si="5"/>
        <v>21672.800639999998</v>
      </c>
    </row>
    <row r="122" spans="2:8" x14ac:dyDescent="0.25">
      <c r="B122" s="163" t="s">
        <v>1030</v>
      </c>
      <c r="C122" s="41"/>
      <c r="D122" s="164" t="s">
        <v>1055</v>
      </c>
      <c r="E122" s="165">
        <v>38.35</v>
      </c>
      <c r="F122" s="166">
        <f t="shared" si="3"/>
        <v>7.6700000000000008</v>
      </c>
      <c r="G122" s="167">
        <f t="shared" si="4"/>
        <v>2116.4598000000001</v>
      </c>
      <c r="H122" s="167">
        <f t="shared" si="5"/>
        <v>22253.063040000001</v>
      </c>
    </row>
    <row r="123" spans="2:8" x14ac:dyDescent="0.25">
      <c r="B123" s="163" t="s">
        <v>1056</v>
      </c>
      <c r="C123" s="41"/>
      <c r="D123" s="164" t="s">
        <v>905</v>
      </c>
      <c r="E123" s="165">
        <v>39.35</v>
      </c>
      <c r="F123" s="166">
        <f t="shared" si="3"/>
        <v>7.870000000000001</v>
      </c>
      <c r="G123" s="167">
        <f t="shared" si="4"/>
        <v>2171.6478000000002</v>
      </c>
      <c r="H123" s="167">
        <f t="shared" si="5"/>
        <v>22833.325440000004</v>
      </c>
    </row>
    <row r="124" spans="2:8" x14ac:dyDescent="0.25">
      <c r="B124" s="163" t="s">
        <v>1057</v>
      </c>
      <c r="C124" s="41"/>
      <c r="D124" s="164" t="s">
        <v>1058</v>
      </c>
      <c r="E124" s="165">
        <v>40.35</v>
      </c>
      <c r="F124" s="166">
        <f t="shared" si="3"/>
        <v>8.07</v>
      </c>
      <c r="G124" s="167">
        <f t="shared" si="4"/>
        <v>2226.8357999999994</v>
      </c>
      <c r="H124" s="167">
        <f t="shared" si="5"/>
        <v>23413.58784</v>
      </c>
    </row>
    <row r="125" spans="2:8" x14ac:dyDescent="0.25">
      <c r="B125" s="343" t="s">
        <v>1059</v>
      </c>
      <c r="C125" s="344"/>
      <c r="D125" s="347" t="s">
        <v>1060</v>
      </c>
      <c r="E125" s="350">
        <v>41.35</v>
      </c>
      <c r="F125" s="353">
        <f t="shared" si="3"/>
        <v>8.2700000000000014</v>
      </c>
      <c r="G125" s="339">
        <f t="shared" si="4"/>
        <v>2282.0238000000004</v>
      </c>
      <c r="H125" s="339">
        <f t="shared" si="5"/>
        <v>23993.850240000003</v>
      </c>
    </row>
    <row r="126" spans="2:8" x14ac:dyDescent="0.25">
      <c r="B126" s="343"/>
      <c r="C126" s="345"/>
      <c r="D126" s="348"/>
      <c r="E126" s="351"/>
      <c r="F126" s="354"/>
      <c r="G126" s="340"/>
      <c r="H126" s="340"/>
    </row>
    <row r="127" spans="2:8" x14ac:dyDescent="0.25">
      <c r="B127" s="343"/>
      <c r="C127" s="345"/>
      <c r="D127" s="348"/>
      <c r="E127" s="351"/>
      <c r="F127" s="354"/>
      <c r="G127" s="340"/>
      <c r="H127" s="340"/>
    </row>
    <row r="128" spans="2:8" x14ac:dyDescent="0.25">
      <c r="B128" s="343"/>
      <c r="C128" s="346"/>
      <c r="D128" s="349"/>
      <c r="E128" s="352"/>
      <c r="F128" s="355"/>
      <c r="G128" s="341"/>
      <c r="H128" s="341"/>
    </row>
    <row r="129" spans="2:8" x14ac:dyDescent="0.25">
      <c r="B129" s="163" t="s">
        <v>1061</v>
      </c>
      <c r="C129" s="41"/>
      <c r="D129" s="164" t="s">
        <v>1062</v>
      </c>
      <c r="E129" s="165">
        <v>45.35</v>
      </c>
      <c r="F129" s="166">
        <f t="shared" si="3"/>
        <v>9.07</v>
      </c>
      <c r="G129" s="167">
        <f t="shared" si="4"/>
        <v>2502.7757999999999</v>
      </c>
      <c r="H129" s="167">
        <f t="shared" si="5"/>
        <v>26314.899840000002</v>
      </c>
    </row>
    <row r="130" spans="2:8" x14ac:dyDescent="0.25">
      <c r="B130" s="163" t="s">
        <v>1063</v>
      </c>
      <c r="C130" s="41"/>
      <c r="D130" s="164" t="s">
        <v>1042</v>
      </c>
      <c r="E130" s="165">
        <v>46.35</v>
      </c>
      <c r="F130" s="166">
        <f t="shared" si="3"/>
        <v>9.2700000000000014</v>
      </c>
      <c r="G130" s="167">
        <f t="shared" si="4"/>
        <v>2557.9638</v>
      </c>
      <c r="H130" s="167">
        <f t="shared" si="5"/>
        <v>26895.162240000009</v>
      </c>
    </row>
    <row r="131" spans="2:8" x14ac:dyDescent="0.25">
      <c r="B131" s="163" t="s">
        <v>980</v>
      </c>
      <c r="C131" s="41"/>
      <c r="D131" s="164" t="s">
        <v>905</v>
      </c>
      <c r="E131" s="165">
        <v>47.35</v>
      </c>
      <c r="F131" s="166">
        <f t="shared" si="3"/>
        <v>9.4700000000000006</v>
      </c>
      <c r="G131" s="167">
        <f t="shared" si="4"/>
        <v>2613.1518000000005</v>
      </c>
      <c r="H131" s="167">
        <f t="shared" si="5"/>
        <v>27475.424640000001</v>
      </c>
    </row>
    <row r="132" spans="2:8" x14ac:dyDescent="0.25">
      <c r="B132" s="163" t="s">
        <v>1064</v>
      </c>
      <c r="C132" s="41"/>
      <c r="D132" s="164" t="s">
        <v>1065</v>
      </c>
      <c r="E132" s="165">
        <v>48.35</v>
      </c>
      <c r="F132" s="166">
        <f t="shared" si="3"/>
        <v>9.6700000000000017</v>
      </c>
      <c r="G132" s="167">
        <f t="shared" si="4"/>
        <v>2668.3398000000002</v>
      </c>
      <c r="H132" s="167">
        <f t="shared" si="5"/>
        <v>28055.687040000001</v>
      </c>
    </row>
    <row r="133" spans="2:8" x14ac:dyDescent="0.25">
      <c r="B133" s="163" t="s">
        <v>921</v>
      </c>
      <c r="C133" s="41"/>
      <c r="D133" s="164" t="s">
        <v>1066</v>
      </c>
      <c r="E133" s="165">
        <v>49.35</v>
      </c>
      <c r="F133" s="166">
        <f t="shared" si="3"/>
        <v>9.870000000000001</v>
      </c>
      <c r="G133" s="167">
        <f t="shared" si="4"/>
        <v>2723.5278000000008</v>
      </c>
      <c r="H133" s="167">
        <f t="shared" si="5"/>
        <v>28635.94944</v>
      </c>
    </row>
    <row r="134" spans="2:8" x14ac:dyDescent="0.25">
      <c r="B134" s="163" t="s">
        <v>995</v>
      </c>
      <c r="C134" s="41"/>
      <c r="D134" s="164" t="s">
        <v>1067</v>
      </c>
      <c r="E134" s="165">
        <v>50.35</v>
      </c>
      <c r="F134" s="166">
        <f t="shared" si="3"/>
        <v>10.07</v>
      </c>
      <c r="G134" s="167">
        <f t="shared" si="4"/>
        <v>2778.7157999999995</v>
      </c>
      <c r="H134" s="167">
        <f t="shared" si="5"/>
        <v>29216.21184</v>
      </c>
    </row>
    <row r="135" spans="2:8" x14ac:dyDescent="0.25">
      <c r="B135" s="163" t="s">
        <v>1068</v>
      </c>
      <c r="C135" s="41"/>
      <c r="D135" s="164" t="s">
        <v>1069</v>
      </c>
      <c r="E135" s="165">
        <v>51.35</v>
      </c>
      <c r="F135" s="166">
        <f t="shared" ref="F135:F177" si="6">E135*0.2</f>
        <v>10.270000000000001</v>
      </c>
      <c r="G135" s="167">
        <f t="shared" si="4"/>
        <v>2833.9038000000005</v>
      </c>
      <c r="H135" s="167">
        <f t="shared" si="5"/>
        <v>29796.474240000003</v>
      </c>
    </row>
    <row r="136" spans="2:8" x14ac:dyDescent="0.25">
      <c r="B136" s="163" t="s">
        <v>1070</v>
      </c>
      <c r="C136" s="41"/>
      <c r="D136" s="164" t="s">
        <v>922</v>
      </c>
      <c r="E136" s="165">
        <v>52.35</v>
      </c>
      <c r="F136" s="166">
        <f t="shared" si="6"/>
        <v>10.47</v>
      </c>
      <c r="G136" s="167">
        <f t="shared" ref="G136:G177" si="7">F136*$F$4*$H$4*$E$4*365</f>
        <v>2889.0918000000001</v>
      </c>
      <c r="H136" s="167">
        <f t="shared" ref="H136:H177" si="8">F136*$G$4*$H$4*$E$4*365</f>
        <v>30376.736640000003</v>
      </c>
    </row>
    <row r="137" spans="2:8" x14ac:dyDescent="0.25">
      <c r="B137" s="163" t="s">
        <v>1071</v>
      </c>
      <c r="C137" s="41"/>
      <c r="D137" s="164" t="s">
        <v>903</v>
      </c>
      <c r="E137" s="165">
        <v>53.35</v>
      </c>
      <c r="F137" s="166">
        <f t="shared" si="6"/>
        <v>10.670000000000002</v>
      </c>
      <c r="G137" s="167">
        <f t="shared" si="7"/>
        <v>2944.2798000000003</v>
      </c>
      <c r="H137" s="167">
        <f t="shared" si="8"/>
        <v>30956.999040000002</v>
      </c>
    </row>
    <row r="138" spans="2:8" x14ac:dyDescent="0.25">
      <c r="B138" s="163" t="s">
        <v>966</v>
      </c>
      <c r="C138" s="41"/>
      <c r="D138" s="164" t="s">
        <v>905</v>
      </c>
      <c r="E138" s="165">
        <v>54.35</v>
      </c>
      <c r="F138" s="166">
        <f t="shared" si="6"/>
        <v>10.870000000000001</v>
      </c>
      <c r="G138" s="167">
        <f t="shared" si="7"/>
        <v>2999.4677999999999</v>
      </c>
      <c r="H138" s="167">
        <f t="shared" si="8"/>
        <v>31537.261440000002</v>
      </c>
    </row>
    <row r="139" spans="2:8" x14ac:dyDescent="0.25">
      <c r="B139" s="163" t="s">
        <v>1072</v>
      </c>
      <c r="C139" s="41"/>
      <c r="D139" s="164" t="s">
        <v>903</v>
      </c>
      <c r="E139" s="165">
        <v>55.35</v>
      </c>
      <c r="F139" s="166">
        <f t="shared" si="6"/>
        <v>11.07</v>
      </c>
      <c r="G139" s="167">
        <f t="shared" si="7"/>
        <v>3054.6557999999995</v>
      </c>
      <c r="H139" s="167">
        <f t="shared" si="8"/>
        <v>32117.523840000002</v>
      </c>
    </row>
    <row r="140" spans="2:8" x14ac:dyDescent="0.25">
      <c r="B140" s="163" t="s">
        <v>1036</v>
      </c>
      <c r="C140" s="41"/>
      <c r="D140" s="164" t="s">
        <v>1073</v>
      </c>
      <c r="E140" s="165">
        <v>56.35</v>
      </c>
      <c r="F140" s="166">
        <f t="shared" si="6"/>
        <v>11.270000000000001</v>
      </c>
      <c r="G140" s="167">
        <f t="shared" si="7"/>
        <v>3109.8438000000001</v>
      </c>
      <c r="H140" s="167">
        <f t="shared" si="8"/>
        <v>32697.786240000001</v>
      </c>
    </row>
    <row r="141" spans="2:8" x14ac:dyDescent="0.25">
      <c r="B141" s="163" t="s">
        <v>980</v>
      </c>
      <c r="C141" s="41"/>
      <c r="D141" s="164" t="s">
        <v>1074</v>
      </c>
      <c r="E141" s="165">
        <v>57.35</v>
      </c>
      <c r="F141" s="166">
        <f t="shared" si="6"/>
        <v>11.47</v>
      </c>
      <c r="G141" s="167">
        <f t="shared" si="7"/>
        <v>3165.0318000000007</v>
      </c>
      <c r="H141" s="167">
        <f t="shared" si="8"/>
        <v>33278.048640000001</v>
      </c>
    </row>
    <row r="142" spans="2:8" x14ac:dyDescent="0.25">
      <c r="B142" s="163" t="s">
        <v>974</v>
      </c>
      <c r="C142" s="41"/>
      <c r="D142" s="164" t="s">
        <v>1075</v>
      </c>
      <c r="E142" s="165">
        <v>58.35</v>
      </c>
      <c r="F142" s="166">
        <f t="shared" si="6"/>
        <v>11.670000000000002</v>
      </c>
      <c r="G142" s="167">
        <f t="shared" si="7"/>
        <v>3220.2198000000003</v>
      </c>
      <c r="H142" s="167">
        <f t="shared" si="8"/>
        <v>33858.311040000001</v>
      </c>
    </row>
    <row r="143" spans="2:8" x14ac:dyDescent="0.25">
      <c r="B143" s="163" t="s">
        <v>1076</v>
      </c>
      <c r="C143" s="41"/>
      <c r="D143" s="164" t="s">
        <v>965</v>
      </c>
      <c r="E143" s="165">
        <v>59.35</v>
      </c>
      <c r="F143" s="166">
        <f t="shared" si="6"/>
        <v>11.870000000000001</v>
      </c>
      <c r="G143" s="167">
        <f t="shared" si="7"/>
        <v>3275.4078</v>
      </c>
      <c r="H143" s="167">
        <f t="shared" si="8"/>
        <v>34438.573440000007</v>
      </c>
    </row>
    <row r="144" spans="2:8" x14ac:dyDescent="0.25">
      <c r="B144" s="163" t="s">
        <v>1077</v>
      </c>
      <c r="C144" s="41"/>
      <c r="D144" s="164" t="s">
        <v>1027</v>
      </c>
      <c r="E144" s="165">
        <v>60.35</v>
      </c>
      <c r="F144" s="166">
        <f t="shared" si="6"/>
        <v>12.07</v>
      </c>
      <c r="G144" s="167">
        <f t="shared" si="7"/>
        <v>3330.5957999999996</v>
      </c>
      <c r="H144" s="167">
        <f t="shared" si="8"/>
        <v>35018.835840000007</v>
      </c>
    </row>
    <row r="145" spans="2:8" x14ac:dyDescent="0.25">
      <c r="B145" s="41" t="s">
        <v>1078</v>
      </c>
      <c r="C145" s="41"/>
      <c r="D145" s="32"/>
      <c r="E145" s="165">
        <v>61.35</v>
      </c>
      <c r="F145" s="166">
        <f t="shared" si="6"/>
        <v>12.270000000000001</v>
      </c>
      <c r="G145" s="167">
        <f t="shared" si="7"/>
        <v>3385.7838000000002</v>
      </c>
      <c r="H145" s="167">
        <f t="shared" si="8"/>
        <v>35599.098239999999</v>
      </c>
    </row>
    <row r="146" spans="2:8" x14ac:dyDescent="0.25">
      <c r="B146" s="161" t="s">
        <v>1079</v>
      </c>
      <c r="C146" s="41"/>
      <c r="D146" s="32"/>
      <c r="E146" s="165">
        <v>62.35</v>
      </c>
      <c r="F146" s="166">
        <f t="shared" si="6"/>
        <v>12.47</v>
      </c>
      <c r="G146" s="167">
        <f t="shared" si="7"/>
        <v>3440.9717999999998</v>
      </c>
      <c r="H146" s="167">
        <f t="shared" si="8"/>
        <v>36179.360639999999</v>
      </c>
    </row>
    <row r="147" spans="2:8" x14ac:dyDescent="0.25">
      <c r="B147" s="161" t="s">
        <v>1080</v>
      </c>
      <c r="C147" s="41"/>
      <c r="D147" s="32"/>
      <c r="E147" s="165">
        <v>63.35</v>
      </c>
      <c r="F147" s="166">
        <f t="shared" si="6"/>
        <v>12.670000000000002</v>
      </c>
      <c r="G147" s="167">
        <f t="shared" si="7"/>
        <v>3496.1598000000004</v>
      </c>
      <c r="H147" s="167">
        <f t="shared" si="8"/>
        <v>36759.623039999999</v>
      </c>
    </row>
    <row r="148" spans="2:8" x14ac:dyDescent="0.25">
      <c r="B148" s="41" t="s">
        <v>1081</v>
      </c>
      <c r="C148" s="41"/>
      <c r="D148" s="32"/>
      <c r="E148" s="165">
        <v>64.349999999999994</v>
      </c>
      <c r="F148" s="166">
        <f t="shared" si="6"/>
        <v>12.87</v>
      </c>
      <c r="G148" s="167">
        <f t="shared" si="7"/>
        <v>3551.3477999999996</v>
      </c>
      <c r="H148" s="167">
        <f t="shared" si="8"/>
        <v>37339.885439999998</v>
      </c>
    </row>
    <row r="149" spans="2:8" x14ac:dyDescent="0.25">
      <c r="B149" s="41" t="s">
        <v>1082</v>
      </c>
      <c r="C149" s="41"/>
      <c r="D149" s="165" t="s">
        <v>1083</v>
      </c>
      <c r="E149" s="165">
        <v>65.349999999999994</v>
      </c>
      <c r="F149" s="166">
        <f t="shared" si="6"/>
        <v>13.07</v>
      </c>
      <c r="G149" s="167">
        <f t="shared" si="7"/>
        <v>3606.5358000000001</v>
      </c>
      <c r="H149" s="167">
        <f t="shared" si="8"/>
        <v>37920.147839999998</v>
      </c>
    </row>
    <row r="150" spans="2:8" x14ac:dyDescent="0.25">
      <c r="B150" s="41" t="s">
        <v>1084</v>
      </c>
      <c r="C150" s="41"/>
      <c r="D150" s="165" t="s">
        <v>1085</v>
      </c>
      <c r="E150" s="165">
        <v>66.349999999999994</v>
      </c>
      <c r="F150" s="166">
        <f t="shared" si="6"/>
        <v>13.27</v>
      </c>
      <c r="G150" s="167">
        <f t="shared" si="7"/>
        <v>3661.7237999999998</v>
      </c>
      <c r="H150" s="167">
        <f t="shared" si="8"/>
        <v>38500.410239999997</v>
      </c>
    </row>
    <row r="151" spans="2:8" x14ac:dyDescent="0.25">
      <c r="B151" s="41" t="s">
        <v>1086</v>
      </c>
      <c r="C151" s="41"/>
      <c r="D151" s="165" t="s">
        <v>1087</v>
      </c>
      <c r="E151" s="165">
        <v>67.349999999999994</v>
      </c>
      <c r="F151" s="166">
        <f t="shared" si="6"/>
        <v>13.469999999999999</v>
      </c>
      <c r="G151" s="167">
        <f t="shared" si="7"/>
        <v>3716.9117999999994</v>
      </c>
      <c r="H151" s="167">
        <f t="shared" si="8"/>
        <v>39080.67263999999</v>
      </c>
    </row>
    <row r="152" spans="2:8" x14ac:dyDescent="0.25">
      <c r="B152" s="41" t="s">
        <v>1088</v>
      </c>
      <c r="C152" s="41"/>
      <c r="D152" s="165" t="s">
        <v>1027</v>
      </c>
      <c r="E152" s="165">
        <v>68.349999999999994</v>
      </c>
      <c r="F152" s="166">
        <f t="shared" si="6"/>
        <v>13.67</v>
      </c>
      <c r="G152" s="167">
        <f t="shared" si="7"/>
        <v>3772.0998</v>
      </c>
      <c r="H152" s="167">
        <f t="shared" si="8"/>
        <v>39660.935040000004</v>
      </c>
    </row>
    <row r="153" spans="2:8" x14ac:dyDescent="0.25">
      <c r="B153" s="41" t="s">
        <v>1089</v>
      </c>
      <c r="C153" s="41"/>
      <c r="D153" s="165" t="s">
        <v>1090</v>
      </c>
      <c r="E153" s="165">
        <v>69.349999999999994</v>
      </c>
      <c r="F153" s="166">
        <f t="shared" si="6"/>
        <v>13.87</v>
      </c>
      <c r="G153" s="167">
        <f t="shared" si="7"/>
        <v>3827.2878000000001</v>
      </c>
      <c r="H153" s="167">
        <f t="shared" si="8"/>
        <v>40241.197439999996</v>
      </c>
    </row>
    <row r="154" spans="2:8" x14ac:dyDescent="0.25">
      <c r="B154" s="41" t="s">
        <v>1091</v>
      </c>
      <c r="C154" s="41"/>
      <c r="D154" s="165" t="s">
        <v>1092</v>
      </c>
      <c r="E154" s="165">
        <v>70.349999999999994</v>
      </c>
      <c r="F154" s="166">
        <f t="shared" si="6"/>
        <v>14.07</v>
      </c>
      <c r="G154" s="167">
        <f t="shared" si="7"/>
        <v>3882.4758000000002</v>
      </c>
      <c r="H154" s="167">
        <f t="shared" si="8"/>
        <v>40821.459839999996</v>
      </c>
    </row>
    <row r="155" spans="2:8" x14ac:dyDescent="0.25">
      <c r="B155" s="41" t="s">
        <v>1093</v>
      </c>
      <c r="C155" s="41"/>
      <c r="D155" s="165" t="s">
        <v>1094</v>
      </c>
      <c r="E155" s="165">
        <v>71.349999999999994</v>
      </c>
      <c r="F155" s="166">
        <f t="shared" si="6"/>
        <v>14.27</v>
      </c>
      <c r="G155" s="167">
        <f t="shared" si="7"/>
        <v>3937.6637999999998</v>
      </c>
      <c r="H155" s="167">
        <f t="shared" si="8"/>
        <v>41401.722239999996</v>
      </c>
    </row>
    <row r="156" spans="2:8" x14ac:dyDescent="0.25">
      <c r="B156" s="41" t="s">
        <v>1089</v>
      </c>
      <c r="C156" s="41"/>
      <c r="D156" s="165" t="s">
        <v>987</v>
      </c>
      <c r="E156" s="165">
        <v>72.349999999999994</v>
      </c>
      <c r="F156" s="166">
        <f t="shared" si="6"/>
        <v>14.469999999999999</v>
      </c>
      <c r="G156" s="167">
        <f t="shared" si="7"/>
        <v>3992.8517999999995</v>
      </c>
      <c r="H156" s="167">
        <f t="shared" si="8"/>
        <v>41981.984639999988</v>
      </c>
    </row>
    <row r="157" spans="2:8" x14ac:dyDescent="0.25">
      <c r="B157" s="41" t="s">
        <v>1095</v>
      </c>
      <c r="C157" s="41"/>
      <c r="D157" s="165" t="s">
        <v>1096</v>
      </c>
      <c r="E157" s="165">
        <v>73.349999999999994</v>
      </c>
      <c r="F157" s="166">
        <f t="shared" si="6"/>
        <v>14.67</v>
      </c>
      <c r="G157" s="167">
        <f t="shared" si="7"/>
        <v>4048.0398000000005</v>
      </c>
      <c r="H157" s="167">
        <f t="shared" si="8"/>
        <v>42562.247040000009</v>
      </c>
    </row>
    <row r="158" spans="2:8" x14ac:dyDescent="0.25">
      <c r="B158" s="41" t="s">
        <v>1093</v>
      </c>
      <c r="C158" s="41"/>
      <c r="D158" s="165" t="s">
        <v>890</v>
      </c>
      <c r="E158" s="165">
        <v>74.349999999999994</v>
      </c>
      <c r="F158" s="166">
        <f t="shared" si="6"/>
        <v>14.87</v>
      </c>
      <c r="G158" s="167">
        <f t="shared" si="7"/>
        <v>4103.2277999999988</v>
      </c>
      <c r="H158" s="167">
        <f t="shared" si="8"/>
        <v>43142.509440000002</v>
      </c>
    </row>
    <row r="159" spans="2:8" x14ac:dyDescent="0.25">
      <c r="B159" s="41" t="s">
        <v>1097</v>
      </c>
      <c r="C159" s="41"/>
      <c r="D159" s="165" t="s">
        <v>1098</v>
      </c>
      <c r="E159" s="165">
        <v>75.349999999999994</v>
      </c>
      <c r="F159" s="166">
        <f t="shared" si="6"/>
        <v>15.07</v>
      </c>
      <c r="G159" s="167">
        <f t="shared" si="7"/>
        <v>4158.4157999999998</v>
      </c>
      <c r="H159" s="167">
        <f t="shared" si="8"/>
        <v>43722.771839999994</v>
      </c>
    </row>
    <row r="160" spans="2:8" x14ac:dyDescent="0.25">
      <c r="B160" s="41" t="s">
        <v>1099</v>
      </c>
      <c r="C160" s="41"/>
      <c r="D160" s="165" t="s">
        <v>1085</v>
      </c>
      <c r="E160" s="165">
        <v>76.349999999999994</v>
      </c>
      <c r="F160" s="166">
        <f t="shared" si="6"/>
        <v>15.27</v>
      </c>
      <c r="G160" s="167">
        <f t="shared" si="7"/>
        <v>4213.603799999999</v>
      </c>
      <c r="H160" s="167">
        <f t="shared" si="8"/>
        <v>44303.034239999994</v>
      </c>
    </row>
    <row r="161" spans="2:8" x14ac:dyDescent="0.25">
      <c r="B161" s="41" t="s">
        <v>1099</v>
      </c>
      <c r="C161" s="41"/>
      <c r="D161" s="165" t="s">
        <v>1085</v>
      </c>
      <c r="E161" s="165">
        <v>77.349999999999994</v>
      </c>
      <c r="F161" s="166">
        <f t="shared" si="6"/>
        <v>15.469999999999999</v>
      </c>
      <c r="G161" s="167">
        <f t="shared" si="7"/>
        <v>4268.7918</v>
      </c>
      <c r="H161" s="167">
        <f t="shared" si="8"/>
        <v>44883.296639999993</v>
      </c>
    </row>
    <row r="162" spans="2:8" x14ac:dyDescent="0.25">
      <c r="B162" s="41" t="s">
        <v>1099</v>
      </c>
      <c r="C162" s="41"/>
      <c r="D162" s="165" t="s">
        <v>965</v>
      </c>
      <c r="E162" s="165">
        <v>78.349999999999994</v>
      </c>
      <c r="F162" s="166">
        <f t="shared" si="6"/>
        <v>15.67</v>
      </c>
      <c r="G162" s="167">
        <f t="shared" si="7"/>
        <v>4323.9798000000001</v>
      </c>
      <c r="H162" s="167">
        <f t="shared" si="8"/>
        <v>45463.55904</v>
      </c>
    </row>
    <row r="163" spans="2:8" x14ac:dyDescent="0.25">
      <c r="B163" s="41" t="s">
        <v>1099</v>
      </c>
      <c r="C163" s="41"/>
      <c r="D163" s="165" t="s">
        <v>1100</v>
      </c>
      <c r="E163" s="165">
        <v>79.349999999999994</v>
      </c>
      <c r="F163" s="166">
        <f t="shared" si="6"/>
        <v>15.87</v>
      </c>
      <c r="G163" s="167">
        <f t="shared" si="7"/>
        <v>4379.1677999999993</v>
      </c>
      <c r="H163" s="167">
        <f t="shared" si="8"/>
        <v>46043.82144</v>
      </c>
    </row>
    <row r="164" spans="2:8" x14ac:dyDescent="0.25">
      <c r="B164" s="41" t="s">
        <v>1091</v>
      </c>
      <c r="C164" s="41"/>
      <c r="D164" s="165" t="s">
        <v>1029</v>
      </c>
      <c r="E164" s="165">
        <v>80.349999999999994</v>
      </c>
      <c r="F164" s="166">
        <f t="shared" si="6"/>
        <v>16.07</v>
      </c>
      <c r="G164" s="167">
        <f t="shared" si="7"/>
        <v>4434.3558000000003</v>
      </c>
      <c r="H164" s="167">
        <f t="shared" si="8"/>
        <v>46624.083840000007</v>
      </c>
    </row>
    <row r="165" spans="2:8" x14ac:dyDescent="0.25">
      <c r="B165" s="41" t="s">
        <v>1101</v>
      </c>
      <c r="C165" s="41"/>
      <c r="D165" s="165" t="s">
        <v>1102</v>
      </c>
      <c r="E165" s="165">
        <v>81.349999999999994</v>
      </c>
      <c r="F165" s="166">
        <f t="shared" si="6"/>
        <v>16.27</v>
      </c>
      <c r="G165" s="167">
        <f t="shared" si="7"/>
        <v>4489.5437999999986</v>
      </c>
      <c r="H165" s="167">
        <f t="shared" si="8"/>
        <v>47204.346239999992</v>
      </c>
    </row>
    <row r="166" spans="2:8" ht="30" x14ac:dyDescent="0.25">
      <c r="B166" s="161" t="s">
        <v>1103</v>
      </c>
      <c r="C166" s="41"/>
      <c r="D166" s="165" t="s">
        <v>1104</v>
      </c>
      <c r="E166" s="165">
        <v>82.35</v>
      </c>
      <c r="F166" s="166">
        <f t="shared" si="6"/>
        <v>16.47</v>
      </c>
      <c r="G166" s="167">
        <f t="shared" si="7"/>
        <v>4544.7317999999996</v>
      </c>
      <c r="H166" s="167">
        <f t="shared" si="8"/>
        <v>47784.608639999984</v>
      </c>
    </row>
    <row r="167" spans="2:8" ht="60" x14ac:dyDescent="0.25">
      <c r="B167" s="158" t="s">
        <v>1105</v>
      </c>
      <c r="C167" s="41"/>
      <c r="D167" s="165" t="s">
        <v>1106</v>
      </c>
      <c r="E167" s="165">
        <v>83.35</v>
      </c>
      <c r="F167" s="166">
        <f t="shared" si="6"/>
        <v>16.669999999999998</v>
      </c>
      <c r="G167" s="167">
        <f t="shared" si="7"/>
        <v>4599.9197999999997</v>
      </c>
      <c r="H167" s="167">
        <f t="shared" si="8"/>
        <v>48364.871039999991</v>
      </c>
    </row>
    <row r="168" spans="2:8" ht="30" x14ac:dyDescent="0.25">
      <c r="B168" s="158" t="s">
        <v>1107</v>
      </c>
      <c r="C168" s="41"/>
      <c r="D168" s="165" t="s">
        <v>1108</v>
      </c>
      <c r="E168" s="165">
        <v>84.35</v>
      </c>
      <c r="F168" s="166">
        <f t="shared" si="6"/>
        <v>16.87</v>
      </c>
      <c r="G168" s="167">
        <f t="shared" si="7"/>
        <v>4655.1078000000007</v>
      </c>
      <c r="H168" s="167">
        <f t="shared" si="8"/>
        <v>48945.133440000005</v>
      </c>
    </row>
    <row r="169" spans="2:8" ht="30" x14ac:dyDescent="0.25">
      <c r="B169" s="158" t="s">
        <v>1109</v>
      </c>
      <c r="C169" s="41"/>
      <c r="D169" s="165"/>
      <c r="E169" s="165">
        <v>85.35</v>
      </c>
      <c r="F169" s="166">
        <f t="shared" si="6"/>
        <v>17.07</v>
      </c>
      <c r="G169" s="167">
        <f t="shared" si="7"/>
        <v>4710.2957999999999</v>
      </c>
      <c r="H169" s="167">
        <f t="shared" si="8"/>
        <v>49525.395839999997</v>
      </c>
    </row>
    <row r="170" spans="2:8" x14ac:dyDescent="0.25">
      <c r="B170" s="161" t="s">
        <v>1110</v>
      </c>
      <c r="C170" s="41"/>
      <c r="D170" s="165"/>
      <c r="E170" s="165">
        <v>86.35</v>
      </c>
      <c r="F170" s="166">
        <f t="shared" si="6"/>
        <v>17.27</v>
      </c>
      <c r="G170" s="167">
        <f t="shared" si="7"/>
        <v>4765.4838</v>
      </c>
      <c r="H170" s="167">
        <f t="shared" si="8"/>
        <v>50105.65823999999</v>
      </c>
    </row>
    <row r="171" spans="2:8" ht="30" x14ac:dyDescent="0.25">
      <c r="B171" s="168" t="s">
        <v>1111</v>
      </c>
      <c r="C171" s="41"/>
      <c r="D171" s="165" t="s">
        <v>1112</v>
      </c>
      <c r="E171" s="165">
        <v>87.35</v>
      </c>
      <c r="F171" s="166">
        <f t="shared" si="6"/>
        <v>17.47</v>
      </c>
      <c r="G171" s="167">
        <f t="shared" si="7"/>
        <v>4820.6718000000001</v>
      </c>
      <c r="H171" s="167">
        <f t="shared" si="8"/>
        <v>50685.920639999989</v>
      </c>
    </row>
    <row r="172" spans="2:8" x14ac:dyDescent="0.25">
      <c r="B172" s="163" t="s">
        <v>1053</v>
      </c>
      <c r="C172" s="41"/>
      <c r="D172" s="165" t="s">
        <v>1058</v>
      </c>
      <c r="E172" s="165">
        <v>88.35</v>
      </c>
      <c r="F172" s="166">
        <f t="shared" si="6"/>
        <v>17.669999999999998</v>
      </c>
      <c r="G172" s="167">
        <f t="shared" si="7"/>
        <v>4875.8597999999993</v>
      </c>
      <c r="H172" s="167">
        <f t="shared" si="8"/>
        <v>51266.183039999989</v>
      </c>
    </row>
    <row r="173" spans="2:8" x14ac:dyDescent="0.25">
      <c r="B173" s="169" t="s">
        <v>1113</v>
      </c>
      <c r="C173" s="41"/>
      <c r="D173" s="165" t="s">
        <v>1114</v>
      </c>
      <c r="E173" s="165">
        <v>89.35</v>
      </c>
      <c r="F173" s="166">
        <f t="shared" si="6"/>
        <v>17.87</v>
      </c>
      <c r="G173" s="167">
        <f t="shared" si="7"/>
        <v>4931.0478000000003</v>
      </c>
      <c r="H173" s="167">
        <f t="shared" si="8"/>
        <v>51846.445440000003</v>
      </c>
    </row>
    <row r="174" spans="2:8" x14ac:dyDescent="0.25">
      <c r="B174" s="156" t="s">
        <v>1115</v>
      </c>
      <c r="C174" s="41"/>
      <c r="D174" s="165" t="s">
        <v>1116</v>
      </c>
      <c r="E174" s="165">
        <v>90.35</v>
      </c>
      <c r="F174" s="166">
        <f t="shared" si="6"/>
        <v>18.07</v>
      </c>
      <c r="G174" s="167">
        <f t="shared" si="7"/>
        <v>4986.2358000000004</v>
      </c>
      <c r="H174" s="167">
        <f t="shared" si="8"/>
        <v>52426.707840000003</v>
      </c>
    </row>
    <row r="175" spans="2:8" x14ac:dyDescent="0.25">
      <c r="B175" s="163" t="s">
        <v>968</v>
      </c>
      <c r="C175" s="41"/>
      <c r="D175" s="165" t="s">
        <v>1117</v>
      </c>
      <c r="E175" s="165">
        <v>91.35</v>
      </c>
      <c r="F175" s="166">
        <f t="shared" si="6"/>
        <v>18.27</v>
      </c>
      <c r="G175" s="167">
        <f t="shared" si="7"/>
        <v>5041.4237999999996</v>
      </c>
      <c r="H175" s="167">
        <f t="shared" si="8"/>
        <v>53006.970240000002</v>
      </c>
    </row>
    <row r="176" spans="2:8" ht="45" x14ac:dyDescent="0.25">
      <c r="B176" s="163" t="s">
        <v>1118</v>
      </c>
      <c r="C176" s="41"/>
      <c r="D176" s="165" t="s">
        <v>952</v>
      </c>
      <c r="E176" s="165">
        <v>92.35</v>
      </c>
      <c r="F176" s="166">
        <f t="shared" si="6"/>
        <v>18.47</v>
      </c>
      <c r="G176" s="167">
        <f t="shared" si="7"/>
        <v>5096.6117999999988</v>
      </c>
      <c r="H176" s="167">
        <f t="shared" si="8"/>
        <v>53587.232639999987</v>
      </c>
    </row>
    <row r="177" spans="2:8" x14ac:dyDescent="0.25">
      <c r="B177" s="156" t="s">
        <v>1119</v>
      </c>
      <c r="C177" s="41"/>
      <c r="D177" s="165" t="s">
        <v>977</v>
      </c>
      <c r="E177" s="165">
        <v>93.35</v>
      </c>
      <c r="F177" s="166">
        <f t="shared" si="6"/>
        <v>18.669999999999998</v>
      </c>
      <c r="G177" s="167">
        <f t="shared" si="7"/>
        <v>5151.7997999999989</v>
      </c>
      <c r="H177" s="167">
        <f t="shared" si="8"/>
        <v>54167.495039999994</v>
      </c>
    </row>
    <row r="178" spans="2:8" ht="18.75" x14ac:dyDescent="0.3">
      <c r="B178" s="342" t="s">
        <v>218</v>
      </c>
      <c r="C178" s="342"/>
      <c r="D178" s="342"/>
      <c r="E178" s="342"/>
      <c r="F178" s="342"/>
      <c r="G178" s="44">
        <f>SUM(G7:G177)</f>
        <v>280242.24124679994</v>
      </c>
      <c r="H178" s="44">
        <f>SUM(H7:H177)</f>
        <v>2946546.9936806401</v>
      </c>
    </row>
  </sheetData>
  <sheetProtection algorithmName="SHA-512" hashValue="rs61IWgLkTZe8xtQ3BTPHwWfh+dvoeeZnA5ULbcCriRiqAecLlu59lzB6owB7UXuz6/4gd3G7v2S0wqVmf32eQ==" saltValue="wH48lJUdnRyB2Gwyp/6YjA==" spinCount="100000" sheet="1" objects="1" scenarios="1" selectLockedCells="1" selectUnlockedCells="1"/>
  <mergeCells count="15">
    <mergeCell ref="B74:B76"/>
    <mergeCell ref="F6:H6"/>
    <mergeCell ref="B12:B14"/>
    <mergeCell ref="C12:C14"/>
    <mergeCell ref="B32:B33"/>
    <mergeCell ref="C32:C33"/>
    <mergeCell ref="G125:G128"/>
    <mergeCell ref="H125:H128"/>
    <mergeCell ref="B178:F178"/>
    <mergeCell ref="B87:B89"/>
    <mergeCell ref="B125:B128"/>
    <mergeCell ref="C125:C128"/>
    <mergeCell ref="D125:D128"/>
    <mergeCell ref="E125:E128"/>
    <mergeCell ref="F125:F128"/>
  </mergeCells>
  <pageMargins left="0.7" right="0.7" top="0.75" bottom="0.75" header="0.3" footer="0.3"/>
  <pageSetup paperSize="9" orientation="portrait" horizontalDpi="4294967292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L_BASE_DE CONTAMINACION2018</vt:lpstr>
      <vt:lpstr>tabla PPT</vt:lpstr>
      <vt:lpstr>CARGAS SEC CAFETERO</vt:lpstr>
      <vt:lpstr>Resumen cargas Cafeteros</vt:lpstr>
      <vt:lpstr>LB_CC_PISCI_GARZON</vt:lpstr>
      <vt:lpstr>'L_BASE_DE CONTAMINACION2018'!Área_de_impresión</vt:lpstr>
      <vt:lpstr>'L_BASE_DE CONTAMINACION2018'!Títulos_a_imprimir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ZULMA</dc:creator>
  <cp:lastModifiedBy>ZULMA VIVIANA PLAZA ROCHA</cp:lastModifiedBy>
  <dcterms:created xsi:type="dcterms:W3CDTF">2009-07-17T22:29:39Z</dcterms:created>
  <dcterms:modified xsi:type="dcterms:W3CDTF">2018-09-25T21:00:02Z</dcterms:modified>
</cp:coreProperties>
</file>