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2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<sst xmlns="http://schemas.openxmlformats.org/spreadsheetml/2006/main" count="289" uniqueCount="131">
  <si>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</si>
  <si>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</si>
  <si>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</si>
  <si>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</si>
  <si>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</si>
  <si>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</si>
  <si>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</si>
  <si>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</si>
  <si>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</si>
  <si>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</si>
  <si>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</si>
  <si>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</si>
  <si>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</si>
  <si>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</si>
  <si>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</si>
  <si>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</si>
  <si>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</si>
  <si>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</si>
  <si>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</si>
  <si>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</si>
  <si>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</si>
  <si>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</si>
  <si>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</si>
  <si>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</si>
  <si>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</si>
  <si>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</si>
  <si>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</si>
  <si>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</si>
  <si>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</si>
  <si>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</si>
  <si>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No. corrientes hidricas reglamentadas por la CAM, con relación a las cuencas priorizadas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</si>
  <si>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</si>
  <si>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</si>
  <si>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</si>
  <si>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</si>
  <si>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</si>
  <si>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</si>
  <si>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</si>
  <si>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</si>
  <si>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</si>
  <si>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</si>
  <si>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</si>
  <si>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</si>
  <si>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</si>
  <si>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</si>
  <si>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</si>
  <si>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</si>
  <si>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</si>
  <si>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</si>
  <si>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</si>
  <si>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</si>
  <si>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</si>
  <si>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</si>
  <si>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</si>
  <si>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</si>
  <si>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</si>
  <si>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</si>
  <si>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</si>
  <si>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</si>
  <si>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</si>
  <si>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</si>
  <si>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</si>
  <si>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</si>
  <si>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</si>
  <si>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</si>
  <si>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</si>
  <si>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</si>
  <si>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</si>
  <si>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</si>
  <si>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No. acciones adquiridas en la Empresa Forestal del Huila</t>
  </si>
  <si>
    <t>Acción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</si>
  <si>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</si>
  <si>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</si>
  <si>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</si>
  <si>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1: PLANIFICACION Y GESTION DE AREAS PROTEGIDAS PARA LA CONSERVACION Y APROVECHAMIENTO SOSTENIBLE DE LA BIODIVERSIDAD Y LOS BIENES Y SERVICIOS AMBIENTALES</t>
  </si>
  <si>
    <t>P 2.1: Implementación del POMCH del Rio Las Ceibas</t>
  </si>
  <si>
    <t>P 2.2: Planificación y Ordenación de Cuencas Hidrograficas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</si>
  <si>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</si>
  <si>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</si>
  <si>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</si>
  <si>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>Cuencas con planes de ordenación y manejo POMCA- Formulados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</si>
  <si>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</si>
  <si>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</si>
  <si>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</si>
  <si>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</si>
  <si>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</si>
  <si>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</si>
  <si>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</si>
  <si>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</si>
  <si>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</si>
  <si>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</si>
  <si>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</si>
  <si>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</si>
  <si>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</si>
  <si>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</si>
  <si>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</si>
  <si>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</si>
  <si>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</si>
  <si>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</si>
  <si>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</si>
  <si>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</si>
  <si>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</si>
  <si>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Feria Bioexpo</t>
  </si>
  <si>
    <t>Feria</t>
  </si>
  <si>
    <t>P 3.1: Promoción y Apoyo a Procesos Competitivos Sostenibles y Aprovechamiento de la Oferta Natural de la Región.</t>
  </si>
  <si>
    <t>P 3.2: Estrategia y Acciones de Adaptación al Cambio Climático</t>
  </si>
  <si>
    <t>Estructuración del Nodo regional de cambio climático de la Región</t>
  </si>
  <si>
    <t>Nodo</t>
  </si>
  <si>
    <t>Asesoria y asistencia técnica y capacitación en procesos de seguimiento, revisión y ajuste de POTM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</si>
  <si>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</si>
  <si>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</si>
  <si>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</si>
  <si>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</si>
  <si>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</si>
  <si>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</si>
  <si>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Ondas Educativas</t>
  </si>
  <si>
    <t>Estudiante</t>
  </si>
  <si>
    <t>PROCEDA</t>
  </si>
  <si>
    <t>PAC Y ONG´S</t>
  </si>
  <si>
    <t>Persona</t>
  </si>
  <si>
    <t>Divulgación, promoción y comunicación sobre la gestion institucional</t>
  </si>
  <si>
    <t>Modernización tecnologica- Gobierno en linea- cumplimiento de fases</t>
  </si>
  <si>
    <t>Fortalecimiento del Sistema de Gestión de Calidad-MECI</t>
  </si>
  <si>
    <t>Sistema Fortalecido</t>
  </si>
  <si>
    <t>Proyecto REDD</t>
  </si>
  <si>
    <t>No. de has de areas protegidas declaradas en la jurisdicción de la Corporacion</t>
  </si>
  <si>
    <t>INFORME DE EJECUCION DEL PLAN DE ACCION 2007-2011</t>
  </si>
  <si>
    <t>PRESUPUESTO APROPIADO PAT VIGENCIA 2010</t>
  </si>
  <si>
    <t>VALOR TOTAL COMPROMETIDO PAT VIGENCIA 2010</t>
  </si>
  <si>
    <t>INDICE GLOBAL DE EJECUCION FINANCIERA PAT 2010</t>
  </si>
  <si>
    <t>A JUNIO 30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</si>
</sst>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4" fillId="24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3" fontId="13" fillId="24" borderId="0" xfId="0" applyNumberFormat="1" applyFont="1" applyFill="1" applyAlignment="1">
      <alignment vertical="center" wrapText="1"/>
    </xf>
    <xf numFmtId="3" fontId="4" fillId="24" borderId="0" xfId="0" applyNumberFormat="1" applyFont="1" applyFill="1" applyAlignment="1">
      <alignment vertical="center" wrapText="1"/>
    </xf>
    <xf numFmtId="0" fontId="12" fillId="24" borderId="0" xfId="0" applyFont="1" applyFill="1" applyAlignment="1">
      <alignment horizontal="center" vertical="center" wrapText="1"/>
    </xf>
    <xf numFmtId="4" fontId="12" fillId="24" borderId="0" xfId="0" applyNumberFormat="1" applyFont="1" applyFill="1" applyAlignment="1">
      <alignment horizontal="right" vertical="center" wrapText="1"/>
    </xf>
    <xf numFmtId="3" fontId="5" fillId="16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right" vertical="center" wrapText="1"/>
    </xf>
    <xf numFmtId="4" fontId="5" fillId="16" borderId="11" xfId="0" applyNumberFormat="1" applyFont="1" applyFill="1" applyBorder="1" applyAlignment="1">
      <alignment horizontal="center" vertical="center" wrapText="1"/>
    </xf>
    <xf numFmtId="4" fontId="5" fillId="16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87" fontId="7" fillId="0" borderId="1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 wrapText="1"/>
    </xf>
    <xf numFmtId="3" fontId="12" fillId="22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3" fontId="7" fillId="22" borderId="10" xfId="0" applyNumberFormat="1" applyFont="1" applyFill="1" applyBorder="1" applyAlignment="1">
      <alignment vertical="center" wrapText="1"/>
    </xf>
    <xf numFmtId="3" fontId="7" fillId="19" borderId="10" xfId="0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5" fillId="25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179" fontId="4" fillId="24" borderId="0" xfId="48" applyFont="1" applyFill="1" applyAlignment="1">
      <alignment vertical="center" wrapText="1"/>
    </xf>
    <xf numFmtId="179" fontId="11" fillId="0" borderId="0" xfId="48" applyFont="1" applyFill="1" applyAlignment="1">
      <alignment vertical="center" wrapText="1"/>
    </xf>
    <xf numFmtId="179" fontId="4" fillId="0" borderId="0" xfId="48" applyFont="1" applyFill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79" fontId="4" fillId="0" borderId="0" xfId="48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7" fillId="24" borderId="1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8" applyFont="1" applyAlignment="1">
      <alignment/>
    </xf>
    <xf numFmtId="0" fontId="10" fillId="16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2" fillId="25" borderId="10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3" fontId="12" fillId="22" borderId="10" xfId="0" applyNumberFormat="1" applyFont="1" applyFill="1" applyBorder="1" applyAlignment="1">
      <alignment vertical="center" wrapText="1"/>
    </xf>
    <xf numFmtId="0" fontId="11" fillId="24" borderId="0" xfId="0" applyFont="1" applyFill="1" applyAlignment="1">
      <alignment vertical="center" wrapText="1"/>
    </xf>
    <xf numFmtId="3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12" fillId="22" borderId="10" xfId="0" applyNumberFormat="1" applyFont="1" applyFill="1" applyBorder="1" applyAlignment="1">
      <alignment horizontal="center" vertical="center" wrapText="1"/>
    </xf>
    <xf numFmtId="179" fontId="11" fillId="0" borderId="0" xfId="48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13" fillId="19" borderId="0" xfId="0" applyNumberFormat="1" applyFont="1" applyFill="1" applyAlignment="1">
      <alignment vertical="center" wrapText="1"/>
    </xf>
    <xf numFmtId="3" fontId="12" fillId="25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3" fontId="13" fillId="11" borderId="0" xfId="0" applyNumberFormat="1" applyFont="1" applyFill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3" fontId="12" fillId="19" borderId="10" xfId="0" applyNumberFormat="1" applyFont="1" applyFill="1" applyBorder="1" applyAlignment="1">
      <alignment vertical="center" wrapText="1"/>
    </xf>
    <xf numFmtId="3" fontId="12" fillId="11" borderId="10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vertical="center" wrapText="1"/>
    </xf>
    <xf numFmtId="189" fontId="12" fillId="0" borderId="10" xfId="0" applyNumberFormat="1" applyFont="1" applyFill="1" applyBorder="1" applyAlignment="1">
      <alignment vertical="center" wrapText="1"/>
    </xf>
    <xf numFmtId="189" fontId="12" fillId="0" borderId="10" xfId="0" applyNumberFormat="1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9" fontId="7" fillId="0" borderId="0" xfId="48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187" fontId="7" fillId="0" borderId="11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3" fontId="5" fillId="16" borderId="24" xfId="0" applyNumberFormat="1" applyFont="1" applyFill="1" applyBorder="1" applyAlignment="1">
      <alignment horizontal="center" vertical="center" wrapText="1"/>
    </xf>
    <xf numFmtId="4" fontId="5" fillId="16" borderId="2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5" fillId="16" borderId="2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16" borderId="26" xfId="0" applyFont="1" applyFill="1" applyBorder="1" applyAlignment="1">
      <alignment vertical="center" wrapText="1"/>
    </xf>
    <xf numFmtId="0" fontId="5" fillId="16" borderId="27" xfId="0" applyFont="1" applyFill="1" applyBorder="1" applyAlignment="1">
      <alignment vertical="center" wrapText="1"/>
    </xf>
    <xf numFmtId="0" fontId="9" fillId="16" borderId="28" xfId="0" applyFont="1" applyFill="1" applyBorder="1" applyAlignment="1">
      <alignment vertical="center" wrapText="1"/>
    </xf>
    <xf numFmtId="0" fontId="9" fillId="16" borderId="29" xfId="0" applyFont="1" applyFill="1" applyBorder="1" applyAlignment="1">
      <alignment vertical="center" wrapText="1"/>
    </xf>
    <xf numFmtId="0" fontId="9" fillId="16" borderId="30" xfId="0" applyFont="1" applyFill="1" applyBorder="1" applyAlignment="1">
      <alignment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/>
    </xf>
    <xf numFmtId="0" fontId="4" fillId="24" borderId="32" xfId="0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186" fontId="4" fillId="0" borderId="0" xfId="48" applyNumberFormat="1" applyFont="1" applyFill="1" applyBorder="1" applyAlignment="1">
      <alignment vertical="center" wrapText="1"/>
    </xf>
    <xf numFmtId="186" fontId="11" fillId="0" borderId="0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8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0" fontId="5" fillId="16" borderId="23" xfId="0" applyFont="1" applyFill="1" applyBorder="1" applyAlignment="1">
      <alignment horizontal="center" vertical="center" wrapText="1"/>
    </xf>
    <xf numFmtId="4" fontId="5" fillId="16" borderId="23" xfId="0" applyNumberFormat="1" applyFont="1" applyFill="1" applyBorder="1" applyAlignment="1">
      <alignment horizontal="center" vertical="center" wrapText="1"/>
    </xf>
    <xf numFmtId="4" fontId="5" fillId="16" borderId="38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16" borderId="40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16" borderId="45" xfId="0" applyFont="1" applyFill="1" applyBorder="1" applyAlignment="1">
      <alignment horizontal="left" vertical="center" wrapText="1"/>
    </xf>
    <xf numFmtId="0" fontId="10" fillId="16" borderId="46" xfId="0" applyFont="1" applyFill="1" applyBorder="1" applyAlignment="1">
      <alignment horizontal="left" vertical="center" wrapText="1"/>
    </xf>
    <xf numFmtId="0" fontId="10" fillId="16" borderId="41" xfId="0" applyFont="1" applyFill="1" applyBorder="1" applyAlignment="1">
      <alignment horizontal="left" vertical="center" wrapText="1"/>
    </xf>
    <xf numFmtId="0" fontId="5" fillId="16" borderId="47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5" fillId="16" borderId="51" xfId="0" applyFont="1" applyFill="1" applyBorder="1" applyAlignment="1">
      <alignment horizontal="center" vertical="center" wrapText="1"/>
    </xf>
    <xf numFmtId="0" fontId="5" fillId="16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top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8" fillId="16" borderId="5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8" fillId="16" borderId="52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0" fillId="16" borderId="58" xfId="0" applyFont="1" applyFill="1" applyBorder="1" applyAlignment="1">
      <alignment horizontal="left" vertical="justify" wrapText="1"/>
    </xf>
    <xf numFmtId="0" fontId="10" fillId="16" borderId="59" xfId="0" applyFont="1" applyFill="1" applyBorder="1" applyAlignment="1">
      <alignment horizontal="left" vertical="justify" wrapText="1"/>
    </xf>
    <xf numFmtId="0" fontId="10" fillId="16" borderId="31" xfId="0" applyFont="1" applyFill="1" applyBorder="1" applyAlignment="1">
      <alignment horizontal="left" vertical="justify" wrapText="1"/>
    </xf>
    <xf numFmtId="0" fontId="10" fillId="16" borderId="60" xfId="0" applyFont="1" applyFill="1" applyBorder="1" applyAlignment="1">
      <alignment horizontal="left" vertical="justify" wrapText="1"/>
    </xf>
    <xf numFmtId="0" fontId="10" fillId="16" borderId="20" xfId="0" applyFont="1" applyFill="1" applyBorder="1" applyAlignment="1">
      <alignment horizontal="left" vertical="justify" wrapText="1"/>
    </xf>
    <xf numFmtId="0" fontId="10" fillId="16" borderId="34" xfId="0" applyFont="1" applyFill="1" applyBorder="1" applyAlignment="1">
      <alignment horizontal="left" vertical="justify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0" fontId="10" fillId="16" borderId="62" xfId="0" applyFont="1" applyFill="1" applyBorder="1" applyAlignment="1">
      <alignment horizontal="center" vertical="center" wrapText="1"/>
    </xf>
    <xf numFmtId="0" fontId="10" fillId="16" borderId="63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27" xfId="0" applyFont="1" applyBorder="1" applyAlignment="1">
      <alignment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lef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3" fontId="7" fillId="0" borderId="17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5" fillId="16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114300</xdr:rowOff>
    </xdr:from>
    <xdr:to>
      <xdr:col>0</xdr:col>
      <xdr:colOff>1371600</xdr:colOff>
      <xdr:row>2</xdr:row>
      <xdr:rowOff>295275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4875" y="11430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0"/>
  <sheetViews>
    <sheetView tabSelected="1" zoomScale="75" zoomScaleNormal="75" zoomScalePageLayoutView="0" workbookViewId="0" topLeftCell="C56">
      <selection activeCell="I61" sqref="I61"/>
    </sheetView>
  </sheetViews>
  <sheetFormatPr defaultColWidth="11.421875" defaultRowHeight="12.75"/>
  <cols>
    <col min="1" max="1" width="29.00390625" style="1" customWidth="1"/>
    <col min="2" max="2" width="17.140625" style="3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12" customWidth="1"/>
    <col min="7" max="7" width="15.140625" style="12" customWidth="1"/>
    <col min="8" max="8" width="18.140625" style="13" customWidth="1"/>
    <col min="9" max="9" width="22.140625" style="13" customWidth="1"/>
    <col min="10" max="10" width="19.7109375" style="13" customWidth="1"/>
    <col min="11" max="11" width="18.421875" style="10" hidden="1" customWidth="1"/>
    <col min="12" max="12" width="17.00390625" style="11" hidden="1" customWidth="1"/>
    <col min="13" max="14" width="14.421875" style="82" hidden="1" customWidth="1"/>
    <col min="15" max="15" width="14.421875" style="83" hidden="1" customWidth="1"/>
    <col min="16" max="17" width="14.421875" style="66" hidden="1" customWidth="1"/>
    <col min="18" max="19" width="0" style="1" hidden="1" customWidth="1"/>
    <col min="20" max="20" width="18.7109375" style="1" customWidth="1"/>
    <col min="21" max="21" width="16.57421875" style="48" bestFit="1" customWidth="1"/>
    <col min="22" max="22" width="21.00390625" style="67" bestFit="1" customWidth="1"/>
    <col min="23" max="16384" width="11.421875" style="1" customWidth="1"/>
  </cols>
  <sheetData>
    <row r="1" spans="1:22" s="60" customFormat="1" ht="28.5" customHeight="1">
      <c r="A1" s="188" t="s">
        <v>126</v>
      </c>
      <c r="B1" s="189"/>
      <c r="C1" s="189"/>
      <c r="D1" s="189"/>
      <c r="E1" s="189"/>
      <c r="F1" s="189"/>
      <c r="G1" s="189"/>
      <c r="H1" s="189"/>
      <c r="I1" s="190"/>
      <c r="J1" s="123" t="s">
        <v>14</v>
      </c>
      <c r="K1" s="58"/>
      <c r="L1" s="59"/>
      <c r="M1" s="31"/>
      <c r="N1" s="31"/>
      <c r="O1" s="32"/>
      <c r="P1" s="37"/>
      <c r="Q1" s="37"/>
      <c r="U1" s="61"/>
      <c r="V1" s="46"/>
    </row>
    <row r="2" spans="1:22" s="60" customFormat="1" ht="28.5" customHeight="1">
      <c r="A2" s="191"/>
      <c r="B2" s="192"/>
      <c r="C2" s="192"/>
      <c r="D2" s="192"/>
      <c r="E2" s="192"/>
      <c r="F2" s="192"/>
      <c r="G2" s="192"/>
      <c r="H2" s="192"/>
      <c r="I2" s="193"/>
      <c r="J2" s="124" t="s">
        <v>13</v>
      </c>
      <c r="K2" s="58"/>
      <c r="L2" s="59"/>
      <c r="M2" s="31"/>
      <c r="N2" s="31"/>
      <c r="O2" s="32"/>
      <c r="P2" s="37"/>
      <c r="Q2" s="37"/>
      <c r="U2" s="61"/>
      <c r="V2" s="46"/>
    </row>
    <row r="3" spans="1:22" s="60" customFormat="1" ht="28.5" customHeight="1" thickBot="1">
      <c r="A3" s="194"/>
      <c r="B3" s="195"/>
      <c r="C3" s="195"/>
      <c r="D3" s="195"/>
      <c r="E3" s="195"/>
      <c r="F3" s="195"/>
      <c r="G3" s="195"/>
      <c r="H3" s="195"/>
      <c r="I3" s="196"/>
      <c r="J3" s="125" t="s">
        <v>66</v>
      </c>
      <c r="K3" s="58"/>
      <c r="L3" s="59"/>
      <c r="M3" s="31"/>
      <c r="N3" s="31"/>
      <c r="O3" s="32"/>
      <c r="P3" s="37"/>
      <c r="Q3" s="37"/>
      <c r="U3" s="61"/>
      <c r="V3" s="46"/>
    </row>
    <row r="4" spans="1:22" s="60" customFormat="1" ht="8.25" customHeight="1" thickBot="1">
      <c r="A4" s="127"/>
      <c r="B4" s="203"/>
      <c r="C4" s="204"/>
      <c r="D4" s="204"/>
      <c r="E4" s="204"/>
      <c r="F4" s="205"/>
      <c r="G4" s="204"/>
      <c r="H4" s="204"/>
      <c r="I4" s="204"/>
      <c r="J4" s="176"/>
      <c r="K4" s="58"/>
      <c r="L4" s="59"/>
      <c r="M4" s="31"/>
      <c r="N4" s="31"/>
      <c r="O4" s="32"/>
      <c r="P4" s="37"/>
      <c r="Q4" s="37"/>
      <c r="U4" s="61"/>
      <c r="V4" s="46"/>
    </row>
    <row r="5" spans="1:22" s="60" customFormat="1" ht="39" customHeight="1" thickBot="1">
      <c r="A5" s="207" t="s">
        <v>4</v>
      </c>
      <c r="B5" s="208"/>
      <c r="C5" s="175">
        <v>2010</v>
      </c>
      <c r="D5" s="175"/>
      <c r="E5" s="176"/>
      <c r="F5" s="63"/>
      <c r="G5" s="62" t="s">
        <v>5</v>
      </c>
      <c r="H5" s="177" t="s">
        <v>130</v>
      </c>
      <c r="I5" s="175"/>
      <c r="J5" s="176"/>
      <c r="K5" s="58"/>
      <c r="L5" s="59"/>
      <c r="M5" s="31"/>
      <c r="N5" s="31"/>
      <c r="O5" s="32"/>
      <c r="P5" s="37"/>
      <c r="Q5" s="37"/>
      <c r="U5" s="61"/>
      <c r="V5" s="46"/>
    </row>
    <row r="6" spans="1:15" ht="8.25" customHeight="1" thickBot="1">
      <c r="A6" s="128"/>
      <c r="B6" s="183"/>
      <c r="C6" s="184"/>
      <c r="D6" s="184"/>
      <c r="E6" s="184"/>
      <c r="F6" s="185"/>
      <c r="G6" s="184"/>
      <c r="H6" s="184"/>
      <c r="I6" s="184"/>
      <c r="J6" s="186"/>
      <c r="M6" s="64"/>
      <c r="N6" s="64"/>
      <c r="O6" s="65"/>
    </row>
    <row r="7" spans="1:21" s="47" customFormat="1" ht="15.75" customHeight="1">
      <c r="A7" s="178" t="s">
        <v>73</v>
      </c>
      <c r="B7" s="178" t="s">
        <v>0</v>
      </c>
      <c r="C7" s="153" t="s">
        <v>2</v>
      </c>
      <c r="D7" s="173" t="s">
        <v>20</v>
      </c>
      <c r="E7" s="153" t="s">
        <v>3</v>
      </c>
      <c r="F7" s="153" t="s">
        <v>6</v>
      </c>
      <c r="G7" s="153"/>
      <c r="H7" s="154" t="s">
        <v>7</v>
      </c>
      <c r="I7" s="154"/>
      <c r="J7" s="155"/>
      <c r="K7" s="68"/>
      <c r="L7" s="69"/>
      <c r="M7" s="64"/>
      <c r="N7" s="64"/>
      <c r="O7" s="65"/>
      <c r="P7" s="70"/>
      <c r="Q7" s="70"/>
      <c r="U7" s="71"/>
    </row>
    <row r="8" spans="1:21" s="6" customFormat="1" ht="45.75" customHeight="1" thickBot="1">
      <c r="A8" s="148"/>
      <c r="B8" s="179"/>
      <c r="C8" s="149"/>
      <c r="D8" s="174"/>
      <c r="E8" s="149"/>
      <c r="F8" s="115" t="s">
        <v>8</v>
      </c>
      <c r="G8" s="115" t="s">
        <v>9</v>
      </c>
      <c r="H8" s="22" t="s">
        <v>10</v>
      </c>
      <c r="I8" s="22" t="s">
        <v>11</v>
      </c>
      <c r="J8" s="23" t="s">
        <v>12</v>
      </c>
      <c r="K8" s="72"/>
      <c r="L8" s="73"/>
      <c r="M8" s="74" t="s">
        <v>61</v>
      </c>
      <c r="N8" s="74" t="s">
        <v>61</v>
      </c>
      <c r="O8" s="75" t="s">
        <v>62</v>
      </c>
      <c r="P8" s="76" t="s">
        <v>65</v>
      </c>
      <c r="Q8" s="76" t="s">
        <v>65</v>
      </c>
      <c r="U8" s="49"/>
    </row>
    <row r="9" spans="1:22" s="4" customFormat="1" ht="35.25" customHeight="1">
      <c r="A9" s="220" t="s">
        <v>74</v>
      </c>
      <c r="B9" s="156" t="s">
        <v>71</v>
      </c>
      <c r="C9" s="5" t="s">
        <v>125</v>
      </c>
      <c r="D9" s="5"/>
      <c r="E9" s="88" t="s">
        <v>33</v>
      </c>
      <c r="F9" s="78">
        <v>45467</v>
      </c>
      <c r="G9" s="78">
        <v>0</v>
      </c>
      <c r="H9" s="79">
        <v>0</v>
      </c>
      <c r="I9" s="79">
        <v>0</v>
      </c>
      <c r="J9" s="80">
        <f aca="true" t="shared" si="0" ref="J9:J16">+H9-I9</f>
        <v>0</v>
      </c>
      <c r="K9" s="81" t="s">
        <v>63</v>
      </c>
      <c r="L9" s="26"/>
      <c r="M9" s="82"/>
      <c r="N9" s="82"/>
      <c r="O9" s="83"/>
      <c r="P9" s="66"/>
      <c r="Q9" s="66"/>
      <c r="T9" s="26"/>
      <c r="U9" s="50"/>
      <c r="V9" s="6"/>
    </row>
    <row r="10" spans="1:22" s="4" customFormat="1" ht="35.25" customHeight="1">
      <c r="A10" s="220"/>
      <c r="B10" s="157"/>
      <c r="C10" s="17" t="s">
        <v>15</v>
      </c>
      <c r="D10" s="19">
        <v>2</v>
      </c>
      <c r="E10" s="88" t="s">
        <v>21</v>
      </c>
      <c r="F10" s="78">
        <v>292467</v>
      </c>
      <c r="G10" s="78">
        <f>73117+73117</f>
        <v>146234</v>
      </c>
      <c r="H10" s="79">
        <v>890037268</v>
      </c>
      <c r="I10" s="79">
        <v>598874319</v>
      </c>
      <c r="J10" s="80">
        <f t="shared" si="0"/>
        <v>291162949</v>
      </c>
      <c r="K10" s="81"/>
      <c r="L10" s="26"/>
      <c r="M10" s="82"/>
      <c r="N10" s="82"/>
      <c r="O10" s="83"/>
      <c r="P10" s="66"/>
      <c r="Q10" s="66"/>
      <c r="T10" s="26"/>
      <c r="U10" s="50"/>
      <c r="V10" s="6"/>
    </row>
    <row r="11" spans="1:22" s="4" customFormat="1" ht="33.75" customHeight="1">
      <c r="A11" s="220"/>
      <c r="B11" s="157"/>
      <c r="C11" s="17" t="s">
        <v>16</v>
      </c>
      <c r="D11" s="19">
        <v>4</v>
      </c>
      <c r="E11" s="88" t="s">
        <v>21</v>
      </c>
      <c r="F11" s="78">
        <v>20000</v>
      </c>
      <c r="G11" s="78">
        <f>5000+5000</f>
        <v>10000</v>
      </c>
      <c r="H11" s="84">
        <v>20080000</v>
      </c>
      <c r="I11" s="84">
        <v>0</v>
      </c>
      <c r="J11" s="80">
        <f t="shared" si="0"/>
        <v>20080000</v>
      </c>
      <c r="K11" s="81">
        <v>118606003</v>
      </c>
      <c r="L11" s="26"/>
      <c r="M11" s="82">
        <v>35046</v>
      </c>
      <c r="N11" s="82">
        <v>255412</v>
      </c>
      <c r="O11" s="83">
        <v>615140</v>
      </c>
      <c r="P11" s="66"/>
      <c r="Q11" s="66"/>
      <c r="U11" s="50"/>
      <c r="V11" s="6"/>
    </row>
    <row r="12" spans="1:22" s="4" customFormat="1" ht="24">
      <c r="A12" s="220"/>
      <c r="B12" s="157"/>
      <c r="C12" s="17" t="s">
        <v>17</v>
      </c>
      <c r="D12" s="19">
        <v>4</v>
      </c>
      <c r="E12" s="88" t="s">
        <v>21</v>
      </c>
      <c r="F12" s="78">
        <v>4145</v>
      </c>
      <c r="G12" s="78">
        <v>2073</v>
      </c>
      <c r="H12" s="79">
        <v>20080000</v>
      </c>
      <c r="I12" s="84">
        <v>0</v>
      </c>
      <c r="J12" s="80">
        <f t="shared" si="0"/>
        <v>20080000</v>
      </c>
      <c r="K12" s="81">
        <v>304866161</v>
      </c>
      <c r="L12" s="26"/>
      <c r="M12" s="82">
        <v>79222</v>
      </c>
      <c r="N12" s="82"/>
      <c r="O12" s="83">
        <v>165962</v>
      </c>
      <c r="P12" s="66"/>
      <c r="Q12" s="66"/>
      <c r="U12" s="50"/>
      <c r="V12" s="6"/>
    </row>
    <row r="13" spans="1:22" s="4" customFormat="1" ht="24">
      <c r="A13" s="220"/>
      <c r="B13" s="157"/>
      <c r="C13" s="17" t="s">
        <v>19</v>
      </c>
      <c r="D13" s="19">
        <v>5</v>
      </c>
      <c r="E13" s="88" t="s">
        <v>22</v>
      </c>
      <c r="F13" s="78">
        <v>3</v>
      </c>
      <c r="G13" s="78">
        <v>0</v>
      </c>
      <c r="H13" s="79">
        <v>30120000</v>
      </c>
      <c r="I13" s="79">
        <v>0</v>
      </c>
      <c r="J13" s="80">
        <f t="shared" si="0"/>
        <v>30120000</v>
      </c>
      <c r="K13" s="81">
        <f>SUM(K11:K12)</f>
        <v>423472164</v>
      </c>
      <c r="L13" s="26"/>
      <c r="M13" s="82">
        <v>255412</v>
      </c>
      <c r="N13" s="82"/>
      <c r="O13" s="83">
        <v>489303</v>
      </c>
      <c r="P13" s="66"/>
      <c r="Q13" s="66"/>
      <c r="U13" s="50"/>
      <c r="V13" s="6"/>
    </row>
    <row r="14" spans="1:24" s="4" customFormat="1" ht="36" customHeight="1">
      <c r="A14" s="220"/>
      <c r="B14" s="157"/>
      <c r="C14" s="16" t="s">
        <v>67</v>
      </c>
      <c r="D14" s="20"/>
      <c r="E14" s="88" t="s">
        <v>21</v>
      </c>
      <c r="F14" s="78">
        <v>8000</v>
      </c>
      <c r="G14" s="78">
        <f>2000+2000</f>
        <v>4000</v>
      </c>
      <c r="H14" s="79">
        <v>1132776000</v>
      </c>
      <c r="I14" s="79">
        <v>0</v>
      </c>
      <c r="J14" s="80">
        <f t="shared" si="0"/>
        <v>1132776000</v>
      </c>
      <c r="K14" s="85" t="s">
        <v>64</v>
      </c>
      <c r="L14" s="26"/>
      <c r="M14" s="82">
        <v>85137</v>
      </c>
      <c r="N14" s="82"/>
      <c r="O14" s="83">
        <v>341394</v>
      </c>
      <c r="P14" s="66"/>
      <c r="Q14" s="66"/>
      <c r="T14" s="51"/>
      <c r="U14" s="52"/>
      <c r="V14" s="86"/>
      <c r="W14" s="53"/>
      <c r="X14" s="53"/>
    </row>
    <row r="15" spans="1:24" s="4" customFormat="1" ht="18">
      <c r="A15" s="220"/>
      <c r="B15" s="157"/>
      <c r="C15" s="4" t="s">
        <v>94</v>
      </c>
      <c r="E15" s="138" t="s">
        <v>95</v>
      </c>
      <c r="F15" s="78">
        <v>4</v>
      </c>
      <c r="G15" s="78">
        <f>1+1</f>
        <v>2</v>
      </c>
      <c r="H15" s="79">
        <v>3194090</v>
      </c>
      <c r="I15" s="79">
        <v>0</v>
      </c>
      <c r="J15" s="80">
        <f t="shared" si="0"/>
        <v>3194090</v>
      </c>
      <c r="K15" s="81">
        <v>474190061</v>
      </c>
      <c r="L15" s="26"/>
      <c r="M15" s="82">
        <v>425685</v>
      </c>
      <c r="N15" s="82"/>
      <c r="O15" s="83">
        <v>197989</v>
      </c>
      <c r="P15" s="66"/>
      <c r="Q15" s="66"/>
      <c r="T15" s="53"/>
      <c r="U15" s="52"/>
      <c r="V15" s="87"/>
      <c r="W15" s="53"/>
      <c r="X15" s="53"/>
    </row>
    <row r="16" spans="1:24" s="4" customFormat="1" ht="21" customHeight="1">
      <c r="A16" s="220"/>
      <c r="B16" s="157"/>
      <c r="C16" s="5" t="s">
        <v>59</v>
      </c>
      <c r="D16" s="20"/>
      <c r="E16" s="88" t="s">
        <v>1</v>
      </c>
      <c r="F16" s="78">
        <v>100</v>
      </c>
      <c r="G16" s="78">
        <f>+I16/H16*100</f>
        <v>34.91581438902103</v>
      </c>
      <c r="H16" s="89">
        <v>162020265</v>
      </c>
      <c r="I16" s="89">
        <v>56570695</v>
      </c>
      <c r="J16" s="80">
        <f t="shared" si="0"/>
        <v>105449570</v>
      </c>
      <c r="K16" s="85">
        <f>SUM(K15:K15)</f>
        <v>474190061</v>
      </c>
      <c r="L16" s="26"/>
      <c r="M16" s="82">
        <v>1097149</v>
      </c>
      <c r="N16" s="82"/>
      <c r="O16" s="83">
        <v>278352</v>
      </c>
      <c r="P16" s="66"/>
      <c r="Q16" s="66"/>
      <c r="T16" s="53"/>
      <c r="U16" s="52"/>
      <c r="V16" s="87"/>
      <c r="W16" s="53"/>
      <c r="X16" s="53"/>
    </row>
    <row r="17" spans="1:24" s="4" customFormat="1" ht="15" customHeight="1">
      <c r="A17" s="220"/>
      <c r="B17" s="157"/>
      <c r="C17" s="162" t="s">
        <v>23</v>
      </c>
      <c r="D17" s="163"/>
      <c r="E17" s="163"/>
      <c r="F17" s="163"/>
      <c r="G17" s="164"/>
      <c r="H17" s="57">
        <f>SUM(H9:H16)</f>
        <v>2258307623</v>
      </c>
      <c r="I17" s="15"/>
      <c r="J17" s="165">
        <f>SUM(J9:J16)</f>
        <v>1602862609</v>
      </c>
      <c r="K17" s="90">
        <f>675436154-K16</f>
        <v>201246093</v>
      </c>
      <c r="L17" s="26"/>
      <c r="M17" s="82">
        <v>210274</v>
      </c>
      <c r="N17" s="82"/>
      <c r="O17" s="83"/>
      <c r="P17" s="66"/>
      <c r="Q17" s="66"/>
      <c r="T17" s="54"/>
      <c r="U17" s="52"/>
      <c r="V17" s="87"/>
      <c r="W17" s="53"/>
      <c r="X17" s="53"/>
    </row>
    <row r="18" spans="1:24" s="4" customFormat="1" ht="15" customHeight="1">
      <c r="A18" s="220"/>
      <c r="B18" s="157"/>
      <c r="C18" s="162" t="s">
        <v>24</v>
      </c>
      <c r="D18" s="163"/>
      <c r="E18" s="163"/>
      <c r="F18" s="163"/>
      <c r="G18" s="163"/>
      <c r="H18" s="164"/>
      <c r="I18" s="29">
        <f>SUM(I9:I16)</f>
        <v>655445014</v>
      </c>
      <c r="J18" s="215"/>
      <c r="K18" s="42">
        <v>11</v>
      </c>
      <c r="L18" s="26"/>
      <c r="M18" s="82">
        <v>105137</v>
      </c>
      <c r="N18" s="82"/>
      <c r="O18" s="83"/>
      <c r="P18" s="66"/>
      <c r="Q18" s="66"/>
      <c r="T18" s="51"/>
      <c r="U18" s="52"/>
      <c r="V18" s="87"/>
      <c r="W18" s="53"/>
      <c r="X18" s="53"/>
    </row>
    <row r="19" spans="1:24" s="4" customFormat="1" ht="24" customHeight="1" thickBot="1">
      <c r="A19" s="220"/>
      <c r="B19" s="206"/>
      <c r="C19" s="162" t="s">
        <v>25</v>
      </c>
      <c r="D19" s="163"/>
      <c r="E19" s="163"/>
      <c r="F19" s="163"/>
      <c r="G19" s="163"/>
      <c r="H19" s="164"/>
      <c r="I19" s="21">
        <f>+I18/H17</f>
        <v>0.290237258788193</v>
      </c>
      <c r="J19" s="216"/>
      <c r="K19" s="41"/>
      <c r="L19" s="26"/>
      <c r="M19" s="40"/>
      <c r="N19" s="40">
        <f>SUM(M11:N18)</f>
        <v>2548474</v>
      </c>
      <c r="O19" s="83"/>
      <c r="P19" s="66"/>
      <c r="Q19" s="66"/>
      <c r="T19" s="53"/>
      <c r="U19" s="52"/>
      <c r="V19" s="87"/>
      <c r="W19" s="53"/>
      <c r="X19" s="53"/>
    </row>
    <row r="20" spans="1:24" s="4" customFormat="1" ht="24" customHeight="1">
      <c r="A20" s="220"/>
      <c r="B20" s="160" t="s">
        <v>0</v>
      </c>
      <c r="C20" s="153" t="s">
        <v>2</v>
      </c>
      <c r="D20" s="173" t="s">
        <v>20</v>
      </c>
      <c r="E20" s="153" t="s">
        <v>3</v>
      </c>
      <c r="F20" s="153" t="s">
        <v>6</v>
      </c>
      <c r="G20" s="153"/>
      <c r="H20" s="154" t="s">
        <v>7</v>
      </c>
      <c r="I20" s="154"/>
      <c r="J20" s="155"/>
      <c r="K20" s="41"/>
      <c r="L20" s="26"/>
      <c r="M20" s="40"/>
      <c r="N20" s="40"/>
      <c r="O20" s="83"/>
      <c r="P20" s="66"/>
      <c r="Q20" s="66"/>
      <c r="T20" s="53"/>
      <c r="U20" s="52"/>
      <c r="V20" s="87"/>
      <c r="W20" s="53"/>
      <c r="X20" s="53"/>
    </row>
    <row r="21" spans="1:24" s="4" customFormat="1" ht="40.5" customHeight="1" thickBot="1">
      <c r="A21" s="220"/>
      <c r="B21" s="221"/>
      <c r="C21" s="187"/>
      <c r="D21" s="174"/>
      <c r="E21" s="187"/>
      <c r="F21" s="14" t="s">
        <v>8</v>
      </c>
      <c r="G21" s="14" t="s">
        <v>9</v>
      </c>
      <c r="H21" s="22" t="s">
        <v>10</v>
      </c>
      <c r="I21" s="22" t="s">
        <v>11</v>
      </c>
      <c r="J21" s="23" t="s">
        <v>12</v>
      </c>
      <c r="K21" s="41"/>
      <c r="L21" s="26"/>
      <c r="M21" s="40"/>
      <c r="N21" s="40"/>
      <c r="O21" s="83"/>
      <c r="P21" s="66"/>
      <c r="Q21" s="66"/>
      <c r="T21" s="53"/>
      <c r="U21" s="52"/>
      <c r="V21" s="87"/>
      <c r="W21" s="53"/>
      <c r="X21" s="53"/>
    </row>
    <row r="22" spans="1:24" s="4" customFormat="1" ht="36" customHeight="1">
      <c r="A22" s="220"/>
      <c r="B22" s="225" t="s">
        <v>72</v>
      </c>
      <c r="C22" s="17" t="s">
        <v>18</v>
      </c>
      <c r="D22" s="19">
        <v>4</v>
      </c>
      <c r="E22" s="88" t="s">
        <v>21</v>
      </c>
      <c r="F22" s="78">
        <v>56576</v>
      </c>
      <c r="G22" s="78">
        <v>18858</v>
      </c>
      <c r="H22" s="79">
        <v>78808425</v>
      </c>
      <c r="I22" s="79">
        <v>42051195</v>
      </c>
      <c r="J22" s="80">
        <f>+H22-I22</f>
        <v>36757230</v>
      </c>
      <c r="K22" s="41"/>
      <c r="L22" s="26"/>
      <c r="M22" s="40"/>
      <c r="N22" s="40"/>
      <c r="O22" s="83"/>
      <c r="P22" s="66"/>
      <c r="Q22" s="66"/>
      <c r="T22" s="53"/>
      <c r="U22" s="52"/>
      <c r="V22" s="87"/>
      <c r="W22" s="53"/>
      <c r="X22" s="53"/>
    </row>
    <row r="23" spans="1:24" s="4" customFormat="1" ht="27.75" customHeight="1">
      <c r="A23" s="220"/>
      <c r="B23" s="226"/>
      <c r="C23" s="5" t="s">
        <v>59</v>
      </c>
      <c r="D23" s="20"/>
      <c r="E23" s="88" t="s">
        <v>1</v>
      </c>
      <c r="F23" s="78">
        <v>100</v>
      </c>
      <c r="G23" s="113">
        <f>+I23/H23*100</f>
        <v>20.788053743055908</v>
      </c>
      <c r="H23" s="89">
        <v>21191575</v>
      </c>
      <c r="I23" s="89">
        <v>4405316</v>
      </c>
      <c r="J23" s="80">
        <f>+H23-I23</f>
        <v>16786259</v>
      </c>
      <c r="K23" s="41"/>
      <c r="L23" s="26"/>
      <c r="M23" s="40"/>
      <c r="N23" s="40"/>
      <c r="O23" s="83"/>
      <c r="P23" s="66"/>
      <c r="Q23" s="66"/>
      <c r="T23" s="54"/>
      <c r="U23" s="52"/>
      <c r="V23" s="87"/>
      <c r="W23" s="53"/>
      <c r="X23" s="53"/>
    </row>
    <row r="24" spans="1:24" s="4" customFormat="1" ht="24" customHeight="1">
      <c r="A24" s="220"/>
      <c r="B24" s="226"/>
      <c r="C24" s="162" t="s">
        <v>23</v>
      </c>
      <c r="D24" s="163"/>
      <c r="E24" s="163"/>
      <c r="F24" s="163"/>
      <c r="G24" s="164"/>
      <c r="H24" s="57">
        <f>+H22+H23</f>
        <v>100000000</v>
      </c>
      <c r="I24" s="15"/>
      <c r="J24" s="165">
        <f>SUM(J22:J23)</f>
        <v>53543489</v>
      </c>
      <c r="K24" s="41"/>
      <c r="L24" s="26"/>
      <c r="M24" s="40"/>
      <c r="N24" s="40"/>
      <c r="O24" s="83"/>
      <c r="P24" s="66"/>
      <c r="Q24" s="66"/>
      <c r="T24" s="54"/>
      <c r="U24" s="52"/>
      <c r="V24" s="87"/>
      <c r="W24" s="53"/>
      <c r="X24" s="53"/>
    </row>
    <row r="25" spans="1:24" s="4" customFormat="1" ht="24" customHeight="1">
      <c r="A25" s="220"/>
      <c r="B25" s="226"/>
      <c r="C25" s="162" t="s">
        <v>24</v>
      </c>
      <c r="D25" s="163"/>
      <c r="E25" s="163"/>
      <c r="F25" s="163"/>
      <c r="G25" s="163"/>
      <c r="H25" s="164"/>
      <c r="I25" s="29">
        <f>SUM(I22:I23)</f>
        <v>46456511</v>
      </c>
      <c r="J25" s="215"/>
      <c r="K25" s="41"/>
      <c r="L25" s="26"/>
      <c r="M25" s="40"/>
      <c r="N25" s="40"/>
      <c r="O25" s="83"/>
      <c r="P25" s="66"/>
      <c r="Q25" s="66"/>
      <c r="T25" s="53"/>
      <c r="U25" s="52"/>
      <c r="V25" s="87"/>
      <c r="W25" s="53"/>
      <c r="X25" s="53"/>
    </row>
    <row r="26" spans="1:24" s="4" customFormat="1" ht="24" customHeight="1" thickBot="1">
      <c r="A26" s="220"/>
      <c r="B26" s="227"/>
      <c r="C26" s="162" t="s">
        <v>25</v>
      </c>
      <c r="D26" s="163"/>
      <c r="E26" s="163"/>
      <c r="F26" s="163"/>
      <c r="G26" s="163"/>
      <c r="H26" s="164"/>
      <c r="I26" s="21">
        <f>+I25/H24</f>
        <v>0.46456511</v>
      </c>
      <c r="J26" s="216"/>
      <c r="K26" s="41"/>
      <c r="L26" s="26"/>
      <c r="M26" s="40"/>
      <c r="N26" s="40"/>
      <c r="O26" s="83"/>
      <c r="P26" s="66"/>
      <c r="Q26" s="66"/>
      <c r="T26" s="53"/>
      <c r="U26" s="52"/>
      <c r="V26" s="87"/>
      <c r="W26" s="53"/>
      <c r="X26" s="53"/>
    </row>
    <row r="27" spans="1:24" s="4" customFormat="1" ht="17.25" customHeight="1">
      <c r="A27" s="178" t="s">
        <v>73</v>
      </c>
      <c r="B27" s="178" t="s">
        <v>0</v>
      </c>
      <c r="C27" s="153" t="s">
        <v>2</v>
      </c>
      <c r="D27" s="173" t="s">
        <v>20</v>
      </c>
      <c r="E27" s="153" t="s">
        <v>3</v>
      </c>
      <c r="F27" s="153" t="s">
        <v>6</v>
      </c>
      <c r="G27" s="153"/>
      <c r="H27" s="154" t="s">
        <v>7</v>
      </c>
      <c r="I27" s="154"/>
      <c r="J27" s="155"/>
      <c r="K27" s="72"/>
      <c r="L27" s="26"/>
      <c r="M27" s="82"/>
      <c r="N27" s="82"/>
      <c r="O27" s="83"/>
      <c r="P27" s="66"/>
      <c r="Q27" s="66"/>
      <c r="T27" s="53"/>
      <c r="U27" s="52"/>
      <c r="V27" s="87"/>
      <c r="W27" s="53"/>
      <c r="X27" s="53"/>
    </row>
    <row r="28" spans="1:24" s="4" customFormat="1" ht="51.75" customHeight="1" thickBot="1">
      <c r="A28" s="148"/>
      <c r="B28" s="179"/>
      <c r="C28" s="187"/>
      <c r="D28" s="174"/>
      <c r="E28" s="187"/>
      <c r="F28" s="14" t="s">
        <v>8</v>
      </c>
      <c r="G28" s="14" t="s">
        <v>9</v>
      </c>
      <c r="H28" s="22" t="s">
        <v>10</v>
      </c>
      <c r="I28" s="22" t="s">
        <v>11</v>
      </c>
      <c r="J28" s="23" t="s">
        <v>12</v>
      </c>
      <c r="K28" s="72"/>
      <c r="L28" s="26"/>
      <c r="M28" s="82"/>
      <c r="N28" s="82"/>
      <c r="O28" s="83"/>
      <c r="P28" s="66"/>
      <c r="Q28" s="66"/>
      <c r="T28" s="53"/>
      <c r="U28" s="52"/>
      <c r="V28" s="87"/>
      <c r="W28" s="53"/>
      <c r="X28" s="53"/>
    </row>
    <row r="29" spans="1:24" s="4" customFormat="1" ht="36" customHeight="1">
      <c r="A29" s="222" t="s">
        <v>82</v>
      </c>
      <c r="B29" s="156" t="s">
        <v>75</v>
      </c>
      <c r="C29" s="17" t="s">
        <v>79</v>
      </c>
      <c r="D29" s="20">
        <v>7</v>
      </c>
      <c r="E29" s="77" t="s">
        <v>31</v>
      </c>
      <c r="F29" s="92">
        <v>1</v>
      </c>
      <c r="G29" s="93">
        <v>0</v>
      </c>
      <c r="H29" s="94">
        <f>1289371545+61450200</f>
        <v>1350821745</v>
      </c>
      <c r="I29" s="94">
        <v>366705372</v>
      </c>
      <c r="J29" s="80">
        <f>+H29-I29</f>
        <v>984116373</v>
      </c>
      <c r="K29" s="72"/>
      <c r="L29" s="26"/>
      <c r="M29" s="44">
        <f>75206</f>
        <v>75206</v>
      </c>
      <c r="N29" s="82">
        <v>340671</v>
      </c>
      <c r="O29" s="83"/>
      <c r="P29" s="66"/>
      <c r="Q29" s="66"/>
      <c r="T29" s="53"/>
      <c r="U29" s="52"/>
      <c r="V29" s="87"/>
      <c r="W29" s="53"/>
      <c r="X29" s="53"/>
    </row>
    <row r="30" spans="1:24" s="4" customFormat="1" ht="30.75" customHeight="1" hidden="1">
      <c r="A30" s="223"/>
      <c r="B30" s="157"/>
      <c r="C30" s="17" t="s">
        <v>26</v>
      </c>
      <c r="D30" s="20">
        <v>3</v>
      </c>
      <c r="E30" s="77" t="s">
        <v>32</v>
      </c>
      <c r="F30" s="92"/>
      <c r="G30" s="93"/>
      <c r="H30" s="94"/>
      <c r="I30" s="94"/>
      <c r="J30" s="80">
        <f>+H30-I30</f>
        <v>0</v>
      </c>
      <c r="K30" s="72"/>
      <c r="L30" s="26"/>
      <c r="M30" s="44">
        <f>35046*4</f>
        <v>140184</v>
      </c>
      <c r="N30" s="82">
        <v>70092</v>
      </c>
      <c r="O30" s="83"/>
      <c r="P30" s="66"/>
      <c r="Q30" s="66"/>
      <c r="T30" s="53"/>
      <c r="U30" s="52"/>
      <c r="V30" s="87"/>
      <c r="W30" s="53"/>
      <c r="X30" s="53"/>
    </row>
    <row r="31" spans="1:24" s="4" customFormat="1" ht="30.75" customHeight="1" hidden="1">
      <c r="A31" s="223"/>
      <c r="B31" s="157"/>
      <c r="C31" s="16" t="s">
        <v>27</v>
      </c>
      <c r="D31" s="95"/>
      <c r="E31" s="77" t="s">
        <v>32</v>
      </c>
      <c r="F31" s="92"/>
      <c r="G31" s="93"/>
      <c r="H31" s="94"/>
      <c r="I31" s="94"/>
      <c r="J31" s="80">
        <f>+H31-I31</f>
        <v>0</v>
      </c>
      <c r="K31" s="72"/>
      <c r="L31" s="26"/>
      <c r="M31" s="44">
        <v>65165</v>
      </c>
      <c r="N31" s="82">
        <v>266765</v>
      </c>
      <c r="O31" s="83"/>
      <c r="P31" s="66"/>
      <c r="Q31" s="66"/>
      <c r="T31" s="53"/>
      <c r="U31" s="52"/>
      <c r="V31" s="87"/>
      <c r="W31" s="53"/>
      <c r="X31" s="53"/>
    </row>
    <row r="32" spans="1:24" s="4" customFormat="1" ht="17.25" customHeight="1">
      <c r="A32" s="223"/>
      <c r="B32" s="157"/>
      <c r="C32" s="211" t="s">
        <v>23</v>
      </c>
      <c r="D32" s="212"/>
      <c r="E32" s="212"/>
      <c r="F32" s="212"/>
      <c r="G32" s="213"/>
      <c r="H32" s="57">
        <f>SUM(H29:H31)</f>
        <v>1350821745</v>
      </c>
      <c r="I32" s="30"/>
      <c r="J32" s="165">
        <f>SUM(J29:J31)</f>
        <v>984116373</v>
      </c>
      <c r="K32" s="43"/>
      <c r="L32" s="26"/>
      <c r="M32" s="82"/>
      <c r="N32" s="82"/>
      <c r="O32" s="83"/>
      <c r="P32" s="66"/>
      <c r="Q32" s="66"/>
      <c r="T32" s="53"/>
      <c r="U32" s="52"/>
      <c r="V32" s="86"/>
      <c r="W32" s="53"/>
      <c r="X32" s="53"/>
    </row>
    <row r="33" spans="1:24" s="4" customFormat="1" ht="16.5" customHeight="1">
      <c r="A33" s="223"/>
      <c r="B33" s="157"/>
      <c r="C33" s="211" t="s">
        <v>24</v>
      </c>
      <c r="D33" s="212"/>
      <c r="E33" s="212"/>
      <c r="F33" s="212"/>
      <c r="G33" s="212"/>
      <c r="H33" s="213"/>
      <c r="I33" s="29">
        <f>SUM(I29:I32)</f>
        <v>366705372</v>
      </c>
      <c r="J33" s="166"/>
      <c r="K33" s="42"/>
      <c r="L33" s="26"/>
      <c r="M33" s="82"/>
      <c r="N33" s="82"/>
      <c r="O33" s="83"/>
      <c r="P33" s="66"/>
      <c r="Q33" s="66"/>
      <c r="T33" s="53"/>
      <c r="U33" s="52"/>
      <c r="V33" s="87"/>
      <c r="W33" s="53"/>
      <c r="X33" s="53"/>
    </row>
    <row r="34" spans="1:24" s="4" customFormat="1" ht="18.75" thickBot="1">
      <c r="A34" s="223"/>
      <c r="B34" s="206"/>
      <c r="C34" s="162" t="s">
        <v>25</v>
      </c>
      <c r="D34" s="163"/>
      <c r="E34" s="163"/>
      <c r="F34" s="163"/>
      <c r="G34" s="163"/>
      <c r="H34" s="164"/>
      <c r="I34" s="21">
        <f>+I33/H32</f>
        <v>0.2714683660944472</v>
      </c>
      <c r="J34" s="214"/>
      <c r="K34" s="72"/>
      <c r="L34" s="26"/>
      <c r="M34" s="82"/>
      <c r="N34" s="82"/>
      <c r="O34" s="83"/>
      <c r="P34" s="66"/>
      <c r="Q34" s="66"/>
      <c r="T34" s="53"/>
      <c r="U34" s="52"/>
      <c r="V34" s="87"/>
      <c r="W34" s="53"/>
      <c r="X34" s="53"/>
    </row>
    <row r="35" spans="1:24" s="4" customFormat="1" ht="22.5" customHeight="1">
      <c r="A35" s="223"/>
      <c r="B35" s="156" t="s">
        <v>76</v>
      </c>
      <c r="C35" s="17" t="s">
        <v>80</v>
      </c>
      <c r="D35" s="20">
        <v>6</v>
      </c>
      <c r="E35" s="91" t="s">
        <v>31</v>
      </c>
      <c r="F35" s="92">
        <v>2</v>
      </c>
      <c r="G35" s="93">
        <v>0</v>
      </c>
      <c r="H35" s="94">
        <v>751441778</v>
      </c>
      <c r="I35" s="94">
        <v>580312000</v>
      </c>
      <c r="J35" s="80">
        <f>+H35-I35</f>
        <v>171129778</v>
      </c>
      <c r="K35" s="72"/>
      <c r="L35" s="26"/>
      <c r="M35" s="82"/>
      <c r="N35" s="82"/>
      <c r="O35" s="83"/>
      <c r="P35" s="66"/>
      <c r="Q35" s="66"/>
      <c r="T35" s="53"/>
      <c r="U35" s="52"/>
      <c r="V35" s="87"/>
      <c r="W35" s="53"/>
      <c r="X35" s="53"/>
    </row>
    <row r="36" spans="1:24" s="4" customFormat="1" ht="23.25" customHeight="1">
      <c r="A36" s="223"/>
      <c r="B36" s="209"/>
      <c r="C36" s="5" t="s">
        <v>59</v>
      </c>
      <c r="D36" s="20"/>
      <c r="E36" s="88" t="s">
        <v>1</v>
      </c>
      <c r="F36" s="78">
        <v>100</v>
      </c>
      <c r="G36" s="113">
        <f>+I36/H36*100</f>
        <v>36.683353660212084</v>
      </c>
      <c r="H36" s="94">
        <v>120895754</v>
      </c>
      <c r="I36" s="89">
        <v>44348617</v>
      </c>
      <c r="J36" s="80">
        <f>+H36-I36</f>
        <v>76547137</v>
      </c>
      <c r="K36" s="72"/>
      <c r="L36" s="26"/>
      <c r="M36" s="82"/>
      <c r="N36" s="82"/>
      <c r="O36" s="83"/>
      <c r="P36" s="66"/>
      <c r="Q36" s="66"/>
      <c r="T36" s="54"/>
      <c r="U36" s="52"/>
      <c r="V36" s="87"/>
      <c r="W36" s="53"/>
      <c r="X36" s="53"/>
    </row>
    <row r="37" spans="1:24" s="4" customFormat="1" ht="18">
      <c r="A37" s="223"/>
      <c r="B37" s="209"/>
      <c r="C37" s="211" t="s">
        <v>23</v>
      </c>
      <c r="D37" s="212"/>
      <c r="E37" s="212"/>
      <c r="F37" s="212"/>
      <c r="G37" s="213"/>
      <c r="H37" s="57">
        <f>+H35+H36</f>
        <v>872337532</v>
      </c>
      <c r="I37" s="30"/>
      <c r="J37" s="165">
        <f>SUM(J35:J36)</f>
        <v>247676915</v>
      </c>
      <c r="K37" s="72"/>
      <c r="L37" s="26"/>
      <c r="M37" s="82"/>
      <c r="N37" s="82"/>
      <c r="O37" s="83"/>
      <c r="P37" s="66"/>
      <c r="Q37" s="66"/>
      <c r="T37" s="53"/>
      <c r="U37" s="52"/>
      <c r="V37" s="87"/>
      <c r="W37" s="53"/>
      <c r="X37" s="53"/>
    </row>
    <row r="38" spans="1:24" s="4" customFormat="1" ht="18">
      <c r="A38" s="223"/>
      <c r="B38" s="209"/>
      <c r="C38" s="211" t="s">
        <v>24</v>
      </c>
      <c r="D38" s="212"/>
      <c r="E38" s="212"/>
      <c r="F38" s="212"/>
      <c r="G38" s="212"/>
      <c r="H38" s="213"/>
      <c r="I38" s="29">
        <f>+I35+I36</f>
        <v>624660617</v>
      </c>
      <c r="J38" s="166"/>
      <c r="K38" s="72"/>
      <c r="L38" s="26"/>
      <c r="M38" s="82"/>
      <c r="N38" s="82"/>
      <c r="O38" s="83"/>
      <c r="P38" s="66"/>
      <c r="Q38" s="66"/>
      <c r="T38" s="53"/>
      <c r="U38" s="52"/>
      <c r="V38" s="87"/>
      <c r="W38" s="53"/>
      <c r="X38" s="53"/>
    </row>
    <row r="39" spans="1:24" s="4" customFormat="1" ht="18.75" thickBot="1">
      <c r="A39" s="223"/>
      <c r="B39" s="210"/>
      <c r="C39" s="162" t="s">
        <v>25</v>
      </c>
      <c r="D39" s="163"/>
      <c r="E39" s="163"/>
      <c r="F39" s="163"/>
      <c r="G39" s="163"/>
      <c r="H39" s="164"/>
      <c r="I39" s="21">
        <f>+I38/H37</f>
        <v>0.7160767410383531</v>
      </c>
      <c r="J39" s="214"/>
      <c r="K39" s="72"/>
      <c r="L39" s="26"/>
      <c r="M39" s="82"/>
      <c r="N39" s="82"/>
      <c r="O39" s="83"/>
      <c r="P39" s="66"/>
      <c r="Q39" s="66"/>
      <c r="T39" s="53"/>
      <c r="U39" s="52"/>
      <c r="V39" s="87"/>
      <c r="W39" s="53"/>
      <c r="X39" s="53"/>
    </row>
    <row r="40" spans="1:24" s="4" customFormat="1" ht="51.75" customHeight="1">
      <c r="A40" s="223"/>
      <c r="B40" s="156" t="s">
        <v>77</v>
      </c>
      <c r="C40" s="17" t="s">
        <v>81</v>
      </c>
      <c r="D40" s="20">
        <v>7</v>
      </c>
      <c r="E40" s="77" t="s">
        <v>31</v>
      </c>
      <c r="F40" s="92">
        <v>2</v>
      </c>
      <c r="G40" s="93">
        <v>2</v>
      </c>
      <c r="H40" s="94">
        <v>0</v>
      </c>
      <c r="I40" s="94">
        <v>0</v>
      </c>
      <c r="J40" s="80">
        <f aca="true" t="shared" si="1" ref="J40:J47">+H40-I40</f>
        <v>0</v>
      </c>
      <c r="K40" s="72"/>
      <c r="L40" s="26"/>
      <c r="M40" s="82"/>
      <c r="N40" s="82"/>
      <c r="O40" s="83"/>
      <c r="P40" s="66"/>
      <c r="Q40" s="66"/>
      <c r="T40" s="53"/>
      <c r="U40" s="52"/>
      <c r="V40" s="87"/>
      <c r="W40" s="53"/>
      <c r="X40" s="53"/>
    </row>
    <row r="41" spans="1:24" s="4" customFormat="1" ht="36" customHeight="1">
      <c r="A41" s="223"/>
      <c r="B41" s="157"/>
      <c r="C41" s="17" t="s">
        <v>30</v>
      </c>
      <c r="D41" s="20">
        <v>10</v>
      </c>
      <c r="E41" s="77" t="s">
        <v>34</v>
      </c>
      <c r="F41" s="78">
        <v>2</v>
      </c>
      <c r="G41" s="93">
        <v>0</v>
      </c>
      <c r="H41" s="94">
        <f>129995912+20604088</f>
        <v>150600000</v>
      </c>
      <c r="I41" s="94">
        <v>145161024</v>
      </c>
      <c r="J41" s="80">
        <f t="shared" si="1"/>
        <v>5438976</v>
      </c>
      <c r="K41" s="72"/>
      <c r="L41" s="26"/>
      <c r="M41" s="82"/>
      <c r="N41" s="82"/>
      <c r="O41" s="83"/>
      <c r="P41" s="66"/>
      <c r="Q41" s="66"/>
      <c r="T41" s="53"/>
      <c r="U41" s="52"/>
      <c r="V41" s="87"/>
      <c r="W41" s="53"/>
      <c r="X41" s="53"/>
    </row>
    <row r="42" spans="1:24" s="4" customFormat="1" ht="36" customHeight="1">
      <c r="A42" s="223"/>
      <c r="B42" s="157"/>
      <c r="C42" s="17" t="s">
        <v>56</v>
      </c>
      <c r="D42" s="20">
        <v>14</v>
      </c>
      <c r="E42" s="77" t="s">
        <v>1</v>
      </c>
      <c r="F42" s="78">
        <v>50</v>
      </c>
      <c r="G42" s="78">
        <v>0</v>
      </c>
      <c r="H42" s="79">
        <v>0</v>
      </c>
      <c r="I42" s="79">
        <v>0</v>
      </c>
      <c r="J42" s="80">
        <f t="shared" si="1"/>
        <v>0</v>
      </c>
      <c r="K42" s="72"/>
      <c r="L42" s="26"/>
      <c r="M42" s="82"/>
      <c r="N42" s="82"/>
      <c r="O42" s="83"/>
      <c r="P42" s="66"/>
      <c r="Q42" s="66"/>
      <c r="T42" s="54"/>
      <c r="U42" s="52"/>
      <c r="V42" s="87"/>
      <c r="W42" s="53"/>
      <c r="X42" s="53"/>
    </row>
    <row r="43" spans="1:24" s="4" customFormat="1" ht="36" customHeight="1">
      <c r="A43" s="223"/>
      <c r="B43" s="157"/>
      <c r="C43" s="16" t="s">
        <v>29</v>
      </c>
      <c r="D43" s="20">
        <v>8</v>
      </c>
      <c r="E43" s="77" t="s">
        <v>33</v>
      </c>
      <c r="F43" s="78">
        <v>100</v>
      </c>
      <c r="G43" s="93">
        <v>0</v>
      </c>
      <c r="H43" s="94">
        <f>301200000+90360000</f>
        <v>391560000</v>
      </c>
      <c r="I43" s="94">
        <v>391558494</v>
      </c>
      <c r="J43" s="80">
        <f t="shared" si="1"/>
        <v>1506</v>
      </c>
      <c r="K43" s="72"/>
      <c r="L43" s="26"/>
      <c r="M43" s="82"/>
      <c r="N43" s="82"/>
      <c r="O43" s="83"/>
      <c r="P43" s="66"/>
      <c r="Q43" s="66"/>
      <c r="T43" s="54"/>
      <c r="U43" s="52"/>
      <c r="V43" s="87"/>
      <c r="W43" s="53"/>
      <c r="X43" s="53"/>
    </row>
    <row r="44" spans="1:24" s="4" customFormat="1" ht="24">
      <c r="A44" s="223"/>
      <c r="B44" s="157"/>
      <c r="C44" s="17" t="s">
        <v>28</v>
      </c>
      <c r="D44" s="95"/>
      <c r="E44" s="77" t="s">
        <v>33</v>
      </c>
      <c r="F44" s="78">
        <v>400</v>
      </c>
      <c r="G44" s="93">
        <v>0</v>
      </c>
      <c r="H44" s="94">
        <v>466860000</v>
      </c>
      <c r="I44" s="94">
        <v>306263975</v>
      </c>
      <c r="J44" s="80">
        <f t="shared" si="1"/>
        <v>160596025</v>
      </c>
      <c r="K44" s="72"/>
      <c r="L44" s="26"/>
      <c r="M44" s="82"/>
      <c r="N44" s="82"/>
      <c r="O44" s="83"/>
      <c r="P44" s="66"/>
      <c r="Q44" s="66"/>
      <c r="T44" s="54"/>
      <c r="U44" s="52"/>
      <c r="V44" s="87"/>
      <c r="W44" s="53"/>
      <c r="X44" s="53"/>
    </row>
    <row r="45" spans="1:24" s="4" customFormat="1" ht="24">
      <c r="A45" s="223"/>
      <c r="B45" s="157"/>
      <c r="C45" s="119" t="s">
        <v>93</v>
      </c>
      <c r="E45" s="77" t="s">
        <v>33</v>
      </c>
      <c r="F45" s="78">
        <v>250</v>
      </c>
      <c r="G45" s="93">
        <v>0</v>
      </c>
      <c r="H45" s="79">
        <v>140124900</v>
      </c>
      <c r="I45" s="79">
        <v>0</v>
      </c>
      <c r="J45" s="79">
        <f t="shared" si="1"/>
        <v>140124900</v>
      </c>
      <c r="K45" s="72"/>
      <c r="L45" s="26"/>
      <c r="M45" s="82"/>
      <c r="N45" s="82"/>
      <c r="O45" s="83"/>
      <c r="P45" s="66"/>
      <c r="Q45" s="66"/>
      <c r="T45" s="53"/>
      <c r="U45" s="52"/>
      <c r="V45" s="87"/>
      <c r="W45" s="53"/>
      <c r="X45" s="53"/>
    </row>
    <row r="46" spans="1:24" s="4" customFormat="1" ht="18">
      <c r="A46" s="223"/>
      <c r="B46" s="157"/>
      <c r="C46" s="16" t="s">
        <v>96</v>
      </c>
      <c r="D46" s="95"/>
      <c r="E46" s="135" t="s">
        <v>97</v>
      </c>
      <c r="F46" s="78">
        <v>4</v>
      </c>
      <c r="G46" s="93">
        <v>2</v>
      </c>
      <c r="H46" s="133">
        <f>120480000+44200356</f>
        <v>164680356</v>
      </c>
      <c r="I46" s="133">
        <v>17364488</v>
      </c>
      <c r="J46" s="80">
        <f t="shared" si="1"/>
        <v>147315868</v>
      </c>
      <c r="K46" s="72"/>
      <c r="L46" s="26"/>
      <c r="M46" s="82"/>
      <c r="N46" s="82"/>
      <c r="O46" s="83"/>
      <c r="P46" s="66"/>
      <c r="Q46" s="66"/>
      <c r="T46" s="53"/>
      <c r="U46" s="52"/>
      <c r="V46" s="87"/>
      <c r="W46" s="53"/>
      <c r="X46" s="53"/>
    </row>
    <row r="47" spans="1:24" s="4" customFormat="1" ht="18">
      <c r="A47" s="223"/>
      <c r="B47" s="157"/>
      <c r="C47" s="5" t="s">
        <v>59</v>
      </c>
      <c r="D47" s="20"/>
      <c r="E47" s="88" t="s">
        <v>1</v>
      </c>
      <c r="F47" s="78">
        <v>100</v>
      </c>
      <c r="G47" s="113">
        <f>+I47/H47*100</f>
        <v>76.2115750740331</v>
      </c>
      <c r="H47" s="94">
        <f>27030363+38614804+24058219+24058219</f>
        <v>113761605</v>
      </c>
      <c r="I47" s="89">
        <v>86699511</v>
      </c>
      <c r="J47" s="80">
        <f t="shared" si="1"/>
        <v>27062094</v>
      </c>
      <c r="K47" s="72"/>
      <c r="L47" s="26"/>
      <c r="M47" s="82"/>
      <c r="N47" s="82"/>
      <c r="O47" s="83"/>
      <c r="P47" s="66"/>
      <c r="Q47" s="66"/>
      <c r="T47" s="54"/>
      <c r="U47" s="52"/>
      <c r="V47" s="87"/>
      <c r="W47" s="53"/>
      <c r="X47" s="53"/>
    </row>
    <row r="48" spans="1:24" s="4" customFormat="1" ht="18">
      <c r="A48" s="223"/>
      <c r="B48" s="157"/>
      <c r="C48" s="211" t="s">
        <v>23</v>
      </c>
      <c r="D48" s="212"/>
      <c r="E48" s="212"/>
      <c r="F48" s="212"/>
      <c r="G48" s="213"/>
      <c r="H48" s="57">
        <f>SUM(H40:H47)+1</f>
        <v>1427586862</v>
      </c>
      <c r="I48" s="30"/>
      <c r="J48" s="165">
        <f>SUM(J40:J47)</f>
        <v>480539369</v>
      </c>
      <c r="K48" s="72"/>
      <c r="L48" s="26"/>
      <c r="M48" s="82"/>
      <c r="N48" s="82"/>
      <c r="O48" s="83"/>
      <c r="P48" s="66"/>
      <c r="Q48" s="66"/>
      <c r="T48" s="54"/>
      <c r="U48" s="52"/>
      <c r="V48" s="87"/>
      <c r="W48" s="53"/>
      <c r="X48" s="53"/>
    </row>
    <row r="49" spans="1:24" s="4" customFormat="1" ht="18">
      <c r="A49" s="223"/>
      <c r="B49" s="157"/>
      <c r="C49" s="211" t="s">
        <v>24</v>
      </c>
      <c r="D49" s="212"/>
      <c r="E49" s="212"/>
      <c r="F49" s="212"/>
      <c r="G49" s="212"/>
      <c r="H49" s="213"/>
      <c r="I49" s="29">
        <f>SUM(I40:I47)</f>
        <v>947047492</v>
      </c>
      <c r="J49" s="166"/>
      <c r="K49" s="72"/>
      <c r="L49" s="26"/>
      <c r="M49" s="82"/>
      <c r="N49" s="82"/>
      <c r="O49" s="83"/>
      <c r="P49" s="66"/>
      <c r="Q49" s="66"/>
      <c r="T49" s="54"/>
      <c r="U49" s="131"/>
      <c r="V49" s="132"/>
      <c r="W49" s="53"/>
      <c r="X49" s="53"/>
    </row>
    <row r="50" spans="1:24" s="4" customFormat="1" ht="18.75" thickBot="1">
      <c r="A50" s="223"/>
      <c r="B50" s="206"/>
      <c r="C50" s="162" t="s">
        <v>25</v>
      </c>
      <c r="D50" s="163"/>
      <c r="E50" s="163"/>
      <c r="F50" s="163"/>
      <c r="G50" s="163"/>
      <c r="H50" s="164"/>
      <c r="I50" s="21">
        <f>+I49/H48</f>
        <v>0.6633904508431936</v>
      </c>
      <c r="J50" s="214"/>
      <c r="K50" s="72"/>
      <c r="L50" s="26"/>
      <c r="M50" s="82"/>
      <c r="N50" s="82"/>
      <c r="O50" s="83"/>
      <c r="P50" s="66"/>
      <c r="Q50" s="66"/>
      <c r="T50" s="54"/>
      <c r="U50" s="52"/>
      <c r="V50" s="87"/>
      <c r="W50" s="53"/>
      <c r="X50" s="53"/>
    </row>
    <row r="51" spans="1:24" s="4" customFormat="1" ht="29.25" customHeight="1">
      <c r="A51" s="223"/>
      <c r="B51" s="156" t="s">
        <v>78</v>
      </c>
      <c r="C51" s="16" t="s">
        <v>98</v>
      </c>
      <c r="D51" s="20"/>
      <c r="E51" s="77" t="s">
        <v>32</v>
      </c>
      <c r="F51" s="78">
        <v>1</v>
      </c>
      <c r="G51" s="136">
        <v>0</v>
      </c>
      <c r="H51" s="94">
        <v>1371696906</v>
      </c>
      <c r="I51" s="94">
        <v>0</v>
      </c>
      <c r="J51" s="218">
        <f>+H51-I51</f>
        <v>1371696906</v>
      </c>
      <c r="K51" s="72"/>
      <c r="L51" s="26"/>
      <c r="M51" s="82"/>
      <c r="N51" s="82"/>
      <c r="O51" s="83"/>
      <c r="P51" s="66"/>
      <c r="Q51" s="66"/>
      <c r="T51" s="53"/>
      <c r="U51" s="52"/>
      <c r="V51" s="87"/>
      <c r="W51" s="53"/>
      <c r="X51" s="53"/>
    </row>
    <row r="52" spans="1:24" s="4" customFormat="1" ht="18">
      <c r="A52" s="223"/>
      <c r="B52" s="157"/>
      <c r="C52" s="16" t="s">
        <v>99</v>
      </c>
      <c r="D52" s="20"/>
      <c r="E52" s="77" t="s">
        <v>100</v>
      </c>
      <c r="F52" s="78">
        <v>1</v>
      </c>
      <c r="G52" s="137">
        <v>0</v>
      </c>
      <c r="H52" s="94">
        <v>204457519</v>
      </c>
      <c r="I52" s="94">
        <v>0</v>
      </c>
      <c r="J52" s="219"/>
      <c r="K52" s="72"/>
      <c r="L52" s="26"/>
      <c r="M52" s="82"/>
      <c r="N52" s="82"/>
      <c r="O52" s="83"/>
      <c r="P52" s="66"/>
      <c r="Q52" s="66"/>
      <c r="T52" s="53"/>
      <c r="U52" s="52"/>
      <c r="V52" s="87"/>
      <c r="W52" s="53"/>
      <c r="X52" s="53"/>
    </row>
    <row r="53" spans="1:24" s="4" customFormat="1" ht="18">
      <c r="A53" s="223"/>
      <c r="B53" s="157"/>
      <c r="C53" s="16" t="s">
        <v>101</v>
      </c>
      <c r="D53" s="20"/>
      <c r="E53" s="88" t="s">
        <v>1</v>
      </c>
      <c r="F53" s="134">
        <v>100</v>
      </c>
      <c r="G53" s="92">
        <v>0</v>
      </c>
      <c r="H53" s="89">
        <f>65260000+32128000</f>
        <v>97388000</v>
      </c>
      <c r="I53" s="89">
        <v>0</v>
      </c>
      <c r="J53" s="80">
        <f>+H53-I53</f>
        <v>97388000</v>
      </c>
      <c r="K53" s="72"/>
      <c r="L53" s="26"/>
      <c r="M53" s="82"/>
      <c r="N53" s="82"/>
      <c r="O53" s="83"/>
      <c r="P53" s="66"/>
      <c r="Q53" s="66"/>
      <c r="T53" s="53"/>
      <c r="U53" s="52"/>
      <c r="V53" s="87"/>
      <c r="W53" s="53"/>
      <c r="X53" s="53"/>
    </row>
    <row r="54" spans="1:24" s="4" customFormat="1" ht="24">
      <c r="A54" s="223"/>
      <c r="B54" s="157"/>
      <c r="C54" s="17" t="s">
        <v>55</v>
      </c>
      <c r="D54" s="20">
        <v>13</v>
      </c>
      <c r="E54" s="77" t="s">
        <v>1</v>
      </c>
      <c r="F54" s="78">
        <v>85</v>
      </c>
      <c r="G54" s="78">
        <v>0</v>
      </c>
      <c r="H54" s="79">
        <v>0</v>
      </c>
      <c r="I54" s="79">
        <v>0</v>
      </c>
      <c r="J54" s="80">
        <f>+H54-I54</f>
        <v>0</v>
      </c>
      <c r="K54" s="72"/>
      <c r="L54" s="26"/>
      <c r="M54" s="82"/>
      <c r="N54" s="82"/>
      <c r="O54" s="83"/>
      <c r="P54" s="66"/>
      <c r="Q54" s="66"/>
      <c r="T54" s="54"/>
      <c r="U54" s="52"/>
      <c r="V54" s="87"/>
      <c r="W54" s="53"/>
      <c r="X54" s="53"/>
    </row>
    <row r="55" spans="1:24" s="4" customFormat="1" ht="18">
      <c r="A55" s="223"/>
      <c r="B55" s="157"/>
      <c r="C55" s="211" t="s">
        <v>23</v>
      </c>
      <c r="D55" s="212"/>
      <c r="E55" s="212"/>
      <c r="F55" s="212"/>
      <c r="G55" s="213"/>
      <c r="H55" s="57">
        <f>+H51+H52+H53+H54</f>
        <v>1673542425</v>
      </c>
      <c r="I55" s="30"/>
      <c r="J55" s="165">
        <f>SUM(J51:J54)</f>
        <v>1469084906</v>
      </c>
      <c r="K55" s="72"/>
      <c r="L55" s="26"/>
      <c r="M55" s="82"/>
      <c r="N55" s="82"/>
      <c r="O55" s="83"/>
      <c r="P55" s="66"/>
      <c r="Q55" s="66"/>
      <c r="T55" s="54"/>
      <c r="U55" s="52"/>
      <c r="V55" s="87"/>
      <c r="W55" s="53"/>
      <c r="X55" s="53"/>
    </row>
    <row r="56" spans="1:24" s="4" customFormat="1" ht="18">
      <c r="A56" s="223"/>
      <c r="B56" s="157"/>
      <c r="C56" s="211" t="s">
        <v>24</v>
      </c>
      <c r="D56" s="212"/>
      <c r="E56" s="212"/>
      <c r="F56" s="212"/>
      <c r="G56" s="212"/>
      <c r="H56" s="213"/>
      <c r="I56" s="29">
        <f>SUM(I51:I54)</f>
        <v>0</v>
      </c>
      <c r="J56" s="166"/>
      <c r="K56" s="72"/>
      <c r="L56" s="26"/>
      <c r="M56" s="82"/>
      <c r="N56" s="82"/>
      <c r="O56" s="83"/>
      <c r="P56" s="66"/>
      <c r="Q56" s="66"/>
      <c r="T56" s="54"/>
      <c r="U56" s="52"/>
      <c r="V56" s="87"/>
      <c r="W56" s="53"/>
      <c r="X56" s="53"/>
    </row>
    <row r="57" spans="1:24" s="4" customFormat="1" ht="18.75" thickBot="1">
      <c r="A57" s="224"/>
      <c r="B57" s="206"/>
      <c r="C57" s="162" t="s">
        <v>25</v>
      </c>
      <c r="D57" s="163"/>
      <c r="E57" s="163"/>
      <c r="F57" s="163"/>
      <c r="G57" s="163"/>
      <c r="H57" s="164"/>
      <c r="I57" s="21">
        <f>+I56/H55</f>
        <v>0</v>
      </c>
      <c r="J57" s="214"/>
      <c r="K57" s="72"/>
      <c r="L57" s="26"/>
      <c r="M57" s="82"/>
      <c r="N57" s="82"/>
      <c r="O57" s="83"/>
      <c r="P57" s="66"/>
      <c r="Q57" s="66"/>
      <c r="T57" s="54"/>
      <c r="U57" s="52"/>
      <c r="V57" s="87"/>
      <c r="W57" s="53"/>
      <c r="X57" s="53"/>
    </row>
    <row r="58" spans="1:24" s="4" customFormat="1" ht="16.5" customHeight="1">
      <c r="A58" s="178" t="s">
        <v>73</v>
      </c>
      <c r="B58" s="178" t="s">
        <v>0</v>
      </c>
      <c r="C58" s="153" t="s">
        <v>2</v>
      </c>
      <c r="D58" s="173" t="s">
        <v>20</v>
      </c>
      <c r="E58" s="153" t="s">
        <v>3</v>
      </c>
      <c r="F58" s="153" t="s">
        <v>6</v>
      </c>
      <c r="G58" s="153"/>
      <c r="H58" s="154" t="s">
        <v>7</v>
      </c>
      <c r="I58" s="154"/>
      <c r="J58" s="155"/>
      <c r="K58" s="72"/>
      <c r="L58" s="26"/>
      <c r="M58" s="82"/>
      <c r="N58" s="82"/>
      <c r="O58" s="83"/>
      <c r="P58" s="66"/>
      <c r="Q58" s="66"/>
      <c r="T58" s="53"/>
      <c r="U58" s="52"/>
      <c r="V58" s="87"/>
      <c r="W58" s="53"/>
      <c r="X58" s="53"/>
    </row>
    <row r="59" spans="1:24" s="4" customFormat="1" ht="51" customHeight="1" thickBot="1">
      <c r="A59" s="148"/>
      <c r="B59" s="179"/>
      <c r="C59" s="149"/>
      <c r="D59" s="174"/>
      <c r="E59" s="149"/>
      <c r="F59" s="115" t="s">
        <v>8</v>
      </c>
      <c r="G59" s="115" t="s">
        <v>9</v>
      </c>
      <c r="H59" s="116" t="s">
        <v>10</v>
      </c>
      <c r="I59" s="116" t="s">
        <v>11</v>
      </c>
      <c r="J59" s="118" t="s">
        <v>12</v>
      </c>
      <c r="K59" s="72"/>
      <c r="L59" s="26"/>
      <c r="M59" s="82"/>
      <c r="N59" s="82"/>
      <c r="O59" s="83"/>
      <c r="P59" s="66"/>
      <c r="Q59" s="66"/>
      <c r="T59" s="53"/>
      <c r="U59" s="52"/>
      <c r="V59" s="87"/>
      <c r="W59" s="53"/>
      <c r="X59" s="53"/>
    </row>
    <row r="60" spans="1:24" s="4" customFormat="1" ht="33.75" customHeight="1">
      <c r="A60" s="222" t="s">
        <v>83</v>
      </c>
      <c r="B60" s="156" t="s">
        <v>104</v>
      </c>
      <c r="C60" s="119" t="s">
        <v>38</v>
      </c>
      <c r="D60" s="20">
        <v>19</v>
      </c>
      <c r="E60" s="140" t="s">
        <v>40</v>
      </c>
      <c r="F60" s="7">
        <v>22</v>
      </c>
      <c r="G60" s="7">
        <v>0</v>
      </c>
      <c r="H60" s="27">
        <f>101392000-3000000</f>
        <v>98392000</v>
      </c>
      <c r="I60" s="27">
        <v>12748310</v>
      </c>
      <c r="J60" s="79">
        <f aca="true" t="shared" si="2" ref="J60:J65">+H60-I60</f>
        <v>85643690</v>
      </c>
      <c r="K60" s="72"/>
      <c r="L60" s="26"/>
      <c r="M60" s="82">
        <v>175228</v>
      </c>
      <c r="N60" s="82">
        <v>45086</v>
      </c>
      <c r="O60" s="83">
        <v>334406</v>
      </c>
      <c r="P60" s="66"/>
      <c r="Q60" s="66"/>
      <c r="T60" s="53"/>
      <c r="U60" s="52"/>
      <c r="V60" s="87"/>
      <c r="W60" s="53"/>
      <c r="X60" s="53"/>
    </row>
    <row r="61" spans="1:24" s="4" customFormat="1" ht="18" customHeight="1">
      <c r="A61" s="223"/>
      <c r="B61" s="157"/>
      <c r="C61" s="5" t="s">
        <v>102</v>
      </c>
      <c r="D61" s="20"/>
      <c r="E61" s="88" t="s">
        <v>103</v>
      </c>
      <c r="F61" s="7">
        <v>1</v>
      </c>
      <c r="G61" s="7">
        <v>0</v>
      </c>
      <c r="H61" s="27">
        <f>3000000+950310000</f>
        <v>953310000</v>
      </c>
      <c r="I61" s="27">
        <v>40211263</v>
      </c>
      <c r="J61" s="79">
        <f t="shared" si="2"/>
        <v>913098737</v>
      </c>
      <c r="K61" s="72"/>
      <c r="L61" s="26"/>
      <c r="M61" s="82"/>
      <c r="N61" s="82"/>
      <c r="O61" s="83"/>
      <c r="P61" s="66"/>
      <c r="Q61" s="66"/>
      <c r="T61" s="53"/>
      <c r="U61" s="52"/>
      <c r="V61" s="87"/>
      <c r="W61" s="53"/>
      <c r="X61" s="53"/>
    </row>
    <row r="62" spans="1:24" s="4" customFormat="1" ht="24" customHeight="1">
      <c r="A62" s="223"/>
      <c r="B62" s="157"/>
      <c r="C62" s="119" t="s">
        <v>36</v>
      </c>
      <c r="D62" s="20">
        <v>20</v>
      </c>
      <c r="E62" s="88" t="s">
        <v>39</v>
      </c>
      <c r="F62" s="92">
        <v>9</v>
      </c>
      <c r="G62" s="92">
        <f>1+5</f>
        <v>6</v>
      </c>
      <c r="H62" s="79">
        <v>22808000</v>
      </c>
      <c r="I62" s="79">
        <v>0</v>
      </c>
      <c r="J62" s="79">
        <f t="shared" si="2"/>
        <v>22808000</v>
      </c>
      <c r="K62" s="72"/>
      <c r="L62" s="26"/>
      <c r="M62" s="82"/>
      <c r="N62" s="82"/>
      <c r="O62" s="83"/>
      <c r="P62" s="66"/>
      <c r="Q62" s="66"/>
      <c r="T62" s="53"/>
      <c r="U62" s="52"/>
      <c r="V62" s="87"/>
      <c r="W62" s="53"/>
      <c r="X62" s="53"/>
    </row>
    <row r="63" spans="1:24" s="4" customFormat="1" ht="36">
      <c r="A63" s="223"/>
      <c r="B63" s="158"/>
      <c r="C63" s="119" t="s">
        <v>37</v>
      </c>
      <c r="D63" s="20">
        <v>21</v>
      </c>
      <c r="E63" s="88" t="s">
        <v>35</v>
      </c>
      <c r="F63" s="78">
        <v>90</v>
      </c>
      <c r="G63" s="78">
        <f>10+30</f>
        <v>40</v>
      </c>
      <c r="H63" s="79">
        <v>0</v>
      </c>
      <c r="I63" s="79">
        <v>0</v>
      </c>
      <c r="J63" s="79">
        <f t="shared" si="2"/>
        <v>0</v>
      </c>
      <c r="K63" s="72"/>
      <c r="L63" s="26"/>
      <c r="M63" s="82">
        <v>105136</v>
      </c>
      <c r="N63" s="82">
        <v>420736</v>
      </c>
      <c r="O63" s="83"/>
      <c r="P63" s="66"/>
      <c r="Q63" s="66"/>
      <c r="T63" s="53"/>
      <c r="U63" s="52"/>
      <c r="V63" s="87"/>
      <c r="W63" s="53"/>
      <c r="X63" s="53"/>
    </row>
    <row r="64" spans="1:24" s="4" customFormat="1" ht="18">
      <c r="A64" s="223"/>
      <c r="B64" s="158"/>
      <c r="C64" s="5" t="s">
        <v>69</v>
      </c>
      <c r="D64" s="95"/>
      <c r="E64" s="88" t="s">
        <v>70</v>
      </c>
      <c r="F64" s="78">
        <v>200000</v>
      </c>
      <c r="G64" s="78">
        <v>200000</v>
      </c>
      <c r="H64" s="79">
        <v>200800000</v>
      </c>
      <c r="I64" s="79">
        <v>200800000</v>
      </c>
      <c r="J64" s="79">
        <f t="shared" si="2"/>
        <v>0</v>
      </c>
      <c r="K64" s="72"/>
      <c r="L64" s="26"/>
      <c r="M64" s="82"/>
      <c r="N64" s="82"/>
      <c r="O64" s="83"/>
      <c r="P64" s="66"/>
      <c r="Q64" s="66"/>
      <c r="T64" s="120"/>
      <c r="U64" s="52"/>
      <c r="V64" s="87"/>
      <c r="W64" s="53"/>
      <c r="X64" s="53"/>
    </row>
    <row r="65" spans="1:24" s="4" customFormat="1" ht="18">
      <c r="A65" s="223"/>
      <c r="B65" s="158"/>
      <c r="C65" s="5" t="s">
        <v>59</v>
      </c>
      <c r="D65" s="95"/>
      <c r="E65" s="88" t="s">
        <v>1</v>
      </c>
      <c r="F65" s="78">
        <v>100</v>
      </c>
      <c r="G65" s="113">
        <v>0</v>
      </c>
      <c r="H65" s="79">
        <v>0</v>
      </c>
      <c r="I65" s="79">
        <v>0</v>
      </c>
      <c r="J65" s="79">
        <f t="shared" si="2"/>
        <v>0</v>
      </c>
      <c r="K65" s="72"/>
      <c r="L65" s="26"/>
      <c r="M65" s="82">
        <f>335868*2</f>
        <v>671736</v>
      </c>
      <c r="N65" s="82"/>
      <c r="O65" s="83"/>
      <c r="P65" s="66"/>
      <c r="Q65" s="66"/>
      <c r="T65" s="53"/>
      <c r="U65" s="52"/>
      <c r="V65" s="87"/>
      <c r="W65" s="53"/>
      <c r="X65" s="53"/>
    </row>
    <row r="66" spans="1:24" s="4" customFormat="1" ht="18">
      <c r="A66" s="223"/>
      <c r="B66" s="158"/>
      <c r="C66" s="211" t="s">
        <v>23</v>
      </c>
      <c r="D66" s="212"/>
      <c r="E66" s="212"/>
      <c r="F66" s="212"/>
      <c r="G66" s="213"/>
      <c r="H66" s="57">
        <f>+SUM(H60:H65)</f>
        <v>1275310000</v>
      </c>
      <c r="I66" s="30"/>
      <c r="J66" s="165">
        <f>SUM(J60:J65)</f>
        <v>1021550427</v>
      </c>
      <c r="K66" s="126"/>
      <c r="L66" s="26"/>
      <c r="M66" s="82">
        <v>630821</v>
      </c>
      <c r="N66" s="82"/>
      <c r="O66" s="83"/>
      <c r="P66" s="66"/>
      <c r="Q66" s="66"/>
      <c r="T66" s="53"/>
      <c r="U66" s="52"/>
      <c r="V66" s="87"/>
      <c r="W66" s="53"/>
      <c r="X66" s="53"/>
    </row>
    <row r="67" spans="1:24" s="4" customFormat="1" ht="18">
      <c r="A67" s="223"/>
      <c r="B67" s="158"/>
      <c r="C67" s="211" t="s">
        <v>24</v>
      </c>
      <c r="D67" s="212"/>
      <c r="E67" s="212"/>
      <c r="F67" s="212"/>
      <c r="G67" s="212"/>
      <c r="H67" s="213"/>
      <c r="I67" s="29">
        <f>SUM(I60:I65)</f>
        <v>253759573</v>
      </c>
      <c r="J67" s="166"/>
      <c r="K67" s="42"/>
      <c r="L67" s="26"/>
      <c r="M67" s="82">
        <v>4107244</v>
      </c>
      <c r="N67" s="82"/>
      <c r="O67" s="83"/>
      <c r="P67" s="66"/>
      <c r="Q67" s="66"/>
      <c r="T67" s="53"/>
      <c r="U67" s="52"/>
      <c r="V67" s="87"/>
      <c r="W67" s="53"/>
      <c r="X67" s="53"/>
    </row>
    <row r="68" spans="1:24" s="4" customFormat="1" ht="18.75" thickBot="1">
      <c r="A68" s="223"/>
      <c r="B68" s="159"/>
      <c r="C68" s="162" t="s">
        <v>25</v>
      </c>
      <c r="D68" s="163"/>
      <c r="E68" s="163"/>
      <c r="F68" s="163"/>
      <c r="G68" s="163"/>
      <c r="H68" s="164"/>
      <c r="I68" s="21">
        <f>+I67/H66</f>
        <v>0.19897873693454926</v>
      </c>
      <c r="J68" s="214"/>
      <c r="K68" s="72">
        <v>80</v>
      </c>
      <c r="L68" s="26"/>
      <c r="M68" s="97"/>
      <c r="N68" s="35">
        <f>SUM(M60:N67)</f>
        <v>6155987</v>
      </c>
      <c r="O68" s="36">
        <f>SUM(O60:O67)</f>
        <v>334406</v>
      </c>
      <c r="P68" s="66"/>
      <c r="Q68" s="66"/>
      <c r="T68" s="53"/>
      <c r="U68" s="52"/>
      <c r="V68" s="87"/>
      <c r="W68" s="53"/>
      <c r="X68" s="53"/>
    </row>
    <row r="69" spans="1:24" s="4" customFormat="1" ht="18" customHeight="1">
      <c r="A69" s="223"/>
      <c r="B69" s="156" t="s">
        <v>105</v>
      </c>
      <c r="C69" s="24" t="s">
        <v>124</v>
      </c>
      <c r="D69" s="20"/>
      <c r="E69" s="117" t="s">
        <v>39</v>
      </c>
      <c r="F69" s="7">
        <v>1</v>
      </c>
      <c r="G69" s="78">
        <v>0</v>
      </c>
      <c r="H69" s="79">
        <v>48782229</v>
      </c>
      <c r="I69" s="27">
        <v>48782229</v>
      </c>
      <c r="J69" s="28">
        <f>+H69-I69</f>
        <v>0</v>
      </c>
      <c r="K69" s="72"/>
      <c r="L69" s="26"/>
      <c r="M69" s="97"/>
      <c r="N69" s="35"/>
      <c r="O69" s="36"/>
      <c r="P69" s="66"/>
      <c r="Q69" s="66"/>
      <c r="T69" s="53"/>
      <c r="U69" s="52"/>
      <c r="V69" s="87"/>
      <c r="W69" s="53"/>
      <c r="X69" s="53"/>
    </row>
    <row r="70" spans="1:24" s="4" customFormat="1" ht="18">
      <c r="A70" s="223"/>
      <c r="B70" s="157"/>
      <c r="C70" s="24" t="s">
        <v>106</v>
      </c>
      <c r="D70" s="20"/>
      <c r="E70" s="117" t="s">
        <v>107</v>
      </c>
      <c r="F70" s="7">
        <v>1</v>
      </c>
      <c r="G70" s="78">
        <v>0</v>
      </c>
      <c r="H70" s="79">
        <f>982465-1</f>
        <v>982464</v>
      </c>
      <c r="I70" s="27">
        <v>0</v>
      </c>
      <c r="J70" s="28">
        <f>+H70-I70</f>
        <v>982464</v>
      </c>
      <c r="K70" s="72"/>
      <c r="L70" s="26"/>
      <c r="M70" s="97"/>
      <c r="N70" s="35"/>
      <c r="O70" s="36"/>
      <c r="P70" s="66"/>
      <c r="Q70" s="66"/>
      <c r="T70" s="53"/>
      <c r="U70" s="52"/>
      <c r="V70" s="87"/>
      <c r="W70" s="53"/>
      <c r="X70" s="53"/>
    </row>
    <row r="71" spans="1:24" s="4" customFormat="1" ht="18">
      <c r="A71" s="223"/>
      <c r="B71" s="157"/>
      <c r="C71" s="5" t="s">
        <v>59</v>
      </c>
      <c r="D71" s="96"/>
      <c r="E71" s="88" t="s">
        <v>1</v>
      </c>
      <c r="F71" s="78">
        <v>100</v>
      </c>
      <c r="G71" s="78">
        <f>+I71/H71*100</f>
        <v>100</v>
      </c>
      <c r="H71" s="89">
        <v>235307</v>
      </c>
      <c r="I71" s="27">
        <v>235307</v>
      </c>
      <c r="J71" s="28">
        <f>+H71-I71</f>
        <v>0</v>
      </c>
      <c r="K71" s="72"/>
      <c r="L71" s="26"/>
      <c r="M71" s="97"/>
      <c r="N71" s="35"/>
      <c r="O71" s="36"/>
      <c r="P71" s="66"/>
      <c r="Q71" s="66"/>
      <c r="T71" s="53"/>
      <c r="U71" s="52"/>
      <c r="V71" s="87"/>
      <c r="W71" s="53"/>
      <c r="X71" s="53"/>
    </row>
    <row r="72" spans="1:24" s="4" customFormat="1" ht="18">
      <c r="A72" s="223"/>
      <c r="B72" s="158"/>
      <c r="C72" s="211" t="s">
        <v>23</v>
      </c>
      <c r="D72" s="212"/>
      <c r="E72" s="212"/>
      <c r="F72" s="212"/>
      <c r="G72" s="213"/>
      <c r="H72" s="57">
        <f>SUM(H69:H71)</f>
        <v>50000000</v>
      </c>
      <c r="I72" s="21"/>
      <c r="J72" s="139"/>
      <c r="K72" s="72"/>
      <c r="L72" s="26"/>
      <c r="M72" s="97"/>
      <c r="N72" s="35"/>
      <c r="O72" s="36"/>
      <c r="P72" s="66"/>
      <c r="Q72" s="66"/>
      <c r="T72" s="53"/>
      <c r="U72" s="52"/>
      <c r="V72" s="87"/>
      <c r="W72" s="53"/>
      <c r="X72" s="53"/>
    </row>
    <row r="73" spans="1:24" s="4" customFormat="1" ht="18">
      <c r="A73" s="223"/>
      <c r="B73" s="158"/>
      <c r="C73" s="211" t="s">
        <v>24</v>
      </c>
      <c r="D73" s="212"/>
      <c r="E73" s="212"/>
      <c r="F73" s="212"/>
      <c r="G73" s="212"/>
      <c r="H73" s="213"/>
      <c r="I73" s="29">
        <f>SUM(I69:I71)</f>
        <v>49017536</v>
      </c>
      <c r="J73" s="139"/>
      <c r="K73" s="72"/>
      <c r="L73" s="26"/>
      <c r="M73" s="97"/>
      <c r="N73" s="35"/>
      <c r="O73" s="36"/>
      <c r="P73" s="66"/>
      <c r="Q73" s="66"/>
      <c r="T73" s="53"/>
      <c r="U73" s="52"/>
      <c r="V73" s="87"/>
      <c r="W73" s="53"/>
      <c r="X73" s="53"/>
    </row>
    <row r="74" spans="1:24" s="4" customFormat="1" ht="18.75" thickBot="1">
      <c r="A74" s="224"/>
      <c r="B74" s="158"/>
      <c r="C74" s="162" t="s">
        <v>25</v>
      </c>
      <c r="D74" s="163"/>
      <c r="E74" s="163"/>
      <c r="F74" s="163"/>
      <c r="G74" s="163"/>
      <c r="H74" s="164"/>
      <c r="I74" s="21">
        <f>+I73/H72</f>
        <v>0.98035072</v>
      </c>
      <c r="J74" s="139"/>
      <c r="K74" s="72"/>
      <c r="L74" s="26"/>
      <c r="M74" s="97"/>
      <c r="N74" s="35"/>
      <c r="O74" s="36"/>
      <c r="P74" s="66"/>
      <c r="Q74" s="66"/>
      <c r="T74" s="53"/>
      <c r="U74" s="52"/>
      <c r="V74" s="87"/>
      <c r="W74" s="53"/>
      <c r="X74" s="53"/>
    </row>
    <row r="75" spans="1:24" s="4" customFormat="1" ht="19.5" customHeight="1">
      <c r="A75" s="178"/>
      <c r="B75" s="160" t="s">
        <v>0</v>
      </c>
      <c r="C75" s="153" t="s">
        <v>2</v>
      </c>
      <c r="D75" s="173" t="s">
        <v>20</v>
      </c>
      <c r="E75" s="153" t="s">
        <v>3</v>
      </c>
      <c r="F75" s="153" t="s">
        <v>6</v>
      </c>
      <c r="G75" s="153"/>
      <c r="H75" s="154" t="s">
        <v>7</v>
      </c>
      <c r="I75" s="154"/>
      <c r="J75" s="155"/>
      <c r="K75" s="72"/>
      <c r="L75" s="26"/>
      <c r="M75" s="82"/>
      <c r="N75" s="82"/>
      <c r="O75" s="83"/>
      <c r="P75" s="66"/>
      <c r="Q75" s="66"/>
      <c r="T75" s="53"/>
      <c r="U75" s="52"/>
      <c r="V75" s="87"/>
      <c r="W75" s="53"/>
      <c r="X75" s="53"/>
    </row>
    <row r="76" spans="1:24" s="4" customFormat="1" ht="45.75" customHeight="1" thickBot="1">
      <c r="A76" s="148"/>
      <c r="B76" s="161"/>
      <c r="C76" s="187"/>
      <c r="D76" s="174"/>
      <c r="E76" s="187"/>
      <c r="F76" s="14" t="s">
        <v>8</v>
      </c>
      <c r="G76" s="14" t="s">
        <v>9</v>
      </c>
      <c r="H76" s="22" t="s">
        <v>10</v>
      </c>
      <c r="I76" s="22" t="s">
        <v>11</v>
      </c>
      <c r="J76" s="23" t="s">
        <v>12</v>
      </c>
      <c r="K76" s="72"/>
      <c r="L76" s="26"/>
      <c r="M76" s="82"/>
      <c r="N76" s="82"/>
      <c r="O76" s="83"/>
      <c r="P76" s="66"/>
      <c r="Q76" s="66"/>
      <c r="T76" s="53"/>
      <c r="U76" s="52"/>
      <c r="V76" s="87"/>
      <c r="W76" s="53"/>
      <c r="X76" s="53"/>
    </row>
    <row r="77" spans="1:24" s="4" customFormat="1" ht="30.75" customHeight="1">
      <c r="A77" s="180" t="s">
        <v>84</v>
      </c>
      <c r="B77" s="156" t="s">
        <v>86</v>
      </c>
      <c r="C77" s="18" t="s">
        <v>41</v>
      </c>
      <c r="D77" s="20">
        <v>22</v>
      </c>
      <c r="E77" s="117" t="s">
        <v>44</v>
      </c>
      <c r="F77" s="78">
        <v>20</v>
      </c>
      <c r="G77" s="78">
        <f>5+15</f>
        <v>20</v>
      </c>
      <c r="H77" s="79">
        <v>32394333</v>
      </c>
      <c r="I77" s="79">
        <v>32394333</v>
      </c>
      <c r="J77" s="80">
        <f aca="true" t="shared" si="3" ref="J77:J82">+H77-I77</f>
        <v>0</v>
      </c>
      <c r="K77" s="72"/>
      <c r="L77" s="26"/>
      <c r="M77" s="98">
        <v>951912</v>
      </c>
      <c r="N77" s="82">
        <v>69813</v>
      </c>
      <c r="O77" s="83">
        <v>412670</v>
      </c>
      <c r="P77" s="66"/>
      <c r="Q77" s="66"/>
      <c r="T77" s="53"/>
      <c r="U77" s="52"/>
      <c r="V77" s="87"/>
      <c r="W77" s="53"/>
      <c r="X77" s="53"/>
    </row>
    <row r="78" spans="1:24" s="4" customFormat="1" ht="30.75" customHeight="1">
      <c r="A78" s="181"/>
      <c r="B78" s="157"/>
      <c r="C78" s="24" t="s">
        <v>108</v>
      </c>
      <c r="D78" s="20"/>
      <c r="E78" s="117" t="s">
        <v>109</v>
      </c>
      <c r="F78" s="78">
        <v>20</v>
      </c>
      <c r="G78" s="78">
        <v>5</v>
      </c>
      <c r="H78" s="79">
        <v>0</v>
      </c>
      <c r="I78" s="79">
        <v>0</v>
      </c>
      <c r="J78" s="80">
        <f t="shared" si="3"/>
        <v>0</v>
      </c>
      <c r="K78" s="72"/>
      <c r="L78" s="26"/>
      <c r="M78" s="98"/>
      <c r="N78" s="82"/>
      <c r="O78" s="83"/>
      <c r="P78" s="66"/>
      <c r="Q78" s="66"/>
      <c r="T78" s="53"/>
      <c r="U78" s="52"/>
      <c r="V78" s="87"/>
      <c r="W78" s="53"/>
      <c r="X78" s="53"/>
    </row>
    <row r="79" spans="1:24" s="4" customFormat="1" ht="30.75" customHeight="1">
      <c r="A79" s="181"/>
      <c r="B79" s="157"/>
      <c r="C79" s="17" t="s">
        <v>42</v>
      </c>
      <c r="D79" s="20">
        <v>23</v>
      </c>
      <c r="E79" s="88" t="s">
        <v>44</v>
      </c>
      <c r="F79" s="78">
        <v>20</v>
      </c>
      <c r="G79" s="78">
        <v>0</v>
      </c>
      <c r="H79" s="79">
        <v>16130470</v>
      </c>
      <c r="I79" s="79">
        <v>0</v>
      </c>
      <c r="J79" s="80">
        <f t="shared" si="3"/>
        <v>16130470</v>
      </c>
      <c r="K79" s="72"/>
      <c r="L79" s="26"/>
      <c r="M79" s="98">
        <f>280554*2</f>
        <v>561108</v>
      </c>
      <c r="N79" s="82">
        <f>105137*2</f>
        <v>210274</v>
      </c>
      <c r="O79" s="83"/>
      <c r="P79" s="66"/>
      <c r="Q79" s="66"/>
      <c r="T79" s="53"/>
      <c r="U79" s="52"/>
      <c r="V79" s="87"/>
      <c r="W79" s="53"/>
      <c r="X79" s="53"/>
    </row>
    <row r="80" spans="1:24" s="4" customFormat="1" ht="30.75" customHeight="1">
      <c r="A80" s="181"/>
      <c r="B80" s="157"/>
      <c r="C80" s="16" t="s">
        <v>43</v>
      </c>
      <c r="D80" s="95"/>
      <c r="E80" s="88" t="s">
        <v>110</v>
      </c>
      <c r="F80" s="78">
        <v>1</v>
      </c>
      <c r="G80" s="141">
        <v>0.2</v>
      </c>
      <c r="H80" s="79">
        <v>82779189</v>
      </c>
      <c r="I80" s="79">
        <v>0</v>
      </c>
      <c r="J80" s="80">
        <f t="shared" si="3"/>
        <v>82779189</v>
      </c>
      <c r="K80" s="72"/>
      <c r="L80" s="26"/>
      <c r="M80" s="98">
        <v>425686</v>
      </c>
      <c r="N80" s="82">
        <v>63158</v>
      </c>
      <c r="O80" s="83"/>
      <c r="P80" s="66"/>
      <c r="Q80" s="66"/>
      <c r="T80" s="53"/>
      <c r="U80" s="52"/>
      <c r="V80" s="86"/>
      <c r="W80" s="53"/>
      <c r="X80" s="53"/>
    </row>
    <row r="81" spans="1:24" s="4" customFormat="1" ht="30.75" customHeight="1">
      <c r="A81" s="181"/>
      <c r="B81" s="157"/>
      <c r="C81" s="16" t="s">
        <v>85</v>
      </c>
      <c r="D81" s="95"/>
      <c r="E81" s="88" t="s">
        <v>45</v>
      </c>
      <c r="F81" s="78">
        <v>1</v>
      </c>
      <c r="G81" s="141">
        <v>0.2</v>
      </c>
      <c r="H81" s="79">
        <v>16661519</v>
      </c>
      <c r="I81" s="79">
        <v>0</v>
      </c>
      <c r="J81" s="80">
        <f t="shared" si="3"/>
        <v>16661519</v>
      </c>
      <c r="K81" s="72"/>
      <c r="L81" s="26"/>
      <c r="M81" s="98">
        <v>215388</v>
      </c>
      <c r="N81" s="82">
        <v>75206</v>
      </c>
      <c r="O81" s="83"/>
      <c r="P81" s="66"/>
      <c r="Q81" s="66"/>
      <c r="T81" s="53"/>
      <c r="U81" s="52"/>
      <c r="V81" s="87"/>
      <c r="W81" s="53"/>
      <c r="X81" s="53"/>
    </row>
    <row r="82" spans="1:24" s="4" customFormat="1" ht="23.25" customHeight="1">
      <c r="A82" s="181"/>
      <c r="B82" s="157"/>
      <c r="C82" s="5" t="s">
        <v>59</v>
      </c>
      <c r="D82" s="95"/>
      <c r="E82" s="88" t="s">
        <v>1</v>
      </c>
      <c r="F82" s="78">
        <v>100</v>
      </c>
      <c r="G82" s="113">
        <f>+I82/H82*100</f>
        <v>23.936510628642786</v>
      </c>
      <c r="H82" s="89">
        <f>37074491-2</f>
        <v>37074489</v>
      </c>
      <c r="I82" s="89">
        <v>8874339</v>
      </c>
      <c r="J82" s="99">
        <f t="shared" si="3"/>
        <v>28200150</v>
      </c>
      <c r="K82" s="72"/>
      <c r="L82" s="26"/>
      <c r="M82" s="98">
        <v>210274</v>
      </c>
      <c r="N82" s="82">
        <v>145297</v>
      </c>
      <c r="O82" s="83"/>
      <c r="P82" s="66"/>
      <c r="Q82" s="66"/>
      <c r="T82" s="142"/>
      <c r="U82" s="52" t="s">
        <v>68</v>
      </c>
      <c r="V82" s="87"/>
      <c r="W82" s="53"/>
      <c r="X82" s="53"/>
    </row>
    <row r="83" spans="1:24" s="4" customFormat="1" ht="18">
      <c r="A83" s="181"/>
      <c r="B83" s="157"/>
      <c r="C83" s="162" t="s">
        <v>23</v>
      </c>
      <c r="D83" s="163"/>
      <c r="E83" s="163"/>
      <c r="F83" s="163"/>
      <c r="G83" s="164"/>
      <c r="H83" s="29">
        <f>SUM(H77:H82)</f>
        <v>185040000</v>
      </c>
      <c r="I83" s="15"/>
      <c r="J83" s="165">
        <f>SUM(J77:J82)</f>
        <v>143771328</v>
      </c>
      <c r="K83" s="100"/>
      <c r="L83" s="26"/>
      <c r="M83" s="98"/>
      <c r="N83" s="82">
        <f>70091*2</f>
        <v>140182</v>
      </c>
      <c r="O83" s="83"/>
      <c r="P83" s="66"/>
      <c r="Q83" s="66"/>
      <c r="T83" s="53"/>
      <c r="U83" s="52"/>
      <c r="V83" s="87"/>
      <c r="W83" s="53"/>
      <c r="X83" s="53"/>
    </row>
    <row r="84" spans="1:24" s="4" customFormat="1" ht="18">
      <c r="A84" s="181"/>
      <c r="B84" s="157"/>
      <c r="C84" s="162" t="s">
        <v>24</v>
      </c>
      <c r="D84" s="163"/>
      <c r="E84" s="163"/>
      <c r="F84" s="163"/>
      <c r="G84" s="163"/>
      <c r="H84" s="164"/>
      <c r="I84" s="29">
        <f>SUM(I77:I82)</f>
        <v>41268672</v>
      </c>
      <c r="J84" s="166"/>
      <c r="K84" s="42">
        <v>29</v>
      </c>
      <c r="L84" s="26"/>
      <c r="M84" s="98"/>
      <c r="N84" s="82"/>
      <c r="O84" s="83"/>
      <c r="P84" s="66"/>
      <c r="Q84" s="66"/>
      <c r="T84" s="54"/>
      <c r="U84" s="52"/>
      <c r="V84" s="87"/>
      <c r="W84" s="53"/>
      <c r="X84" s="53"/>
    </row>
    <row r="85" spans="1:24" s="4" customFormat="1" ht="18.75" thickBot="1">
      <c r="A85" s="181"/>
      <c r="B85" s="206"/>
      <c r="C85" s="162" t="s">
        <v>25</v>
      </c>
      <c r="D85" s="163"/>
      <c r="E85" s="163"/>
      <c r="F85" s="163"/>
      <c r="G85" s="163"/>
      <c r="H85" s="164"/>
      <c r="I85" s="21">
        <f>+I84/H83</f>
        <v>0.22302568093385214</v>
      </c>
      <c r="J85" s="217"/>
      <c r="K85" s="72"/>
      <c r="L85" s="26"/>
      <c r="M85" s="40">
        <f>SUM(M77:M84)</f>
        <v>2364368</v>
      </c>
      <c r="N85" s="40">
        <f>SUM(N77:N84)</f>
        <v>703930</v>
      </c>
      <c r="O85" s="101">
        <f>SUM(O77:O84)</f>
        <v>412670</v>
      </c>
      <c r="P85" s="66"/>
      <c r="Q85" s="66"/>
      <c r="T85" s="54"/>
      <c r="U85" s="52"/>
      <c r="V85" s="87"/>
      <c r="W85" s="53"/>
      <c r="X85" s="53"/>
    </row>
    <row r="86" spans="1:24" s="4" customFormat="1" ht="21.75" customHeight="1">
      <c r="A86" s="181"/>
      <c r="B86" s="160" t="s">
        <v>0</v>
      </c>
      <c r="C86" s="153" t="s">
        <v>2</v>
      </c>
      <c r="D86" s="173" t="s">
        <v>20</v>
      </c>
      <c r="E86" s="153" t="s">
        <v>3</v>
      </c>
      <c r="F86" s="153" t="s">
        <v>6</v>
      </c>
      <c r="G86" s="153"/>
      <c r="H86" s="154" t="s">
        <v>7</v>
      </c>
      <c r="I86" s="154"/>
      <c r="J86" s="155"/>
      <c r="K86" s="72"/>
      <c r="L86" s="26"/>
      <c r="M86" s="82"/>
      <c r="N86" s="82"/>
      <c r="O86" s="83"/>
      <c r="P86" s="66"/>
      <c r="Q86" s="66"/>
      <c r="T86" s="53"/>
      <c r="U86" s="52"/>
      <c r="V86" s="87"/>
      <c r="W86" s="53"/>
      <c r="X86" s="53"/>
    </row>
    <row r="87" spans="1:24" s="4" customFormat="1" ht="48" customHeight="1" thickBot="1">
      <c r="A87" s="181"/>
      <c r="B87" s="161"/>
      <c r="C87" s="149"/>
      <c r="D87" s="174"/>
      <c r="E87" s="149"/>
      <c r="F87" s="115" t="s">
        <v>8</v>
      </c>
      <c r="G87" s="115" t="s">
        <v>9</v>
      </c>
      <c r="H87" s="116" t="s">
        <v>10</v>
      </c>
      <c r="I87" s="116" t="s">
        <v>11</v>
      </c>
      <c r="J87" s="118" t="s">
        <v>12</v>
      </c>
      <c r="K87" s="72"/>
      <c r="L87" s="26"/>
      <c r="M87" s="82"/>
      <c r="N87" s="82"/>
      <c r="O87" s="83"/>
      <c r="P87" s="66"/>
      <c r="Q87" s="66"/>
      <c r="T87" s="53"/>
      <c r="U87" s="52"/>
      <c r="V87" s="87"/>
      <c r="W87" s="53"/>
      <c r="X87" s="53"/>
    </row>
    <row r="88" spans="1:24" s="4" customFormat="1" ht="50.25" customHeight="1">
      <c r="A88" s="181"/>
      <c r="B88" s="156" t="s">
        <v>87</v>
      </c>
      <c r="C88" s="17" t="s">
        <v>48</v>
      </c>
      <c r="D88" s="20">
        <v>11</v>
      </c>
      <c r="E88" s="77" t="s">
        <v>35</v>
      </c>
      <c r="F88" s="78">
        <v>100</v>
      </c>
      <c r="G88" s="78">
        <v>100</v>
      </c>
      <c r="H88" s="94">
        <v>6526000</v>
      </c>
      <c r="I88" s="94">
        <v>0</v>
      </c>
      <c r="J88" s="80">
        <f>+H88-I88</f>
        <v>6526000</v>
      </c>
      <c r="K88" s="72"/>
      <c r="L88" s="26"/>
      <c r="M88" s="82">
        <v>232514</v>
      </c>
      <c r="N88" s="82">
        <v>77615</v>
      </c>
      <c r="O88" s="83">
        <v>233394</v>
      </c>
      <c r="P88" s="66">
        <v>18676636</v>
      </c>
      <c r="Q88" s="66">
        <v>282726</v>
      </c>
      <c r="R88" s="4">
        <f>+P88/2</f>
        <v>9338318</v>
      </c>
      <c r="S88" s="4">
        <f>+Q88/2</f>
        <v>141363</v>
      </c>
      <c r="T88" s="53"/>
      <c r="U88" s="52"/>
      <c r="V88" s="87"/>
      <c r="W88" s="53"/>
      <c r="X88" s="53"/>
    </row>
    <row r="89" spans="1:24" s="4" customFormat="1" ht="50.25" customHeight="1">
      <c r="A89" s="181"/>
      <c r="B89" s="157"/>
      <c r="C89" s="17" t="s">
        <v>49</v>
      </c>
      <c r="D89" s="20">
        <v>15</v>
      </c>
      <c r="E89" s="77" t="s">
        <v>52</v>
      </c>
      <c r="F89" s="78">
        <v>1</v>
      </c>
      <c r="G89" s="78">
        <v>1</v>
      </c>
      <c r="H89" s="94">
        <v>5900000</v>
      </c>
      <c r="I89" s="94">
        <v>3614400</v>
      </c>
      <c r="J89" s="80">
        <f>+H89-I89</f>
        <v>2285600</v>
      </c>
      <c r="K89" s="72"/>
      <c r="L89" s="26"/>
      <c r="M89" s="82"/>
      <c r="N89" s="82"/>
      <c r="O89" s="83"/>
      <c r="P89" s="66"/>
      <c r="Q89" s="66"/>
      <c r="T89" s="53"/>
      <c r="U89" s="52"/>
      <c r="V89" s="87"/>
      <c r="W89" s="53"/>
      <c r="X89" s="53"/>
    </row>
    <row r="90" spans="1:24" s="4" customFormat="1" ht="50.25" customHeight="1">
      <c r="A90" s="181"/>
      <c r="B90" s="157"/>
      <c r="C90" s="18" t="s">
        <v>46</v>
      </c>
      <c r="D90" s="20">
        <v>16</v>
      </c>
      <c r="E90" s="91" t="s">
        <v>35</v>
      </c>
      <c r="F90" s="78">
        <v>100</v>
      </c>
      <c r="G90" s="78">
        <v>100</v>
      </c>
      <c r="H90" s="94">
        <v>0</v>
      </c>
      <c r="I90" s="94">
        <v>0</v>
      </c>
      <c r="J90" s="80">
        <f>+H90-I90</f>
        <v>0</v>
      </c>
      <c r="K90" s="72"/>
      <c r="L90" s="26"/>
      <c r="M90" s="82"/>
      <c r="N90" s="82"/>
      <c r="O90" s="83"/>
      <c r="P90" s="66"/>
      <c r="Q90" s="66"/>
      <c r="T90" s="53"/>
      <c r="U90" s="52"/>
      <c r="V90" s="87"/>
      <c r="W90" s="53"/>
      <c r="X90" s="53"/>
    </row>
    <row r="91" spans="1:24" s="4" customFormat="1" ht="38.25" customHeight="1">
      <c r="A91" s="181"/>
      <c r="B91" s="157"/>
      <c r="C91" s="17" t="s">
        <v>47</v>
      </c>
      <c r="D91" s="20">
        <v>17</v>
      </c>
      <c r="E91" s="77" t="s">
        <v>35</v>
      </c>
      <c r="F91" s="78">
        <v>50</v>
      </c>
      <c r="G91" s="78">
        <v>37</v>
      </c>
      <c r="H91" s="94">
        <v>13252800</v>
      </c>
      <c r="I91" s="94">
        <v>0</v>
      </c>
      <c r="J91" s="80">
        <f>+H91-I91</f>
        <v>13252800</v>
      </c>
      <c r="K91" s="72"/>
      <c r="L91" s="26"/>
      <c r="M91" s="82"/>
      <c r="N91" s="82"/>
      <c r="O91" s="83"/>
      <c r="P91" s="66"/>
      <c r="Q91" s="66"/>
      <c r="T91" s="53"/>
      <c r="U91" s="52"/>
      <c r="V91" s="87"/>
      <c r="W91" s="53"/>
      <c r="X91" s="53"/>
    </row>
    <row r="92" spans="1:24" s="4" customFormat="1" ht="34.5" customHeight="1">
      <c r="A92" s="181"/>
      <c r="B92" s="157"/>
      <c r="C92" s="119" t="s">
        <v>88</v>
      </c>
      <c r="D92" s="20"/>
      <c r="E92" s="77" t="s">
        <v>89</v>
      </c>
      <c r="F92" s="78">
        <v>30</v>
      </c>
      <c r="G92" s="78">
        <v>0</v>
      </c>
      <c r="H92" s="94">
        <v>11546000</v>
      </c>
      <c r="I92" s="94">
        <v>11546000</v>
      </c>
      <c r="J92" s="129">
        <f>+H92-I92</f>
        <v>0</v>
      </c>
      <c r="K92" s="72"/>
      <c r="L92" s="26"/>
      <c r="M92" s="82"/>
      <c r="N92" s="82"/>
      <c r="O92" s="83"/>
      <c r="P92" s="66"/>
      <c r="Q92" s="66"/>
      <c r="T92" s="53"/>
      <c r="U92" s="52"/>
      <c r="V92" s="87"/>
      <c r="W92" s="53"/>
      <c r="X92" s="53"/>
    </row>
    <row r="93" spans="1:24" s="4" customFormat="1" ht="50.25" customHeight="1">
      <c r="A93" s="181"/>
      <c r="B93" s="157"/>
      <c r="C93" s="17" t="s">
        <v>50</v>
      </c>
      <c r="D93" s="20">
        <v>24</v>
      </c>
      <c r="E93" s="77" t="s">
        <v>35</v>
      </c>
      <c r="F93" s="78">
        <v>70</v>
      </c>
      <c r="G93" s="78">
        <v>45</v>
      </c>
      <c r="H93" s="94">
        <v>114019589</v>
      </c>
      <c r="I93" s="94">
        <v>55885867</v>
      </c>
      <c r="J93" s="80">
        <f aca="true" t="shared" si="4" ref="J93:J98">+H93-I93</f>
        <v>58133722</v>
      </c>
      <c r="K93" s="72"/>
      <c r="L93" s="26"/>
      <c r="M93" s="82"/>
      <c r="N93" s="82"/>
      <c r="O93" s="83"/>
      <c r="P93" s="66"/>
      <c r="Q93" s="66"/>
      <c r="T93" s="53"/>
      <c r="U93" s="52"/>
      <c r="V93" s="87"/>
      <c r="W93" s="53"/>
      <c r="X93" s="53"/>
    </row>
    <row r="94" spans="1:24" s="4" customFormat="1" ht="50.25" customHeight="1">
      <c r="A94" s="181"/>
      <c r="B94" s="157"/>
      <c r="C94" s="17" t="s">
        <v>57</v>
      </c>
      <c r="D94" s="20">
        <v>25</v>
      </c>
      <c r="E94" s="88" t="s">
        <v>58</v>
      </c>
      <c r="F94" s="78">
        <v>60</v>
      </c>
      <c r="G94" s="78">
        <v>39</v>
      </c>
      <c r="H94" s="79">
        <v>0</v>
      </c>
      <c r="I94" s="79">
        <v>0</v>
      </c>
      <c r="J94" s="80">
        <f t="shared" si="4"/>
        <v>0</v>
      </c>
      <c r="K94" s="72"/>
      <c r="L94" s="26"/>
      <c r="M94" s="82"/>
      <c r="N94" s="82"/>
      <c r="O94" s="83"/>
      <c r="P94" s="66"/>
      <c r="Q94" s="66"/>
      <c r="T94" s="53"/>
      <c r="U94" s="52"/>
      <c r="V94" s="87"/>
      <c r="W94" s="53"/>
      <c r="X94" s="53"/>
    </row>
    <row r="95" spans="1:24" s="4" customFormat="1" ht="26.25" customHeight="1">
      <c r="A95" s="181"/>
      <c r="B95" s="157"/>
      <c r="C95" s="16" t="s">
        <v>90</v>
      </c>
      <c r="D95" s="20"/>
      <c r="E95" s="88" t="s">
        <v>53</v>
      </c>
      <c r="F95" s="78">
        <v>1</v>
      </c>
      <c r="G95" s="78">
        <v>1</v>
      </c>
      <c r="H95" s="79">
        <v>960567680</v>
      </c>
      <c r="I95" s="103">
        <f>65598018+114440360</f>
        <v>180038378</v>
      </c>
      <c r="J95" s="80">
        <f t="shared" si="4"/>
        <v>780529302</v>
      </c>
      <c r="K95" s="72"/>
      <c r="L95" s="26"/>
      <c r="M95" s="82"/>
      <c r="N95" s="82"/>
      <c r="O95" s="83"/>
      <c r="P95" s="66"/>
      <c r="Q95" s="66"/>
      <c r="T95" s="53"/>
      <c r="U95" s="52"/>
      <c r="V95" s="87"/>
      <c r="W95" s="53"/>
      <c r="X95" s="53"/>
    </row>
    <row r="96" spans="1:24" s="4" customFormat="1" ht="28.5" customHeight="1">
      <c r="A96" s="181"/>
      <c r="B96" s="157"/>
      <c r="C96" s="16" t="s">
        <v>111</v>
      </c>
      <c r="D96" s="2"/>
      <c r="E96" s="77" t="s">
        <v>53</v>
      </c>
      <c r="F96" s="78">
        <v>1</v>
      </c>
      <c r="G96" s="78">
        <v>0</v>
      </c>
      <c r="H96" s="79">
        <v>55254632</v>
      </c>
      <c r="I96" s="103">
        <v>0</v>
      </c>
      <c r="J96" s="80">
        <f t="shared" si="4"/>
        <v>55254632</v>
      </c>
      <c r="K96" s="72"/>
      <c r="L96" s="26"/>
      <c r="M96" s="82"/>
      <c r="N96" s="82"/>
      <c r="O96" s="83"/>
      <c r="P96" s="66"/>
      <c r="Q96" s="66"/>
      <c r="T96" s="53"/>
      <c r="U96" s="52"/>
      <c r="V96" s="87"/>
      <c r="W96" s="53"/>
      <c r="X96" s="53"/>
    </row>
    <row r="97" spans="1:24" s="4" customFormat="1" ht="41.25" customHeight="1">
      <c r="A97" s="181"/>
      <c r="B97" s="157"/>
      <c r="C97" s="16" t="s">
        <v>112</v>
      </c>
      <c r="D97" s="2"/>
      <c r="E97" s="77" t="s">
        <v>113</v>
      </c>
      <c r="F97" s="78">
        <v>10</v>
      </c>
      <c r="G97" s="78">
        <v>6</v>
      </c>
      <c r="H97" s="79">
        <v>18571491</v>
      </c>
      <c r="I97" s="103">
        <v>18571490</v>
      </c>
      <c r="J97" s="80">
        <f t="shared" si="4"/>
        <v>1</v>
      </c>
      <c r="K97" s="72"/>
      <c r="L97" s="26"/>
      <c r="M97" s="82"/>
      <c r="N97" s="82"/>
      <c r="O97" s="83"/>
      <c r="P97" s="66"/>
      <c r="Q97" s="66"/>
      <c r="T97" s="53"/>
      <c r="U97" s="52"/>
      <c r="V97" s="87"/>
      <c r="W97" s="53"/>
      <c r="X97" s="53"/>
    </row>
    <row r="98" spans="1:24" s="4" customFormat="1" ht="30.75" customHeight="1">
      <c r="A98" s="181"/>
      <c r="B98" s="209"/>
      <c r="C98" s="16" t="s">
        <v>51</v>
      </c>
      <c r="D98" s="2"/>
      <c r="E98" s="77" t="s">
        <v>35</v>
      </c>
      <c r="F98" s="78">
        <v>60</v>
      </c>
      <c r="G98" s="78">
        <v>47</v>
      </c>
      <c r="H98" s="79">
        <v>48778535</v>
      </c>
      <c r="I98" s="102">
        <f>2792626+1861416+2016526+6425600</f>
        <v>13096168</v>
      </c>
      <c r="J98" s="80">
        <f t="shared" si="4"/>
        <v>35682367</v>
      </c>
      <c r="K98" s="72"/>
      <c r="L98" s="26"/>
      <c r="M98" s="82">
        <v>75206</v>
      </c>
      <c r="N98" s="82">
        <v>184478</v>
      </c>
      <c r="O98" s="83">
        <v>553359</v>
      </c>
      <c r="P98" s="66">
        <v>494471</v>
      </c>
      <c r="Q98" s="66">
        <v>211643</v>
      </c>
      <c r="R98" s="4">
        <f aca="true" t="shared" si="5" ref="R98:S101">+P98/2</f>
        <v>247235.5</v>
      </c>
      <c r="S98" s="4">
        <f t="shared" si="5"/>
        <v>105821.5</v>
      </c>
      <c r="T98" s="53"/>
      <c r="U98" s="52"/>
      <c r="V98" s="87"/>
      <c r="W98" s="53"/>
      <c r="X98" s="53"/>
    </row>
    <row r="99" spans="1:24" s="4" customFormat="1" ht="39" customHeight="1">
      <c r="A99" s="181"/>
      <c r="B99" s="209"/>
      <c r="C99" s="5" t="s">
        <v>59</v>
      </c>
      <c r="D99" s="2"/>
      <c r="E99" s="77" t="s">
        <v>60</v>
      </c>
      <c r="F99" s="78">
        <v>100</v>
      </c>
      <c r="G99" s="113">
        <f>+I99/H99*100</f>
        <v>56.84887318974632</v>
      </c>
      <c r="H99" s="89">
        <v>28630863</v>
      </c>
      <c r="I99" s="103">
        <f>11903414+324352+459430+459430+361878+271030+387361+240750+558114+244875+324476+324603+416610</f>
        <v>16276323</v>
      </c>
      <c r="J99" s="99">
        <f>+H99-I99</f>
        <v>12354540</v>
      </c>
      <c r="K99" s="72"/>
      <c r="L99" s="26"/>
      <c r="M99" s="82">
        <v>340670</v>
      </c>
      <c r="N99" s="82">
        <v>43078</v>
      </c>
      <c r="O99" s="83"/>
      <c r="P99" s="66">
        <v>282726</v>
      </c>
      <c r="Q99" s="66"/>
      <c r="R99" s="4">
        <f t="shared" si="5"/>
        <v>141363</v>
      </c>
      <c r="S99" s="4">
        <f t="shared" si="5"/>
        <v>0</v>
      </c>
      <c r="T99" s="146"/>
      <c r="U99" s="52"/>
      <c r="V99" s="87"/>
      <c r="W99" s="53"/>
      <c r="X99" s="53"/>
    </row>
    <row r="100" spans="1:24" s="4" customFormat="1" ht="15">
      <c r="A100" s="181"/>
      <c r="B100" s="209"/>
      <c r="C100" s="162" t="s">
        <v>23</v>
      </c>
      <c r="D100" s="163"/>
      <c r="E100" s="163"/>
      <c r="F100" s="163"/>
      <c r="G100" s="164"/>
      <c r="H100" s="29">
        <f>SUM(H88:H99)</f>
        <v>1263047590</v>
      </c>
      <c r="I100" s="8"/>
      <c r="J100" s="165">
        <f>SUM(J91:J99)</f>
        <v>955207364</v>
      </c>
      <c r="K100" s="126"/>
      <c r="L100" s="26"/>
      <c r="M100" s="82">
        <v>340670</v>
      </c>
      <c r="N100" s="82"/>
      <c r="O100" s="83"/>
      <c r="P100" s="66">
        <v>282726</v>
      </c>
      <c r="Q100" s="66"/>
      <c r="R100" s="4">
        <f t="shared" si="5"/>
        <v>141363</v>
      </c>
      <c r="S100" s="4">
        <f t="shared" si="5"/>
        <v>0</v>
      </c>
      <c r="T100" s="53"/>
      <c r="W100" s="53"/>
      <c r="X100" s="53"/>
    </row>
    <row r="101" spans="1:24" s="4" customFormat="1" ht="15.75">
      <c r="A101" s="181"/>
      <c r="B101" s="209"/>
      <c r="C101" s="162" t="s">
        <v>24</v>
      </c>
      <c r="D101" s="163"/>
      <c r="E101" s="163"/>
      <c r="F101" s="163"/>
      <c r="G101" s="163"/>
      <c r="H101" s="164"/>
      <c r="I101" s="29">
        <f>SUM(I88:I99)</f>
        <v>299028626</v>
      </c>
      <c r="J101" s="166"/>
      <c r="K101" s="42">
        <v>31</v>
      </c>
      <c r="L101" s="26"/>
      <c r="M101" s="82">
        <v>425686</v>
      </c>
      <c r="N101" s="82"/>
      <c r="O101" s="83"/>
      <c r="P101" s="66">
        <v>141363</v>
      </c>
      <c r="Q101" s="66"/>
      <c r="R101" s="4">
        <f t="shared" si="5"/>
        <v>70681.5</v>
      </c>
      <c r="S101" s="4">
        <f t="shared" si="5"/>
        <v>0</v>
      </c>
      <c r="T101" s="53"/>
      <c r="W101" s="53"/>
      <c r="X101" s="53"/>
    </row>
    <row r="102" spans="1:24" s="4" customFormat="1" ht="18.75" thickBot="1">
      <c r="A102" s="181"/>
      <c r="B102" s="210"/>
      <c r="C102" s="162" t="s">
        <v>25</v>
      </c>
      <c r="D102" s="163"/>
      <c r="E102" s="163"/>
      <c r="F102" s="163"/>
      <c r="G102" s="163"/>
      <c r="H102" s="164"/>
      <c r="I102" s="21">
        <f>+I101/H100</f>
        <v>0.23675166982425422</v>
      </c>
      <c r="J102" s="217"/>
      <c r="K102" s="72"/>
      <c r="L102" s="26"/>
      <c r="M102" s="40"/>
      <c r="N102" s="40">
        <f>SUM(M88:N101)</f>
        <v>1719917</v>
      </c>
      <c r="O102" s="40">
        <f>SUM(O88:O101)</f>
        <v>786753</v>
      </c>
      <c r="P102" s="40"/>
      <c r="Q102" s="40">
        <f>SUM(P88:Q101)</f>
        <v>20372291</v>
      </c>
      <c r="R102" s="4">
        <f>+Q102/2</f>
        <v>10186145.5</v>
      </c>
      <c r="S102" s="40">
        <f>SUM(R88:S101)</f>
        <v>10186145.5</v>
      </c>
      <c r="T102" s="53"/>
      <c r="U102" s="52"/>
      <c r="V102" s="87"/>
      <c r="W102" s="53"/>
      <c r="X102" s="53"/>
    </row>
    <row r="103" spans="1:24" s="4" customFormat="1" ht="19.5" customHeight="1">
      <c r="A103" s="181"/>
      <c r="B103" s="121" t="s">
        <v>0</v>
      </c>
      <c r="C103" s="153" t="s">
        <v>2</v>
      </c>
      <c r="D103" s="173" t="s">
        <v>20</v>
      </c>
      <c r="E103" s="153" t="s">
        <v>3</v>
      </c>
      <c r="F103" s="153" t="s">
        <v>6</v>
      </c>
      <c r="G103" s="153"/>
      <c r="H103" s="154" t="s">
        <v>7</v>
      </c>
      <c r="I103" s="154"/>
      <c r="J103" s="155"/>
      <c r="K103" s="72"/>
      <c r="L103" s="26"/>
      <c r="M103" s="82"/>
      <c r="N103" s="82"/>
      <c r="O103" s="83"/>
      <c r="P103" s="66"/>
      <c r="Q103" s="66"/>
      <c r="T103" s="53"/>
      <c r="U103" s="52"/>
      <c r="V103" s="87"/>
      <c r="W103" s="53"/>
      <c r="X103" s="53"/>
    </row>
    <row r="104" spans="1:24" s="4" customFormat="1" ht="50.25" customHeight="1" thickBot="1">
      <c r="A104" s="181"/>
      <c r="B104" s="122"/>
      <c r="C104" s="187"/>
      <c r="D104" s="174"/>
      <c r="E104" s="187"/>
      <c r="F104" s="14" t="s">
        <v>8</v>
      </c>
      <c r="G104" s="14" t="s">
        <v>9</v>
      </c>
      <c r="H104" s="22" t="s">
        <v>10</v>
      </c>
      <c r="I104" s="22" t="s">
        <v>11</v>
      </c>
      <c r="J104" s="23" t="s">
        <v>12</v>
      </c>
      <c r="K104" s="72"/>
      <c r="L104" s="26"/>
      <c r="M104" s="82"/>
      <c r="N104" s="82"/>
      <c r="O104" s="83"/>
      <c r="P104" s="66"/>
      <c r="Q104" s="66"/>
      <c r="T104" s="53"/>
      <c r="U104" s="52"/>
      <c r="V104" s="87"/>
      <c r="W104" s="53"/>
      <c r="X104" s="53"/>
    </row>
    <row r="105" spans="1:24" s="4" customFormat="1" ht="18.75" customHeight="1">
      <c r="A105" s="181"/>
      <c r="B105" s="156" t="s">
        <v>91</v>
      </c>
      <c r="C105" s="24" t="s">
        <v>114</v>
      </c>
      <c r="D105" s="5"/>
      <c r="E105" s="117" t="s">
        <v>39</v>
      </c>
      <c r="F105" s="78">
        <v>124</v>
      </c>
      <c r="G105" s="78">
        <f>18+18</f>
        <v>36</v>
      </c>
      <c r="H105" s="79">
        <v>38152000</v>
      </c>
      <c r="I105" s="79">
        <v>38152000</v>
      </c>
      <c r="J105" s="104">
        <f aca="true" t="shared" si="6" ref="J105:J111">+H105-I105</f>
        <v>0</v>
      </c>
      <c r="K105" s="72"/>
      <c r="L105" s="26"/>
      <c r="M105" s="82"/>
      <c r="N105" s="82"/>
      <c r="O105" s="83"/>
      <c r="P105" s="66"/>
      <c r="Q105" s="66"/>
      <c r="T105" s="53"/>
      <c r="U105" s="52"/>
      <c r="V105" s="87"/>
      <c r="W105" s="53"/>
      <c r="X105" s="53"/>
    </row>
    <row r="106" spans="1:24" s="4" customFormat="1" ht="23.25" customHeight="1">
      <c r="A106" s="181"/>
      <c r="B106" s="158"/>
      <c r="C106" s="16" t="s">
        <v>115</v>
      </c>
      <c r="D106" s="5"/>
      <c r="E106" s="88" t="s">
        <v>116</v>
      </c>
      <c r="F106" s="78">
        <v>100</v>
      </c>
      <c r="G106" s="78">
        <v>0</v>
      </c>
      <c r="H106" s="79">
        <v>30120000</v>
      </c>
      <c r="I106" s="79">
        <v>30120000</v>
      </c>
      <c r="J106" s="104">
        <f t="shared" si="6"/>
        <v>0</v>
      </c>
      <c r="K106" s="72"/>
      <c r="L106" s="26"/>
      <c r="M106" s="82"/>
      <c r="N106" s="82"/>
      <c r="O106" s="83"/>
      <c r="P106" s="66"/>
      <c r="Q106" s="66"/>
      <c r="T106" s="114"/>
      <c r="U106" s="52"/>
      <c r="V106" s="87"/>
      <c r="W106" s="53"/>
      <c r="X106" s="53"/>
    </row>
    <row r="107" spans="1:24" s="4" customFormat="1" ht="18">
      <c r="A107" s="181"/>
      <c r="B107" s="158"/>
      <c r="C107" s="16" t="s">
        <v>117</v>
      </c>
      <c r="D107" s="5"/>
      <c r="E107" s="88" t="s">
        <v>39</v>
      </c>
      <c r="F107" s="78">
        <v>5</v>
      </c>
      <c r="G107" s="78">
        <f>0+1</f>
        <v>1</v>
      </c>
      <c r="H107" s="79">
        <v>39156000</v>
      </c>
      <c r="I107" s="79">
        <v>39156000</v>
      </c>
      <c r="J107" s="104">
        <f t="shared" si="6"/>
        <v>0</v>
      </c>
      <c r="K107" s="72"/>
      <c r="L107" s="26"/>
      <c r="M107" s="82"/>
      <c r="N107" s="82"/>
      <c r="O107" s="83"/>
      <c r="P107" s="66"/>
      <c r="Q107" s="66"/>
      <c r="T107" s="114"/>
      <c r="U107" s="52"/>
      <c r="V107" s="87"/>
      <c r="W107" s="53"/>
      <c r="X107" s="53"/>
    </row>
    <row r="108" spans="1:24" s="4" customFormat="1" ht="18">
      <c r="A108" s="181"/>
      <c r="B108" s="158"/>
      <c r="C108" s="16" t="s">
        <v>54</v>
      </c>
      <c r="D108" s="5"/>
      <c r="E108" s="88" t="s">
        <v>54</v>
      </c>
      <c r="F108" s="78">
        <v>3</v>
      </c>
      <c r="G108" s="78">
        <f>3+3</f>
        <v>6</v>
      </c>
      <c r="H108" s="79">
        <v>43172000</v>
      </c>
      <c r="I108" s="79">
        <v>43172000</v>
      </c>
      <c r="J108" s="104">
        <f t="shared" si="6"/>
        <v>0</v>
      </c>
      <c r="K108" s="72"/>
      <c r="L108" s="26"/>
      <c r="M108" s="82"/>
      <c r="N108" s="82"/>
      <c r="O108" s="83"/>
      <c r="P108" s="66"/>
      <c r="Q108" s="66"/>
      <c r="T108" s="114"/>
      <c r="U108" s="52"/>
      <c r="V108" s="87"/>
      <c r="W108" s="53"/>
      <c r="X108" s="53"/>
    </row>
    <row r="109" spans="1:24" s="4" customFormat="1" ht="18">
      <c r="A109" s="181"/>
      <c r="B109" s="158"/>
      <c r="C109" s="16" t="s">
        <v>118</v>
      </c>
      <c r="D109" s="5"/>
      <c r="E109" s="88" t="s">
        <v>119</v>
      </c>
      <c r="F109" s="78">
        <v>120</v>
      </c>
      <c r="G109" s="78">
        <f>0+130</f>
        <v>130</v>
      </c>
      <c r="H109" s="89">
        <v>41429025</v>
      </c>
      <c r="I109" s="79">
        <v>0</v>
      </c>
      <c r="J109" s="104">
        <f t="shared" si="6"/>
        <v>41429025</v>
      </c>
      <c r="K109" s="72"/>
      <c r="L109" s="26"/>
      <c r="M109" s="82"/>
      <c r="N109" s="82"/>
      <c r="O109" s="83"/>
      <c r="P109" s="66"/>
      <c r="Q109" s="66"/>
      <c r="T109" s="114"/>
      <c r="U109" s="52"/>
      <c r="V109" s="87"/>
      <c r="W109" s="53"/>
      <c r="X109" s="53"/>
    </row>
    <row r="110" spans="1:24" s="4" customFormat="1" ht="18">
      <c r="A110" s="181"/>
      <c r="B110" s="158"/>
      <c r="C110" s="5" t="s">
        <v>120</v>
      </c>
      <c r="D110" s="5"/>
      <c r="E110" s="88" t="s">
        <v>1</v>
      </c>
      <c r="F110" s="78">
        <v>100</v>
      </c>
      <c r="G110" s="113">
        <v>25</v>
      </c>
      <c r="H110" s="89">
        <v>6526000</v>
      </c>
      <c r="I110" s="79">
        <v>6526000</v>
      </c>
      <c r="J110" s="104">
        <f t="shared" si="6"/>
        <v>0</v>
      </c>
      <c r="K110" s="105"/>
      <c r="L110" s="26"/>
      <c r="M110" s="82"/>
      <c r="N110" s="82"/>
      <c r="O110" s="83"/>
      <c r="P110" s="66"/>
      <c r="Q110" s="66"/>
      <c r="T110" s="114"/>
      <c r="U110" s="52"/>
      <c r="V110" s="87"/>
      <c r="W110" s="53"/>
      <c r="X110" s="53"/>
    </row>
    <row r="111" spans="1:24" s="4" customFormat="1" ht="18">
      <c r="A111" s="181"/>
      <c r="B111" s="158"/>
      <c r="C111" s="5" t="s">
        <v>59</v>
      </c>
      <c r="D111" s="2"/>
      <c r="E111" s="88" t="s">
        <v>60</v>
      </c>
      <c r="F111" s="78">
        <v>100</v>
      </c>
      <c r="G111" s="147">
        <f>+I111/H111*100</f>
        <v>46.38923575615139</v>
      </c>
      <c r="H111" s="89">
        <v>16604975</v>
      </c>
      <c r="I111" s="79">
        <v>7702921</v>
      </c>
      <c r="J111" s="144">
        <f t="shared" si="6"/>
        <v>8902054</v>
      </c>
      <c r="K111" s="105"/>
      <c r="L111" s="26"/>
      <c r="M111" s="82"/>
      <c r="N111" s="82"/>
      <c r="O111" s="83"/>
      <c r="P111" s="66"/>
      <c r="Q111" s="66"/>
      <c r="T111" s="145"/>
      <c r="U111" s="52"/>
      <c r="V111" s="87"/>
      <c r="W111" s="53"/>
      <c r="X111" s="53"/>
    </row>
    <row r="112" spans="1:24" s="4" customFormat="1" ht="18">
      <c r="A112" s="181"/>
      <c r="B112" s="158"/>
      <c r="C112" s="162" t="s">
        <v>23</v>
      </c>
      <c r="D112" s="163"/>
      <c r="E112" s="163"/>
      <c r="F112" s="163"/>
      <c r="G112" s="164"/>
      <c r="H112" s="29">
        <f>SUM(H105:H111)</f>
        <v>215160000</v>
      </c>
      <c r="I112" s="8"/>
      <c r="J112" s="165">
        <f>SUM(J105:J111)</f>
        <v>50331079</v>
      </c>
      <c r="K112" s="106"/>
      <c r="L112" s="26"/>
      <c r="M112" s="82"/>
      <c r="N112" s="82"/>
      <c r="O112" s="83"/>
      <c r="P112" s="66"/>
      <c r="Q112" s="66"/>
      <c r="T112" s="53"/>
      <c r="U112" s="52"/>
      <c r="V112" s="87"/>
      <c r="W112" s="53"/>
      <c r="X112" s="53"/>
    </row>
    <row r="113" spans="1:24" s="4" customFormat="1" ht="18">
      <c r="A113" s="181"/>
      <c r="B113" s="158"/>
      <c r="C113" s="162" t="s">
        <v>24</v>
      </c>
      <c r="D113" s="163"/>
      <c r="E113" s="163"/>
      <c r="F113" s="163"/>
      <c r="G113" s="163"/>
      <c r="H113" s="164"/>
      <c r="I113" s="29">
        <f>SUM(I105:I111)</f>
        <v>164828921</v>
      </c>
      <c r="J113" s="166"/>
      <c r="K113" s="107">
        <v>31</v>
      </c>
      <c r="L113" s="26"/>
      <c r="M113" s="82"/>
      <c r="N113" s="82"/>
      <c r="O113" s="83"/>
      <c r="P113" s="66"/>
      <c r="Q113" s="66"/>
      <c r="T113" s="53"/>
      <c r="U113" s="52"/>
      <c r="V113" s="87"/>
      <c r="W113" s="53"/>
      <c r="X113" s="53"/>
    </row>
    <row r="114" spans="1:24" s="4" customFormat="1" ht="18.75" thickBot="1">
      <c r="A114" s="181"/>
      <c r="B114" s="159"/>
      <c r="C114" s="162" t="s">
        <v>25</v>
      </c>
      <c r="D114" s="163"/>
      <c r="E114" s="163"/>
      <c r="F114" s="163"/>
      <c r="G114" s="163"/>
      <c r="H114" s="164"/>
      <c r="I114" s="21">
        <f>+I113/H112</f>
        <v>0.7660760410857037</v>
      </c>
      <c r="J114" s="214"/>
      <c r="K114" s="72"/>
      <c r="L114" s="26"/>
      <c r="M114" s="82"/>
      <c r="N114" s="82"/>
      <c r="O114" s="83"/>
      <c r="P114" s="66"/>
      <c r="Q114" s="66"/>
      <c r="T114" s="53"/>
      <c r="U114" s="52"/>
      <c r="V114" s="87"/>
      <c r="W114" s="53"/>
      <c r="X114" s="53"/>
    </row>
    <row r="115" spans="1:24" s="4" customFormat="1" ht="26.25" customHeight="1">
      <c r="A115" s="181"/>
      <c r="B115" s="160" t="s">
        <v>0</v>
      </c>
      <c r="C115" s="153" t="s">
        <v>2</v>
      </c>
      <c r="D115" s="173" t="s">
        <v>20</v>
      </c>
      <c r="E115" s="153" t="s">
        <v>3</v>
      </c>
      <c r="F115" s="153" t="s">
        <v>6</v>
      </c>
      <c r="G115" s="153"/>
      <c r="H115" s="154" t="s">
        <v>7</v>
      </c>
      <c r="I115" s="154"/>
      <c r="J115" s="155"/>
      <c r="K115" s="72"/>
      <c r="L115" s="26"/>
      <c r="M115" s="82"/>
      <c r="N115" s="82"/>
      <c r="O115" s="83"/>
      <c r="P115" s="66"/>
      <c r="Q115" s="66"/>
      <c r="T115" s="53"/>
      <c r="U115" s="52"/>
      <c r="V115" s="87"/>
      <c r="W115" s="53"/>
      <c r="X115" s="53"/>
    </row>
    <row r="116" spans="1:24" s="4" customFormat="1" ht="47.25" customHeight="1" thickBot="1">
      <c r="A116" s="181"/>
      <c r="B116" s="161"/>
      <c r="C116" s="187"/>
      <c r="D116" s="174"/>
      <c r="E116" s="187"/>
      <c r="F116" s="14" t="s">
        <v>8</v>
      </c>
      <c r="G116" s="14" t="s">
        <v>9</v>
      </c>
      <c r="H116" s="22" t="s">
        <v>10</v>
      </c>
      <c r="I116" s="22" t="s">
        <v>11</v>
      </c>
      <c r="J116" s="23" t="s">
        <v>12</v>
      </c>
      <c r="K116" s="72"/>
      <c r="L116" s="26"/>
      <c r="M116" s="82"/>
      <c r="N116" s="82"/>
      <c r="O116" s="83"/>
      <c r="P116" s="66"/>
      <c r="Q116" s="66"/>
      <c r="T116" s="53"/>
      <c r="U116" s="52"/>
      <c r="V116" s="87"/>
      <c r="W116" s="53"/>
      <c r="X116" s="53"/>
    </row>
    <row r="117" spans="1:24" s="4" customFormat="1" ht="27" customHeight="1">
      <c r="A117" s="181"/>
      <c r="B117" s="156" t="s">
        <v>92</v>
      </c>
      <c r="C117" s="24" t="s">
        <v>121</v>
      </c>
      <c r="D117" s="95"/>
      <c r="E117" s="91" t="s">
        <v>1</v>
      </c>
      <c r="F117" s="78">
        <v>60</v>
      </c>
      <c r="G117" s="78">
        <v>54</v>
      </c>
      <c r="H117" s="79">
        <v>205531244</v>
      </c>
      <c r="I117" s="79">
        <v>115421842</v>
      </c>
      <c r="J117" s="80">
        <f>+H117-I117</f>
        <v>90109402</v>
      </c>
      <c r="K117" s="72"/>
      <c r="L117" s="26"/>
      <c r="M117" s="82">
        <v>70091</v>
      </c>
      <c r="N117" s="82"/>
      <c r="O117" s="83">
        <v>413662</v>
      </c>
      <c r="P117" s="66"/>
      <c r="Q117" s="66"/>
      <c r="T117" s="143"/>
      <c r="U117" s="52"/>
      <c r="V117" s="87"/>
      <c r="W117" s="53"/>
      <c r="X117" s="53"/>
    </row>
    <row r="118" spans="1:24" s="4" customFormat="1" ht="30" customHeight="1">
      <c r="A118" s="181"/>
      <c r="B118" s="157"/>
      <c r="C118" s="16" t="s">
        <v>122</v>
      </c>
      <c r="D118" s="95"/>
      <c r="E118" s="77" t="s">
        <v>123</v>
      </c>
      <c r="F118" s="78">
        <v>1</v>
      </c>
      <c r="G118" s="141">
        <v>0.5</v>
      </c>
      <c r="H118" s="79">
        <v>12650400</v>
      </c>
      <c r="I118" s="79">
        <v>0</v>
      </c>
      <c r="J118" s="80">
        <f>+H118-I118</f>
        <v>12650400</v>
      </c>
      <c r="K118" s="72"/>
      <c r="L118" s="26"/>
      <c r="M118" s="82"/>
      <c r="N118" s="82"/>
      <c r="O118" s="83"/>
      <c r="P118" s="66"/>
      <c r="Q118" s="66"/>
      <c r="T118" s="53"/>
      <c r="U118" s="52"/>
      <c r="V118" s="87"/>
      <c r="W118" s="53"/>
      <c r="X118" s="53"/>
    </row>
    <row r="119" spans="1:24" s="4" customFormat="1" ht="27" customHeight="1">
      <c r="A119" s="181"/>
      <c r="B119" s="157"/>
      <c r="C119" s="5" t="s">
        <v>59</v>
      </c>
      <c r="D119" s="95"/>
      <c r="E119" s="77" t="s">
        <v>1</v>
      </c>
      <c r="F119" s="78">
        <v>100</v>
      </c>
      <c r="G119" s="113">
        <f>+I119/H119*100</f>
        <v>52.99580328780162</v>
      </c>
      <c r="H119" s="89">
        <v>9901084</v>
      </c>
      <c r="I119" s="79">
        <f>2248375+125028+41676+491458+1073387+993870+273365</f>
        <v>5247159</v>
      </c>
      <c r="J119" s="80">
        <f>+H119-I119</f>
        <v>4653925</v>
      </c>
      <c r="K119" s="72"/>
      <c r="L119" s="26"/>
      <c r="M119" s="82"/>
      <c r="N119" s="82"/>
      <c r="O119" s="83"/>
      <c r="P119" s="66"/>
      <c r="Q119" s="66"/>
      <c r="T119" s="142"/>
      <c r="U119" s="52"/>
      <c r="V119" s="87"/>
      <c r="W119" s="53"/>
      <c r="X119" s="53"/>
    </row>
    <row r="120" spans="1:24" s="4" customFormat="1" ht="18">
      <c r="A120" s="181"/>
      <c r="B120" s="158"/>
      <c r="C120" s="162" t="s">
        <v>23</v>
      </c>
      <c r="D120" s="163"/>
      <c r="E120" s="163"/>
      <c r="F120" s="163"/>
      <c r="G120" s="164"/>
      <c r="H120" s="29">
        <f>+H117+H118+H119</f>
        <v>228082728</v>
      </c>
      <c r="I120" s="8"/>
      <c r="J120" s="165">
        <f>+H120-I121</f>
        <v>107413727</v>
      </c>
      <c r="K120" s="45"/>
      <c r="L120" s="26"/>
      <c r="M120" s="82"/>
      <c r="N120" s="82"/>
      <c r="O120" s="83"/>
      <c r="P120" s="66"/>
      <c r="Q120" s="66"/>
      <c r="T120" s="53"/>
      <c r="U120" s="52"/>
      <c r="V120" s="87"/>
      <c r="W120" s="53"/>
      <c r="X120" s="53"/>
    </row>
    <row r="121" spans="1:24" s="4" customFormat="1" ht="18">
      <c r="A121" s="181"/>
      <c r="B121" s="158"/>
      <c r="C121" s="162" t="s">
        <v>24</v>
      </c>
      <c r="D121" s="163"/>
      <c r="E121" s="163"/>
      <c r="F121" s="163"/>
      <c r="G121" s="163"/>
      <c r="H121" s="164"/>
      <c r="I121" s="29">
        <f>SUM(I117:I119)</f>
        <v>120669001</v>
      </c>
      <c r="J121" s="166"/>
      <c r="K121" s="107">
        <v>21</v>
      </c>
      <c r="L121" s="26"/>
      <c r="M121" s="82"/>
      <c r="N121" s="82"/>
      <c r="O121" s="83"/>
      <c r="P121" s="66"/>
      <c r="Q121" s="66"/>
      <c r="T121" s="53"/>
      <c r="U121" s="52"/>
      <c r="V121" s="87"/>
      <c r="W121" s="53"/>
      <c r="X121" s="53"/>
    </row>
    <row r="122" spans="1:24" s="9" customFormat="1" ht="18.75" thickBot="1">
      <c r="A122" s="182"/>
      <c r="B122" s="159"/>
      <c r="C122" s="167" t="s">
        <v>25</v>
      </c>
      <c r="D122" s="168"/>
      <c r="E122" s="168"/>
      <c r="F122" s="168"/>
      <c r="G122" s="168"/>
      <c r="H122" s="169"/>
      <c r="I122" s="25">
        <f>+I121/H120</f>
        <v>0.5290580398529783</v>
      </c>
      <c r="J122" s="166"/>
      <c r="K122" s="42">
        <f>SUM(K18:K121)/7</f>
        <v>29</v>
      </c>
      <c r="L122" s="90"/>
      <c r="M122" s="35">
        <f>SUM(M117:M121)</f>
        <v>70091</v>
      </c>
      <c r="N122" s="35"/>
      <c r="O122" s="35">
        <f>SUM(O117:O121)</f>
        <v>413662</v>
      </c>
      <c r="P122" s="39"/>
      <c r="Q122" s="39"/>
      <c r="R122" s="108"/>
      <c r="S122" s="108"/>
      <c r="T122" s="130"/>
      <c r="U122" s="109"/>
      <c r="V122" s="56"/>
      <c r="W122" s="55"/>
      <c r="X122" s="55"/>
    </row>
    <row r="123" spans="1:24" ht="24" customHeight="1">
      <c r="A123" s="197" t="s">
        <v>127</v>
      </c>
      <c r="B123" s="198"/>
      <c r="C123" s="198"/>
      <c r="D123" s="198"/>
      <c r="E123" s="198"/>
      <c r="F123" s="198"/>
      <c r="G123" s="198"/>
      <c r="H123" s="199"/>
      <c r="I123" s="110">
        <f>+H17+H24+H32+H37+H48+H55+H66+H72+H83+H100+H112+H120</f>
        <v>10899236505</v>
      </c>
      <c r="J123" s="150">
        <f>+I123-I124</f>
        <v>7330349170</v>
      </c>
      <c r="L123" s="10"/>
      <c r="M123" s="33"/>
      <c r="N123" s="33"/>
      <c r="O123" s="34"/>
      <c r="P123" s="38"/>
      <c r="Q123" s="38"/>
      <c r="R123" s="11"/>
      <c r="T123" s="54"/>
      <c r="U123" s="52"/>
      <c r="V123" s="87"/>
      <c r="W123" s="53"/>
      <c r="X123" s="53"/>
    </row>
    <row r="124" spans="1:24" ht="24" customHeight="1">
      <c r="A124" s="200" t="s">
        <v>128</v>
      </c>
      <c r="B124" s="201"/>
      <c r="C124" s="201"/>
      <c r="D124" s="201"/>
      <c r="E124" s="201"/>
      <c r="F124" s="201"/>
      <c r="G124" s="201"/>
      <c r="H124" s="202"/>
      <c r="I124" s="111">
        <f>+I18+I25+I33+I38+I49+I56+I67+I73+I84+I101+I113+I121</f>
        <v>3568887335</v>
      </c>
      <c r="J124" s="151"/>
      <c r="L124" s="10"/>
      <c r="M124" s="33"/>
      <c r="N124" s="33"/>
      <c r="O124" s="34"/>
      <c r="P124" s="38"/>
      <c r="Q124" s="38"/>
      <c r="R124" s="11"/>
      <c r="T124" s="54"/>
      <c r="U124" s="52"/>
      <c r="V124" s="87"/>
      <c r="W124" s="53"/>
      <c r="X124" s="53"/>
    </row>
    <row r="125" spans="1:24" ht="24" customHeight="1" thickBot="1">
      <c r="A125" s="170" t="s">
        <v>129</v>
      </c>
      <c r="B125" s="171"/>
      <c r="C125" s="171"/>
      <c r="D125" s="171"/>
      <c r="E125" s="171"/>
      <c r="F125" s="171"/>
      <c r="G125" s="171"/>
      <c r="H125" s="172"/>
      <c r="I125" s="112">
        <f>+I124/I123</f>
        <v>0.32744379235763726</v>
      </c>
      <c r="J125" s="152"/>
      <c r="L125" s="10"/>
      <c r="M125" s="33"/>
      <c r="N125" s="33"/>
      <c r="O125" s="34"/>
      <c r="P125" s="38"/>
      <c r="Q125" s="38"/>
      <c r="R125" s="11"/>
      <c r="T125" s="54"/>
      <c r="U125" s="52"/>
      <c r="V125" s="87"/>
      <c r="W125" s="53"/>
      <c r="X125" s="53"/>
    </row>
    <row r="126" spans="20:24" ht="18">
      <c r="T126" s="53"/>
      <c r="U126" s="52"/>
      <c r="V126" s="87"/>
      <c r="W126" s="53"/>
      <c r="X126" s="53"/>
    </row>
    <row r="127" spans="20:24" ht="18">
      <c r="T127" s="53"/>
      <c r="U127" s="52"/>
      <c r="V127" s="87"/>
      <c r="W127" s="53"/>
      <c r="X127" s="53"/>
    </row>
    <row r="128" spans="20:24" ht="18">
      <c r="T128" s="53"/>
      <c r="U128" s="52"/>
      <c r="V128" s="87"/>
      <c r="W128" s="53"/>
      <c r="X128" s="53"/>
    </row>
    <row r="129" spans="20:24" ht="18">
      <c r="T129" s="54"/>
      <c r="U129" s="52"/>
      <c r="V129" s="87"/>
      <c r="W129" s="53"/>
      <c r="X129" s="53"/>
    </row>
    <row r="130" spans="20:24" ht="18">
      <c r="T130" s="53"/>
      <c r="U130" s="52"/>
      <c r="V130" s="87"/>
      <c r="W130" s="53"/>
      <c r="X130" s="53"/>
    </row>
    <row r="131" spans="20:24" ht="18">
      <c r="T131" s="53"/>
      <c r="U131" s="52"/>
      <c r="V131" s="87"/>
      <c r="W131" s="53"/>
      <c r="X131" s="53"/>
    </row>
    <row r="132" spans="20:24" ht="18">
      <c r="T132" s="53"/>
      <c r="U132" s="52"/>
      <c r="V132" s="87"/>
      <c r="W132" s="53"/>
      <c r="X132" s="53"/>
    </row>
    <row r="133" spans="20:24" ht="18">
      <c r="T133" s="53"/>
      <c r="U133" s="52"/>
      <c r="V133" s="87"/>
      <c r="W133" s="53"/>
      <c r="X133" s="53"/>
    </row>
    <row r="134" spans="20:24" ht="18">
      <c r="T134" s="53"/>
      <c r="U134" s="52"/>
      <c r="V134" s="87"/>
      <c r="W134" s="53"/>
      <c r="X134" s="53"/>
    </row>
    <row r="135" spans="20:24" ht="18">
      <c r="T135" s="53"/>
      <c r="U135" s="52"/>
      <c r="V135" s="87"/>
      <c r="W135" s="53"/>
      <c r="X135" s="53"/>
    </row>
    <row r="136" spans="20:24" ht="18">
      <c r="T136" s="53"/>
      <c r="U136" s="52"/>
      <c r="V136" s="87"/>
      <c r="W136" s="53"/>
      <c r="X136" s="53"/>
    </row>
    <row r="137" spans="20:24" ht="18">
      <c r="T137" s="53"/>
      <c r="U137" s="52"/>
      <c r="V137" s="87"/>
      <c r="W137" s="53"/>
      <c r="X137" s="53"/>
    </row>
    <row r="138" spans="20:24" ht="18">
      <c r="T138" s="53"/>
      <c r="U138" s="52"/>
      <c r="V138" s="87"/>
      <c r="W138" s="53"/>
      <c r="X138" s="53"/>
    </row>
    <row r="139" spans="20:24" ht="18">
      <c r="T139" s="53"/>
      <c r="U139" s="52"/>
      <c r="V139" s="87"/>
      <c r="W139" s="53"/>
      <c r="X139" s="53"/>
    </row>
    <row r="140" spans="20:24" ht="18">
      <c r="T140" s="53"/>
      <c r="U140" s="52"/>
      <c r="V140" s="87"/>
      <c r="W140" s="53"/>
      <c r="X140" s="53"/>
    </row>
  </sheetData>
  <sheetProtection/>
  <mergeCells count="125">
    <mergeCell ref="A29:A57"/>
    <mergeCell ref="B29:B34"/>
    <mergeCell ref="F20:G20"/>
    <mergeCell ref="C24:G24"/>
    <mergeCell ref="H20:J20"/>
    <mergeCell ref="A60:A74"/>
    <mergeCell ref="B22:B26"/>
    <mergeCell ref="B69:B74"/>
    <mergeCell ref="C72:G72"/>
    <mergeCell ref="C73:H73"/>
    <mergeCell ref="C74:H74"/>
    <mergeCell ref="A27:A28"/>
    <mergeCell ref="J37:J39"/>
    <mergeCell ref="C38:H38"/>
    <mergeCell ref="E27:E28"/>
    <mergeCell ref="A7:A8"/>
    <mergeCell ref="A9:A26"/>
    <mergeCell ref="B20:B21"/>
    <mergeCell ref="J17:J19"/>
    <mergeCell ref="C17:G17"/>
    <mergeCell ref="C18:H18"/>
    <mergeCell ref="C19:H19"/>
    <mergeCell ref="J51:J52"/>
    <mergeCell ref="C55:G55"/>
    <mergeCell ref="J55:J57"/>
    <mergeCell ref="C56:H56"/>
    <mergeCell ref="C57:H57"/>
    <mergeCell ref="C100:G100"/>
    <mergeCell ref="C83:G83"/>
    <mergeCell ref="C84:H84"/>
    <mergeCell ref="C85:H85"/>
    <mergeCell ref="F86:G86"/>
    <mergeCell ref="J66:J68"/>
    <mergeCell ref="J112:J114"/>
    <mergeCell ref="H103:J103"/>
    <mergeCell ref="C86:C87"/>
    <mergeCell ref="J100:J102"/>
    <mergeCell ref="H86:J86"/>
    <mergeCell ref="J83:J85"/>
    <mergeCell ref="D86:D87"/>
    <mergeCell ref="C103:C104"/>
    <mergeCell ref="E86:E87"/>
    <mergeCell ref="C25:H25"/>
    <mergeCell ref="C26:H26"/>
    <mergeCell ref="C34:H34"/>
    <mergeCell ref="C27:C28"/>
    <mergeCell ref="D27:D28"/>
    <mergeCell ref="C58:C59"/>
    <mergeCell ref="C32:G32"/>
    <mergeCell ref="C33:H33"/>
    <mergeCell ref="H58:J58"/>
    <mergeCell ref="D58:D59"/>
    <mergeCell ref="E58:E59"/>
    <mergeCell ref="C39:H39"/>
    <mergeCell ref="C48:G48"/>
    <mergeCell ref="C37:G37"/>
    <mergeCell ref="F58:G58"/>
    <mergeCell ref="B58:B59"/>
    <mergeCell ref="B40:B50"/>
    <mergeCell ref="B51:B57"/>
    <mergeCell ref="B9:B19"/>
    <mergeCell ref="B27:B28"/>
    <mergeCell ref="B35:B39"/>
    <mergeCell ref="C20:C21"/>
    <mergeCell ref="D20:D21"/>
    <mergeCell ref="E20:E21"/>
    <mergeCell ref="J48:J50"/>
    <mergeCell ref="C49:H49"/>
    <mergeCell ref="C50:H50"/>
    <mergeCell ref="H27:J27"/>
    <mergeCell ref="F27:G27"/>
    <mergeCell ref="J32:J34"/>
    <mergeCell ref="J24:J26"/>
    <mergeCell ref="B75:B76"/>
    <mergeCell ref="B60:B68"/>
    <mergeCell ref="C67:H67"/>
    <mergeCell ref="C68:H68"/>
    <mergeCell ref="D75:D76"/>
    <mergeCell ref="E75:E76"/>
    <mergeCell ref="F75:G75"/>
    <mergeCell ref="H75:J75"/>
    <mergeCell ref="C75:C76"/>
    <mergeCell ref="C66:G66"/>
    <mergeCell ref="F103:G103"/>
    <mergeCell ref="C101:H101"/>
    <mergeCell ref="E115:E116"/>
    <mergeCell ref="E103:E104"/>
    <mergeCell ref="C102:H102"/>
    <mergeCell ref="C112:G112"/>
    <mergeCell ref="C113:H113"/>
    <mergeCell ref="A1:I3"/>
    <mergeCell ref="A123:H123"/>
    <mergeCell ref="A124:H124"/>
    <mergeCell ref="B4:J4"/>
    <mergeCell ref="E7:E8"/>
    <mergeCell ref="F7:G7"/>
    <mergeCell ref="H7:J7"/>
    <mergeCell ref="B77:B85"/>
    <mergeCell ref="B86:B87"/>
    <mergeCell ref="A5:B5"/>
    <mergeCell ref="A58:A59"/>
    <mergeCell ref="A75:A76"/>
    <mergeCell ref="A77:A122"/>
    <mergeCell ref="B6:J6"/>
    <mergeCell ref="C115:C116"/>
    <mergeCell ref="B88:B102"/>
    <mergeCell ref="D103:D104"/>
    <mergeCell ref="C120:G120"/>
    <mergeCell ref="B105:B114"/>
    <mergeCell ref="C114:H114"/>
    <mergeCell ref="C5:E5"/>
    <mergeCell ref="H5:J5"/>
    <mergeCell ref="B7:B8"/>
    <mergeCell ref="C7:C8"/>
    <mergeCell ref="D7:D8"/>
    <mergeCell ref="J123:J125"/>
    <mergeCell ref="F115:G115"/>
    <mergeCell ref="H115:J115"/>
    <mergeCell ref="B117:B122"/>
    <mergeCell ref="B115:B116"/>
    <mergeCell ref="C121:H121"/>
    <mergeCell ref="J120:J122"/>
    <mergeCell ref="C122:H122"/>
    <mergeCell ref="A125:H125"/>
    <mergeCell ref="D115:D116"/>
  </mergeCells>
  <printOptions horizontalCentered="1" verticalCentered="1"/>
  <pageMargins left="0.1968503937007874" right="0.07874015748031496" top="0.7480314960629921" bottom="0.6299212598425197" header="0" footer="0"/>
  <pageSetup horizontalDpi="600" verticalDpi="600" orientation="landscape" scale="63" r:id="rId4"/>
  <headerFooter alignWithMargins="0">
    <oddFooter>&amp;ROFICINA DE PLANEACIÓN
Junio 30  de 2010</oddFooter>
  </headerFooter>
  <rowBreaks count="4" manualBreakCount="4">
    <brk id="26" max="18" man="1"/>
    <brk id="57" max="18" man="1"/>
    <brk id="85" max="18" man="1"/>
    <brk id="102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2010-07-28T01:57:29Z</cp:lastPrinted>
  <dcterms:created xsi:type="dcterms:W3CDTF">2004-04-28T15:04:46Z</dcterms:created>
  <dcterms:modified xsi:type="dcterms:W3CDTF">2010-07-28T13:08:02Z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