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DICIEMBRE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15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<sst xmlns="http://schemas.openxmlformats.org/spreadsheetml/2006/main" count="277" uniqueCount="126">
  <si>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</si>
  <si>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</si>
  <si>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</si>
  <si>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</si>
  <si>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</si>
  <si>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</si>
  <si>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</si>
  <si>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</si>
  <si>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</si>
  <si>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</si>
  <si>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</si>
  <si>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</si>
  <si>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</si>
  <si>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</si>
  <si>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</si>
  <si>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INFORME DE EJECUCION DEL PLAN DE ACCION TRIENAL  2007-2009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</si>
  <si>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</si>
  <si>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</si>
  <si>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</si>
  <si>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</si>
  <si>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Diseño, ajuste y prospección del SIRAP (incluyendo SIRAP del Macizo Colombiano)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</si>
  <si>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</si>
  <si>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</si>
  <si>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</si>
  <si>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</si>
  <si>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</si>
  <si>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</si>
  <si>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</si>
  <si>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</si>
  <si>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</si>
  <si>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</si>
  <si>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</si>
  <si>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Programa de reforestación, manejo integrado del cultivo y aprovechamiento de la guadua</t>
  </si>
  <si>
    <t>Cuenca o tramo de cuenca con monitoreo de calidad y cantidad del recurso hídrico en el alto magdalena</t>
  </si>
  <si>
    <t>No. corrientes hidricas reglamentadas por la CAM, con relación a las cuencas priorizadas</t>
  </si>
  <si>
    <t>Cuenca</t>
  </si>
  <si>
    <t>Plan</t>
  </si>
  <si>
    <t>Ha</t>
  </si>
  <si>
    <t>Cuenca o Tramo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</si>
  <si>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</si>
  <si>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</si>
  <si>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</si>
  <si>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</si>
  <si>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</si>
  <si>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</si>
  <si>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</si>
  <si>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P3: Promoción y Apoyo a Procesos Competitivos Sostenibles y Aprovechamiento de la Oferta Natural de la Región.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</si>
  <si>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</si>
  <si>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</si>
  <si>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</si>
  <si>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</si>
  <si>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</si>
  <si>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</si>
  <si>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</si>
  <si>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</si>
  <si>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</si>
  <si>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</si>
  <si>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Fortalecimiento del seguimiento, monitoreo y control del agua en corrientes de alto conflicto y legalización del uso del recurso en grandes cantidades</t>
  </si>
  <si>
    <t>Fortalecimiento de las redes territoriales para prevención y atención de incendios forestales</t>
  </si>
  <si>
    <t>Seguimiento, monitoreo y control a medidas de compensación impuestas por contravenciones ambientales</t>
  </si>
  <si>
    <t>Red acompañada</t>
  </si>
  <si>
    <t>Fuente hídrica</t>
  </si>
  <si>
    <t xml:space="preserve">Red </t>
  </si>
  <si>
    <t>Red</t>
  </si>
  <si>
    <t>Diseño e implementación de estrategias de comunicación y educación ambiental, con énfasis en uso y aprovechamiento sostenible de los recursos naturales renovables</t>
  </si>
  <si>
    <t>Programa ambiental educativo y de fortalecimiento de la presencia institucional  en zonas de alto conflicto ambiental, articulada con las ONGS Ambientales y los promotores ambientales comunitarios del área respectiva</t>
  </si>
  <si>
    <t xml:space="preserve">Fortalecimento de la dimensión ambiental en los procesos de educación formal a través de estrategias como escuela viva, escuela viajera, colegios agropecuarios y ondas educativas entre otras </t>
  </si>
  <si>
    <t>Personas informadas</t>
  </si>
  <si>
    <t>Estudiantes</t>
  </si>
  <si>
    <t>CIDEA</t>
  </si>
  <si>
    <t>Modernización informatica a partir de la implementación del PETI</t>
  </si>
  <si>
    <t>Programa de mejoramiento de las condiciones necesarias para un óptimo desempeño y rendimiento de los servidores públicos</t>
  </si>
  <si>
    <t>Consolidación SGC bajo la norma NTCGP:1000 en coordinación con MECI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</si>
  <si>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</si>
  <si>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</si>
  <si>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</si>
  <si>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% PETI</t>
  </si>
  <si>
    <t>Indice de satisfacción del personal</t>
  </si>
  <si>
    <t>% avance</t>
  </si>
  <si>
    <t>Días</t>
  </si>
  <si>
    <t>Evento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</si>
  <si>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</si>
  <si>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</si>
  <si>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</si>
  <si>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</si>
  <si>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</si>
  <si>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</si>
  <si>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</si>
  <si>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</si>
  <si>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</si>
  <si>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</si>
  <si>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</si>
  <si>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</si>
  <si>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</si>
  <si>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Establecimiento de plantaciones forestales comerciales a través de la Empresa Forestal del Huila (estimativo)</t>
  </si>
  <si>
    <t>Acción</t>
  </si>
  <si>
    <t>Personas Informadas</t>
  </si>
  <si>
    <t>PRESUPUESTO APROPIADO PAT VIGENCIA 2009</t>
  </si>
  <si>
    <t>VALOR TOTAL COMPROMETIDO PAT VIGENCIA 2009</t>
  </si>
  <si>
    <t>INDICE GLOBAL DE EJECUCION FINANCIERA PAT 2009</t>
  </si>
  <si>
    <t>A DICIEMBRE 31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</si>
  <si>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</si>
  <si>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</si>
  <si>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</si>
  <si>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</si>
  <si>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</si>
  <si>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2.2: Planificación y Ordenación de Cuencas Hidrograficas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</si>
  <si>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</si>
  <si>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</si>
  <si>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</si>
  <si>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>Cuencas con planes de ordenación y manejo POMCA- Formulados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</si>
  <si>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</si>
  <si>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</si>
  <si>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</si>
  <si>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</si>
  <si>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</si>
  <si>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</si>
  <si>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</si>
  <si>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</si>
  <si>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</si>
  <si>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</si>
  <si>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</si>
  <si>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</si>
  <si>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</si>
  <si>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Cofinanciación de proyectos de construcción de sistemas de tratamiento de aguas residuales urbanas</t>
  </si>
  <si>
    <t>Apoyo a la organización y realización de encuentros nacionales y regionales de actores del SINA para el intercambio de experiencias y fortalecimiento institucional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</si>
</sst>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#,##0;[Red]#,##0"/>
    <numFmt numFmtId="183" formatCode="&quot;$&quot;\ #,##0;[Red]&quot;$&quot;\ 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4" fillId="24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3" fontId="13" fillId="24" borderId="0" xfId="0" applyNumberFormat="1" applyFont="1" applyFill="1" applyAlignment="1">
      <alignment vertical="center" wrapText="1"/>
    </xf>
    <xf numFmtId="3" fontId="4" fillId="24" borderId="0" xfId="0" applyNumberFormat="1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4" fontId="12" fillId="24" borderId="0" xfId="0" applyNumberFormat="1" applyFont="1" applyFill="1" applyAlignment="1">
      <alignment horizontal="right" vertical="center" wrapText="1"/>
    </xf>
    <xf numFmtId="3" fontId="5" fillId="16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4" fontId="5" fillId="16" borderId="11" xfId="0" applyNumberFormat="1" applyFont="1" applyFill="1" applyBorder="1" applyAlignment="1">
      <alignment horizontal="center" vertical="center" wrapText="1"/>
    </xf>
    <xf numFmtId="4" fontId="5" fillId="16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81" fontId="7" fillId="0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 wrapText="1"/>
    </xf>
    <xf numFmtId="3" fontId="12" fillId="22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3" fontId="7" fillId="22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5" fillId="25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179" fontId="4" fillId="24" borderId="0" xfId="46" applyFont="1" applyFill="1" applyAlignment="1">
      <alignment vertical="center" wrapText="1"/>
    </xf>
    <xf numFmtId="179" fontId="11" fillId="0" borderId="0" xfId="46" applyFont="1" applyFill="1" applyAlignment="1">
      <alignment vertical="center" wrapText="1"/>
    </xf>
    <xf numFmtId="179" fontId="4" fillId="0" borderId="0" xfId="46" applyFont="1" applyFill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79" fontId="4" fillId="0" borderId="0" xfId="46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7" fillId="24" borderId="1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6" applyFont="1" applyAlignment="1">
      <alignment/>
    </xf>
    <xf numFmtId="0" fontId="10" fillId="16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2" fillId="22" borderId="10" xfId="0" applyNumberFormat="1" applyFont="1" applyFill="1" applyBorder="1" applyAlignment="1">
      <alignment horizontal="center" vertical="center" wrapText="1"/>
    </xf>
    <xf numFmtId="179" fontId="11" fillId="0" borderId="0" xfId="46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13" fillId="19" borderId="0" xfId="0" applyNumberFormat="1" applyFont="1" applyFill="1" applyAlignment="1">
      <alignment vertical="center" wrapText="1"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3" fontId="13" fillId="11" borderId="0" xfId="0" applyNumberFormat="1" applyFont="1" applyFill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12" fillId="24" borderId="12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 wrapText="1"/>
    </xf>
    <xf numFmtId="3" fontId="12" fillId="19" borderId="10" xfId="0" applyNumberFormat="1" applyFont="1" applyFill="1" applyBorder="1" applyAlignment="1">
      <alignment vertical="center" wrapText="1"/>
    </xf>
    <xf numFmtId="3" fontId="12" fillId="11" borderId="10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vertical="center" wrapText="1"/>
    </xf>
    <xf numFmtId="183" fontId="12" fillId="0" borderId="10" xfId="0" applyNumberFormat="1" applyFont="1" applyFill="1" applyBorder="1" applyAlignment="1">
      <alignment vertical="center" wrapText="1"/>
    </xf>
    <xf numFmtId="183" fontId="12" fillId="0" borderId="10" xfId="0" applyNumberFormat="1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9" fontId="7" fillId="0" borderId="0" xfId="46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3" fontId="5" fillId="16" borderId="26" xfId="0" applyNumberFormat="1" applyFont="1" applyFill="1" applyBorder="1" applyAlignment="1">
      <alignment horizontal="center" vertical="center" wrapText="1"/>
    </xf>
    <xf numFmtId="4" fontId="5" fillId="16" borderId="2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5" fillId="16" borderId="27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16" borderId="28" xfId="0" applyFont="1" applyFill="1" applyBorder="1" applyAlignment="1">
      <alignment vertical="center" wrapText="1"/>
    </xf>
    <xf numFmtId="0" fontId="5" fillId="16" borderId="25" xfId="0" applyFont="1" applyFill="1" applyBorder="1" applyAlignment="1">
      <alignment vertical="center" wrapText="1"/>
    </xf>
    <xf numFmtId="0" fontId="9" fillId="16" borderId="29" xfId="0" applyFont="1" applyFill="1" applyBorder="1" applyAlignment="1">
      <alignment vertical="center" wrapText="1"/>
    </xf>
    <xf numFmtId="0" fontId="9" fillId="16" borderId="30" xfId="0" applyFont="1" applyFill="1" applyBorder="1" applyAlignment="1">
      <alignment vertical="center" wrapText="1"/>
    </xf>
    <xf numFmtId="0" fontId="9" fillId="16" borderId="31" xfId="0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0" fillId="0" borderId="33" xfId="0" applyFont="1" applyBorder="1" applyAlignment="1">
      <alignment/>
    </xf>
    <xf numFmtId="0" fontId="4" fillId="24" borderId="33" xfId="0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4" fillId="0" borderId="0" xfId="46" applyNumberFormat="1" applyFont="1" applyFill="1" applyBorder="1" applyAlignment="1">
      <alignment vertical="center" wrapText="1"/>
    </xf>
    <xf numFmtId="180" fontId="11" fillId="0" borderId="0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2" fontId="12" fillId="24" borderId="10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vertical="center" wrapText="1"/>
    </xf>
    <xf numFmtId="3" fontId="12" fillId="24" borderId="12" xfId="0" applyNumberFormat="1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5" fillId="16" borderId="39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5" fillId="16" borderId="23" xfId="0" applyFont="1" applyFill="1" applyBorder="1" applyAlignment="1">
      <alignment horizontal="center" vertical="center" wrapText="1"/>
    </xf>
    <xf numFmtId="4" fontId="5" fillId="16" borderId="23" xfId="0" applyNumberFormat="1" applyFont="1" applyFill="1" applyBorder="1" applyAlignment="1">
      <alignment horizontal="center" vertical="center" wrapText="1"/>
    </xf>
    <xf numFmtId="4" fontId="5" fillId="16" borderId="4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5" fillId="16" borderId="45" xfId="0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41" xfId="0" applyNumberFormat="1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5" fillId="16" borderId="47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16" borderId="35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42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8" fillId="16" borderId="45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0" fillId="16" borderId="49" xfId="0" applyFont="1" applyFill="1" applyBorder="1" applyAlignment="1">
      <alignment horizontal="left" vertical="justify" wrapText="1"/>
    </xf>
    <xf numFmtId="0" fontId="10" fillId="16" borderId="50" xfId="0" applyFont="1" applyFill="1" applyBorder="1" applyAlignment="1">
      <alignment horizontal="left" vertical="justify" wrapText="1"/>
    </xf>
    <xf numFmtId="0" fontId="10" fillId="16" borderId="32" xfId="0" applyFont="1" applyFill="1" applyBorder="1" applyAlignment="1">
      <alignment horizontal="left" vertical="justify" wrapText="1"/>
    </xf>
    <xf numFmtId="0" fontId="10" fillId="16" borderId="51" xfId="0" applyFont="1" applyFill="1" applyBorder="1" applyAlignment="1">
      <alignment horizontal="left" vertical="justify" wrapText="1"/>
    </xf>
    <xf numFmtId="0" fontId="10" fillId="16" borderId="20" xfId="0" applyFont="1" applyFill="1" applyBorder="1" applyAlignment="1">
      <alignment horizontal="left" vertical="justify" wrapText="1"/>
    </xf>
    <xf numFmtId="0" fontId="10" fillId="16" borderId="41" xfId="0" applyFont="1" applyFill="1" applyBorder="1" applyAlignment="1">
      <alignment horizontal="left" vertical="justify" wrapText="1"/>
    </xf>
    <xf numFmtId="0" fontId="10" fillId="16" borderId="52" xfId="0" applyFont="1" applyFill="1" applyBorder="1" applyAlignment="1">
      <alignment horizontal="left" vertical="center" wrapText="1"/>
    </xf>
    <xf numFmtId="0" fontId="10" fillId="16" borderId="53" xfId="0" applyFont="1" applyFill="1" applyBorder="1" applyAlignment="1">
      <alignment horizontal="left" vertical="center" wrapText="1"/>
    </xf>
    <xf numFmtId="0" fontId="10" fillId="16" borderId="48" xfId="0" applyFont="1" applyFill="1" applyBorder="1" applyAlignment="1">
      <alignment horizontal="left" vertical="center" wrapText="1"/>
    </xf>
    <xf numFmtId="0" fontId="10" fillId="16" borderId="54" xfId="0" applyFont="1" applyFill="1" applyBorder="1" applyAlignment="1">
      <alignment horizontal="center" vertical="center" wrapText="1"/>
    </xf>
    <xf numFmtId="0" fontId="10" fillId="16" borderId="5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114300</xdr:rowOff>
    </xdr:from>
    <xdr:to>
      <xdr:col>0</xdr:col>
      <xdr:colOff>1371600</xdr:colOff>
      <xdr:row>2</xdr:row>
      <xdr:rowOff>295275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11430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33"/>
  <sheetViews>
    <sheetView tabSelected="1" zoomScale="60" zoomScaleNormal="60" zoomScalePageLayoutView="0" workbookViewId="0" topLeftCell="A67">
      <selection activeCell="G74" sqref="G74"/>
    </sheetView>
  </sheetViews>
  <sheetFormatPr defaultColWidth="11.421875" defaultRowHeight="12.75"/>
  <cols>
    <col min="1" max="1" width="29.00390625" style="1" customWidth="1"/>
    <col min="2" max="2" width="17.140625" style="3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12" customWidth="1"/>
    <col min="7" max="7" width="15.140625" style="12" customWidth="1"/>
    <col min="8" max="8" width="18.140625" style="13" customWidth="1"/>
    <col min="9" max="9" width="22.140625" style="13" customWidth="1"/>
    <col min="10" max="10" width="19.7109375" style="13" customWidth="1"/>
    <col min="11" max="11" width="18.421875" style="10" hidden="1" customWidth="1"/>
    <col min="12" max="12" width="17.00390625" style="11" hidden="1" customWidth="1"/>
    <col min="13" max="14" width="14.421875" style="82" hidden="1" customWidth="1"/>
    <col min="15" max="15" width="14.421875" style="83" hidden="1" customWidth="1"/>
    <col min="16" max="17" width="14.421875" style="66" hidden="1" customWidth="1"/>
    <col min="18" max="19" width="0" style="1" hidden="1" customWidth="1"/>
    <col min="20" max="20" width="18.7109375" style="1" customWidth="1"/>
    <col min="21" max="21" width="16.57421875" style="48" bestFit="1" customWidth="1"/>
    <col min="22" max="22" width="21.00390625" style="67" bestFit="1" customWidth="1"/>
    <col min="23" max="16384" width="11.421875" style="1" customWidth="1"/>
  </cols>
  <sheetData>
    <row r="1" spans="1:22" s="60" customFormat="1" ht="28.5" customHeight="1">
      <c r="A1" s="188" t="s">
        <v>15</v>
      </c>
      <c r="B1" s="189"/>
      <c r="C1" s="189"/>
      <c r="D1" s="189"/>
      <c r="E1" s="189"/>
      <c r="F1" s="189"/>
      <c r="G1" s="189"/>
      <c r="H1" s="189"/>
      <c r="I1" s="190"/>
      <c r="J1" s="127" t="s">
        <v>14</v>
      </c>
      <c r="K1" s="58"/>
      <c r="L1" s="59"/>
      <c r="M1" s="31"/>
      <c r="N1" s="31"/>
      <c r="O1" s="32"/>
      <c r="P1" s="37"/>
      <c r="Q1" s="37"/>
      <c r="U1" s="61"/>
      <c r="V1" s="46"/>
    </row>
    <row r="2" spans="1:22" s="60" customFormat="1" ht="28.5" customHeight="1">
      <c r="A2" s="191"/>
      <c r="B2" s="192"/>
      <c r="C2" s="192"/>
      <c r="D2" s="192"/>
      <c r="E2" s="192"/>
      <c r="F2" s="192"/>
      <c r="G2" s="192"/>
      <c r="H2" s="192"/>
      <c r="I2" s="193"/>
      <c r="J2" s="128" t="s">
        <v>13</v>
      </c>
      <c r="K2" s="58"/>
      <c r="L2" s="59"/>
      <c r="M2" s="31"/>
      <c r="N2" s="31"/>
      <c r="O2" s="32"/>
      <c r="P2" s="37"/>
      <c r="Q2" s="37"/>
      <c r="U2" s="61"/>
      <c r="V2" s="46"/>
    </row>
    <row r="3" spans="1:22" s="60" customFormat="1" ht="28.5" customHeight="1" thickBot="1">
      <c r="A3" s="194"/>
      <c r="B3" s="195"/>
      <c r="C3" s="195"/>
      <c r="D3" s="195"/>
      <c r="E3" s="195"/>
      <c r="F3" s="195"/>
      <c r="G3" s="195"/>
      <c r="H3" s="195"/>
      <c r="I3" s="196"/>
      <c r="J3" s="129" t="s">
        <v>90</v>
      </c>
      <c r="K3" s="58"/>
      <c r="L3" s="59"/>
      <c r="M3" s="31"/>
      <c r="N3" s="31"/>
      <c r="O3" s="32"/>
      <c r="P3" s="37"/>
      <c r="Q3" s="37"/>
      <c r="U3" s="61"/>
      <c r="V3" s="46"/>
    </row>
    <row r="4" spans="1:22" s="60" customFormat="1" ht="8.25" customHeight="1" thickBot="1">
      <c r="A4" s="131"/>
      <c r="B4" s="215"/>
      <c r="C4" s="216"/>
      <c r="D4" s="216"/>
      <c r="E4" s="216"/>
      <c r="F4" s="217"/>
      <c r="G4" s="216"/>
      <c r="H4" s="216"/>
      <c r="I4" s="216"/>
      <c r="J4" s="218"/>
      <c r="K4" s="58"/>
      <c r="L4" s="59"/>
      <c r="M4" s="31"/>
      <c r="N4" s="31"/>
      <c r="O4" s="32"/>
      <c r="P4" s="37"/>
      <c r="Q4" s="37"/>
      <c r="U4" s="61"/>
      <c r="V4" s="46"/>
    </row>
    <row r="5" spans="1:22" s="60" customFormat="1" ht="39" customHeight="1" thickBot="1">
      <c r="A5" s="206" t="s">
        <v>4</v>
      </c>
      <c r="B5" s="207"/>
      <c r="C5" s="219">
        <v>2009</v>
      </c>
      <c r="D5" s="219"/>
      <c r="E5" s="218"/>
      <c r="F5" s="63"/>
      <c r="G5" s="62" t="s">
        <v>5</v>
      </c>
      <c r="H5" s="220" t="s">
        <v>100</v>
      </c>
      <c r="I5" s="219"/>
      <c r="J5" s="218"/>
      <c r="K5" s="58"/>
      <c r="L5" s="59"/>
      <c r="M5" s="31"/>
      <c r="N5" s="31"/>
      <c r="O5" s="32"/>
      <c r="P5" s="37"/>
      <c r="Q5" s="37"/>
      <c r="U5" s="61"/>
      <c r="V5" s="46"/>
    </row>
    <row r="6" spans="1:15" ht="8.25" customHeight="1" thickBot="1">
      <c r="A6" s="132"/>
      <c r="B6" s="211"/>
      <c r="C6" s="212"/>
      <c r="D6" s="212"/>
      <c r="E6" s="212"/>
      <c r="F6" s="213"/>
      <c r="G6" s="212"/>
      <c r="H6" s="212"/>
      <c r="I6" s="212"/>
      <c r="J6" s="214"/>
      <c r="M6" s="64"/>
      <c r="N6" s="64"/>
      <c r="O6" s="65"/>
    </row>
    <row r="7" spans="1:21" s="47" customFormat="1" ht="15.75" customHeight="1">
      <c r="A7" s="146" t="s">
        <v>103</v>
      </c>
      <c r="B7" s="146" t="s">
        <v>0</v>
      </c>
      <c r="C7" s="157" t="s">
        <v>2</v>
      </c>
      <c r="D7" s="183" t="s">
        <v>22</v>
      </c>
      <c r="E7" s="157" t="s">
        <v>3</v>
      </c>
      <c r="F7" s="157" t="s">
        <v>6</v>
      </c>
      <c r="G7" s="157"/>
      <c r="H7" s="158" t="s">
        <v>7</v>
      </c>
      <c r="I7" s="158"/>
      <c r="J7" s="159"/>
      <c r="K7" s="68"/>
      <c r="L7" s="69"/>
      <c r="M7" s="64"/>
      <c r="N7" s="64"/>
      <c r="O7" s="65"/>
      <c r="P7" s="70"/>
      <c r="Q7" s="70"/>
      <c r="U7" s="71"/>
    </row>
    <row r="8" spans="1:21" s="6" customFormat="1" ht="45.75" customHeight="1" thickBot="1">
      <c r="A8" s="147"/>
      <c r="B8" s="170"/>
      <c r="C8" s="180"/>
      <c r="D8" s="184"/>
      <c r="E8" s="180"/>
      <c r="F8" s="14" t="s">
        <v>8</v>
      </c>
      <c r="G8" s="14" t="s">
        <v>9</v>
      </c>
      <c r="H8" s="22" t="s">
        <v>10</v>
      </c>
      <c r="I8" s="22" t="s">
        <v>11</v>
      </c>
      <c r="J8" s="23" t="s">
        <v>12</v>
      </c>
      <c r="K8" s="72"/>
      <c r="L8" s="73"/>
      <c r="M8" s="74" t="s">
        <v>85</v>
      </c>
      <c r="N8" s="74" t="s">
        <v>85</v>
      </c>
      <c r="O8" s="75" t="s">
        <v>86</v>
      </c>
      <c r="P8" s="76" t="s">
        <v>89</v>
      </c>
      <c r="Q8" s="76" t="s">
        <v>89</v>
      </c>
      <c r="U8" s="49"/>
    </row>
    <row r="9" spans="1:22" s="4" customFormat="1" ht="35.25" customHeight="1">
      <c r="A9" s="148" t="s">
        <v>104</v>
      </c>
      <c r="B9" s="160" t="s">
        <v>101</v>
      </c>
      <c r="C9" s="16" t="s">
        <v>91</v>
      </c>
      <c r="D9" s="20"/>
      <c r="E9" s="77" t="s">
        <v>23</v>
      </c>
      <c r="F9" s="78">
        <v>1478</v>
      </c>
      <c r="G9" s="78">
        <v>1478</v>
      </c>
      <c r="H9" s="79">
        <v>12767908</v>
      </c>
      <c r="I9" s="79">
        <v>12767908</v>
      </c>
      <c r="J9" s="80">
        <f aca="true" t="shared" si="0" ref="J9:J15">+H9-I9</f>
        <v>0</v>
      </c>
      <c r="K9" s="81" t="s">
        <v>87</v>
      </c>
      <c r="L9" s="26"/>
      <c r="M9" s="82"/>
      <c r="N9" s="82"/>
      <c r="O9" s="83"/>
      <c r="P9" s="66"/>
      <c r="Q9" s="66"/>
      <c r="T9" s="26"/>
      <c r="U9" s="50"/>
      <c r="V9" s="6"/>
    </row>
    <row r="10" spans="1:22" s="4" customFormat="1" ht="33.75" customHeight="1">
      <c r="A10" s="148"/>
      <c r="B10" s="168"/>
      <c r="C10" s="17" t="s">
        <v>16</v>
      </c>
      <c r="D10" s="19">
        <v>2</v>
      </c>
      <c r="E10" s="77" t="s">
        <v>23</v>
      </c>
      <c r="F10" s="78">
        <v>300867</v>
      </c>
      <c r="G10" s="140">
        <v>300867</v>
      </c>
      <c r="H10" s="84">
        <v>536296214</v>
      </c>
      <c r="I10" s="84">
        <v>525428939</v>
      </c>
      <c r="J10" s="80">
        <f t="shared" si="0"/>
        <v>10867275</v>
      </c>
      <c r="K10" s="81">
        <v>118606003</v>
      </c>
      <c r="L10" s="26"/>
      <c r="M10" s="82">
        <v>35046</v>
      </c>
      <c r="N10" s="82">
        <v>255412</v>
      </c>
      <c r="O10" s="83">
        <v>615140</v>
      </c>
      <c r="P10" s="66"/>
      <c r="Q10" s="66"/>
      <c r="U10" s="50"/>
      <c r="V10" s="6"/>
    </row>
    <row r="11" spans="1:22" s="4" customFormat="1" ht="24">
      <c r="A11" s="148"/>
      <c r="B11" s="168"/>
      <c r="C11" s="17" t="s">
        <v>17</v>
      </c>
      <c r="D11" s="19">
        <v>4</v>
      </c>
      <c r="E11" s="77" t="s">
        <v>23</v>
      </c>
      <c r="F11" s="78">
        <v>20000</v>
      </c>
      <c r="G11" s="140">
        <v>20000</v>
      </c>
      <c r="H11" s="79">
        <v>40310600</v>
      </c>
      <c r="I11" s="85">
        <v>40310600</v>
      </c>
      <c r="J11" s="80">
        <f t="shared" si="0"/>
        <v>0</v>
      </c>
      <c r="K11" s="81">
        <v>304866161</v>
      </c>
      <c r="L11" s="26"/>
      <c r="M11" s="82">
        <v>79222</v>
      </c>
      <c r="N11" s="82"/>
      <c r="O11" s="83">
        <v>165962</v>
      </c>
      <c r="P11" s="66"/>
      <c r="Q11" s="66"/>
      <c r="U11" s="50"/>
      <c r="V11" s="6"/>
    </row>
    <row r="12" spans="1:22" s="4" customFormat="1" ht="24">
      <c r="A12" s="148"/>
      <c r="B12" s="168"/>
      <c r="C12" s="17" t="s">
        <v>18</v>
      </c>
      <c r="D12" s="19">
        <v>4</v>
      </c>
      <c r="E12" s="77" t="s">
        <v>23</v>
      </c>
      <c r="F12" s="78">
        <v>4145</v>
      </c>
      <c r="G12" s="140">
        <v>4310</v>
      </c>
      <c r="H12" s="79">
        <v>36860711</v>
      </c>
      <c r="I12" s="79">
        <v>36826218</v>
      </c>
      <c r="J12" s="80">
        <f t="shared" si="0"/>
        <v>34493</v>
      </c>
      <c r="K12" s="81">
        <f>SUM(K10:K11)</f>
        <v>423472164</v>
      </c>
      <c r="L12" s="26"/>
      <c r="M12" s="82">
        <v>255412</v>
      </c>
      <c r="N12" s="82"/>
      <c r="O12" s="83">
        <v>489303</v>
      </c>
      <c r="P12" s="66"/>
      <c r="Q12" s="66"/>
      <c r="U12" s="50"/>
      <c r="V12" s="6"/>
    </row>
    <row r="13" spans="1:24" s="4" customFormat="1" ht="36" customHeight="1">
      <c r="A13" s="148"/>
      <c r="B13" s="168"/>
      <c r="C13" s="16" t="s">
        <v>20</v>
      </c>
      <c r="D13" s="20"/>
      <c r="E13" s="141" t="s">
        <v>23</v>
      </c>
      <c r="F13" s="140">
        <v>830642</v>
      </c>
      <c r="G13" s="140">
        <v>830642</v>
      </c>
      <c r="H13" s="79">
        <v>166444313</v>
      </c>
      <c r="I13" s="79">
        <v>166347350</v>
      </c>
      <c r="J13" s="80">
        <f t="shared" si="0"/>
        <v>96963</v>
      </c>
      <c r="K13" s="86" t="s">
        <v>88</v>
      </c>
      <c r="L13" s="26"/>
      <c r="M13" s="82">
        <v>85137</v>
      </c>
      <c r="N13" s="82"/>
      <c r="O13" s="83">
        <v>341394</v>
      </c>
      <c r="P13" s="66"/>
      <c r="Q13" s="66"/>
      <c r="T13" s="51"/>
      <c r="U13" s="52"/>
      <c r="V13" s="87"/>
      <c r="W13" s="53"/>
      <c r="X13" s="53"/>
    </row>
    <row r="14" spans="1:24" s="4" customFormat="1" ht="24">
      <c r="A14" s="148"/>
      <c r="B14" s="168"/>
      <c r="C14" s="17" t="s">
        <v>21</v>
      </c>
      <c r="D14" s="19">
        <v>5</v>
      </c>
      <c r="E14" s="77" t="s">
        <v>24</v>
      </c>
      <c r="F14" s="78">
        <v>3</v>
      </c>
      <c r="G14" s="140">
        <v>3</v>
      </c>
      <c r="H14" s="79">
        <v>55407534</v>
      </c>
      <c r="I14" s="79">
        <v>55407534</v>
      </c>
      <c r="J14" s="80">
        <f t="shared" si="0"/>
        <v>0</v>
      </c>
      <c r="K14" s="81">
        <v>474190061</v>
      </c>
      <c r="L14" s="26"/>
      <c r="M14" s="82">
        <v>425685</v>
      </c>
      <c r="N14" s="82"/>
      <c r="O14" s="83">
        <v>197989</v>
      </c>
      <c r="P14" s="66"/>
      <c r="Q14" s="66"/>
      <c r="T14" s="53"/>
      <c r="U14" s="52"/>
      <c r="V14" s="88"/>
      <c r="W14" s="53"/>
      <c r="X14" s="53"/>
    </row>
    <row r="15" spans="1:24" s="4" customFormat="1" ht="21" customHeight="1">
      <c r="A15" s="148"/>
      <c r="B15" s="168"/>
      <c r="C15" s="5" t="s">
        <v>83</v>
      </c>
      <c r="D15" s="20"/>
      <c r="E15" s="89" t="s">
        <v>1</v>
      </c>
      <c r="F15" s="78">
        <v>100</v>
      </c>
      <c r="G15" s="78">
        <v>100</v>
      </c>
      <c r="H15" s="90">
        <v>44197258</v>
      </c>
      <c r="I15" s="90">
        <f>+(H15+H22)-H22-316650</f>
        <v>43880608</v>
      </c>
      <c r="J15" s="80">
        <f t="shared" si="0"/>
        <v>316650</v>
      </c>
      <c r="K15" s="86">
        <f>SUM(K14:K14)</f>
        <v>474190061</v>
      </c>
      <c r="L15" s="26"/>
      <c r="M15" s="82">
        <v>1097149</v>
      </c>
      <c r="N15" s="82"/>
      <c r="O15" s="83">
        <v>278352</v>
      </c>
      <c r="P15" s="66"/>
      <c r="Q15" s="66"/>
      <c r="T15" s="53"/>
      <c r="U15" s="52"/>
      <c r="V15" s="88"/>
      <c r="W15" s="53"/>
      <c r="X15" s="53"/>
    </row>
    <row r="16" spans="1:24" s="4" customFormat="1" ht="15" customHeight="1">
      <c r="A16" s="148"/>
      <c r="B16" s="168"/>
      <c r="C16" s="154" t="s">
        <v>25</v>
      </c>
      <c r="D16" s="155"/>
      <c r="E16" s="155"/>
      <c r="F16" s="155"/>
      <c r="G16" s="156"/>
      <c r="H16" s="57">
        <f>+H9+H10+H11+H12+H13+H14+H15</f>
        <v>892284538</v>
      </c>
      <c r="I16" s="15"/>
      <c r="J16" s="151">
        <f>SUM(J9:J15)</f>
        <v>11315381</v>
      </c>
      <c r="K16" s="91">
        <f>675436154-K15</f>
        <v>201246093</v>
      </c>
      <c r="L16" s="26"/>
      <c r="M16" s="82">
        <v>210274</v>
      </c>
      <c r="N16" s="82"/>
      <c r="O16" s="83"/>
      <c r="P16" s="66"/>
      <c r="Q16" s="66"/>
      <c r="T16" s="54"/>
      <c r="U16" s="52"/>
      <c r="V16" s="88"/>
      <c r="W16" s="53"/>
      <c r="X16" s="53"/>
    </row>
    <row r="17" spans="1:24" s="4" customFormat="1" ht="15" customHeight="1">
      <c r="A17" s="148"/>
      <c r="B17" s="168"/>
      <c r="C17" s="154" t="s">
        <v>26</v>
      </c>
      <c r="D17" s="155"/>
      <c r="E17" s="155"/>
      <c r="F17" s="155"/>
      <c r="G17" s="155"/>
      <c r="H17" s="156"/>
      <c r="I17" s="29">
        <f>SUM(I9:I15)</f>
        <v>880969157</v>
      </c>
      <c r="J17" s="152"/>
      <c r="K17" s="42">
        <v>11</v>
      </c>
      <c r="L17" s="26"/>
      <c r="M17" s="82">
        <v>105137</v>
      </c>
      <c r="N17" s="82"/>
      <c r="O17" s="83"/>
      <c r="P17" s="66"/>
      <c r="Q17" s="66"/>
      <c r="T17" s="51"/>
      <c r="U17" s="52"/>
      <c r="V17" s="88"/>
      <c r="W17" s="53"/>
      <c r="X17" s="53"/>
    </row>
    <row r="18" spans="1:24" s="4" customFormat="1" ht="24" customHeight="1" thickBot="1">
      <c r="A18" s="148"/>
      <c r="B18" s="169"/>
      <c r="C18" s="154" t="s">
        <v>27</v>
      </c>
      <c r="D18" s="155"/>
      <c r="E18" s="155"/>
      <c r="F18" s="155"/>
      <c r="G18" s="155"/>
      <c r="H18" s="156"/>
      <c r="I18" s="21">
        <f>+I17/H16</f>
        <v>0.9873186405029917</v>
      </c>
      <c r="J18" s="153"/>
      <c r="K18" s="41"/>
      <c r="L18" s="26"/>
      <c r="M18" s="40"/>
      <c r="N18" s="40">
        <f>SUM(M10:N17)</f>
        <v>2548474</v>
      </c>
      <c r="O18" s="83"/>
      <c r="P18" s="66"/>
      <c r="Q18" s="66"/>
      <c r="T18" s="53"/>
      <c r="U18" s="52"/>
      <c r="V18" s="88"/>
      <c r="W18" s="53"/>
      <c r="X18" s="53"/>
    </row>
    <row r="19" spans="1:24" s="4" customFormat="1" ht="24" customHeight="1">
      <c r="A19" s="148"/>
      <c r="B19" s="149" t="s">
        <v>0</v>
      </c>
      <c r="C19" s="157" t="s">
        <v>2</v>
      </c>
      <c r="D19" s="183" t="s">
        <v>22</v>
      </c>
      <c r="E19" s="157" t="s">
        <v>3</v>
      </c>
      <c r="F19" s="157" t="s">
        <v>6</v>
      </c>
      <c r="G19" s="157"/>
      <c r="H19" s="158" t="s">
        <v>7</v>
      </c>
      <c r="I19" s="158"/>
      <c r="J19" s="159"/>
      <c r="K19" s="41"/>
      <c r="L19" s="26"/>
      <c r="M19" s="40"/>
      <c r="N19" s="40"/>
      <c r="O19" s="83"/>
      <c r="P19" s="66"/>
      <c r="Q19" s="66"/>
      <c r="T19" s="53"/>
      <c r="U19" s="52"/>
      <c r="V19" s="88"/>
      <c r="W19" s="53"/>
      <c r="X19" s="53"/>
    </row>
    <row r="20" spans="1:24" s="4" customFormat="1" ht="40.5" customHeight="1" thickBot="1">
      <c r="A20" s="148"/>
      <c r="B20" s="150"/>
      <c r="C20" s="180"/>
      <c r="D20" s="184"/>
      <c r="E20" s="180"/>
      <c r="F20" s="14" t="s">
        <v>8</v>
      </c>
      <c r="G20" s="14" t="s">
        <v>9</v>
      </c>
      <c r="H20" s="22" t="s">
        <v>10</v>
      </c>
      <c r="I20" s="22" t="s">
        <v>11</v>
      </c>
      <c r="J20" s="23" t="s">
        <v>12</v>
      </c>
      <c r="K20" s="41"/>
      <c r="L20" s="26"/>
      <c r="M20" s="40"/>
      <c r="N20" s="40"/>
      <c r="O20" s="83"/>
      <c r="P20" s="66"/>
      <c r="Q20" s="66"/>
      <c r="T20" s="53"/>
      <c r="U20" s="52"/>
      <c r="V20" s="88"/>
      <c r="W20" s="53"/>
      <c r="X20" s="53"/>
    </row>
    <row r="21" spans="1:24" s="4" customFormat="1" ht="48" customHeight="1">
      <c r="A21" s="148"/>
      <c r="B21" s="166" t="s">
        <v>102</v>
      </c>
      <c r="C21" s="17" t="s">
        <v>19</v>
      </c>
      <c r="D21" s="19">
        <v>4</v>
      </c>
      <c r="E21" s="77" t="s">
        <v>23</v>
      </c>
      <c r="F21" s="78">
        <v>56576</v>
      </c>
      <c r="G21" s="140">
        <v>56576</v>
      </c>
      <c r="H21" s="79">
        <v>190450000</v>
      </c>
      <c r="I21" s="79">
        <v>190450000</v>
      </c>
      <c r="J21" s="80">
        <f>+H21-I21</f>
        <v>0</v>
      </c>
      <c r="K21" s="41"/>
      <c r="L21" s="26"/>
      <c r="M21" s="40"/>
      <c r="N21" s="40"/>
      <c r="O21" s="83"/>
      <c r="P21" s="66"/>
      <c r="Q21" s="66"/>
      <c r="T21" s="53"/>
      <c r="U21" s="52"/>
      <c r="V21" s="88"/>
      <c r="W21" s="53"/>
      <c r="X21" s="53"/>
    </row>
    <row r="22" spans="1:24" s="4" customFormat="1" ht="76.5" customHeight="1">
      <c r="A22" s="148"/>
      <c r="B22" s="167"/>
      <c r="C22" s="5" t="s">
        <v>83</v>
      </c>
      <c r="D22" s="20"/>
      <c r="E22" s="89" t="s">
        <v>1</v>
      </c>
      <c r="F22" s="78">
        <v>100</v>
      </c>
      <c r="G22" s="115">
        <v>100</v>
      </c>
      <c r="H22" s="90">
        <v>9925120</v>
      </c>
      <c r="I22" s="90">
        <f>+H22</f>
        <v>9925120</v>
      </c>
      <c r="J22" s="80">
        <f>+H22-I22</f>
        <v>0</v>
      </c>
      <c r="K22" s="41"/>
      <c r="L22" s="26"/>
      <c r="M22" s="40"/>
      <c r="N22" s="40"/>
      <c r="O22" s="83"/>
      <c r="P22" s="66"/>
      <c r="Q22" s="66"/>
      <c r="T22" s="54"/>
      <c r="U22" s="52"/>
      <c r="V22" s="88"/>
      <c r="W22" s="53"/>
      <c r="X22" s="53"/>
    </row>
    <row r="23" spans="1:24" s="4" customFormat="1" ht="24" customHeight="1">
      <c r="A23" s="148"/>
      <c r="B23" s="117"/>
      <c r="C23" s="154" t="s">
        <v>25</v>
      </c>
      <c r="D23" s="155"/>
      <c r="E23" s="155"/>
      <c r="F23" s="155"/>
      <c r="G23" s="156"/>
      <c r="H23" s="57">
        <f>+H21+H22</f>
        <v>200375120</v>
      </c>
      <c r="I23" s="15"/>
      <c r="J23" s="151">
        <f>SUM(J21:J22)</f>
        <v>0</v>
      </c>
      <c r="K23" s="41"/>
      <c r="L23" s="26"/>
      <c r="M23" s="40"/>
      <c r="N23" s="40"/>
      <c r="O23" s="83"/>
      <c r="P23" s="66"/>
      <c r="Q23" s="66"/>
      <c r="T23" s="54"/>
      <c r="U23" s="52"/>
      <c r="V23" s="88"/>
      <c r="W23" s="53"/>
      <c r="X23" s="53"/>
    </row>
    <row r="24" spans="1:24" s="4" customFormat="1" ht="24" customHeight="1">
      <c r="A24" s="148"/>
      <c r="B24" s="117"/>
      <c r="C24" s="154" t="s">
        <v>26</v>
      </c>
      <c r="D24" s="155"/>
      <c r="E24" s="155"/>
      <c r="F24" s="155"/>
      <c r="G24" s="155"/>
      <c r="H24" s="156"/>
      <c r="I24" s="29">
        <f>SUM(I21:I22)</f>
        <v>200375120</v>
      </c>
      <c r="J24" s="152"/>
      <c r="K24" s="41"/>
      <c r="L24" s="26"/>
      <c r="M24" s="40"/>
      <c r="N24" s="40"/>
      <c r="O24" s="83"/>
      <c r="P24" s="66"/>
      <c r="Q24" s="66"/>
      <c r="T24" s="53"/>
      <c r="U24" s="52"/>
      <c r="V24" s="88"/>
      <c r="W24" s="53"/>
      <c r="X24" s="53"/>
    </row>
    <row r="25" spans="1:24" s="4" customFormat="1" ht="24" customHeight="1" thickBot="1">
      <c r="A25" s="148"/>
      <c r="B25" s="118"/>
      <c r="C25" s="154" t="s">
        <v>27</v>
      </c>
      <c r="D25" s="155"/>
      <c r="E25" s="155"/>
      <c r="F25" s="155"/>
      <c r="G25" s="155"/>
      <c r="H25" s="156"/>
      <c r="I25" s="21">
        <f>+I24/H23</f>
        <v>1</v>
      </c>
      <c r="J25" s="153"/>
      <c r="K25" s="41"/>
      <c r="L25" s="26"/>
      <c r="M25" s="40"/>
      <c r="N25" s="40"/>
      <c r="O25" s="83"/>
      <c r="P25" s="66"/>
      <c r="Q25" s="66"/>
      <c r="T25" s="53"/>
      <c r="U25" s="52"/>
      <c r="V25" s="88"/>
      <c r="W25" s="53"/>
      <c r="X25" s="53"/>
    </row>
    <row r="26" spans="1:24" s="4" customFormat="1" ht="17.25" customHeight="1">
      <c r="A26" s="146" t="s">
        <v>103</v>
      </c>
      <c r="B26" s="146" t="s">
        <v>0</v>
      </c>
      <c r="C26" s="157" t="s">
        <v>2</v>
      </c>
      <c r="D26" s="183" t="s">
        <v>22</v>
      </c>
      <c r="E26" s="157" t="s">
        <v>3</v>
      </c>
      <c r="F26" s="157" t="s">
        <v>6</v>
      </c>
      <c r="G26" s="157"/>
      <c r="H26" s="158" t="s">
        <v>7</v>
      </c>
      <c r="I26" s="158"/>
      <c r="J26" s="159"/>
      <c r="K26" s="72"/>
      <c r="L26" s="26"/>
      <c r="M26" s="82"/>
      <c r="N26" s="82"/>
      <c r="O26" s="83"/>
      <c r="P26" s="66"/>
      <c r="Q26" s="66"/>
      <c r="T26" s="53"/>
      <c r="U26" s="52"/>
      <c r="V26" s="88"/>
      <c r="W26" s="53"/>
      <c r="X26" s="53"/>
    </row>
    <row r="27" spans="1:24" s="4" customFormat="1" ht="51.75" customHeight="1" thickBot="1">
      <c r="A27" s="147"/>
      <c r="B27" s="170"/>
      <c r="C27" s="180"/>
      <c r="D27" s="184"/>
      <c r="E27" s="180"/>
      <c r="F27" s="14" t="s">
        <v>8</v>
      </c>
      <c r="G27" s="14" t="s">
        <v>9</v>
      </c>
      <c r="H27" s="22" t="s">
        <v>10</v>
      </c>
      <c r="I27" s="22" t="s">
        <v>11</v>
      </c>
      <c r="J27" s="23" t="s">
        <v>12</v>
      </c>
      <c r="K27" s="72"/>
      <c r="L27" s="26"/>
      <c r="M27" s="82"/>
      <c r="N27" s="82"/>
      <c r="O27" s="83"/>
      <c r="P27" s="66"/>
      <c r="Q27" s="66"/>
      <c r="T27" s="53"/>
      <c r="U27" s="52"/>
      <c r="V27" s="88"/>
      <c r="W27" s="53"/>
      <c r="X27" s="53"/>
    </row>
    <row r="28" spans="1:24" s="4" customFormat="1" ht="36" customHeight="1">
      <c r="A28" s="163" t="s">
        <v>112</v>
      </c>
      <c r="B28" s="160" t="s">
        <v>105</v>
      </c>
      <c r="C28" s="17" t="s">
        <v>109</v>
      </c>
      <c r="D28" s="20">
        <v>7</v>
      </c>
      <c r="E28" s="77" t="s">
        <v>35</v>
      </c>
      <c r="F28" s="93">
        <v>1</v>
      </c>
      <c r="G28" s="94">
        <v>1</v>
      </c>
      <c r="H28" s="95">
        <v>1284157928</v>
      </c>
      <c r="I28" s="95">
        <f>966240491+136977229+60563424</f>
        <v>1163781144</v>
      </c>
      <c r="J28" s="80">
        <f>+H28-I28</f>
        <v>120376784</v>
      </c>
      <c r="K28" s="72"/>
      <c r="L28" s="26"/>
      <c r="M28" s="44">
        <f>75206</f>
        <v>75206</v>
      </c>
      <c r="N28" s="82">
        <v>340671</v>
      </c>
      <c r="O28" s="83"/>
      <c r="P28" s="66"/>
      <c r="Q28" s="66"/>
      <c r="T28" s="53"/>
      <c r="U28" s="52"/>
      <c r="V28" s="88"/>
      <c r="W28" s="53"/>
      <c r="X28" s="53"/>
    </row>
    <row r="29" spans="1:24" s="4" customFormat="1" ht="30.75" customHeight="1" hidden="1">
      <c r="A29" s="164"/>
      <c r="B29" s="168"/>
      <c r="C29" s="17" t="s">
        <v>28</v>
      </c>
      <c r="D29" s="20">
        <v>3</v>
      </c>
      <c r="E29" s="77" t="s">
        <v>36</v>
      </c>
      <c r="F29" s="93"/>
      <c r="G29" s="94"/>
      <c r="H29" s="95"/>
      <c r="I29" s="95"/>
      <c r="J29" s="80">
        <f>+H29-I29</f>
        <v>0</v>
      </c>
      <c r="K29" s="72"/>
      <c r="L29" s="26"/>
      <c r="M29" s="44">
        <f>35046*4</f>
        <v>140184</v>
      </c>
      <c r="N29" s="82">
        <v>70092</v>
      </c>
      <c r="O29" s="83"/>
      <c r="P29" s="66"/>
      <c r="Q29" s="66"/>
      <c r="T29" s="53"/>
      <c r="U29" s="52"/>
      <c r="V29" s="88"/>
      <c r="W29" s="53"/>
      <c r="X29" s="53"/>
    </row>
    <row r="30" spans="1:24" s="4" customFormat="1" ht="30.75" customHeight="1" hidden="1">
      <c r="A30" s="164"/>
      <c r="B30" s="168"/>
      <c r="C30" s="16" t="s">
        <v>29</v>
      </c>
      <c r="D30" s="96"/>
      <c r="E30" s="77" t="s">
        <v>36</v>
      </c>
      <c r="F30" s="93"/>
      <c r="G30" s="94"/>
      <c r="H30" s="95"/>
      <c r="I30" s="95"/>
      <c r="J30" s="80">
        <f>+H30-I30</f>
        <v>0</v>
      </c>
      <c r="K30" s="72"/>
      <c r="L30" s="26"/>
      <c r="M30" s="44">
        <v>65165</v>
      </c>
      <c r="N30" s="82">
        <v>266765</v>
      </c>
      <c r="O30" s="83"/>
      <c r="P30" s="66"/>
      <c r="Q30" s="66"/>
      <c r="T30" s="53"/>
      <c r="U30" s="52"/>
      <c r="V30" s="88"/>
      <c r="W30" s="53"/>
      <c r="X30" s="53"/>
    </row>
    <row r="31" spans="1:24" s="4" customFormat="1" ht="17.25" customHeight="1">
      <c r="A31" s="164"/>
      <c r="B31" s="168"/>
      <c r="C31" s="175" t="s">
        <v>25</v>
      </c>
      <c r="D31" s="176"/>
      <c r="E31" s="176"/>
      <c r="F31" s="176"/>
      <c r="G31" s="177"/>
      <c r="H31" s="57">
        <f>+H28</f>
        <v>1284157928</v>
      </c>
      <c r="I31" s="30"/>
      <c r="J31" s="151">
        <f>SUM(J28:J30)</f>
        <v>120376784</v>
      </c>
      <c r="K31" s="43"/>
      <c r="L31" s="26"/>
      <c r="M31" s="82"/>
      <c r="N31" s="82"/>
      <c r="O31" s="83"/>
      <c r="P31" s="66"/>
      <c r="Q31" s="66"/>
      <c r="T31" s="53"/>
      <c r="U31" s="52"/>
      <c r="V31" s="87"/>
      <c r="W31" s="53"/>
      <c r="X31" s="53"/>
    </row>
    <row r="32" spans="1:24" s="4" customFormat="1" ht="16.5" customHeight="1">
      <c r="A32" s="164"/>
      <c r="B32" s="168"/>
      <c r="C32" s="175" t="s">
        <v>26</v>
      </c>
      <c r="D32" s="176"/>
      <c r="E32" s="176"/>
      <c r="F32" s="176"/>
      <c r="G32" s="176"/>
      <c r="H32" s="177"/>
      <c r="I32" s="29">
        <f>SUM(I28:I31)</f>
        <v>1163781144</v>
      </c>
      <c r="J32" s="178"/>
      <c r="K32" s="42"/>
      <c r="L32" s="26"/>
      <c r="M32" s="82"/>
      <c r="N32" s="82"/>
      <c r="O32" s="83"/>
      <c r="P32" s="66"/>
      <c r="Q32" s="66"/>
      <c r="T32" s="53"/>
      <c r="U32" s="52"/>
      <c r="V32" s="88"/>
      <c r="W32" s="53"/>
      <c r="X32" s="53"/>
    </row>
    <row r="33" spans="1:24" s="4" customFormat="1" ht="18.75" thickBot="1">
      <c r="A33" s="164"/>
      <c r="B33" s="169"/>
      <c r="C33" s="154" t="s">
        <v>27</v>
      </c>
      <c r="D33" s="155"/>
      <c r="E33" s="155"/>
      <c r="F33" s="155"/>
      <c r="G33" s="155"/>
      <c r="H33" s="156"/>
      <c r="I33" s="21">
        <f>+I32/H31</f>
        <v>0.9062601403026186</v>
      </c>
      <c r="J33" s="179"/>
      <c r="K33" s="72"/>
      <c r="L33" s="26"/>
      <c r="M33" s="82"/>
      <c r="N33" s="82"/>
      <c r="O33" s="83"/>
      <c r="P33" s="66"/>
      <c r="Q33" s="66"/>
      <c r="T33" s="53"/>
      <c r="U33" s="52"/>
      <c r="V33" s="88"/>
      <c r="W33" s="53"/>
      <c r="X33" s="53"/>
    </row>
    <row r="34" spans="1:24" s="4" customFormat="1" ht="22.5" customHeight="1">
      <c r="A34" s="164"/>
      <c r="B34" s="160" t="s">
        <v>106</v>
      </c>
      <c r="C34" s="17" t="s">
        <v>110</v>
      </c>
      <c r="D34" s="20">
        <v>6</v>
      </c>
      <c r="E34" s="92" t="s">
        <v>35</v>
      </c>
      <c r="F34" s="93">
        <v>1</v>
      </c>
      <c r="G34" s="142">
        <v>1</v>
      </c>
      <c r="H34" s="95">
        <v>255317200</v>
      </c>
      <c r="I34" s="95">
        <v>255317200</v>
      </c>
      <c r="J34" s="80">
        <f>+H34-I34</f>
        <v>0</v>
      </c>
      <c r="K34" s="72"/>
      <c r="L34" s="26"/>
      <c r="M34" s="82"/>
      <c r="N34" s="82"/>
      <c r="O34" s="83"/>
      <c r="P34" s="66"/>
      <c r="Q34" s="66"/>
      <c r="T34" s="53"/>
      <c r="U34" s="52"/>
      <c r="V34" s="88"/>
      <c r="W34" s="53"/>
      <c r="X34" s="53"/>
    </row>
    <row r="35" spans="1:24" s="4" customFormat="1" ht="23.25" customHeight="1">
      <c r="A35" s="164"/>
      <c r="B35" s="161"/>
      <c r="C35" s="5" t="s">
        <v>83</v>
      </c>
      <c r="D35" s="20"/>
      <c r="E35" s="89" t="s">
        <v>1</v>
      </c>
      <c r="F35" s="78">
        <v>100</v>
      </c>
      <c r="G35" s="115">
        <v>100</v>
      </c>
      <c r="H35" s="95">
        <v>5663829</v>
      </c>
      <c r="I35" s="97">
        <f>+H35</f>
        <v>5663829</v>
      </c>
      <c r="J35" s="80">
        <f>+H35-I35</f>
        <v>0</v>
      </c>
      <c r="K35" s="72"/>
      <c r="L35" s="26"/>
      <c r="M35" s="82"/>
      <c r="N35" s="82"/>
      <c r="O35" s="83"/>
      <c r="P35" s="66"/>
      <c r="Q35" s="66"/>
      <c r="T35" s="54"/>
      <c r="U35" s="52"/>
      <c r="V35" s="88"/>
      <c r="W35" s="53"/>
      <c r="X35" s="53"/>
    </row>
    <row r="36" spans="1:24" s="4" customFormat="1" ht="18">
      <c r="A36" s="164"/>
      <c r="B36" s="161"/>
      <c r="C36" s="175" t="s">
        <v>25</v>
      </c>
      <c r="D36" s="176"/>
      <c r="E36" s="176"/>
      <c r="F36" s="176"/>
      <c r="G36" s="177"/>
      <c r="H36" s="57">
        <f>+H34+H35</f>
        <v>260981029</v>
      </c>
      <c r="I36" s="30"/>
      <c r="J36" s="151">
        <f>SUM(J34:J35)</f>
        <v>0</v>
      </c>
      <c r="K36" s="72"/>
      <c r="L36" s="26"/>
      <c r="M36" s="82"/>
      <c r="N36" s="82"/>
      <c r="O36" s="83"/>
      <c r="P36" s="66"/>
      <c r="Q36" s="66"/>
      <c r="T36" s="53"/>
      <c r="U36" s="52"/>
      <c r="V36" s="88"/>
      <c r="W36" s="53"/>
      <c r="X36" s="53"/>
    </row>
    <row r="37" spans="1:24" s="4" customFormat="1" ht="18">
      <c r="A37" s="164"/>
      <c r="B37" s="161"/>
      <c r="C37" s="175" t="s">
        <v>26</v>
      </c>
      <c r="D37" s="176"/>
      <c r="E37" s="176"/>
      <c r="F37" s="176"/>
      <c r="G37" s="176"/>
      <c r="H37" s="177"/>
      <c r="I37" s="29">
        <f>SUM(I34:I36)</f>
        <v>260981029</v>
      </c>
      <c r="J37" s="178"/>
      <c r="K37" s="72"/>
      <c r="L37" s="26"/>
      <c r="M37" s="82"/>
      <c r="N37" s="82"/>
      <c r="O37" s="83"/>
      <c r="P37" s="66"/>
      <c r="Q37" s="66"/>
      <c r="T37" s="53"/>
      <c r="U37" s="52"/>
      <c r="V37" s="88"/>
      <c r="W37" s="53"/>
      <c r="X37" s="53"/>
    </row>
    <row r="38" spans="1:24" s="4" customFormat="1" ht="18.75" thickBot="1">
      <c r="A38" s="164"/>
      <c r="B38" s="162"/>
      <c r="C38" s="154" t="s">
        <v>27</v>
      </c>
      <c r="D38" s="155"/>
      <c r="E38" s="155"/>
      <c r="F38" s="155"/>
      <c r="G38" s="155"/>
      <c r="H38" s="156"/>
      <c r="I38" s="21">
        <f>+I37/H36</f>
        <v>1</v>
      </c>
      <c r="J38" s="179"/>
      <c r="K38" s="72"/>
      <c r="L38" s="26"/>
      <c r="M38" s="82"/>
      <c r="N38" s="82"/>
      <c r="O38" s="83"/>
      <c r="P38" s="66"/>
      <c r="Q38" s="66"/>
      <c r="T38" s="53"/>
      <c r="U38" s="52"/>
      <c r="V38" s="88"/>
      <c r="W38" s="53"/>
      <c r="X38" s="53"/>
    </row>
    <row r="39" spans="1:24" s="4" customFormat="1" ht="51.75" customHeight="1">
      <c r="A39" s="164"/>
      <c r="B39" s="160" t="s">
        <v>107</v>
      </c>
      <c r="C39" s="17" t="s">
        <v>111</v>
      </c>
      <c r="D39" s="20">
        <v>7</v>
      </c>
      <c r="E39" s="77" t="s">
        <v>35</v>
      </c>
      <c r="F39" s="93">
        <v>2</v>
      </c>
      <c r="G39" s="94">
        <v>2</v>
      </c>
      <c r="H39" s="143">
        <v>0</v>
      </c>
      <c r="I39" s="143">
        <v>0</v>
      </c>
      <c r="J39" s="80">
        <f aca="true" t="shared" si="1" ref="J39:J47">+H39-I39</f>
        <v>0</v>
      </c>
      <c r="K39" s="72"/>
      <c r="L39" s="26"/>
      <c r="M39" s="82"/>
      <c r="N39" s="82"/>
      <c r="O39" s="83"/>
      <c r="P39" s="66"/>
      <c r="Q39" s="66"/>
      <c r="T39" s="53"/>
      <c r="U39" s="52"/>
      <c r="V39" s="88"/>
      <c r="W39" s="53"/>
      <c r="X39" s="53"/>
    </row>
    <row r="40" spans="1:24" s="4" customFormat="1" ht="36" customHeight="1">
      <c r="A40" s="164"/>
      <c r="B40" s="168"/>
      <c r="C40" s="17" t="s">
        <v>34</v>
      </c>
      <c r="D40" s="20">
        <v>10</v>
      </c>
      <c r="E40" s="77" t="s">
        <v>39</v>
      </c>
      <c r="F40" s="78">
        <v>2</v>
      </c>
      <c r="G40" s="94">
        <v>2</v>
      </c>
      <c r="H40" s="95">
        <v>190780080</v>
      </c>
      <c r="I40" s="95">
        <v>190780080</v>
      </c>
      <c r="J40" s="80">
        <f t="shared" si="1"/>
        <v>0</v>
      </c>
      <c r="K40" s="72"/>
      <c r="L40" s="26"/>
      <c r="M40" s="82"/>
      <c r="N40" s="82"/>
      <c r="O40" s="83"/>
      <c r="P40" s="66"/>
      <c r="Q40" s="66"/>
      <c r="T40" s="53"/>
      <c r="U40" s="52"/>
      <c r="V40" s="88"/>
      <c r="W40" s="53"/>
      <c r="X40" s="53"/>
    </row>
    <row r="41" spans="1:24" s="4" customFormat="1" ht="36" customHeight="1">
      <c r="A41" s="164"/>
      <c r="B41" s="168"/>
      <c r="C41" s="17" t="s">
        <v>74</v>
      </c>
      <c r="D41" s="20">
        <v>14</v>
      </c>
      <c r="E41" s="77" t="s">
        <v>1</v>
      </c>
      <c r="F41" s="78">
        <v>60</v>
      </c>
      <c r="G41" s="78">
        <v>38</v>
      </c>
      <c r="H41" s="79">
        <v>7228800</v>
      </c>
      <c r="I41" s="79">
        <v>7228800</v>
      </c>
      <c r="J41" s="80">
        <f t="shared" si="1"/>
        <v>0</v>
      </c>
      <c r="K41" s="72"/>
      <c r="L41" s="26"/>
      <c r="M41" s="82"/>
      <c r="N41" s="82"/>
      <c r="O41" s="83"/>
      <c r="P41" s="66"/>
      <c r="Q41" s="66"/>
      <c r="T41" s="54"/>
      <c r="U41" s="52"/>
      <c r="V41" s="88"/>
      <c r="W41" s="53"/>
      <c r="X41" s="53"/>
    </row>
    <row r="42" spans="1:24" s="4" customFormat="1" ht="36" customHeight="1">
      <c r="A42" s="164"/>
      <c r="B42" s="168"/>
      <c r="C42" s="16" t="s">
        <v>31</v>
      </c>
      <c r="D42" s="20">
        <v>8</v>
      </c>
      <c r="E42" s="77" t="s">
        <v>37</v>
      </c>
      <c r="F42" s="78">
        <v>100</v>
      </c>
      <c r="G42" s="142">
        <v>75</v>
      </c>
      <c r="H42" s="143">
        <v>188401921.4</v>
      </c>
      <c r="I42" s="95">
        <v>188401921</v>
      </c>
      <c r="J42" s="80">
        <f t="shared" si="1"/>
        <v>0.4000000059604645</v>
      </c>
      <c r="K42" s="72"/>
      <c r="L42" s="26"/>
      <c r="M42" s="82"/>
      <c r="N42" s="82"/>
      <c r="O42" s="83"/>
      <c r="P42" s="66"/>
      <c r="Q42" s="66"/>
      <c r="T42" s="54"/>
      <c r="U42" s="52"/>
      <c r="V42" s="88"/>
      <c r="W42" s="53"/>
      <c r="X42" s="53"/>
    </row>
    <row r="43" spans="1:24" s="4" customFormat="1" ht="24">
      <c r="A43" s="164"/>
      <c r="B43" s="168"/>
      <c r="C43" s="17" t="s">
        <v>30</v>
      </c>
      <c r="D43" s="96"/>
      <c r="E43" s="77" t="s">
        <v>37</v>
      </c>
      <c r="F43" s="78">
        <v>695</v>
      </c>
      <c r="G43" s="142">
        <v>548</v>
      </c>
      <c r="H43" s="143">
        <v>424855668</v>
      </c>
      <c r="I43" s="95">
        <v>424855668</v>
      </c>
      <c r="J43" s="80">
        <f t="shared" si="1"/>
        <v>0</v>
      </c>
      <c r="K43" s="72"/>
      <c r="L43" s="26"/>
      <c r="M43" s="82"/>
      <c r="N43" s="82"/>
      <c r="O43" s="83"/>
      <c r="P43" s="66"/>
      <c r="Q43" s="66"/>
      <c r="T43" s="54"/>
      <c r="U43" s="52"/>
      <c r="V43" s="88"/>
      <c r="W43" s="53"/>
      <c r="X43" s="53"/>
    </row>
    <row r="44" spans="1:24" s="4" customFormat="1" ht="24">
      <c r="A44" s="164"/>
      <c r="B44" s="168"/>
      <c r="C44" s="123" t="s">
        <v>123</v>
      </c>
      <c r="E44" s="77" t="s">
        <v>37</v>
      </c>
      <c r="F44" s="78">
        <v>200</v>
      </c>
      <c r="G44" s="142">
        <v>70</v>
      </c>
      <c r="H44" s="79">
        <v>0</v>
      </c>
      <c r="I44" s="79">
        <v>0</v>
      </c>
      <c r="J44" s="79">
        <f t="shared" si="1"/>
        <v>0</v>
      </c>
      <c r="K44" s="72"/>
      <c r="L44" s="26"/>
      <c r="M44" s="82"/>
      <c r="N44" s="82"/>
      <c r="O44" s="83"/>
      <c r="P44" s="66"/>
      <c r="Q44" s="66"/>
      <c r="T44" s="53"/>
      <c r="U44" s="52"/>
      <c r="V44" s="88"/>
      <c r="W44" s="53"/>
      <c r="X44" s="53"/>
    </row>
    <row r="45" spans="1:24" s="4" customFormat="1" ht="24">
      <c r="A45" s="164"/>
      <c r="B45" s="168"/>
      <c r="C45" s="16" t="s">
        <v>32</v>
      </c>
      <c r="D45" s="96"/>
      <c r="E45" s="141" t="s">
        <v>37</v>
      </c>
      <c r="F45" s="78">
        <v>149</v>
      </c>
      <c r="G45" s="142">
        <v>114</v>
      </c>
      <c r="H45" s="144">
        <v>340637670</v>
      </c>
      <c r="I45" s="138">
        <v>340637670</v>
      </c>
      <c r="J45" s="80">
        <f t="shared" si="1"/>
        <v>0</v>
      </c>
      <c r="K45" s="72"/>
      <c r="L45" s="26"/>
      <c r="M45" s="82"/>
      <c r="N45" s="82"/>
      <c r="O45" s="83"/>
      <c r="P45" s="66"/>
      <c r="Q45" s="66"/>
      <c r="T45" s="53"/>
      <c r="U45" s="52"/>
      <c r="V45" s="88"/>
      <c r="W45" s="53"/>
      <c r="X45" s="53"/>
    </row>
    <row r="46" spans="1:24" s="4" customFormat="1" ht="24">
      <c r="A46" s="164"/>
      <c r="B46" s="168"/>
      <c r="C46" s="16" t="s">
        <v>33</v>
      </c>
      <c r="D46" s="96"/>
      <c r="E46" s="89" t="s">
        <v>38</v>
      </c>
      <c r="F46" s="78">
        <v>4</v>
      </c>
      <c r="G46" s="94">
        <v>4</v>
      </c>
      <c r="H46" s="95">
        <v>62590000</v>
      </c>
      <c r="I46" s="95">
        <v>62589962</v>
      </c>
      <c r="J46" s="80">
        <f t="shared" si="1"/>
        <v>38</v>
      </c>
      <c r="K46" s="72"/>
      <c r="L46" s="26"/>
      <c r="M46" s="82"/>
      <c r="N46" s="82"/>
      <c r="O46" s="83"/>
      <c r="P46" s="66"/>
      <c r="Q46" s="66"/>
      <c r="T46" s="53"/>
      <c r="U46" s="52"/>
      <c r="V46" s="88"/>
      <c r="W46" s="53"/>
      <c r="X46" s="53"/>
    </row>
    <row r="47" spans="1:24" s="4" customFormat="1" ht="18">
      <c r="A47" s="164"/>
      <c r="B47" s="168"/>
      <c r="C47" s="5" t="s">
        <v>83</v>
      </c>
      <c r="D47" s="20"/>
      <c r="E47" s="89" t="s">
        <v>1</v>
      </c>
      <c r="F47" s="78">
        <v>100</v>
      </c>
      <c r="G47" s="115">
        <f>+(I47/H47)*100</f>
        <v>82.50234693606826</v>
      </c>
      <c r="H47" s="95">
        <v>60457548</v>
      </c>
      <c r="I47" s="97">
        <f>H47-10578652</f>
        <v>49878896</v>
      </c>
      <c r="J47" s="80">
        <f t="shared" si="1"/>
        <v>10578652</v>
      </c>
      <c r="K47" s="72"/>
      <c r="L47" s="26"/>
      <c r="M47" s="82"/>
      <c r="N47" s="82"/>
      <c r="O47" s="83"/>
      <c r="P47" s="66"/>
      <c r="Q47" s="66"/>
      <c r="T47" s="54"/>
      <c r="U47" s="52"/>
      <c r="V47" s="88"/>
      <c r="W47" s="53"/>
      <c r="X47" s="53"/>
    </row>
    <row r="48" spans="1:24" s="4" customFormat="1" ht="18">
      <c r="A48" s="164"/>
      <c r="B48" s="168"/>
      <c r="C48" s="175" t="s">
        <v>25</v>
      </c>
      <c r="D48" s="176"/>
      <c r="E48" s="176"/>
      <c r="F48" s="176"/>
      <c r="G48" s="177"/>
      <c r="H48" s="57">
        <f>+H39+H43+H42+H45+H46+H40+H41+H47</f>
        <v>1274951687.4</v>
      </c>
      <c r="I48" s="30"/>
      <c r="J48" s="151">
        <f>SUM(J39:J47)</f>
        <v>10578690.400000006</v>
      </c>
      <c r="K48" s="72"/>
      <c r="L48" s="26"/>
      <c r="M48" s="82"/>
      <c r="N48" s="82"/>
      <c r="O48" s="83"/>
      <c r="P48" s="66"/>
      <c r="Q48" s="66"/>
      <c r="T48" s="54"/>
      <c r="U48" s="52"/>
      <c r="V48" s="88"/>
      <c r="W48" s="53"/>
      <c r="X48" s="53"/>
    </row>
    <row r="49" spans="1:24" s="4" customFormat="1" ht="18">
      <c r="A49" s="164"/>
      <c r="B49" s="168"/>
      <c r="C49" s="175" t="s">
        <v>26</v>
      </c>
      <c r="D49" s="176"/>
      <c r="E49" s="176"/>
      <c r="F49" s="176"/>
      <c r="G49" s="176"/>
      <c r="H49" s="177"/>
      <c r="I49" s="29">
        <f>+I39+I40+I41+I42+I43+I44+I45+I46+I47</f>
        <v>1264372997</v>
      </c>
      <c r="J49" s="178"/>
      <c r="K49" s="72"/>
      <c r="L49" s="26"/>
      <c r="M49" s="82"/>
      <c r="N49" s="82"/>
      <c r="O49" s="83"/>
      <c r="P49" s="66"/>
      <c r="Q49" s="66"/>
      <c r="T49" s="54"/>
      <c r="U49" s="136"/>
      <c r="V49" s="137"/>
      <c r="W49" s="53"/>
      <c r="X49" s="53"/>
    </row>
    <row r="50" spans="1:24" s="4" customFormat="1" ht="18.75" thickBot="1">
      <c r="A50" s="164"/>
      <c r="B50" s="169"/>
      <c r="C50" s="154" t="s">
        <v>27</v>
      </c>
      <c r="D50" s="155"/>
      <c r="E50" s="155"/>
      <c r="F50" s="155"/>
      <c r="G50" s="155"/>
      <c r="H50" s="156"/>
      <c r="I50" s="21">
        <f>+I49/H48</f>
        <v>0.9917026735173211</v>
      </c>
      <c r="J50" s="179"/>
      <c r="K50" s="72"/>
      <c r="L50" s="26"/>
      <c r="M50" s="82"/>
      <c r="N50" s="82"/>
      <c r="O50" s="83"/>
      <c r="P50" s="66"/>
      <c r="Q50" s="66"/>
      <c r="T50" s="54"/>
      <c r="U50" s="52"/>
      <c r="V50" s="88"/>
      <c r="W50" s="53"/>
      <c r="X50" s="53"/>
    </row>
    <row r="51" spans="1:24" s="4" customFormat="1" ht="72" customHeight="1">
      <c r="A51" s="164"/>
      <c r="B51" s="160" t="s">
        <v>108</v>
      </c>
      <c r="C51" s="17" t="s">
        <v>81</v>
      </c>
      <c r="D51" s="20">
        <v>12</v>
      </c>
      <c r="E51" s="77" t="s">
        <v>40</v>
      </c>
      <c r="F51" s="78">
        <v>5</v>
      </c>
      <c r="G51" s="142">
        <v>13</v>
      </c>
      <c r="H51" s="171">
        <v>285367409</v>
      </c>
      <c r="I51" s="171">
        <v>268308960</v>
      </c>
      <c r="J51" s="173">
        <f>+H51-I51</f>
        <v>17058449</v>
      </c>
      <c r="K51" s="72"/>
      <c r="L51" s="26"/>
      <c r="M51" s="82"/>
      <c r="N51" s="82"/>
      <c r="O51" s="83"/>
      <c r="P51" s="66"/>
      <c r="Q51" s="66"/>
      <c r="T51" s="53"/>
      <c r="U51" s="52"/>
      <c r="V51" s="88"/>
      <c r="W51" s="53"/>
      <c r="X51" s="53"/>
    </row>
    <row r="52" spans="1:24" s="4" customFormat="1" ht="36">
      <c r="A52" s="164"/>
      <c r="B52" s="168"/>
      <c r="C52" s="17" t="s">
        <v>82</v>
      </c>
      <c r="D52" s="20">
        <v>12</v>
      </c>
      <c r="E52" s="77" t="s">
        <v>40</v>
      </c>
      <c r="F52" s="78">
        <v>5</v>
      </c>
      <c r="G52" s="145">
        <v>12</v>
      </c>
      <c r="H52" s="172"/>
      <c r="I52" s="172"/>
      <c r="J52" s="174"/>
      <c r="K52" s="72"/>
      <c r="L52" s="26"/>
      <c r="M52" s="82"/>
      <c r="N52" s="82"/>
      <c r="O52" s="83"/>
      <c r="P52" s="66"/>
      <c r="Q52" s="66"/>
      <c r="T52" s="53"/>
      <c r="U52" s="52"/>
      <c r="V52" s="88"/>
      <c r="W52" s="53"/>
      <c r="X52" s="53"/>
    </row>
    <row r="53" spans="1:24" s="4" customFormat="1" ht="24">
      <c r="A53" s="164"/>
      <c r="B53" s="168"/>
      <c r="C53" s="16" t="s">
        <v>124</v>
      </c>
      <c r="D53" s="20"/>
      <c r="E53" s="89" t="s">
        <v>84</v>
      </c>
      <c r="F53" s="140">
        <v>1</v>
      </c>
      <c r="G53" s="93">
        <v>1</v>
      </c>
      <c r="H53" s="90">
        <v>1510844341</v>
      </c>
      <c r="I53" s="90">
        <v>1483503371</v>
      </c>
      <c r="J53" s="80">
        <f>+H53-I53</f>
        <v>27340970</v>
      </c>
      <c r="K53" s="72"/>
      <c r="L53" s="26"/>
      <c r="M53" s="82"/>
      <c r="N53" s="82"/>
      <c r="O53" s="83"/>
      <c r="P53" s="66"/>
      <c r="Q53" s="66"/>
      <c r="T53" s="53"/>
      <c r="U53" s="52"/>
      <c r="V53" s="88"/>
      <c r="W53" s="53"/>
      <c r="X53" s="53"/>
    </row>
    <row r="54" spans="1:24" s="4" customFormat="1" ht="24">
      <c r="A54" s="164"/>
      <c r="B54" s="168"/>
      <c r="C54" s="17" t="s">
        <v>73</v>
      </c>
      <c r="D54" s="20">
        <v>13</v>
      </c>
      <c r="E54" s="77" t="s">
        <v>1</v>
      </c>
      <c r="F54" s="78">
        <v>60</v>
      </c>
      <c r="G54" s="78">
        <v>89</v>
      </c>
      <c r="H54" s="79">
        <v>0</v>
      </c>
      <c r="I54" s="79">
        <v>0</v>
      </c>
      <c r="J54" s="80">
        <f>+H54-I54</f>
        <v>0</v>
      </c>
      <c r="K54" s="72"/>
      <c r="L54" s="26"/>
      <c r="M54" s="82"/>
      <c r="N54" s="82"/>
      <c r="O54" s="83"/>
      <c r="P54" s="66"/>
      <c r="Q54" s="66"/>
      <c r="T54" s="54"/>
      <c r="U54" s="52"/>
      <c r="V54" s="88"/>
      <c r="W54" s="53"/>
      <c r="X54" s="53"/>
    </row>
    <row r="55" spans="1:24" s="4" customFormat="1" ht="18">
      <c r="A55" s="164"/>
      <c r="B55" s="168"/>
      <c r="C55" s="175" t="s">
        <v>25</v>
      </c>
      <c r="D55" s="176"/>
      <c r="E55" s="176"/>
      <c r="F55" s="176"/>
      <c r="G55" s="177"/>
      <c r="H55" s="57">
        <f>+H51+H53</f>
        <v>1796211750</v>
      </c>
      <c r="I55" s="30"/>
      <c r="J55" s="151">
        <f>SUM(J51:J54)</f>
        <v>44399419</v>
      </c>
      <c r="K55" s="72"/>
      <c r="L55" s="26"/>
      <c r="M55" s="82"/>
      <c r="N55" s="82"/>
      <c r="O55" s="83"/>
      <c r="P55" s="66"/>
      <c r="Q55" s="66"/>
      <c r="T55" s="54"/>
      <c r="U55" s="52"/>
      <c r="V55" s="88"/>
      <c r="W55" s="53"/>
      <c r="X55" s="53"/>
    </row>
    <row r="56" spans="1:24" s="4" customFormat="1" ht="18">
      <c r="A56" s="164"/>
      <c r="B56" s="168"/>
      <c r="C56" s="175" t="s">
        <v>26</v>
      </c>
      <c r="D56" s="176"/>
      <c r="E56" s="176"/>
      <c r="F56" s="176"/>
      <c r="G56" s="176"/>
      <c r="H56" s="177"/>
      <c r="I56" s="29">
        <f>SUM(I51:I55)</f>
        <v>1751812331</v>
      </c>
      <c r="J56" s="178"/>
      <c r="K56" s="72"/>
      <c r="L56" s="26"/>
      <c r="M56" s="82"/>
      <c r="N56" s="82"/>
      <c r="O56" s="83"/>
      <c r="P56" s="66"/>
      <c r="Q56" s="66"/>
      <c r="T56" s="54"/>
      <c r="U56" s="52"/>
      <c r="V56" s="88"/>
      <c r="W56" s="53"/>
      <c r="X56" s="53"/>
    </row>
    <row r="57" spans="1:24" s="4" customFormat="1" ht="18.75" thickBot="1">
      <c r="A57" s="165"/>
      <c r="B57" s="169"/>
      <c r="C57" s="154" t="s">
        <v>27</v>
      </c>
      <c r="D57" s="155"/>
      <c r="E57" s="155"/>
      <c r="F57" s="155"/>
      <c r="G57" s="155"/>
      <c r="H57" s="156"/>
      <c r="I57" s="21">
        <f>+I56/H55</f>
        <v>0.9752816342505275</v>
      </c>
      <c r="J57" s="179"/>
      <c r="K57" s="72"/>
      <c r="L57" s="26"/>
      <c r="M57" s="82"/>
      <c r="N57" s="82"/>
      <c r="O57" s="83"/>
      <c r="P57" s="66"/>
      <c r="Q57" s="66"/>
      <c r="T57" s="54"/>
      <c r="U57" s="52"/>
      <c r="V57" s="88"/>
      <c r="W57" s="53"/>
      <c r="X57" s="53"/>
    </row>
    <row r="58" spans="1:24" s="4" customFormat="1" ht="16.5" customHeight="1">
      <c r="A58" s="146" t="s">
        <v>103</v>
      </c>
      <c r="B58" s="146" t="s">
        <v>0</v>
      </c>
      <c r="C58" s="157" t="s">
        <v>2</v>
      </c>
      <c r="D58" s="183" t="s">
        <v>22</v>
      </c>
      <c r="E58" s="157" t="s">
        <v>3</v>
      </c>
      <c r="F58" s="157" t="s">
        <v>6</v>
      </c>
      <c r="G58" s="157"/>
      <c r="H58" s="158" t="s">
        <v>7</v>
      </c>
      <c r="I58" s="158"/>
      <c r="J58" s="159"/>
      <c r="K58" s="72"/>
      <c r="L58" s="26"/>
      <c r="M58" s="82"/>
      <c r="N58" s="82"/>
      <c r="O58" s="83"/>
      <c r="P58" s="66"/>
      <c r="Q58" s="66"/>
      <c r="T58" s="53"/>
      <c r="U58" s="52"/>
      <c r="V58" s="88"/>
      <c r="W58" s="53"/>
      <c r="X58" s="53"/>
    </row>
    <row r="59" spans="1:24" s="4" customFormat="1" ht="51" customHeight="1" thickBot="1">
      <c r="A59" s="147"/>
      <c r="B59" s="170"/>
      <c r="C59" s="180"/>
      <c r="D59" s="184"/>
      <c r="E59" s="180"/>
      <c r="F59" s="14" t="s">
        <v>8</v>
      </c>
      <c r="G59" s="14" t="s">
        <v>9</v>
      </c>
      <c r="H59" s="22" t="s">
        <v>10</v>
      </c>
      <c r="I59" s="22" t="s">
        <v>11</v>
      </c>
      <c r="J59" s="23" t="s">
        <v>12</v>
      </c>
      <c r="K59" s="72"/>
      <c r="L59" s="26"/>
      <c r="M59" s="82"/>
      <c r="N59" s="82"/>
      <c r="O59" s="83"/>
      <c r="P59" s="66"/>
      <c r="Q59" s="66"/>
      <c r="T59" s="53"/>
      <c r="U59" s="52"/>
      <c r="V59" s="88"/>
      <c r="W59" s="53"/>
      <c r="X59" s="53"/>
    </row>
    <row r="60" spans="1:24" s="4" customFormat="1" ht="33.75" customHeight="1">
      <c r="A60" s="148" t="s">
        <v>113</v>
      </c>
      <c r="B60" s="160" t="s">
        <v>46</v>
      </c>
      <c r="C60" s="17" t="s">
        <v>43</v>
      </c>
      <c r="D60" s="20">
        <v>19</v>
      </c>
      <c r="E60" s="135" t="s">
        <v>45</v>
      </c>
      <c r="F60" s="7">
        <v>11</v>
      </c>
      <c r="G60" s="7">
        <v>11</v>
      </c>
      <c r="H60" s="27">
        <v>142643300</v>
      </c>
      <c r="I60" s="27">
        <v>142643300</v>
      </c>
      <c r="J60" s="28">
        <f aca="true" t="shared" si="2" ref="J60:J65">+H60-I60</f>
        <v>0</v>
      </c>
      <c r="K60" s="72"/>
      <c r="L60" s="26"/>
      <c r="M60" s="82">
        <v>175228</v>
      </c>
      <c r="N60" s="82">
        <v>45086</v>
      </c>
      <c r="O60" s="83">
        <v>334406</v>
      </c>
      <c r="P60" s="66"/>
      <c r="Q60" s="66"/>
      <c r="T60" s="53"/>
      <c r="U60" s="52"/>
      <c r="V60" s="88"/>
      <c r="W60" s="53"/>
      <c r="X60" s="53"/>
    </row>
    <row r="61" spans="1:24" s="4" customFormat="1" ht="24" customHeight="1">
      <c r="A61" s="148"/>
      <c r="B61" s="168"/>
      <c r="C61" s="18" t="s">
        <v>41</v>
      </c>
      <c r="D61" s="20">
        <v>20</v>
      </c>
      <c r="E61" s="121" t="s">
        <v>44</v>
      </c>
      <c r="F61" s="93">
        <v>9</v>
      </c>
      <c r="G61" s="145">
        <v>9</v>
      </c>
      <c r="H61" s="79">
        <v>94173515</v>
      </c>
      <c r="I61" s="79">
        <v>94134515</v>
      </c>
      <c r="J61" s="80">
        <f t="shared" si="2"/>
        <v>39000</v>
      </c>
      <c r="K61" s="72"/>
      <c r="L61" s="26"/>
      <c r="M61" s="82"/>
      <c r="N61" s="82"/>
      <c r="O61" s="83"/>
      <c r="P61" s="66"/>
      <c r="Q61" s="66"/>
      <c r="T61" s="53"/>
      <c r="U61" s="52"/>
      <c r="V61" s="88"/>
      <c r="W61" s="53"/>
      <c r="X61" s="53"/>
    </row>
    <row r="62" spans="1:24" s="4" customFormat="1" ht="36">
      <c r="A62" s="148"/>
      <c r="B62" s="186"/>
      <c r="C62" s="17" t="s">
        <v>42</v>
      </c>
      <c r="D62" s="20">
        <v>21</v>
      </c>
      <c r="E62" s="89" t="s">
        <v>40</v>
      </c>
      <c r="F62" s="78">
        <v>80</v>
      </c>
      <c r="G62" s="140">
        <v>80</v>
      </c>
      <c r="H62" s="79">
        <v>0</v>
      </c>
      <c r="I62" s="79">
        <v>0</v>
      </c>
      <c r="J62" s="80">
        <f t="shared" si="2"/>
        <v>0</v>
      </c>
      <c r="K62" s="72"/>
      <c r="L62" s="26"/>
      <c r="M62" s="82">
        <v>105136</v>
      </c>
      <c r="N62" s="82">
        <v>420736</v>
      </c>
      <c r="O62" s="83"/>
      <c r="P62" s="66"/>
      <c r="Q62" s="66"/>
      <c r="T62" s="53"/>
      <c r="U62" s="52"/>
      <c r="V62" s="88"/>
      <c r="W62" s="53"/>
      <c r="X62" s="53"/>
    </row>
    <row r="63" spans="1:24" s="4" customFormat="1" ht="24">
      <c r="A63" s="148"/>
      <c r="B63" s="186"/>
      <c r="C63" s="16" t="s">
        <v>94</v>
      </c>
      <c r="D63" s="96"/>
      <c r="E63" s="89" t="s">
        <v>37</v>
      </c>
      <c r="F63" s="78">
        <v>118</v>
      </c>
      <c r="G63" s="140">
        <v>124</v>
      </c>
      <c r="H63" s="79">
        <v>0</v>
      </c>
      <c r="I63" s="79">
        <v>0</v>
      </c>
      <c r="J63" s="80">
        <f t="shared" si="2"/>
        <v>0</v>
      </c>
      <c r="K63" s="72"/>
      <c r="L63" s="26"/>
      <c r="M63" s="82">
        <v>60240</v>
      </c>
      <c r="N63" s="82"/>
      <c r="O63" s="83"/>
      <c r="P63" s="66"/>
      <c r="Q63" s="66"/>
      <c r="T63" s="53"/>
      <c r="U63" s="52"/>
      <c r="V63" s="88"/>
      <c r="W63" s="53"/>
      <c r="X63" s="53"/>
    </row>
    <row r="64" spans="1:24" s="4" customFormat="1" ht="18">
      <c r="A64" s="148"/>
      <c r="B64" s="186"/>
      <c r="C64" s="16" t="s">
        <v>93</v>
      </c>
      <c r="D64" s="98"/>
      <c r="E64" s="89" t="s">
        <v>95</v>
      </c>
      <c r="F64" s="78">
        <v>372000</v>
      </c>
      <c r="G64" s="78">
        <v>372000</v>
      </c>
      <c r="H64" s="79">
        <v>373488000</v>
      </c>
      <c r="I64" s="79">
        <v>373488000</v>
      </c>
      <c r="J64" s="80">
        <f t="shared" si="2"/>
        <v>0</v>
      </c>
      <c r="K64" s="72"/>
      <c r="L64" s="26"/>
      <c r="M64" s="82"/>
      <c r="N64" s="82"/>
      <c r="O64" s="83"/>
      <c r="P64" s="66"/>
      <c r="Q64" s="66"/>
      <c r="T64" s="124"/>
      <c r="U64" s="52"/>
      <c r="V64" s="88"/>
      <c r="W64" s="53"/>
      <c r="X64" s="53"/>
    </row>
    <row r="65" spans="1:24" s="4" customFormat="1" ht="18">
      <c r="A65" s="148"/>
      <c r="B65" s="186"/>
      <c r="C65" s="5" t="s">
        <v>83</v>
      </c>
      <c r="D65" s="98"/>
      <c r="E65" s="89" t="s">
        <v>1</v>
      </c>
      <c r="F65" s="78">
        <v>100</v>
      </c>
      <c r="G65" s="115">
        <f>+(I65/H65)*100</f>
        <v>99.96120888188995</v>
      </c>
      <c r="H65" s="79">
        <v>25781675</v>
      </c>
      <c r="I65" s="79">
        <v>25771674</v>
      </c>
      <c r="J65" s="80">
        <f t="shared" si="2"/>
        <v>10001</v>
      </c>
      <c r="K65" s="72"/>
      <c r="L65" s="26"/>
      <c r="M65" s="82">
        <f>335868*2</f>
        <v>671736</v>
      </c>
      <c r="N65" s="82"/>
      <c r="O65" s="83"/>
      <c r="P65" s="66"/>
      <c r="Q65" s="66"/>
      <c r="T65" s="53"/>
      <c r="U65" s="52"/>
      <c r="V65" s="88"/>
      <c r="W65" s="53"/>
      <c r="X65" s="53"/>
    </row>
    <row r="66" spans="1:24" s="4" customFormat="1" ht="18">
      <c r="A66" s="148"/>
      <c r="B66" s="186"/>
      <c r="C66" s="175" t="s">
        <v>25</v>
      </c>
      <c r="D66" s="176"/>
      <c r="E66" s="176"/>
      <c r="F66" s="176"/>
      <c r="G66" s="177"/>
      <c r="H66" s="57">
        <f>+SUM(H60:H65)</f>
        <v>636086490</v>
      </c>
      <c r="I66" s="30"/>
      <c r="J66" s="151">
        <f>SUM(J61:J65)</f>
        <v>49001</v>
      </c>
      <c r="K66" s="130"/>
      <c r="L66" s="26"/>
      <c r="M66" s="82">
        <v>630821</v>
      </c>
      <c r="N66" s="82"/>
      <c r="O66" s="83"/>
      <c r="P66" s="66"/>
      <c r="Q66" s="66"/>
      <c r="T66" s="53"/>
      <c r="U66" s="52"/>
      <c r="V66" s="88"/>
      <c r="W66" s="53"/>
      <c r="X66" s="53"/>
    </row>
    <row r="67" spans="1:24" s="4" customFormat="1" ht="18">
      <c r="A67" s="148"/>
      <c r="B67" s="186"/>
      <c r="C67" s="175" t="s">
        <v>26</v>
      </c>
      <c r="D67" s="176"/>
      <c r="E67" s="176"/>
      <c r="F67" s="176"/>
      <c r="G67" s="176"/>
      <c r="H67" s="177"/>
      <c r="I67" s="29">
        <f>+I60+I61+I62+I63+I64+I65</f>
        <v>636037489</v>
      </c>
      <c r="J67" s="178"/>
      <c r="K67" s="42"/>
      <c r="L67" s="26"/>
      <c r="M67" s="82">
        <v>4107244</v>
      </c>
      <c r="N67" s="82"/>
      <c r="O67" s="83"/>
      <c r="P67" s="66"/>
      <c r="Q67" s="66"/>
      <c r="T67" s="53"/>
      <c r="U67" s="52"/>
      <c r="V67" s="88"/>
      <c r="W67" s="53"/>
      <c r="X67" s="53"/>
    </row>
    <row r="68" spans="1:24" s="4" customFormat="1" ht="18.75" thickBot="1">
      <c r="A68" s="148"/>
      <c r="B68" s="187"/>
      <c r="C68" s="154" t="s">
        <v>27</v>
      </c>
      <c r="D68" s="155"/>
      <c r="E68" s="155"/>
      <c r="F68" s="155"/>
      <c r="G68" s="155"/>
      <c r="H68" s="156"/>
      <c r="I68" s="21">
        <f>+I67/H66</f>
        <v>0.9999229648785655</v>
      </c>
      <c r="J68" s="179"/>
      <c r="K68" s="72">
        <v>80</v>
      </c>
      <c r="L68" s="26"/>
      <c r="M68" s="99"/>
      <c r="N68" s="35">
        <f>SUM(M60:N67)</f>
        <v>6216227</v>
      </c>
      <c r="O68" s="36">
        <f>SUM(O60:O67)</f>
        <v>334406</v>
      </c>
      <c r="P68" s="66"/>
      <c r="Q68" s="66"/>
      <c r="T68" s="53"/>
      <c r="U68" s="52"/>
      <c r="V68" s="88"/>
      <c r="W68" s="53"/>
      <c r="X68" s="53"/>
    </row>
    <row r="69" spans="1:24" s="4" customFormat="1" ht="19.5" customHeight="1">
      <c r="A69" s="146"/>
      <c r="B69" s="149" t="s">
        <v>0</v>
      </c>
      <c r="C69" s="157" t="s">
        <v>2</v>
      </c>
      <c r="D69" s="183" t="s">
        <v>22</v>
      </c>
      <c r="E69" s="157" t="s">
        <v>3</v>
      </c>
      <c r="F69" s="157" t="s">
        <v>6</v>
      </c>
      <c r="G69" s="157"/>
      <c r="H69" s="158" t="s">
        <v>7</v>
      </c>
      <c r="I69" s="158"/>
      <c r="J69" s="159"/>
      <c r="K69" s="72"/>
      <c r="L69" s="26"/>
      <c r="M69" s="82"/>
      <c r="N69" s="82"/>
      <c r="O69" s="83"/>
      <c r="P69" s="66"/>
      <c r="Q69" s="66"/>
      <c r="T69" s="53"/>
      <c r="U69" s="52"/>
      <c r="V69" s="88"/>
      <c r="W69" s="53"/>
      <c r="X69" s="53"/>
    </row>
    <row r="70" spans="1:24" s="4" customFormat="1" ht="45.75" customHeight="1" thickBot="1">
      <c r="A70" s="147"/>
      <c r="B70" s="185"/>
      <c r="C70" s="180"/>
      <c r="D70" s="184"/>
      <c r="E70" s="180"/>
      <c r="F70" s="14" t="s">
        <v>8</v>
      </c>
      <c r="G70" s="14" t="s">
        <v>9</v>
      </c>
      <c r="H70" s="22" t="s">
        <v>10</v>
      </c>
      <c r="I70" s="22" t="s">
        <v>11</v>
      </c>
      <c r="J70" s="23" t="s">
        <v>12</v>
      </c>
      <c r="K70" s="72"/>
      <c r="L70" s="26"/>
      <c r="M70" s="82"/>
      <c r="N70" s="82"/>
      <c r="O70" s="83"/>
      <c r="P70" s="66"/>
      <c r="Q70" s="66"/>
      <c r="T70" s="53"/>
      <c r="U70" s="52"/>
      <c r="V70" s="88"/>
      <c r="W70" s="53"/>
      <c r="X70" s="53"/>
    </row>
    <row r="71" spans="1:24" s="4" customFormat="1" ht="30.75" customHeight="1">
      <c r="A71" s="208" t="s">
        <v>114</v>
      </c>
      <c r="B71" s="160" t="s">
        <v>116</v>
      </c>
      <c r="C71" s="18" t="s">
        <v>47</v>
      </c>
      <c r="D71" s="20">
        <v>22</v>
      </c>
      <c r="E71" s="121" t="s">
        <v>50</v>
      </c>
      <c r="F71" s="78">
        <v>37</v>
      </c>
      <c r="G71" s="78">
        <v>37</v>
      </c>
      <c r="H71" s="79">
        <v>123164791</v>
      </c>
      <c r="I71" s="79">
        <v>123164791</v>
      </c>
      <c r="J71" s="80">
        <f>+H71-I71</f>
        <v>0</v>
      </c>
      <c r="K71" s="72"/>
      <c r="L71" s="26"/>
      <c r="M71" s="100">
        <v>951912</v>
      </c>
      <c r="N71" s="82">
        <v>69813</v>
      </c>
      <c r="O71" s="83">
        <v>412670</v>
      </c>
      <c r="P71" s="66"/>
      <c r="Q71" s="66"/>
      <c r="T71" s="53"/>
      <c r="U71" s="52"/>
      <c r="V71" s="88"/>
      <c r="W71" s="53"/>
      <c r="X71" s="53"/>
    </row>
    <row r="72" spans="1:24" s="4" customFormat="1" ht="30.75" customHeight="1">
      <c r="A72" s="209"/>
      <c r="B72" s="168"/>
      <c r="C72" s="17" t="s">
        <v>48</v>
      </c>
      <c r="D72" s="20">
        <v>23</v>
      </c>
      <c r="E72" s="89" t="s">
        <v>50</v>
      </c>
      <c r="F72" s="78">
        <v>5</v>
      </c>
      <c r="G72" s="78">
        <v>5</v>
      </c>
      <c r="H72" s="79">
        <v>221243374</v>
      </c>
      <c r="I72" s="79">
        <v>221243374</v>
      </c>
      <c r="J72" s="80">
        <f>+H72-I72</f>
        <v>0</v>
      </c>
      <c r="K72" s="72"/>
      <c r="L72" s="26"/>
      <c r="M72" s="100">
        <f>280554*2</f>
        <v>561108</v>
      </c>
      <c r="N72" s="82">
        <f>105137*2</f>
        <v>210274</v>
      </c>
      <c r="O72" s="83"/>
      <c r="P72" s="66"/>
      <c r="Q72" s="66"/>
      <c r="T72" s="53"/>
      <c r="U72" s="52"/>
      <c r="V72" s="88"/>
      <c r="W72" s="53"/>
      <c r="X72" s="53"/>
    </row>
    <row r="73" spans="1:24" s="4" customFormat="1" ht="30.75" customHeight="1">
      <c r="A73" s="209"/>
      <c r="B73" s="168"/>
      <c r="C73" s="16" t="s">
        <v>49</v>
      </c>
      <c r="D73" s="96"/>
      <c r="E73" s="89" t="s">
        <v>37</v>
      </c>
      <c r="F73" s="140">
        <v>60</v>
      </c>
      <c r="G73" s="78">
        <v>60</v>
      </c>
      <c r="H73" s="79">
        <v>82590305</v>
      </c>
      <c r="I73" s="79">
        <v>82580265</v>
      </c>
      <c r="J73" s="80">
        <f>+H73-I73</f>
        <v>10040</v>
      </c>
      <c r="K73" s="72"/>
      <c r="L73" s="26"/>
      <c r="M73" s="100">
        <v>425686</v>
      </c>
      <c r="N73" s="82">
        <v>63158</v>
      </c>
      <c r="O73" s="83"/>
      <c r="P73" s="66"/>
      <c r="Q73" s="66"/>
      <c r="T73" s="53"/>
      <c r="U73" s="52"/>
      <c r="V73" s="87"/>
      <c r="W73" s="53"/>
      <c r="X73" s="53"/>
    </row>
    <row r="74" spans="1:24" s="4" customFormat="1" ht="30.75" customHeight="1">
      <c r="A74" s="209"/>
      <c r="B74" s="168"/>
      <c r="C74" s="16" t="s">
        <v>115</v>
      </c>
      <c r="D74" s="96"/>
      <c r="E74" s="89" t="s">
        <v>51</v>
      </c>
      <c r="F74" s="78">
        <v>1</v>
      </c>
      <c r="G74" s="78">
        <v>1</v>
      </c>
      <c r="H74" s="79">
        <v>0</v>
      </c>
      <c r="I74" s="79">
        <v>0</v>
      </c>
      <c r="J74" s="80">
        <f>+H74-I74</f>
        <v>0</v>
      </c>
      <c r="K74" s="72"/>
      <c r="L74" s="26"/>
      <c r="M74" s="100">
        <v>215388</v>
      </c>
      <c r="N74" s="82">
        <v>75206</v>
      </c>
      <c r="O74" s="83"/>
      <c r="P74" s="66"/>
      <c r="Q74" s="66"/>
      <c r="T74" s="53"/>
      <c r="U74" s="52"/>
      <c r="V74" s="88"/>
      <c r="W74" s="53"/>
      <c r="X74" s="53"/>
    </row>
    <row r="75" spans="1:24" s="4" customFormat="1" ht="23.25" customHeight="1">
      <c r="A75" s="209"/>
      <c r="B75" s="168"/>
      <c r="C75" s="5" t="s">
        <v>83</v>
      </c>
      <c r="D75" s="96"/>
      <c r="E75" s="89" t="s">
        <v>1</v>
      </c>
      <c r="F75" s="78">
        <v>100</v>
      </c>
      <c r="G75" s="115">
        <v>100</v>
      </c>
      <c r="H75" s="90">
        <v>9213530</v>
      </c>
      <c r="I75" s="90">
        <v>9208377</v>
      </c>
      <c r="J75" s="101">
        <f>+H75-I75</f>
        <v>5153</v>
      </c>
      <c r="K75" s="72"/>
      <c r="L75" s="26"/>
      <c r="M75" s="100">
        <v>210274</v>
      </c>
      <c r="N75" s="82">
        <v>145297</v>
      </c>
      <c r="O75" s="83"/>
      <c r="P75" s="66"/>
      <c r="Q75" s="66"/>
      <c r="T75" s="53"/>
      <c r="U75" s="52" t="s">
        <v>92</v>
      </c>
      <c r="V75" s="88"/>
      <c r="W75" s="53"/>
      <c r="X75" s="53"/>
    </row>
    <row r="76" spans="1:24" s="4" customFormat="1" ht="18">
      <c r="A76" s="209"/>
      <c r="B76" s="168"/>
      <c r="C76" s="154" t="s">
        <v>25</v>
      </c>
      <c r="D76" s="155"/>
      <c r="E76" s="155"/>
      <c r="F76" s="155"/>
      <c r="G76" s="156"/>
      <c r="H76" s="29">
        <f>SUM(H71:H75)</f>
        <v>436212000</v>
      </c>
      <c r="I76" s="15"/>
      <c r="J76" s="151">
        <f>SUM(J71:J75)</f>
        <v>15193</v>
      </c>
      <c r="K76" s="102"/>
      <c r="L76" s="26"/>
      <c r="M76" s="100"/>
      <c r="N76" s="82">
        <f>70091*2</f>
        <v>140182</v>
      </c>
      <c r="O76" s="83"/>
      <c r="P76" s="66"/>
      <c r="Q76" s="66"/>
      <c r="T76" s="53"/>
      <c r="U76" s="52"/>
      <c r="V76" s="88"/>
      <c r="W76" s="53"/>
      <c r="X76" s="53"/>
    </row>
    <row r="77" spans="1:24" s="4" customFormat="1" ht="18">
      <c r="A77" s="209"/>
      <c r="B77" s="168"/>
      <c r="C77" s="154" t="s">
        <v>26</v>
      </c>
      <c r="D77" s="155"/>
      <c r="E77" s="155"/>
      <c r="F77" s="155"/>
      <c r="G77" s="155"/>
      <c r="H77" s="156"/>
      <c r="I77" s="29">
        <f>SUM(I71:I76)</f>
        <v>436196807</v>
      </c>
      <c r="J77" s="178"/>
      <c r="K77" s="42">
        <v>29</v>
      </c>
      <c r="L77" s="26"/>
      <c r="M77" s="100"/>
      <c r="N77" s="82"/>
      <c r="O77" s="83"/>
      <c r="P77" s="66"/>
      <c r="Q77" s="66"/>
      <c r="T77" s="54"/>
      <c r="U77" s="52"/>
      <c r="V77" s="88"/>
      <c r="W77" s="53"/>
      <c r="X77" s="53"/>
    </row>
    <row r="78" spans="1:24" s="4" customFormat="1" ht="18.75" thickBot="1">
      <c r="A78" s="209"/>
      <c r="B78" s="169"/>
      <c r="C78" s="154" t="s">
        <v>27</v>
      </c>
      <c r="D78" s="155"/>
      <c r="E78" s="155"/>
      <c r="F78" s="155"/>
      <c r="G78" s="155"/>
      <c r="H78" s="156"/>
      <c r="I78" s="21">
        <f>+I77/H76</f>
        <v>0.9999651706051186</v>
      </c>
      <c r="J78" s="182"/>
      <c r="K78" s="72"/>
      <c r="L78" s="26"/>
      <c r="M78" s="40">
        <f>SUM(M71:M77)</f>
        <v>2364368</v>
      </c>
      <c r="N78" s="40">
        <f>SUM(N71:N77)</f>
        <v>703930</v>
      </c>
      <c r="O78" s="103">
        <f>SUM(O71:O77)</f>
        <v>412670</v>
      </c>
      <c r="P78" s="66"/>
      <c r="Q78" s="66"/>
      <c r="T78" s="54"/>
      <c r="U78" s="52"/>
      <c r="V78" s="88"/>
      <c r="W78" s="53"/>
      <c r="X78" s="53"/>
    </row>
    <row r="79" spans="1:24" s="4" customFormat="1" ht="21.75" customHeight="1">
      <c r="A79" s="209"/>
      <c r="B79" s="149" t="s">
        <v>0</v>
      </c>
      <c r="C79" s="157" t="s">
        <v>2</v>
      </c>
      <c r="D79" s="183" t="s">
        <v>22</v>
      </c>
      <c r="E79" s="157" t="s">
        <v>3</v>
      </c>
      <c r="F79" s="157" t="s">
        <v>6</v>
      </c>
      <c r="G79" s="157"/>
      <c r="H79" s="158" t="s">
        <v>7</v>
      </c>
      <c r="I79" s="158"/>
      <c r="J79" s="159"/>
      <c r="K79" s="72"/>
      <c r="L79" s="26"/>
      <c r="M79" s="82"/>
      <c r="N79" s="82"/>
      <c r="O79" s="83"/>
      <c r="P79" s="66"/>
      <c r="Q79" s="66"/>
      <c r="T79" s="53"/>
      <c r="U79" s="52"/>
      <c r="V79" s="88"/>
      <c r="W79" s="53"/>
      <c r="X79" s="53"/>
    </row>
    <row r="80" spans="1:24" s="4" customFormat="1" ht="48" customHeight="1" thickBot="1">
      <c r="A80" s="209"/>
      <c r="B80" s="185"/>
      <c r="C80" s="181"/>
      <c r="D80" s="184"/>
      <c r="E80" s="181"/>
      <c r="F80" s="119" t="s">
        <v>8</v>
      </c>
      <c r="G80" s="119" t="s">
        <v>9</v>
      </c>
      <c r="H80" s="120" t="s">
        <v>10</v>
      </c>
      <c r="I80" s="120" t="s">
        <v>11</v>
      </c>
      <c r="J80" s="122" t="s">
        <v>12</v>
      </c>
      <c r="K80" s="72"/>
      <c r="L80" s="26"/>
      <c r="M80" s="82"/>
      <c r="N80" s="82"/>
      <c r="O80" s="83"/>
      <c r="P80" s="66"/>
      <c r="Q80" s="66"/>
      <c r="T80" s="53"/>
      <c r="U80" s="52"/>
      <c r="V80" s="88"/>
      <c r="W80" s="53"/>
      <c r="X80" s="53"/>
    </row>
    <row r="81" spans="1:24" s="4" customFormat="1" ht="50.25" customHeight="1">
      <c r="A81" s="209"/>
      <c r="B81" s="160" t="s">
        <v>117</v>
      </c>
      <c r="C81" s="17" t="s">
        <v>54</v>
      </c>
      <c r="D81" s="20">
        <v>11</v>
      </c>
      <c r="E81" s="77" t="s">
        <v>40</v>
      </c>
      <c r="F81" s="78">
        <v>95</v>
      </c>
      <c r="G81" s="78">
        <v>100</v>
      </c>
      <c r="H81" s="95">
        <v>6526000</v>
      </c>
      <c r="I81" s="104">
        <v>6526000</v>
      </c>
      <c r="J81" s="80">
        <f>+H81-I81</f>
        <v>0</v>
      </c>
      <c r="K81" s="72"/>
      <c r="L81" s="26"/>
      <c r="M81" s="82">
        <v>232514</v>
      </c>
      <c r="N81" s="82">
        <v>77615</v>
      </c>
      <c r="O81" s="83">
        <v>233394</v>
      </c>
      <c r="P81" s="66">
        <v>18676636</v>
      </c>
      <c r="Q81" s="66">
        <v>282726</v>
      </c>
      <c r="R81" s="4">
        <f>+P81/2</f>
        <v>9338318</v>
      </c>
      <c r="S81" s="4">
        <f>+Q81/2</f>
        <v>141363</v>
      </c>
      <c r="T81" s="53"/>
      <c r="U81" s="52"/>
      <c r="V81" s="88"/>
      <c r="W81" s="53"/>
      <c r="X81" s="53"/>
    </row>
    <row r="82" spans="1:24" s="4" customFormat="1" ht="50.25" customHeight="1">
      <c r="A82" s="209"/>
      <c r="B82" s="168"/>
      <c r="C82" s="17" t="s">
        <v>55</v>
      </c>
      <c r="D82" s="20">
        <v>15</v>
      </c>
      <c r="E82" s="77" t="s">
        <v>60</v>
      </c>
      <c r="F82" s="78">
        <v>1</v>
      </c>
      <c r="G82" s="78">
        <v>1</v>
      </c>
      <c r="H82" s="95">
        <v>0</v>
      </c>
      <c r="I82" s="95">
        <v>0</v>
      </c>
      <c r="J82" s="80">
        <f>+H82-I82</f>
        <v>0</v>
      </c>
      <c r="K82" s="72"/>
      <c r="L82" s="26"/>
      <c r="M82" s="82"/>
      <c r="N82" s="82"/>
      <c r="O82" s="83"/>
      <c r="P82" s="66"/>
      <c r="Q82" s="66"/>
      <c r="T82" s="53"/>
      <c r="U82" s="52"/>
      <c r="V82" s="88"/>
      <c r="W82" s="53"/>
      <c r="X82" s="53"/>
    </row>
    <row r="83" spans="1:24" s="4" customFormat="1" ht="50.25" customHeight="1">
      <c r="A83" s="209"/>
      <c r="B83" s="168"/>
      <c r="C83" s="18" t="s">
        <v>52</v>
      </c>
      <c r="D83" s="20">
        <v>16</v>
      </c>
      <c r="E83" s="92" t="s">
        <v>40</v>
      </c>
      <c r="F83" s="78">
        <v>90</v>
      </c>
      <c r="G83" s="78">
        <v>100</v>
      </c>
      <c r="H83" s="95">
        <v>53321875</v>
      </c>
      <c r="I83" s="95">
        <v>53321875</v>
      </c>
      <c r="J83" s="80">
        <f>+H83-I83</f>
        <v>0</v>
      </c>
      <c r="K83" s="72"/>
      <c r="L83" s="26"/>
      <c r="M83" s="82"/>
      <c r="N83" s="82"/>
      <c r="O83" s="83"/>
      <c r="P83" s="66"/>
      <c r="Q83" s="66"/>
      <c r="T83" s="53"/>
      <c r="U83" s="52"/>
      <c r="V83" s="88"/>
      <c r="W83" s="53"/>
      <c r="X83" s="53"/>
    </row>
    <row r="84" spans="1:24" s="4" customFormat="1" ht="38.25" customHeight="1">
      <c r="A84" s="209"/>
      <c r="B84" s="168"/>
      <c r="C84" s="17" t="s">
        <v>53</v>
      </c>
      <c r="D84" s="20">
        <v>17</v>
      </c>
      <c r="E84" s="77" t="s">
        <v>40</v>
      </c>
      <c r="F84" s="78">
        <v>50</v>
      </c>
      <c r="G84" s="78">
        <v>37</v>
      </c>
      <c r="H84" s="95">
        <v>8032000</v>
      </c>
      <c r="I84" s="95">
        <v>8032000</v>
      </c>
      <c r="J84" s="80">
        <f>+H84-I84</f>
        <v>0</v>
      </c>
      <c r="K84" s="72"/>
      <c r="L84" s="26"/>
      <c r="M84" s="82"/>
      <c r="N84" s="82"/>
      <c r="O84" s="83"/>
      <c r="P84" s="66"/>
      <c r="Q84" s="66"/>
      <c r="T84" s="53"/>
      <c r="U84" s="52"/>
      <c r="V84" s="88"/>
      <c r="W84" s="53"/>
      <c r="X84" s="53"/>
    </row>
    <row r="85" spans="1:24" s="4" customFormat="1" ht="34.5" customHeight="1">
      <c r="A85" s="209"/>
      <c r="B85" s="168"/>
      <c r="C85" s="123" t="s">
        <v>118</v>
      </c>
      <c r="D85" s="20"/>
      <c r="E85" s="77" t="s">
        <v>119</v>
      </c>
      <c r="F85" s="78">
        <v>90</v>
      </c>
      <c r="G85" s="78">
        <v>114</v>
      </c>
      <c r="H85" s="95">
        <v>0</v>
      </c>
      <c r="I85" s="95">
        <v>0</v>
      </c>
      <c r="J85" s="133">
        <f>+H85-I85</f>
        <v>0</v>
      </c>
      <c r="K85" s="72"/>
      <c r="L85" s="26"/>
      <c r="M85" s="82"/>
      <c r="N85" s="82"/>
      <c r="O85" s="83"/>
      <c r="P85" s="66"/>
      <c r="Q85" s="66"/>
      <c r="T85" s="53"/>
      <c r="U85" s="52"/>
      <c r="V85" s="88"/>
      <c r="W85" s="53"/>
      <c r="X85" s="53"/>
    </row>
    <row r="86" spans="1:24" s="4" customFormat="1" ht="50.25" customHeight="1">
      <c r="A86" s="209"/>
      <c r="B86" s="168"/>
      <c r="C86" s="17" t="s">
        <v>56</v>
      </c>
      <c r="D86" s="20">
        <v>24</v>
      </c>
      <c r="E86" s="77" t="s">
        <v>40</v>
      </c>
      <c r="F86" s="78">
        <v>60</v>
      </c>
      <c r="G86" s="78">
        <v>94</v>
      </c>
      <c r="H86" s="95">
        <f>159614966-799</f>
        <v>159614167</v>
      </c>
      <c r="I86" s="104">
        <v>150495016</v>
      </c>
      <c r="J86" s="80">
        <f aca="true" t="shared" si="3" ref="J86:J92">+H86-I86</f>
        <v>9119151</v>
      </c>
      <c r="K86" s="72"/>
      <c r="L86" s="26"/>
      <c r="M86" s="82"/>
      <c r="N86" s="82"/>
      <c r="O86" s="83"/>
      <c r="P86" s="66"/>
      <c r="Q86" s="66"/>
      <c r="T86" s="53"/>
      <c r="U86" s="52"/>
      <c r="V86" s="88"/>
      <c r="W86" s="53"/>
      <c r="X86" s="53"/>
    </row>
    <row r="87" spans="1:24" s="4" customFormat="1" ht="50.25" customHeight="1">
      <c r="A87" s="209"/>
      <c r="B87" s="168"/>
      <c r="C87" s="17" t="s">
        <v>75</v>
      </c>
      <c r="D87" s="20">
        <v>25</v>
      </c>
      <c r="E87" s="89" t="s">
        <v>79</v>
      </c>
      <c r="F87" s="78">
        <v>60</v>
      </c>
      <c r="G87" s="78">
        <v>40</v>
      </c>
      <c r="H87" s="79">
        <v>0</v>
      </c>
      <c r="I87" s="79">
        <v>0</v>
      </c>
      <c r="J87" s="80">
        <f t="shared" si="3"/>
        <v>0</v>
      </c>
      <c r="K87" s="72"/>
      <c r="L87" s="26"/>
      <c r="M87" s="82"/>
      <c r="N87" s="82"/>
      <c r="O87" s="83"/>
      <c r="P87" s="66"/>
      <c r="Q87" s="66"/>
      <c r="T87" s="53"/>
      <c r="U87" s="52"/>
      <c r="V87" s="88"/>
      <c r="W87" s="53"/>
      <c r="X87" s="53"/>
    </row>
    <row r="88" spans="1:24" s="4" customFormat="1" ht="35.25" customHeight="1">
      <c r="A88" s="209"/>
      <c r="B88" s="168"/>
      <c r="C88" s="16" t="s">
        <v>120</v>
      </c>
      <c r="D88" s="20"/>
      <c r="E88" s="89" t="s">
        <v>63</v>
      </c>
      <c r="F88" s="78">
        <v>1</v>
      </c>
      <c r="G88" s="78">
        <v>1</v>
      </c>
      <c r="H88" s="79">
        <v>1038719209</v>
      </c>
      <c r="I88" s="105">
        <v>1025205107</v>
      </c>
      <c r="J88" s="80">
        <f t="shared" si="3"/>
        <v>13514102</v>
      </c>
      <c r="K88" s="72"/>
      <c r="L88" s="26"/>
      <c r="M88" s="82"/>
      <c r="N88" s="82"/>
      <c r="O88" s="83"/>
      <c r="P88" s="66"/>
      <c r="Q88" s="66"/>
      <c r="T88" s="53"/>
      <c r="U88" s="52"/>
      <c r="V88" s="88"/>
      <c r="W88" s="53"/>
      <c r="X88" s="53"/>
    </row>
    <row r="89" spans="1:24" s="4" customFormat="1" ht="50.25" customHeight="1">
      <c r="A89" s="209"/>
      <c r="B89" s="168"/>
      <c r="C89" s="16" t="s">
        <v>57</v>
      </c>
      <c r="D89" s="2"/>
      <c r="E89" s="77" t="s">
        <v>61</v>
      </c>
      <c r="F89" s="78">
        <v>10</v>
      </c>
      <c r="G89" s="78">
        <v>10</v>
      </c>
      <c r="H89" s="79">
        <v>136277549</v>
      </c>
      <c r="I89" s="105">
        <v>136277549</v>
      </c>
      <c r="J89" s="80">
        <f t="shared" si="3"/>
        <v>0</v>
      </c>
      <c r="K89" s="72"/>
      <c r="L89" s="26"/>
      <c r="M89" s="82"/>
      <c r="N89" s="82"/>
      <c r="O89" s="83"/>
      <c r="P89" s="66"/>
      <c r="Q89" s="66"/>
      <c r="T89" s="53"/>
      <c r="U89" s="52"/>
      <c r="V89" s="88"/>
      <c r="W89" s="53"/>
      <c r="X89" s="53"/>
    </row>
    <row r="90" spans="1:24" s="4" customFormat="1" ht="30.75" customHeight="1">
      <c r="A90" s="209"/>
      <c r="B90" s="161"/>
      <c r="C90" s="16" t="s">
        <v>59</v>
      </c>
      <c r="D90" s="2"/>
      <c r="E90" s="77" t="s">
        <v>40</v>
      </c>
      <c r="F90" s="78">
        <v>60</v>
      </c>
      <c r="G90" s="78">
        <v>88</v>
      </c>
      <c r="H90" s="79">
        <v>68808805</v>
      </c>
      <c r="I90" s="104">
        <v>68808805</v>
      </c>
      <c r="J90" s="80">
        <f t="shared" si="3"/>
        <v>0</v>
      </c>
      <c r="K90" s="72"/>
      <c r="L90" s="26"/>
      <c r="M90" s="82">
        <v>75206</v>
      </c>
      <c r="N90" s="82">
        <v>184478</v>
      </c>
      <c r="O90" s="83">
        <v>553359</v>
      </c>
      <c r="P90" s="66">
        <v>494471</v>
      </c>
      <c r="Q90" s="66">
        <v>211643</v>
      </c>
      <c r="R90" s="4">
        <f aca="true" t="shared" si="4" ref="R90:S94">+P90/2</f>
        <v>247235.5</v>
      </c>
      <c r="S90" s="4">
        <f t="shared" si="4"/>
        <v>105821.5</v>
      </c>
      <c r="T90" s="53"/>
      <c r="U90" s="52"/>
      <c r="V90" s="88"/>
      <c r="W90" s="53"/>
      <c r="X90" s="53"/>
    </row>
    <row r="91" spans="1:24" s="4" customFormat="1" ht="39" customHeight="1">
      <c r="A91" s="209"/>
      <c r="B91" s="161"/>
      <c r="C91" s="5" t="s">
        <v>83</v>
      </c>
      <c r="D91" s="2"/>
      <c r="E91" s="77" t="s">
        <v>84</v>
      </c>
      <c r="F91" s="78">
        <v>100</v>
      </c>
      <c r="G91" s="115">
        <v>100</v>
      </c>
      <c r="H91" s="90">
        <v>39256249</v>
      </c>
      <c r="I91" s="105">
        <v>39256249</v>
      </c>
      <c r="J91" s="101">
        <f>+H91-I91</f>
        <v>0</v>
      </c>
      <c r="K91" s="72"/>
      <c r="L91" s="26"/>
      <c r="M91" s="82">
        <v>340670</v>
      </c>
      <c r="N91" s="82">
        <v>43078</v>
      </c>
      <c r="O91" s="83"/>
      <c r="P91" s="66">
        <v>282726</v>
      </c>
      <c r="Q91" s="66"/>
      <c r="R91" s="4">
        <f t="shared" si="4"/>
        <v>141363</v>
      </c>
      <c r="S91" s="4">
        <f t="shared" si="4"/>
        <v>0</v>
      </c>
      <c r="T91" s="53"/>
      <c r="U91" s="52"/>
      <c r="V91" s="88"/>
      <c r="W91" s="53"/>
      <c r="X91" s="53"/>
    </row>
    <row r="92" spans="1:24" s="4" customFormat="1" ht="30.75" customHeight="1">
      <c r="A92" s="209"/>
      <c r="B92" s="161"/>
      <c r="C92" s="16" t="s">
        <v>58</v>
      </c>
      <c r="D92" s="2"/>
      <c r="E92" s="89" t="s">
        <v>62</v>
      </c>
      <c r="F92" s="78">
        <v>4</v>
      </c>
      <c r="G92" s="78">
        <v>4</v>
      </c>
      <c r="H92" s="79">
        <v>87148000</v>
      </c>
      <c r="I92" s="79">
        <v>87148000</v>
      </c>
      <c r="J92" s="80">
        <f t="shared" si="3"/>
        <v>0</v>
      </c>
      <c r="K92" s="72"/>
      <c r="L92" s="26"/>
      <c r="M92" s="139">
        <v>203340</v>
      </c>
      <c r="N92" s="139">
        <v>67199</v>
      </c>
      <c r="O92" s="139"/>
      <c r="P92" s="139">
        <v>459430</v>
      </c>
      <c r="Q92" s="139"/>
      <c r="R92" s="4">
        <f t="shared" si="4"/>
        <v>229715</v>
      </c>
      <c r="S92" s="4">
        <f t="shared" si="4"/>
        <v>0</v>
      </c>
      <c r="T92" s="53"/>
      <c r="U92" s="52"/>
      <c r="V92" s="88"/>
      <c r="W92" s="53"/>
      <c r="X92" s="53"/>
    </row>
    <row r="93" spans="1:24" s="4" customFormat="1" ht="15">
      <c r="A93" s="209"/>
      <c r="B93" s="161"/>
      <c r="C93" s="154" t="s">
        <v>25</v>
      </c>
      <c r="D93" s="155"/>
      <c r="E93" s="155"/>
      <c r="F93" s="155"/>
      <c r="G93" s="156"/>
      <c r="H93" s="29">
        <f>+H81+H82+H83+H84+H85+H86+H87+H88+H89+H90+H91+H92</f>
        <v>1597703854</v>
      </c>
      <c r="I93" s="8"/>
      <c r="J93" s="151">
        <f>SUM(J84:J92)</f>
        <v>22633253</v>
      </c>
      <c r="K93" s="130"/>
      <c r="L93" s="26"/>
      <c r="M93" s="82">
        <v>340670</v>
      </c>
      <c r="N93" s="82"/>
      <c r="O93" s="83"/>
      <c r="P93" s="66">
        <v>282726</v>
      </c>
      <c r="Q93" s="66"/>
      <c r="R93" s="4">
        <f t="shared" si="4"/>
        <v>141363</v>
      </c>
      <c r="S93" s="4">
        <f t="shared" si="4"/>
        <v>0</v>
      </c>
      <c r="T93" s="53"/>
      <c r="W93" s="53"/>
      <c r="X93" s="53"/>
    </row>
    <row r="94" spans="1:24" s="4" customFormat="1" ht="15.75">
      <c r="A94" s="209"/>
      <c r="B94" s="161"/>
      <c r="C94" s="154" t="s">
        <v>26</v>
      </c>
      <c r="D94" s="155"/>
      <c r="E94" s="155"/>
      <c r="F94" s="155"/>
      <c r="G94" s="155"/>
      <c r="H94" s="156"/>
      <c r="I94" s="29">
        <f>+I81+I82+I83+I84+I85+I86+I87+I88+I89+I90+I91+I92</f>
        <v>1575070601</v>
      </c>
      <c r="J94" s="178"/>
      <c r="K94" s="42">
        <v>31</v>
      </c>
      <c r="L94" s="26"/>
      <c r="M94" s="82">
        <v>425686</v>
      </c>
      <c r="N94" s="82"/>
      <c r="O94" s="83"/>
      <c r="P94" s="66">
        <v>141363</v>
      </c>
      <c r="Q94" s="66"/>
      <c r="R94" s="4">
        <f t="shared" si="4"/>
        <v>70681.5</v>
      </c>
      <c r="S94" s="4">
        <f t="shared" si="4"/>
        <v>0</v>
      </c>
      <c r="T94" s="53"/>
      <c r="W94" s="53"/>
      <c r="X94" s="53"/>
    </row>
    <row r="95" spans="1:24" s="4" customFormat="1" ht="18.75" thickBot="1">
      <c r="A95" s="209"/>
      <c r="B95" s="162"/>
      <c r="C95" s="154" t="s">
        <v>27</v>
      </c>
      <c r="D95" s="155"/>
      <c r="E95" s="155"/>
      <c r="F95" s="155"/>
      <c r="G95" s="155"/>
      <c r="H95" s="156"/>
      <c r="I95" s="21">
        <f>+I94/H93</f>
        <v>0.9858338872104893</v>
      </c>
      <c r="J95" s="182"/>
      <c r="K95" s="72"/>
      <c r="L95" s="26"/>
      <c r="M95" s="40"/>
      <c r="N95" s="40">
        <f>SUM(M81:N94)</f>
        <v>1990456</v>
      </c>
      <c r="O95" s="40">
        <f>SUM(O81:O94)</f>
        <v>786753</v>
      </c>
      <c r="P95" s="40"/>
      <c r="Q95" s="40">
        <f>SUM(P81:Q94)</f>
        <v>20831721</v>
      </c>
      <c r="R95" s="4">
        <f>+Q95/2</f>
        <v>10415860.5</v>
      </c>
      <c r="S95" s="40">
        <f>SUM(R81:S94)</f>
        <v>10415860.5</v>
      </c>
      <c r="T95" s="53"/>
      <c r="U95" s="52"/>
      <c r="V95" s="88"/>
      <c r="W95" s="53"/>
      <c r="X95" s="53"/>
    </row>
    <row r="96" spans="1:24" s="4" customFormat="1" ht="19.5" customHeight="1">
      <c r="A96" s="209"/>
      <c r="B96" s="125" t="s">
        <v>0</v>
      </c>
      <c r="C96" s="157" t="s">
        <v>2</v>
      </c>
      <c r="D96" s="183" t="s">
        <v>22</v>
      </c>
      <c r="E96" s="157" t="s">
        <v>3</v>
      </c>
      <c r="F96" s="157" t="s">
        <v>6</v>
      </c>
      <c r="G96" s="157"/>
      <c r="H96" s="158" t="s">
        <v>7</v>
      </c>
      <c r="I96" s="158"/>
      <c r="J96" s="159"/>
      <c r="K96" s="72"/>
      <c r="L96" s="26"/>
      <c r="M96" s="82"/>
      <c r="N96" s="82"/>
      <c r="O96" s="83"/>
      <c r="P96" s="66"/>
      <c r="Q96" s="66"/>
      <c r="T96" s="53"/>
      <c r="U96" s="52"/>
      <c r="V96" s="88"/>
      <c r="W96" s="53"/>
      <c r="X96" s="53"/>
    </row>
    <row r="97" spans="1:24" s="4" customFormat="1" ht="50.25" customHeight="1" thickBot="1">
      <c r="A97" s="209"/>
      <c r="B97" s="126"/>
      <c r="C97" s="180"/>
      <c r="D97" s="184"/>
      <c r="E97" s="180"/>
      <c r="F97" s="14" t="s">
        <v>8</v>
      </c>
      <c r="G97" s="14" t="s">
        <v>9</v>
      </c>
      <c r="H97" s="22" t="s">
        <v>10</v>
      </c>
      <c r="I97" s="22" t="s">
        <v>11</v>
      </c>
      <c r="J97" s="23" t="s">
        <v>12</v>
      </c>
      <c r="K97" s="72"/>
      <c r="L97" s="26"/>
      <c r="M97" s="82"/>
      <c r="N97" s="82"/>
      <c r="O97" s="83"/>
      <c r="P97" s="66"/>
      <c r="Q97" s="66"/>
      <c r="T97" s="53"/>
      <c r="U97" s="52"/>
      <c r="V97" s="88"/>
      <c r="W97" s="53"/>
      <c r="X97" s="53"/>
    </row>
    <row r="98" spans="1:24" s="4" customFormat="1" ht="36" customHeight="1">
      <c r="A98" s="209"/>
      <c r="B98" s="160" t="s">
        <v>121</v>
      </c>
      <c r="C98" s="24" t="s">
        <v>64</v>
      </c>
      <c r="D98" s="5"/>
      <c r="E98" s="121" t="s">
        <v>67</v>
      </c>
      <c r="F98" s="78">
        <v>25000</v>
      </c>
      <c r="G98" s="78">
        <v>25000</v>
      </c>
      <c r="H98" s="79">
        <f>49056625-1</f>
        <v>49056624</v>
      </c>
      <c r="I98" s="79">
        <v>49056624</v>
      </c>
      <c r="J98" s="106">
        <f>+H98-I98</f>
        <v>0</v>
      </c>
      <c r="K98" s="72"/>
      <c r="L98" s="26"/>
      <c r="M98" s="82"/>
      <c r="N98" s="82"/>
      <c r="O98" s="83"/>
      <c r="P98" s="66"/>
      <c r="Q98" s="66"/>
      <c r="T98" s="53"/>
      <c r="U98" s="52"/>
      <c r="V98" s="88"/>
      <c r="W98" s="53"/>
      <c r="X98" s="53"/>
    </row>
    <row r="99" spans="1:24" s="4" customFormat="1" ht="36" customHeight="1">
      <c r="A99" s="209"/>
      <c r="B99" s="186"/>
      <c r="C99" s="16" t="s">
        <v>65</v>
      </c>
      <c r="D99" s="5"/>
      <c r="E99" s="89" t="s">
        <v>96</v>
      </c>
      <c r="F99" s="78">
        <v>5000</v>
      </c>
      <c r="G99" s="78">
        <v>5000</v>
      </c>
      <c r="H99" s="79">
        <v>160801698</v>
      </c>
      <c r="I99" s="79">
        <v>160801698</v>
      </c>
      <c r="J99" s="106">
        <f>+H99-I99</f>
        <v>0</v>
      </c>
      <c r="K99" s="72"/>
      <c r="L99" s="26"/>
      <c r="M99" s="82"/>
      <c r="N99" s="82"/>
      <c r="O99" s="83"/>
      <c r="P99" s="66"/>
      <c r="Q99" s="66"/>
      <c r="T99" s="116"/>
      <c r="U99" s="52"/>
      <c r="V99" s="88"/>
      <c r="W99" s="53"/>
      <c r="X99" s="53"/>
    </row>
    <row r="100" spans="1:24" s="4" customFormat="1" ht="36">
      <c r="A100" s="209"/>
      <c r="B100" s="186"/>
      <c r="C100" s="16" t="s">
        <v>66</v>
      </c>
      <c r="D100" s="5"/>
      <c r="E100" s="89" t="s">
        <v>68</v>
      </c>
      <c r="F100" s="78">
        <v>10000</v>
      </c>
      <c r="G100" s="78">
        <v>10000</v>
      </c>
      <c r="H100" s="79">
        <v>266729000</v>
      </c>
      <c r="I100" s="79">
        <v>266602752</v>
      </c>
      <c r="J100" s="106">
        <f>+H100-I100</f>
        <v>126248</v>
      </c>
      <c r="K100" s="72"/>
      <c r="L100" s="26"/>
      <c r="M100" s="82"/>
      <c r="N100" s="82"/>
      <c r="O100" s="83"/>
      <c r="P100" s="66"/>
      <c r="Q100" s="66"/>
      <c r="T100" s="116"/>
      <c r="U100" s="52"/>
      <c r="V100" s="88"/>
      <c r="W100" s="53"/>
      <c r="X100" s="53"/>
    </row>
    <row r="101" spans="1:24" s="4" customFormat="1" ht="18">
      <c r="A101" s="209"/>
      <c r="B101" s="186"/>
      <c r="C101" s="16" t="s">
        <v>69</v>
      </c>
      <c r="D101" s="5"/>
      <c r="E101" s="89" t="s">
        <v>69</v>
      </c>
      <c r="F101" s="78">
        <v>3</v>
      </c>
      <c r="G101" s="78">
        <v>3</v>
      </c>
      <c r="H101" s="79">
        <v>14000000</v>
      </c>
      <c r="I101" s="79">
        <v>14000000</v>
      </c>
      <c r="J101" s="106">
        <f>+H101-I101</f>
        <v>0</v>
      </c>
      <c r="K101" s="72"/>
      <c r="L101" s="26"/>
      <c r="M101" s="82"/>
      <c r="N101" s="82"/>
      <c r="O101" s="83"/>
      <c r="P101" s="66"/>
      <c r="Q101" s="66"/>
      <c r="T101" s="116"/>
      <c r="U101" s="52"/>
      <c r="V101" s="88"/>
      <c r="W101" s="53"/>
      <c r="X101" s="53"/>
    </row>
    <row r="102" spans="1:24" s="4" customFormat="1" ht="18">
      <c r="A102" s="209"/>
      <c r="B102" s="186"/>
      <c r="C102" s="5" t="s">
        <v>83</v>
      </c>
      <c r="D102" s="5"/>
      <c r="E102" s="89" t="s">
        <v>1</v>
      </c>
      <c r="F102" s="78">
        <v>100</v>
      </c>
      <c r="G102" s="115">
        <v>100</v>
      </c>
      <c r="H102" s="90">
        <v>10741908</v>
      </c>
      <c r="I102" s="79">
        <v>10631221</v>
      </c>
      <c r="J102" s="106">
        <f>+H102-I102</f>
        <v>110687</v>
      </c>
      <c r="K102" s="107"/>
      <c r="L102" s="26"/>
      <c r="M102" s="82"/>
      <c r="N102" s="82"/>
      <c r="O102" s="83"/>
      <c r="P102" s="66"/>
      <c r="Q102" s="66"/>
      <c r="T102" s="116"/>
      <c r="U102" s="52"/>
      <c r="V102" s="88"/>
      <c r="W102" s="53"/>
      <c r="X102" s="53"/>
    </row>
    <row r="103" spans="1:24" s="4" customFormat="1" ht="18">
      <c r="A103" s="209"/>
      <c r="B103" s="186"/>
      <c r="C103" s="154" t="s">
        <v>25</v>
      </c>
      <c r="D103" s="155"/>
      <c r="E103" s="155"/>
      <c r="F103" s="155"/>
      <c r="G103" s="156"/>
      <c r="H103" s="29">
        <f>SUM(H98:H102)</f>
        <v>501329230</v>
      </c>
      <c r="I103" s="8"/>
      <c r="J103" s="151">
        <f>SUM(J98:J102)</f>
        <v>236935</v>
      </c>
      <c r="K103" s="108"/>
      <c r="L103" s="26"/>
      <c r="M103" s="82"/>
      <c r="N103" s="82"/>
      <c r="O103" s="83"/>
      <c r="P103" s="66"/>
      <c r="Q103" s="66"/>
      <c r="T103" s="53"/>
      <c r="U103" s="52"/>
      <c r="V103" s="88"/>
      <c r="W103" s="53"/>
      <c r="X103" s="53"/>
    </row>
    <row r="104" spans="1:24" s="4" customFormat="1" ht="18">
      <c r="A104" s="209"/>
      <c r="B104" s="186"/>
      <c r="C104" s="154" t="s">
        <v>26</v>
      </c>
      <c r="D104" s="155"/>
      <c r="E104" s="155"/>
      <c r="F104" s="155"/>
      <c r="G104" s="155"/>
      <c r="H104" s="156"/>
      <c r="I104" s="29">
        <f>SUM(I98:I103)</f>
        <v>501092295</v>
      </c>
      <c r="J104" s="178"/>
      <c r="K104" s="109">
        <v>31</v>
      </c>
      <c r="L104" s="26"/>
      <c r="M104" s="82"/>
      <c r="N104" s="82"/>
      <c r="O104" s="83"/>
      <c r="P104" s="66"/>
      <c r="Q104" s="66"/>
      <c r="T104" s="53"/>
      <c r="U104" s="52"/>
      <c r="V104" s="88"/>
      <c r="W104" s="53"/>
      <c r="X104" s="53"/>
    </row>
    <row r="105" spans="1:24" s="4" customFormat="1" ht="18.75" thickBot="1">
      <c r="A105" s="209"/>
      <c r="B105" s="187"/>
      <c r="C105" s="154" t="s">
        <v>27</v>
      </c>
      <c r="D105" s="155"/>
      <c r="E105" s="155"/>
      <c r="F105" s="155"/>
      <c r="G105" s="155"/>
      <c r="H105" s="156"/>
      <c r="I105" s="21">
        <f>+I104/H103</f>
        <v>0.9995273864242865</v>
      </c>
      <c r="J105" s="179"/>
      <c r="K105" s="72"/>
      <c r="L105" s="26"/>
      <c r="M105" s="82"/>
      <c r="N105" s="82"/>
      <c r="O105" s="83"/>
      <c r="P105" s="66"/>
      <c r="Q105" s="66"/>
      <c r="T105" s="53"/>
      <c r="U105" s="52"/>
      <c r="V105" s="88"/>
      <c r="W105" s="53"/>
      <c r="X105" s="53"/>
    </row>
    <row r="106" spans="1:24" s="4" customFormat="1" ht="26.25" customHeight="1">
      <c r="A106" s="209"/>
      <c r="B106" s="149" t="s">
        <v>0</v>
      </c>
      <c r="C106" s="157" t="s">
        <v>2</v>
      </c>
      <c r="D106" s="183" t="s">
        <v>22</v>
      </c>
      <c r="E106" s="157" t="s">
        <v>3</v>
      </c>
      <c r="F106" s="157" t="s">
        <v>6</v>
      </c>
      <c r="G106" s="157"/>
      <c r="H106" s="158" t="s">
        <v>7</v>
      </c>
      <c r="I106" s="158"/>
      <c r="J106" s="159"/>
      <c r="K106" s="72"/>
      <c r="L106" s="26"/>
      <c r="M106" s="82"/>
      <c r="N106" s="82"/>
      <c r="O106" s="83"/>
      <c r="P106" s="66"/>
      <c r="Q106" s="66"/>
      <c r="T106" s="53"/>
      <c r="U106" s="52"/>
      <c r="V106" s="88"/>
      <c r="W106" s="53"/>
      <c r="X106" s="53"/>
    </row>
    <row r="107" spans="1:24" s="4" customFormat="1" ht="47.25" customHeight="1" thickBot="1">
      <c r="A107" s="209"/>
      <c r="B107" s="185"/>
      <c r="C107" s="180"/>
      <c r="D107" s="184"/>
      <c r="E107" s="180"/>
      <c r="F107" s="14" t="s">
        <v>8</v>
      </c>
      <c r="G107" s="14" t="s">
        <v>9</v>
      </c>
      <c r="H107" s="22" t="s">
        <v>10</v>
      </c>
      <c r="I107" s="22" t="s">
        <v>11</v>
      </c>
      <c r="J107" s="23" t="s">
        <v>12</v>
      </c>
      <c r="K107" s="72"/>
      <c r="L107" s="26"/>
      <c r="M107" s="82"/>
      <c r="N107" s="82"/>
      <c r="O107" s="83"/>
      <c r="P107" s="66"/>
      <c r="Q107" s="66"/>
      <c r="T107" s="53"/>
      <c r="U107" s="52"/>
      <c r="V107" s="88"/>
      <c r="W107" s="53"/>
      <c r="X107" s="53"/>
    </row>
    <row r="108" spans="1:24" s="4" customFormat="1" ht="45" customHeight="1">
      <c r="A108" s="209"/>
      <c r="B108" s="160" t="s">
        <v>122</v>
      </c>
      <c r="C108" s="24" t="s">
        <v>70</v>
      </c>
      <c r="D108" s="96"/>
      <c r="E108" s="92" t="s">
        <v>76</v>
      </c>
      <c r="F108" s="78">
        <v>25</v>
      </c>
      <c r="G108" s="78">
        <v>22</v>
      </c>
      <c r="H108" s="79">
        <v>227401884</v>
      </c>
      <c r="I108" s="79">
        <f>179884572+1</f>
        <v>179884573</v>
      </c>
      <c r="J108" s="80">
        <f>+H108-I108</f>
        <v>47517311</v>
      </c>
      <c r="K108" s="72"/>
      <c r="L108" s="26"/>
      <c r="M108" s="82">
        <v>70091</v>
      </c>
      <c r="N108" s="82"/>
      <c r="O108" s="83">
        <v>413662</v>
      </c>
      <c r="P108" s="66"/>
      <c r="Q108" s="66"/>
      <c r="T108" s="53"/>
      <c r="U108" s="52"/>
      <c r="V108" s="88"/>
      <c r="W108" s="53"/>
      <c r="X108" s="53"/>
    </row>
    <row r="109" spans="1:24" s="4" customFormat="1" ht="45" customHeight="1">
      <c r="A109" s="209"/>
      <c r="B109" s="168"/>
      <c r="C109" s="16" t="s">
        <v>71</v>
      </c>
      <c r="D109" s="96"/>
      <c r="E109" s="77" t="s">
        <v>77</v>
      </c>
      <c r="F109" s="78">
        <v>90</v>
      </c>
      <c r="G109" s="78">
        <v>85</v>
      </c>
      <c r="H109" s="79">
        <v>30820768</v>
      </c>
      <c r="I109" s="79">
        <v>30820768</v>
      </c>
      <c r="J109" s="80">
        <f>+H109-I109</f>
        <v>0</v>
      </c>
      <c r="K109" s="72"/>
      <c r="L109" s="26"/>
      <c r="M109" s="82"/>
      <c r="N109" s="82"/>
      <c r="O109" s="83"/>
      <c r="P109" s="66"/>
      <c r="Q109" s="66"/>
      <c r="T109" s="53"/>
      <c r="U109" s="52"/>
      <c r="V109" s="88"/>
      <c r="W109" s="53"/>
      <c r="X109" s="53"/>
    </row>
    <row r="110" spans="1:24" s="4" customFormat="1" ht="27" customHeight="1">
      <c r="A110" s="209"/>
      <c r="B110" s="168"/>
      <c r="C110" s="16" t="s">
        <v>72</v>
      </c>
      <c r="D110" s="96"/>
      <c r="E110" s="89" t="s">
        <v>78</v>
      </c>
      <c r="F110" s="78">
        <v>100</v>
      </c>
      <c r="G110" s="78">
        <v>100</v>
      </c>
      <c r="H110" s="79">
        <v>25895161</v>
      </c>
      <c r="I110" s="79">
        <v>25895161</v>
      </c>
      <c r="J110" s="80">
        <f>+H110-I110</f>
        <v>0</v>
      </c>
      <c r="K110" s="72"/>
      <c r="L110" s="26"/>
      <c r="M110" s="82"/>
      <c r="N110" s="82"/>
      <c r="O110" s="83"/>
      <c r="P110" s="66"/>
      <c r="Q110" s="66"/>
      <c r="T110" s="53"/>
      <c r="U110" s="52"/>
      <c r="V110" s="88"/>
      <c r="W110" s="53"/>
      <c r="X110" s="53"/>
    </row>
    <row r="111" spans="1:24" s="4" customFormat="1" ht="45.75" customHeight="1">
      <c r="A111" s="209"/>
      <c r="B111" s="168"/>
      <c r="C111" s="16" t="s">
        <v>125</v>
      </c>
      <c r="D111" s="96"/>
      <c r="E111" s="77" t="s">
        <v>80</v>
      </c>
      <c r="F111" s="78">
        <v>2</v>
      </c>
      <c r="G111" s="78">
        <v>2</v>
      </c>
      <c r="H111" s="79">
        <v>24322601</v>
      </c>
      <c r="I111" s="79">
        <v>24322601</v>
      </c>
      <c r="J111" s="80">
        <f>+H111-I111</f>
        <v>0</v>
      </c>
      <c r="K111" s="72"/>
      <c r="L111" s="26"/>
      <c r="M111" s="82"/>
      <c r="N111" s="82"/>
      <c r="O111" s="83"/>
      <c r="P111" s="66"/>
      <c r="Q111" s="66"/>
      <c r="T111" s="53"/>
      <c r="U111" s="52"/>
      <c r="V111" s="88"/>
      <c r="W111" s="53"/>
      <c r="X111" s="53"/>
    </row>
    <row r="112" spans="1:24" s="4" customFormat="1" ht="27" customHeight="1">
      <c r="A112" s="209"/>
      <c r="B112" s="168"/>
      <c r="C112" s="5" t="s">
        <v>83</v>
      </c>
      <c r="D112" s="96"/>
      <c r="E112" s="77" t="s">
        <v>1</v>
      </c>
      <c r="F112" s="78">
        <v>100</v>
      </c>
      <c r="G112" s="115">
        <v>100</v>
      </c>
      <c r="H112" s="90">
        <v>15330786</v>
      </c>
      <c r="I112" s="79">
        <v>15330448</v>
      </c>
      <c r="J112" s="80">
        <f>+H112-I112</f>
        <v>338</v>
      </c>
      <c r="K112" s="72"/>
      <c r="L112" s="26"/>
      <c r="M112" s="82"/>
      <c r="N112" s="82"/>
      <c r="O112" s="83"/>
      <c r="P112" s="66"/>
      <c r="Q112" s="66"/>
      <c r="T112" s="53"/>
      <c r="U112" s="52"/>
      <c r="V112" s="88"/>
      <c r="W112" s="53"/>
      <c r="X112" s="53"/>
    </row>
    <row r="113" spans="1:24" s="4" customFormat="1" ht="18">
      <c r="A113" s="209"/>
      <c r="B113" s="186"/>
      <c r="C113" s="154" t="s">
        <v>25</v>
      </c>
      <c r="D113" s="155"/>
      <c r="E113" s="155"/>
      <c r="F113" s="155"/>
      <c r="G113" s="156"/>
      <c r="H113" s="29">
        <f>+H108+H109+H110+H111+H112</f>
        <v>323771200</v>
      </c>
      <c r="I113" s="8"/>
      <c r="J113" s="151">
        <f>+H113-I114</f>
        <v>47517649</v>
      </c>
      <c r="K113" s="45"/>
      <c r="L113" s="26"/>
      <c r="M113" s="82"/>
      <c r="N113" s="82"/>
      <c r="O113" s="83"/>
      <c r="P113" s="66"/>
      <c r="Q113" s="66"/>
      <c r="T113" s="53"/>
      <c r="U113" s="52"/>
      <c r="V113" s="88"/>
      <c r="W113" s="53"/>
      <c r="X113" s="53"/>
    </row>
    <row r="114" spans="1:24" s="4" customFormat="1" ht="18">
      <c r="A114" s="209"/>
      <c r="B114" s="186"/>
      <c r="C114" s="154" t="s">
        <v>26</v>
      </c>
      <c r="D114" s="155"/>
      <c r="E114" s="155"/>
      <c r="F114" s="155"/>
      <c r="G114" s="155"/>
      <c r="H114" s="156"/>
      <c r="I114" s="29">
        <f>+I108+I109+I110+I111+I112</f>
        <v>276253551</v>
      </c>
      <c r="J114" s="178"/>
      <c r="K114" s="109">
        <v>21</v>
      </c>
      <c r="L114" s="26"/>
      <c r="M114" s="82"/>
      <c r="N114" s="82"/>
      <c r="O114" s="83"/>
      <c r="P114" s="66"/>
      <c r="Q114" s="66"/>
      <c r="T114" s="53"/>
      <c r="U114" s="52"/>
      <c r="V114" s="88"/>
      <c r="W114" s="53"/>
      <c r="X114" s="53"/>
    </row>
    <row r="115" spans="1:24" s="9" customFormat="1" ht="18.75" thickBot="1">
      <c r="A115" s="210"/>
      <c r="B115" s="187"/>
      <c r="C115" s="224" t="s">
        <v>27</v>
      </c>
      <c r="D115" s="225"/>
      <c r="E115" s="225"/>
      <c r="F115" s="225"/>
      <c r="G115" s="225"/>
      <c r="H115" s="226"/>
      <c r="I115" s="25">
        <f>+I114/H113</f>
        <v>0.8532369494260145</v>
      </c>
      <c r="J115" s="178"/>
      <c r="K115" s="42">
        <f>SUM(K17:K114)/7</f>
        <v>29</v>
      </c>
      <c r="L115" s="91"/>
      <c r="M115" s="35">
        <f>SUM(M108:M114)</f>
        <v>70091</v>
      </c>
      <c r="N115" s="35"/>
      <c r="O115" s="35">
        <f>SUM(O108:O114)</f>
        <v>413662</v>
      </c>
      <c r="P115" s="39"/>
      <c r="Q115" s="39"/>
      <c r="R115" s="110"/>
      <c r="S115" s="110"/>
      <c r="T115" s="134"/>
      <c r="U115" s="111"/>
      <c r="V115" s="56"/>
      <c r="W115" s="55"/>
      <c r="X115" s="55"/>
    </row>
    <row r="116" spans="1:24" ht="24" customHeight="1">
      <c r="A116" s="197" t="s">
        <v>97</v>
      </c>
      <c r="B116" s="198"/>
      <c r="C116" s="198"/>
      <c r="D116" s="198"/>
      <c r="E116" s="198"/>
      <c r="F116" s="198"/>
      <c r="G116" s="198"/>
      <c r="H116" s="199"/>
      <c r="I116" s="112">
        <f>+H16+H23+H31+H36+H48+H55+H66+H76+H93+H103+H113</f>
        <v>9204064826.4</v>
      </c>
      <c r="J116" s="221">
        <f>+J113+J103+J93+J76+J66+J55+J48+J36+J31+J23+J16</f>
        <v>257122305.4</v>
      </c>
      <c r="L116" s="10"/>
      <c r="M116" s="33"/>
      <c r="N116" s="33"/>
      <c r="O116" s="34"/>
      <c r="P116" s="38"/>
      <c r="Q116" s="38"/>
      <c r="R116" s="11"/>
      <c r="T116" s="54"/>
      <c r="U116" s="52"/>
      <c r="V116" s="88"/>
      <c r="W116" s="53"/>
      <c r="X116" s="53"/>
    </row>
    <row r="117" spans="1:24" ht="24" customHeight="1">
      <c r="A117" s="200" t="s">
        <v>98</v>
      </c>
      <c r="B117" s="201"/>
      <c r="C117" s="201"/>
      <c r="D117" s="201"/>
      <c r="E117" s="201"/>
      <c r="F117" s="201"/>
      <c r="G117" s="201"/>
      <c r="H117" s="202"/>
      <c r="I117" s="113">
        <f>+I17+I24+I32+I37+I49+I56+I67+I77+I94+I104+I114</f>
        <v>8946942521</v>
      </c>
      <c r="J117" s="222"/>
      <c r="L117" s="10"/>
      <c r="M117" s="33"/>
      <c r="N117" s="33"/>
      <c r="O117" s="34"/>
      <c r="P117" s="38"/>
      <c r="Q117" s="38"/>
      <c r="R117" s="11"/>
      <c r="T117" s="54"/>
      <c r="U117" s="52"/>
      <c r="V117" s="88"/>
      <c r="W117" s="53"/>
      <c r="X117" s="53"/>
    </row>
    <row r="118" spans="1:24" ht="24" customHeight="1" thickBot="1">
      <c r="A118" s="203" t="s">
        <v>99</v>
      </c>
      <c r="B118" s="204"/>
      <c r="C118" s="204"/>
      <c r="D118" s="204"/>
      <c r="E118" s="204"/>
      <c r="F118" s="204"/>
      <c r="G118" s="204"/>
      <c r="H118" s="205"/>
      <c r="I118" s="114">
        <f>+I117/I116</f>
        <v>0.9720642661422271</v>
      </c>
      <c r="J118" s="223"/>
      <c r="L118" s="10"/>
      <c r="M118" s="33"/>
      <c r="N118" s="33"/>
      <c r="O118" s="34"/>
      <c r="P118" s="38"/>
      <c r="Q118" s="38"/>
      <c r="R118" s="11"/>
      <c r="T118" s="54"/>
      <c r="U118" s="52"/>
      <c r="V118" s="88"/>
      <c r="W118" s="53"/>
      <c r="X118" s="53"/>
    </row>
    <row r="119" spans="20:24" ht="18">
      <c r="T119" s="53"/>
      <c r="U119" s="52"/>
      <c r="V119" s="88"/>
      <c r="W119" s="53"/>
      <c r="X119" s="53"/>
    </row>
    <row r="120" spans="20:24" ht="18">
      <c r="T120" s="53"/>
      <c r="U120" s="52"/>
      <c r="V120" s="88"/>
      <c r="W120" s="53"/>
      <c r="X120" s="53"/>
    </row>
    <row r="121" spans="20:24" ht="18">
      <c r="T121" s="53"/>
      <c r="U121" s="52"/>
      <c r="V121" s="88"/>
      <c r="W121" s="53"/>
      <c r="X121" s="53"/>
    </row>
    <row r="122" spans="20:24" ht="18">
      <c r="T122" s="54"/>
      <c r="U122" s="52"/>
      <c r="V122" s="88"/>
      <c r="W122" s="53"/>
      <c r="X122" s="53"/>
    </row>
    <row r="123" spans="20:24" ht="18">
      <c r="T123" s="53"/>
      <c r="U123" s="52"/>
      <c r="V123" s="88"/>
      <c r="W123" s="53"/>
      <c r="X123" s="53"/>
    </row>
    <row r="124" spans="20:24" ht="18">
      <c r="T124" s="53"/>
      <c r="U124" s="52"/>
      <c r="V124" s="88"/>
      <c r="W124" s="53"/>
      <c r="X124" s="53"/>
    </row>
    <row r="125" spans="20:24" ht="18">
      <c r="T125" s="53"/>
      <c r="U125" s="52"/>
      <c r="V125" s="88"/>
      <c r="W125" s="53"/>
      <c r="X125" s="53"/>
    </row>
    <row r="126" spans="20:24" ht="18">
      <c r="T126" s="53"/>
      <c r="U126" s="52"/>
      <c r="V126" s="88"/>
      <c r="W126" s="53"/>
      <c r="X126" s="53"/>
    </row>
    <row r="127" spans="20:24" ht="18">
      <c r="T127" s="53"/>
      <c r="U127" s="52"/>
      <c r="V127" s="88"/>
      <c r="W127" s="53"/>
      <c r="X127" s="53"/>
    </row>
    <row r="128" spans="20:24" ht="18">
      <c r="T128" s="53"/>
      <c r="U128" s="52"/>
      <c r="V128" s="88"/>
      <c r="W128" s="53"/>
      <c r="X128" s="53"/>
    </row>
    <row r="129" spans="20:24" ht="18">
      <c r="T129" s="53"/>
      <c r="U129" s="52"/>
      <c r="V129" s="88"/>
      <c r="W129" s="53"/>
      <c r="X129" s="53"/>
    </row>
    <row r="130" spans="20:24" ht="18">
      <c r="T130" s="53"/>
      <c r="U130" s="52"/>
      <c r="V130" s="88"/>
      <c r="W130" s="53"/>
      <c r="X130" s="53"/>
    </row>
    <row r="131" spans="20:24" ht="18">
      <c r="T131" s="53"/>
      <c r="U131" s="52"/>
      <c r="V131" s="88"/>
      <c r="W131" s="53"/>
      <c r="X131" s="53"/>
    </row>
    <row r="132" spans="20:24" ht="18">
      <c r="T132" s="53"/>
      <c r="U132" s="52"/>
      <c r="V132" s="88"/>
      <c r="W132" s="53"/>
      <c r="X132" s="53"/>
    </row>
    <row r="133" spans="20:24" ht="18">
      <c r="T133" s="53"/>
      <c r="U133" s="52"/>
      <c r="V133" s="88"/>
      <c r="W133" s="53"/>
      <c r="X133" s="53"/>
    </row>
  </sheetData>
  <sheetProtection/>
  <mergeCells count="123">
    <mergeCell ref="J116:J118"/>
    <mergeCell ref="F106:G106"/>
    <mergeCell ref="H106:J106"/>
    <mergeCell ref="B108:B115"/>
    <mergeCell ref="B106:B107"/>
    <mergeCell ref="C114:H114"/>
    <mergeCell ref="J113:J115"/>
    <mergeCell ref="C115:H115"/>
    <mergeCell ref="B4:J4"/>
    <mergeCell ref="C5:E5"/>
    <mergeCell ref="H5:J5"/>
    <mergeCell ref="B7:B8"/>
    <mergeCell ref="C7:C8"/>
    <mergeCell ref="E7:E8"/>
    <mergeCell ref="F7:G7"/>
    <mergeCell ref="H7:J7"/>
    <mergeCell ref="A1:I3"/>
    <mergeCell ref="A116:H116"/>
    <mergeCell ref="A117:H117"/>
    <mergeCell ref="A118:H118"/>
    <mergeCell ref="A5:B5"/>
    <mergeCell ref="A58:A59"/>
    <mergeCell ref="A60:A68"/>
    <mergeCell ref="A69:A70"/>
    <mergeCell ref="A71:A115"/>
    <mergeCell ref="B6:J6"/>
    <mergeCell ref="B81:B95"/>
    <mergeCell ref="D96:D97"/>
    <mergeCell ref="C113:G113"/>
    <mergeCell ref="B98:B105"/>
    <mergeCell ref="C105:H105"/>
    <mergeCell ref="F96:G96"/>
    <mergeCell ref="C94:H94"/>
    <mergeCell ref="C106:C107"/>
    <mergeCell ref="D106:D107"/>
    <mergeCell ref="C95:H95"/>
    <mergeCell ref="B69:B70"/>
    <mergeCell ref="B60:B68"/>
    <mergeCell ref="E106:E107"/>
    <mergeCell ref="C67:H67"/>
    <mergeCell ref="C68:H68"/>
    <mergeCell ref="D69:D70"/>
    <mergeCell ref="E69:E70"/>
    <mergeCell ref="B71:B78"/>
    <mergeCell ref="B79:B80"/>
    <mergeCell ref="E79:E80"/>
    <mergeCell ref="J36:J38"/>
    <mergeCell ref="C37:H37"/>
    <mergeCell ref="C38:H38"/>
    <mergeCell ref="C48:G48"/>
    <mergeCell ref="J48:J50"/>
    <mergeCell ref="C49:H49"/>
    <mergeCell ref="C50:H50"/>
    <mergeCell ref="B9:B18"/>
    <mergeCell ref="C19:C20"/>
    <mergeCell ref="D19:D20"/>
    <mergeCell ref="E19:E20"/>
    <mergeCell ref="B58:B59"/>
    <mergeCell ref="C26:C27"/>
    <mergeCell ref="D26:D27"/>
    <mergeCell ref="E26:E27"/>
    <mergeCell ref="C58:C59"/>
    <mergeCell ref="C31:G31"/>
    <mergeCell ref="C32:H32"/>
    <mergeCell ref="H58:J58"/>
    <mergeCell ref="D58:D59"/>
    <mergeCell ref="F58:G58"/>
    <mergeCell ref="E58:E59"/>
    <mergeCell ref="D7:D8"/>
    <mergeCell ref="H26:J26"/>
    <mergeCell ref="F26:G26"/>
    <mergeCell ref="J31:J33"/>
    <mergeCell ref="J23:J25"/>
    <mergeCell ref="C24:H24"/>
    <mergeCell ref="C25:H25"/>
    <mergeCell ref="C33:H33"/>
    <mergeCell ref="C36:G36"/>
    <mergeCell ref="J66:J68"/>
    <mergeCell ref="J103:J105"/>
    <mergeCell ref="H96:J96"/>
    <mergeCell ref="C79:C80"/>
    <mergeCell ref="J93:J95"/>
    <mergeCell ref="H79:J79"/>
    <mergeCell ref="J76:J78"/>
    <mergeCell ref="D79:D80"/>
    <mergeCell ref="C96:C97"/>
    <mergeCell ref="E96:E97"/>
    <mergeCell ref="C66:G66"/>
    <mergeCell ref="C93:G93"/>
    <mergeCell ref="C76:G76"/>
    <mergeCell ref="C77:H77"/>
    <mergeCell ref="C78:H78"/>
    <mergeCell ref="F79:G79"/>
    <mergeCell ref="C69:C70"/>
    <mergeCell ref="C103:G103"/>
    <mergeCell ref="C104:H104"/>
    <mergeCell ref="F69:G69"/>
    <mergeCell ref="H69:J69"/>
    <mergeCell ref="H51:H52"/>
    <mergeCell ref="I51:I52"/>
    <mergeCell ref="J51:J52"/>
    <mergeCell ref="C55:G55"/>
    <mergeCell ref="J55:J57"/>
    <mergeCell ref="C56:H56"/>
    <mergeCell ref="C57:H57"/>
    <mergeCell ref="A26:A27"/>
    <mergeCell ref="B34:B38"/>
    <mergeCell ref="A28:A57"/>
    <mergeCell ref="B21:B22"/>
    <mergeCell ref="B28:B33"/>
    <mergeCell ref="B39:B50"/>
    <mergeCell ref="B51:B57"/>
    <mergeCell ref="B26:B27"/>
    <mergeCell ref="A7:A8"/>
    <mergeCell ref="A9:A25"/>
    <mergeCell ref="B19:B20"/>
    <mergeCell ref="J16:J18"/>
    <mergeCell ref="C16:G16"/>
    <mergeCell ref="C17:H17"/>
    <mergeCell ref="C18:H18"/>
    <mergeCell ref="F19:G19"/>
    <mergeCell ref="C23:G23"/>
    <mergeCell ref="H19:J19"/>
  </mergeCells>
  <printOptions horizontalCentered="1" verticalCentered="1"/>
  <pageMargins left="0.1968503937007874" right="0.07874015748031496" top="0.7480314960629921" bottom="0.6299212598425197" header="0" footer="0"/>
  <pageSetup horizontalDpi="600" verticalDpi="600" orientation="landscape" scale="63" r:id="rId4"/>
  <headerFooter alignWithMargins="0">
    <oddFooter>&amp;ROFICINA DE PLANEACIÓN
Diciembre 31 de 2009</oddFooter>
  </headerFooter>
  <rowBreaks count="4" manualBreakCount="4">
    <brk id="25" max="18" man="1"/>
    <brk id="57" max="18" man="1"/>
    <brk id="78" max="18" man="1"/>
    <brk id="95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2010-02-09T12:59:34Z</cp:lastPrinted>
  <dcterms:created xsi:type="dcterms:W3CDTF">2004-04-28T15:04:46Z</dcterms:created>
  <dcterms:modified xsi:type="dcterms:W3CDTF">2010-02-09T21:58:49Z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