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DICIEMBRE 31" sheetId="1" r:id="rId1"/>
  </sheets>
  <definedNames>
    <definedName name="_xlnm.Print_Area" localSheetId="0">'T-CAM-034 DICIEMBRE 31'!$A$1:$R$104</definedName>
    <definedName name="_xlnm.Print_Titles" localSheetId="0">'T-CAM-034 DICIEMBRE 31'!$7:$8</definedName>
  </definedNames>
  <calcPr fullCalcOnLoad="1"/>
</workbook>
</file>

<file path=xl/comments1.xml><?xml version="1.0" encoding="utf-8"?>
<comments xmlns="http://schemas.openxmlformats.org/spreadsheetml/2006/main">
  <authors>
    <author>solidos</author>
    <author>jfestupinan</author>
    <author>jvargas</author>
  </authors>
  <commentList>
    <comment ref="F65" authorId="0">
      <text>
        <r>
          <rPr>
            <sz val="11"/>
            <rFont val="Arial"/>
            <family val="2"/>
          </rPr>
          <t xml:space="preserve">De acuerdo a lo señalado en el Decreto 4741 de 2005 y la Resolución No. 1362 del 2 de Agosto de 2.007 del Ministerio de Ambiente, Vivienda y Desarrollo Territorial, reglamentan y establecen los procedimientos a seguir para registrar las personas y actividades que generan residuos o desechos peligrosos ante las autoridades ambientales. ARTÍCULO 14. Vigencia. La presente resolución entra en vigencia a partir del primero (1) de enero de 2008.
La dirección URL por la cual se van a capturar datos oficialmente a partir del 1 de Enero de 2008 es la denominada :
http://noreimako.ideam.gov.co:7782/mursmpr/index.php </t>
        </r>
      </text>
    </comment>
    <comment ref="F35" authorId="1">
      <text>
        <r>
          <rPr>
            <b/>
            <sz val="9"/>
            <rFont val="Tahoma"/>
            <family val="0"/>
          </rPr>
          <t>jfestupinan:</t>
        </r>
        <r>
          <rPr>
            <sz val="9"/>
            <rFont val="Tahoma"/>
            <family val="0"/>
          </rPr>
          <t xml:space="preserve">
NOTA: EL DILIGENCIAMIENTO DE ESTA INFORMACION SE DEBERA LLEVAR ACABO A PARTIR DEL AÑO 2008, YA QUE LA CORPORACION MEDIANTE EL ACUERDO No. 020 DEL 27 DE DICIEMBRE DE 2007, DETERMINÓ EL VALOR DE LA CARGA CONTAMINATE DE LINE A BASE Y LAS METAS DE REDUCCION GLOBALES DE DBO5 Y SST EN VERTIMIENTOS LIQUIDOS PARA EL QUINQUENIO 2007 - 2012 EN JURISDICCION DE LA CAM; RAZON POR LA CUAL NO EXISTEN DATOS AL RESPECTO EN LA CORPORACION</t>
        </r>
      </text>
    </comment>
    <comment ref="F54" authorId="1">
      <text>
        <r>
          <rPr>
            <b/>
            <sz val="9"/>
            <rFont val="Tahoma"/>
            <family val="0"/>
          </rPr>
          <t>jfestupinan:</t>
        </r>
        <r>
          <rPr>
            <sz val="9"/>
            <rFont val="Tahoma"/>
            <family val="0"/>
          </rPr>
          <t xml:space="preserve">
Municipios Capacitados en el tema de Riesgo
</t>
        </r>
      </text>
    </comment>
    <comment ref="F64" authorId="2">
      <text>
        <r>
          <rPr>
            <b/>
            <sz val="8"/>
            <rFont val="Tahoma"/>
            <family val="0"/>
          </rPr>
          <t>jvargas:</t>
        </r>
        <r>
          <rPr>
            <sz val="8"/>
            <rFont val="Tahoma"/>
            <family val="0"/>
          </rPr>
          <t xml:space="preserve">
EL MUNICIPIO DE COLOMBIA SE ENCUENTRA EN TRAMITE DE PROCESO SANCIONATORIO</t>
        </r>
      </text>
    </comment>
    <comment ref="J101" authorId="2">
      <text>
        <r>
          <rPr>
            <b/>
            <sz val="8"/>
            <rFont val="Tahoma"/>
            <family val="0"/>
          </rPr>
          <t>jvargas:
PROMEDIO FISICO</t>
        </r>
      </text>
    </comment>
    <comment ref="G94" authorId="2">
      <text>
        <r>
          <rPr>
            <b/>
            <sz val="8"/>
            <rFont val="Tahoma"/>
            <family val="0"/>
          </rPr>
          <t>jvargas:</t>
        </r>
        <r>
          <rPr>
            <sz val="8"/>
            <rFont val="Tahoma"/>
            <family val="0"/>
          </rPr>
          <t xml:space="preserve">
LO PRESUPUESTADO ES </t>
        </r>
        <r>
          <rPr>
            <sz val="10"/>
            <rFont val="Tahoma"/>
            <family val="2"/>
          </rPr>
          <t>=939.032.888</t>
        </r>
      </text>
    </comment>
    <comment ref="G95" authorId="2">
      <text>
        <r>
          <rPr>
            <b/>
            <sz val="8"/>
            <rFont val="Tahoma"/>
            <family val="0"/>
          </rPr>
          <t>jvargas:</t>
        </r>
        <r>
          <rPr>
            <sz val="8"/>
            <rFont val="Tahoma"/>
            <family val="0"/>
          </rPr>
          <t xml:space="preserve">
LO PRESUPUESTADO ES </t>
        </r>
        <r>
          <rPr>
            <sz val="10"/>
            <rFont val="Tahoma"/>
            <family val="2"/>
          </rPr>
          <t>=724.342.500</t>
        </r>
      </text>
    </comment>
  </commentList>
</comments>
</file>

<file path=xl/sharedStrings.xml><?xml version="1.0" encoding="utf-8"?>
<sst xmlns="http://schemas.openxmlformats.org/spreadsheetml/2006/main" count="242" uniqueCount="118">
  <si>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</si>
  <si>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</si>
  <si>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</si>
  <si>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</si>
  <si>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</si>
  <si>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</si>
  <si>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</si>
  <si>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</si>
  <si>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</si>
  <si>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</si>
  <si>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</si>
  <si>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</si>
  <si>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</si>
  <si>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</si>
  <si>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</si>
  <si>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INFORME DE EJECUCION DEL PLAN DE ACCION TRIENAL  2007-2009</t>
  </si>
  <si>
    <t>No. de has de areas protegidas declaradas en la jurisdicción de la Corporación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</si>
  <si>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</si>
  <si>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</si>
  <si>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</si>
  <si>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</si>
  <si>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Diseño, ajuste y prospección del SIRAP (incluyendo SIRAP del Macizo Colombiano)</t>
  </si>
  <si>
    <t>Delimitación y gestión compartida de zonas amortiguadoras de los parques nacionales naturales Puracé, Nevado del Huila y Cueva de los Guacharros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</si>
  <si>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</si>
  <si>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</si>
  <si>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</si>
  <si>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</si>
  <si>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</si>
  <si>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</si>
  <si>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</si>
  <si>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P1: Planeación y Gestión de Areas Protegidas para la Conservación y Aprovechamiento Sostenible de la Biodiversidad y los Bienes y Servicios Ambientales</t>
  </si>
  <si>
    <t>No. de cuencas con POMCA formulados</t>
  </si>
  <si>
    <t>No. de cuencas con  POMCA en ejecución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</si>
  <si>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</si>
  <si>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</si>
  <si>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</si>
  <si>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</si>
  <si>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has. reforestadas  para la protección de cuencas abastecedoras, en mantenimiento</t>
  </si>
  <si>
    <t>Programa de reforestación, manejo integrado del cultivo y aprovechamiento de la guadua</t>
  </si>
  <si>
    <t>Cuenca o tramo de cuenca con monitoreo de calidad y cantidad del recurso hídrico en el alto magdalena</t>
  </si>
  <si>
    <t>No. corrientes hidricas reglamentadas por la CAM, con relación a las cuencas priorizadas</t>
  </si>
  <si>
    <t>Cuenca</t>
  </si>
  <si>
    <t>Plan</t>
  </si>
  <si>
    <t>Ha</t>
  </si>
  <si>
    <t>Cuenca o Tramo</t>
  </si>
  <si>
    <t>Corriente</t>
  </si>
  <si>
    <t>Porcentaje</t>
  </si>
  <si>
    <t>P2: Planificación y Gestión Integral del Recurso Hídrico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</si>
  <si>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</si>
  <si>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</si>
  <si>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</si>
  <si>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Establecimiento de plantaciones forestales comerciales a través de la Empresa Forestal del Huila</t>
  </si>
  <si>
    <t>Proyecto</t>
  </si>
  <si>
    <t>Empresa acompañada</t>
  </si>
  <si>
    <t>P3: Promoción y Apoyo a Procesos Competitivos Sostenibles y Aprovechamiento de la Oferta Natural de la Región.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</si>
  <si>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</si>
  <si>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</si>
  <si>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</si>
  <si>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Planificación ambiental y ordenamiento territorial de resguardos indigenas</t>
  </si>
  <si>
    <t>Municipio</t>
  </si>
  <si>
    <t>Resguardo Indigena</t>
  </si>
  <si>
    <t>P4: Estrategia Gestión Integral del Territorio Rural y Urbano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</si>
  <si>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</si>
  <si>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Número de registros de generadores  de residuos o desechos peligrosos en la jurisdicción de la CAM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</si>
  <si>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</si>
  <si>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</si>
  <si>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</si>
  <si>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</si>
  <si>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Fortalecimiento del seguimiento, monitoreo y control del agua en corrientes de alto conflicto y legalización del uso del recurso en grandes cantidades</t>
  </si>
  <si>
    <t>Fortalecimiento de las redes territoriales para prevención y atención de incendios forestales</t>
  </si>
  <si>
    <t>Fortalecimiento y focalización de las acciones de la red de control de aprovechamiento y trafico ilegal de vida silvestre hacía las áreas del SIRAP</t>
  </si>
  <si>
    <t>Seguimiento, monitoreo y control a medidas de compensación impuestas por contravenciones ambientales</t>
  </si>
  <si>
    <t>Red acompañada</t>
  </si>
  <si>
    <t>Fuente hídrica</t>
  </si>
  <si>
    <t xml:space="preserve">Red </t>
  </si>
  <si>
    <t>Red</t>
  </si>
  <si>
    <t>P5: Estrategia Autoridad Ambiental Integral, Oportuna y Efectiva</t>
  </si>
  <si>
    <t>Diseño e implementación de estrategias de comunicación y educación ambiental, con énfasis en uso y aprovechamiento sostenible de los recursos naturales renovables</t>
  </si>
  <si>
    <t>Programa ambiental educativo y de fortalecimiento de la presencia institucional  en zonas de alto conflicto ambiental, articulada con las ONGS Ambientales y los promotores ambientales comunitarios del área respectiva</t>
  </si>
  <si>
    <t xml:space="preserve">Fortalecimento de la dimensión ambiental en los procesos de educación formal a través de estrategias como escuela viva, escuela viajera, colegios agropecuarios y ondas educativas entre otras </t>
  </si>
  <si>
    <t>Personas informadas</t>
  </si>
  <si>
    <t>Personas capacitadas</t>
  </si>
  <si>
    <t>Estudiantes</t>
  </si>
  <si>
    <t>CIDEA</t>
  </si>
  <si>
    <t>P6:  Estrategia Educación y Comunicación para la Participación Ciudadana y Comunitaria en la Gestión Ambiental</t>
  </si>
  <si>
    <t>Modernización informatica a partir de la implementación del PETI</t>
  </si>
  <si>
    <t>Programa de mejoramiento de las condiciones necesarias para un óptimo desempeño y rendimiento de los servidores públicos</t>
  </si>
  <si>
    <t>Consolidación SGC bajo la norma NTCGP:1000 en coordinación con MECI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</si>
  <si>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</si>
  <si>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</si>
  <si>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</si>
  <si>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Apoyo a la organización y reallización de encuentros nacionales y regionales de actores del SINA, para el intercambio de experiencias y el fortalecimiento institucional</t>
  </si>
  <si>
    <t>% PETI</t>
  </si>
  <si>
    <t>Indice de satisfacción del personal</t>
  </si>
  <si>
    <t>% avance</t>
  </si>
  <si>
    <t>Días</t>
  </si>
  <si>
    <t>Evento</t>
  </si>
  <si>
    <t>P7: Estrategia Fortalecimiento Institucional e Implementación del Sistema de Gestión de Calidad</t>
  </si>
  <si>
    <t>Cumplimiento promedio de metas de reducción de carga contaminante, en aplicación de la tasa retributiva, en las cuencas o tramos de cuencas de la jurisdicción de la Corporación (DBO)</t>
  </si>
  <si>
    <t>Cumplimiento promedio de metas de reducción de carga contaminante, en aplicación de la tasa retributiva, en las cuencas o tramos de cuencas de la jurisdicción de la Corporación (SST)</t>
  </si>
  <si>
    <t>Gastos administrativos y operativos del proyecto</t>
  </si>
  <si>
    <t>Global</t>
  </si>
  <si>
    <t>Cofinanciación de proyectos de construcción de sistemas de tratamiento de aguas residuales urbanas, de acuerdo con la reglamentación del Fondo Regional de Inversión para la Descontaminación Hídrica.</t>
  </si>
  <si>
    <t>VIATICOS</t>
  </si>
  <si>
    <t>TIQUETES AEREOS</t>
  </si>
  <si>
    <t>VALOR PROIN?</t>
  </si>
  <si>
    <t>FERRETERIA?</t>
  </si>
  <si>
    <t>SUBVENCION TRANSPORTE</t>
  </si>
  <si>
    <t>No. de has de reserva de la sociedad civil registradas y/o apoyadas</t>
  </si>
  <si>
    <t>Fecha: 01 Oct 07</t>
  </si>
  <si>
    <t>PRESUPUESTO APROPIADO PAT VIGENCIA 2008</t>
  </si>
  <si>
    <t>VALOR TOTAL COMPROMETIDO PAT VIGENCIA 2008</t>
  </si>
  <si>
    <t>INDICE GLOBAL DE EJECUCION FINANCIERA PAT 2008</t>
  </si>
  <si>
    <t>No. de municipios apoyados en procesos de formación y/o actualización catastral</t>
  </si>
  <si>
    <t xml:space="preserve">No. De acciones adquiridas de la Empresa Forestal del Huila </t>
  </si>
  <si>
    <t>Acción</t>
  </si>
  <si>
    <t>A DICIEMBRE 31</t>
  </si>
  <si>
    <t xml:space="preserve">Conformación y/o fortalecimiento de CIDEA 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</si>
</sst>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"/>
    <numFmt numFmtId="195" formatCode="#,##0.000"/>
    <numFmt numFmtId="196" formatCode="0.0000"/>
    <numFmt numFmtId="197" formatCode="#,##0.0000000000"/>
    <numFmt numFmtId="198" formatCode="0.0"/>
    <numFmt numFmtId="199" formatCode="0.000"/>
    <numFmt numFmtId="200" formatCode="_(* #,##0_);_(* \(#,##0\);_(* &quot;-&quot;??_);_(@_)"/>
    <numFmt numFmtId="201" formatCode="_ * #,##0_ ;_ * \-#,##0_ ;_ * &quot;-&quot;??_ ;_ @_ 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;[Red]#,##0"/>
    <numFmt numFmtId="208" formatCode="&quot;$&quot;\ #,##0;[Red]&quot;$&quot;\ #,##0"/>
    <numFmt numFmtId="209" formatCode="#,##0.0;[Red]#,##0.0"/>
    <numFmt numFmtId="210" formatCode="#,##0.00;[Red]#,##0.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0"/>
    </font>
    <font>
      <sz val="10"/>
      <name val="Tahoma"/>
      <family val="2"/>
    </font>
    <font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5" fillId="24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15" fillId="24" borderId="0" xfId="0" applyNumberFormat="1" applyFont="1" applyFill="1" applyAlignment="1">
      <alignment vertical="center" wrapText="1"/>
    </xf>
    <xf numFmtId="3" fontId="5" fillId="24" borderId="0" xfId="0" applyNumberFormat="1" applyFont="1" applyFill="1" applyAlignment="1">
      <alignment vertical="center" wrapText="1"/>
    </xf>
    <xf numFmtId="0" fontId="14" fillId="24" borderId="0" xfId="0" applyFont="1" applyFill="1" applyAlignment="1">
      <alignment horizontal="center" vertical="center" wrapText="1"/>
    </xf>
    <xf numFmtId="4" fontId="14" fillId="24" borderId="0" xfId="0" applyNumberFormat="1" applyFont="1" applyFill="1" applyAlignment="1">
      <alignment horizontal="right" vertical="center" wrapText="1"/>
    </xf>
    <xf numFmtId="3" fontId="6" fillId="16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 wrapText="1"/>
    </xf>
    <xf numFmtId="0" fontId="10" fillId="16" borderId="14" xfId="0" applyFont="1" applyFill="1" applyBorder="1" applyAlignment="1">
      <alignment vertical="center" wrapText="1"/>
    </xf>
    <xf numFmtId="0" fontId="10" fillId="16" borderId="15" xfId="0" applyFont="1" applyFill="1" applyBorder="1" applyAlignment="1">
      <alignment vertical="center" wrapText="1"/>
    </xf>
    <xf numFmtId="0" fontId="10" fillId="16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2" fontId="8" fillId="0" borderId="13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6" fillId="16" borderId="12" xfId="0" applyNumberFormat="1" applyFont="1" applyFill="1" applyBorder="1" applyAlignment="1">
      <alignment horizontal="center" vertical="center" wrapText="1"/>
    </xf>
    <xf numFmtId="4" fontId="6" fillId="16" borderId="2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202" fontId="8" fillId="0" borderId="21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 wrapText="1"/>
    </xf>
    <xf numFmtId="3" fontId="0" fillId="0" borderId="0" xfId="0" applyNumberFormat="1" applyAlignment="1">
      <alignment/>
    </xf>
    <xf numFmtId="3" fontId="13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4" fillId="0" borderId="25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vertical="center" wrapText="1"/>
    </xf>
    <xf numFmtId="3" fontId="14" fillId="25" borderId="10" xfId="0" applyNumberFormat="1" applyFont="1" applyFill="1" applyBorder="1" applyAlignment="1">
      <alignment/>
    </xf>
    <xf numFmtId="3" fontId="14" fillId="4" borderId="1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14" fillId="25" borderId="10" xfId="0" applyNumberFormat="1" applyFont="1" applyFill="1" applyBorder="1" applyAlignment="1">
      <alignment vertical="center" wrapText="1"/>
    </xf>
    <xf numFmtId="3" fontId="14" fillId="4" borderId="10" xfId="0" applyNumberFormat="1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14" fillId="19" borderId="10" xfId="0" applyNumberFormat="1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14" fillId="11" borderId="10" xfId="0" applyNumberFormat="1" applyFont="1" applyFill="1" applyBorder="1" applyAlignment="1">
      <alignment vertical="center" wrapText="1"/>
    </xf>
    <xf numFmtId="3" fontId="14" fillId="22" borderId="10" xfId="0" applyNumberFormat="1" applyFont="1" applyFill="1" applyBorder="1" applyAlignment="1">
      <alignment/>
    </xf>
    <xf numFmtId="3" fontId="14" fillId="22" borderId="10" xfId="0" applyNumberFormat="1" applyFont="1" applyFill="1" applyBorder="1" applyAlignment="1">
      <alignment vertical="center" wrapText="1"/>
    </xf>
    <xf numFmtId="3" fontId="14" fillId="22" borderId="10" xfId="0" applyNumberFormat="1" applyFont="1" applyFill="1" applyBorder="1" applyAlignment="1">
      <alignment horizontal="center" vertical="center" wrapText="1"/>
    </xf>
    <xf numFmtId="3" fontId="8" fillId="22" borderId="10" xfId="0" applyNumberFormat="1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3" fontId="15" fillId="24" borderId="0" xfId="0" applyNumberFormat="1" applyFont="1" applyFill="1" applyAlignment="1">
      <alignment vertical="center" wrapText="1"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 horizontal="center" vertical="center" wrapText="1"/>
    </xf>
    <xf numFmtId="3" fontId="15" fillId="19" borderId="0" xfId="0" applyNumberFormat="1" applyFont="1" applyFill="1" applyAlignment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21" fillId="25" borderId="1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3" fontId="15" fillId="11" borderId="0" xfId="0" applyNumberFormat="1" applyFont="1" applyFill="1" applyAlignment="1">
      <alignment vertical="center" wrapText="1"/>
    </xf>
    <xf numFmtId="202" fontId="8" fillId="0" borderId="12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207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24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9" fontId="0" fillId="0" borderId="0" xfId="48" applyAlignment="1">
      <alignment/>
    </xf>
    <xf numFmtId="179" fontId="5" fillId="24" borderId="0" xfId="48" applyFont="1" applyFill="1" applyAlignment="1">
      <alignment vertical="center" wrapText="1"/>
    </xf>
    <xf numFmtId="179" fontId="13" fillId="0" borderId="0" xfId="48" applyFont="1" applyFill="1" applyAlignment="1">
      <alignment horizontal="center" vertical="center" wrapText="1"/>
    </xf>
    <xf numFmtId="179" fontId="13" fillId="0" borderId="0" xfId="48" applyFont="1" applyFill="1" applyAlignment="1">
      <alignment vertical="center" wrapText="1"/>
    </xf>
    <xf numFmtId="179" fontId="5" fillId="0" borderId="0" xfId="48" applyFont="1" applyFill="1" applyAlignment="1">
      <alignment vertical="center" wrapText="1"/>
    </xf>
    <xf numFmtId="3" fontId="14" fillId="0" borderId="27" xfId="0" applyNumberFormat="1" applyFont="1" applyFill="1" applyBorder="1" applyAlignment="1">
      <alignment horizontal="right" vertical="center" wrapText="1"/>
    </xf>
    <xf numFmtId="179" fontId="5" fillId="0" borderId="0" xfId="48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9" fontId="8" fillId="0" borderId="0" xfId="48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9" fontId="4" fillId="0" borderId="0" xfId="48" applyFont="1" applyFill="1" applyBorder="1" applyAlignment="1">
      <alignment vertical="center" wrapText="1"/>
    </xf>
    <xf numFmtId="43" fontId="13" fillId="0" borderId="0" xfId="0" applyNumberFormat="1" applyFont="1" applyFill="1" applyBorder="1" applyAlignment="1">
      <alignment vertical="center" wrapText="1"/>
    </xf>
    <xf numFmtId="210" fontId="14" fillId="0" borderId="10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8" fillId="0" borderId="28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3" fontId="8" fillId="0" borderId="33" xfId="0" applyNumberFormat="1" applyFont="1" applyFill="1" applyBorder="1" applyAlignment="1">
      <alignment horizontal="right" vertical="center" wrapText="1"/>
    </xf>
    <xf numFmtId="4" fontId="6" fillId="16" borderId="26" xfId="0" applyNumberFormat="1" applyFont="1" applyFill="1" applyBorder="1" applyAlignment="1">
      <alignment horizontal="center" vertical="center" wrapText="1"/>
    </xf>
    <xf numFmtId="4" fontId="6" fillId="16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6" fillId="16" borderId="2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left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38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3" fontId="14" fillId="0" borderId="23" xfId="0" applyNumberFormat="1" applyFont="1" applyFill="1" applyBorder="1" applyAlignment="1">
      <alignment horizontal="right" vertical="center" wrapText="1"/>
    </xf>
    <xf numFmtId="3" fontId="14" fillId="0" borderId="42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0" fontId="12" fillId="16" borderId="40" xfId="0" applyFont="1" applyFill="1" applyBorder="1" applyAlignment="1">
      <alignment horizontal="left" vertical="justify" wrapText="1"/>
    </xf>
    <xf numFmtId="0" fontId="12" fillId="16" borderId="26" xfId="0" applyFont="1" applyFill="1" applyBorder="1" applyAlignment="1">
      <alignment horizontal="left" vertical="justify" wrapText="1"/>
    </xf>
    <xf numFmtId="0" fontId="12" fillId="16" borderId="17" xfId="0" applyFont="1" applyFill="1" applyBorder="1" applyAlignment="1">
      <alignment horizontal="left" vertical="justify" wrapText="1"/>
    </xf>
    <xf numFmtId="3" fontId="8" fillId="0" borderId="43" xfId="0" applyNumberFormat="1" applyFont="1" applyFill="1" applyBorder="1" applyAlignment="1">
      <alignment horizontal="right" vertical="center" wrapText="1"/>
    </xf>
    <xf numFmtId="0" fontId="12" fillId="16" borderId="44" xfId="0" applyFont="1" applyFill="1" applyBorder="1" applyAlignment="1">
      <alignment horizontal="left" vertical="justify" wrapText="1"/>
    </xf>
    <xf numFmtId="0" fontId="12" fillId="16" borderId="10" xfId="0" applyFont="1" applyFill="1" applyBorder="1" applyAlignment="1">
      <alignment horizontal="left" vertical="justify" wrapText="1"/>
    </xf>
    <xf numFmtId="0" fontId="12" fillId="16" borderId="18" xfId="0" applyFont="1" applyFill="1" applyBorder="1" applyAlignment="1">
      <alignment horizontal="left" vertical="justify" wrapText="1"/>
    </xf>
    <xf numFmtId="0" fontId="12" fillId="16" borderId="41" xfId="0" applyFont="1" applyFill="1" applyBorder="1" applyAlignment="1">
      <alignment horizontal="left" vertical="center" wrapText="1"/>
    </xf>
    <xf numFmtId="0" fontId="12" fillId="16" borderId="12" xfId="0" applyFont="1" applyFill="1" applyBorder="1" applyAlignment="1">
      <alignment horizontal="left" vertical="center" wrapText="1"/>
    </xf>
    <xf numFmtId="0" fontId="12" fillId="16" borderId="45" xfId="0" applyFont="1" applyFill="1" applyBorder="1" applyAlignment="1">
      <alignment horizontal="left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center" vertical="center" wrapText="1"/>
    </xf>
    <xf numFmtId="0" fontId="9" fillId="16" borderId="49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50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9" fillId="16" borderId="52" xfId="0" applyFont="1" applyFill="1" applyBorder="1" applyAlignment="1">
      <alignment horizontal="center" vertical="center" wrapText="1"/>
    </xf>
    <xf numFmtId="0" fontId="9" fillId="16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104775</xdr:rowOff>
    </xdr:from>
    <xdr:to>
      <xdr:col>1</xdr:col>
      <xdr:colOff>466725</xdr:colOff>
      <xdr:row>2</xdr:row>
      <xdr:rowOff>285750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1047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W119"/>
  <sheetViews>
    <sheetView tabSelected="1" zoomScale="75" zoomScaleNormal="75" zoomScalePageLayoutView="0" workbookViewId="0" topLeftCell="A90">
      <selection activeCell="E109" sqref="E109"/>
    </sheetView>
  </sheetViews>
  <sheetFormatPr defaultColWidth="11.421875" defaultRowHeight="12.75"/>
  <cols>
    <col min="1" max="1" width="17.140625" style="3" customWidth="1"/>
    <col min="2" max="2" width="62.421875" style="1" customWidth="1"/>
    <col min="3" max="3" width="9.57421875" style="1" hidden="1" customWidth="1"/>
    <col min="4" max="4" width="16.8515625" style="1" customWidth="1"/>
    <col min="5" max="5" width="17.28125" style="17" customWidth="1"/>
    <col min="6" max="6" width="15.140625" style="17" customWidth="1"/>
    <col min="7" max="7" width="18.140625" style="18" customWidth="1"/>
    <col min="8" max="8" width="19.00390625" style="18" customWidth="1"/>
    <col min="9" max="9" width="21.421875" style="18" customWidth="1"/>
    <col min="10" max="10" width="18.421875" style="69" hidden="1" customWidth="1"/>
    <col min="11" max="11" width="17.00390625" style="16" hidden="1" customWidth="1"/>
    <col min="12" max="13" width="14.421875" style="57" hidden="1" customWidth="1"/>
    <col min="14" max="14" width="14.421875" style="58" hidden="1" customWidth="1"/>
    <col min="15" max="16" width="14.421875" style="64" hidden="1" customWidth="1"/>
    <col min="17" max="18" width="0" style="1" hidden="1" customWidth="1"/>
    <col min="19" max="19" width="14.28125" style="1" bestFit="1" customWidth="1"/>
    <col min="20" max="20" width="16.57421875" style="91" bestFit="1" customWidth="1"/>
    <col min="21" max="21" width="16.8515625" style="87" bestFit="1" customWidth="1"/>
    <col min="22" max="16384" width="11.421875" style="1" customWidth="1"/>
  </cols>
  <sheetData>
    <row r="1" spans="1:21" ht="28.5" customHeight="1">
      <c r="A1" s="149" t="s">
        <v>15</v>
      </c>
      <c r="B1" s="150"/>
      <c r="C1" s="150"/>
      <c r="D1" s="150"/>
      <c r="E1" s="150"/>
      <c r="F1" s="150"/>
      <c r="G1" s="150"/>
      <c r="H1" s="151"/>
      <c r="I1" s="21" t="s">
        <v>14</v>
      </c>
      <c r="J1" s="70"/>
      <c r="K1" s="39"/>
      <c r="L1" s="53"/>
      <c r="M1" s="53"/>
      <c r="N1" s="54"/>
      <c r="O1" s="63"/>
      <c r="P1" s="63"/>
      <c r="T1" s="90"/>
      <c r="U1" s="86"/>
    </row>
    <row r="2" spans="1:21" ht="28.5" customHeight="1">
      <c r="A2" s="152"/>
      <c r="B2" s="153"/>
      <c r="C2" s="153"/>
      <c r="D2" s="153"/>
      <c r="E2" s="153"/>
      <c r="F2" s="153"/>
      <c r="G2" s="153"/>
      <c r="H2" s="154"/>
      <c r="I2" s="22" t="s">
        <v>13</v>
      </c>
      <c r="J2" s="70"/>
      <c r="K2" s="39"/>
      <c r="L2" s="53"/>
      <c r="M2" s="53"/>
      <c r="N2" s="54"/>
      <c r="O2" s="63"/>
      <c r="P2" s="63"/>
      <c r="T2" s="90"/>
      <c r="U2" s="86"/>
    </row>
    <row r="3" spans="1:21" ht="28.5" customHeight="1" thickBot="1">
      <c r="A3" s="155"/>
      <c r="B3" s="156"/>
      <c r="C3" s="156"/>
      <c r="D3" s="156"/>
      <c r="E3" s="156"/>
      <c r="F3" s="156"/>
      <c r="G3" s="156"/>
      <c r="H3" s="157"/>
      <c r="I3" s="23" t="s">
        <v>109</v>
      </c>
      <c r="J3" s="70"/>
      <c r="K3" s="39"/>
      <c r="L3" s="53"/>
      <c r="M3" s="53"/>
      <c r="N3" s="54"/>
      <c r="O3" s="63"/>
      <c r="P3" s="63"/>
      <c r="T3" s="90"/>
      <c r="U3" s="86"/>
    </row>
    <row r="4" spans="1:21" ht="8.25" customHeight="1" thickBot="1">
      <c r="A4" s="158"/>
      <c r="B4" s="159"/>
      <c r="C4" s="159"/>
      <c r="D4" s="159"/>
      <c r="E4" s="160"/>
      <c r="F4" s="159"/>
      <c r="G4" s="159"/>
      <c r="H4" s="159"/>
      <c r="I4" s="161"/>
      <c r="J4" s="70"/>
      <c r="K4" s="39"/>
      <c r="L4" s="53"/>
      <c r="M4" s="53"/>
      <c r="N4" s="54"/>
      <c r="O4" s="63"/>
      <c r="P4" s="63"/>
      <c r="T4" s="90"/>
      <c r="U4" s="86"/>
    </row>
    <row r="5" spans="1:21" ht="39" customHeight="1" thickBot="1">
      <c r="A5" s="6" t="s">
        <v>4</v>
      </c>
      <c r="B5" s="158">
        <v>2008</v>
      </c>
      <c r="C5" s="159"/>
      <c r="D5" s="161"/>
      <c r="E5" s="7"/>
      <c r="F5" s="6" t="s">
        <v>5</v>
      </c>
      <c r="G5" s="158" t="s">
        <v>116</v>
      </c>
      <c r="H5" s="159"/>
      <c r="I5" s="161"/>
      <c r="J5" s="70"/>
      <c r="K5" s="39"/>
      <c r="L5" s="53"/>
      <c r="M5" s="53"/>
      <c r="N5" s="54"/>
      <c r="O5" s="63"/>
      <c r="P5" s="63"/>
      <c r="T5" s="90"/>
      <c r="U5" s="86"/>
    </row>
    <row r="6" spans="1:14" ht="8.25" customHeight="1" thickBot="1">
      <c r="A6" s="162"/>
      <c r="B6" s="163"/>
      <c r="C6" s="163"/>
      <c r="D6" s="163"/>
      <c r="E6" s="164"/>
      <c r="F6" s="163"/>
      <c r="G6" s="163"/>
      <c r="H6" s="163"/>
      <c r="I6" s="165"/>
      <c r="L6" s="53"/>
      <c r="M6" s="53"/>
      <c r="N6" s="54"/>
    </row>
    <row r="7" spans="1:21" s="8" customFormat="1" ht="15.75" customHeight="1">
      <c r="A7" s="132" t="s">
        <v>0</v>
      </c>
      <c r="B7" s="123" t="s">
        <v>2</v>
      </c>
      <c r="C7" s="128" t="s">
        <v>24</v>
      </c>
      <c r="D7" s="123" t="s">
        <v>3</v>
      </c>
      <c r="E7" s="123" t="s">
        <v>6</v>
      </c>
      <c r="F7" s="123"/>
      <c r="G7" s="118" t="s">
        <v>7</v>
      </c>
      <c r="H7" s="118"/>
      <c r="I7" s="119"/>
      <c r="J7" s="71"/>
      <c r="K7" s="40"/>
      <c r="L7" s="53"/>
      <c r="M7" s="53"/>
      <c r="N7" s="54"/>
      <c r="O7" s="65"/>
      <c r="P7" s="65"/>
      <c r="T7" s="92"/>
      <c r="U7" s="88"/>
    </row>
    <row r="8" spans="1:21" s="9" customFormat="1" ht="45.75" customHeight="1" thickBot="1">
      <c r="A8" s="133"/>
      <c r="B8" s="127"/>
      <c r="C8" s="129"/>
      <c r="D8" s="127"/>
      <c r="E8" s="19" t="s">
        <v>8</v>
      </c>
      <c r="F8" s="19" t="s">
        <v>9</v>
      </c>
      <c r="G8" s="33" t="s">
        <v>10</v>
      </c>
      <c r="H8" s="33" t="s">
        <v>11</v>
      </c>
      <c r="I8" s="34" t="s">
        <v>12</v>
      </c>
      <c r="J8" s="68"/>
      <c r="K8" s="41"/>
      <c r="L8" s="55" t="s">
        <v>103</v>
      </c>
      <c r="M8" s="55" t="s">
        <v>103</v>
      </c>
      <c r="N8" s="56" t="s">
        <v>104</v>
      </c>
      <c r="O8" s="66" t="s">
        <v>107</v>
      </c>
      <c r="P8" s="66" t="s">
        <v>107</v>
      </c>
      <c r="T8" s="93"/>
      <c r="U8" s="89"/>
    </row>
    <row r="9" spans="1:21" s="4" customFormat="1" ht="24" customHeight="1">
      <c r="A9" s="108" t="s">
        <v>30</v>
      </c>
      <c r="B9" s="24" t="s">
        <v>16</v>
      </c>
      <c r="C9" s="28">
        <v>1</v>
      </c>
      <c r="D9" s="81" t="s">
        <v>25</v>
      </c>
      <c r="E9" s="11">
        <v>56576</v>
      </c>
      <c r="F9" s="11">
        <v>56576</v>
      </c>
      <c r="G9" s="44">
        <v>2803200</v>
      </c>
      <c r="H9" s="44">
        <v>2798180</v>
      </c>
      <c r="I9" s="45">
        <f>+G9-H9</f>
        <v>5020</v>
      </c>
      <c r="J9" s="68"/>
      <c r="K9" s="42"/>
      <c r="L9" s="57"/>
      <c r="M9" s="57"/>
      <c r="N9" s="58"/>
      <c r="O9" s="64"/>
      <c r="P9" s="64"/>
      <c r="T9" s="94"/>
      <c r="U9" s="89"/>
    </row>
    <row r="10" spans="1:21" s="4" customFormat="1" ht="18">
      <c r="A10" s="109"/>
      <c r="B10" s="25" t="s">
        <v>108</v>
      </c>
      <c r="C10" s="29"/>
      <c r="D10" s="30" t="s">
        <v>25</v>
      </c>
      <c r="E10" s="11">
        <v>5718</v>
      </c>
      <c r="F10" s="11">
        <v>6142</v>
      </c>
      <c r="G10" s="44">
        <v>34136000</v>
      </c>
      <c r="H10" s="44">
        <f>34136000</f>
        <v>34136000</v>
      </c>
      <c r="I10" s="45">
        <f aca="true" t="shared" si="0" ref="I10:I18">+G10-H10</f>
        <v>0</v>
      </c>
      <c r="J10" s="72" t="s">
        <v>105</v>
      </c>
      <c r="K10" s="42"/>
      <c r="L10" s="57"/>
      <c r="M10" s="57"/>
      <c r="N10" s="58"/>
      <c r="O10" s="64"/>
      <c r="P10" s="64"/>
      <c r="T10" s="94"/>
      <c r="U10" s="89"/>
    </row>
    <row r="11" spans="1:21" s="4" customFormat="1" ht="24">
      <c r="A11" s="109"/>
      <c r="B11" s="26" t="s">
        <v>17</v>
      </c>
      <c r="C11" s="28">
        <v>2</v>
      </c>
      <c r="D11" s="30" t="s">
        <v>25</v>
      </c>
      <c r="E11" s="11">
        <v>244291</v>
      </c>
      <c r="F11" s="11">
        <f>190760+53531</f>
        <v>244291</v>
      </c>
      <c r="G11" s="44">
        <f>1070670424+1367660159+1234638000</f>
        <v>3672968583</v>
      </c>
      <c r="H11" s="44">
        <v>3601153048</v>
      </c>
      <c r="I11" s="45">
        <f t="shared" si="0"/>
        <v>71815535</v>
      </c>
      <c r="J11" s="72">
        <v>118606003</v>
      </c>
      <c r="K11" s="42"/>
      <c r="L11" s="57">
        <v>35046</v>
      </c>
      <c r="M11" s="57">
        <v>255412</v>
      </c>
      <c r="N11" s="58">
        <v>615140</v>
      </c>
      <c r="O11" s="64"/>
      <c r="P11" s="64"/>
      <c r="T11" s="94"/>
      <c r="U11" s="89"/>
    </row>
    <row r="12" spans="1:21" s="4" customFormat="1" ht="24">
      <c r="A12" s="109"/>
      <c r="B12" s="26" t="s">
        <v>18</v>
      </c>
      <c r="C12" s="28">
        <v>4</v>
      </c>
      <c r="D12" s="30" t="s">
        <v>25</v>
      </c>
      <c r="E12" s="11">
        <v>20000</v>
      </c>
      <c r="F12" s="11">
        <v>20000</v>
      </c>
      <c r="G12" s="44">
        <v>16516045</v>
      </c>
      <c r="H12" s="44">
        <v>16516045</v>
      </c>
      <c r="I12" s="45">
        <f t="shared" si="0"/>
        <v>0</v>
      </c>
      <c r="J12" s="72">
        <v>304866161</v>
      </c>
      <c r="K12" s="42"/>
      <c r="L12" s="57">
        <v>79222</v>
      </c>
      <c r="M12" s="57"/>
      <c r="N12" s="58">
        <v>165962</v>
      </c>
      <c r="O12" s="64"/>
      <c r="P12" s="64"/>
      <c r="T12" s="94"/>
      <c r="U12" s="89"/>
    </row>
    <row r="13" spans="1:21" s="4" customFormat="1" ht="24">
      <c r="A13" s="109"/>
      <c r="B13" s="26" t="s">
        <v>19</v>
      </c>
      <c r="C13" s="28">
        <v>4</v>
      </c>
      <c r="D13" s="30" t="s">
        <v>25</v>
      </c>
      <c r="E13" s="11">
        <v>7000</v>
      </c>
      <c r="F13" s="11">
        <v>20000</v>
      </c>
      <c r="G13" s="44">
        <v>10779784</v>
      </c>
      <c r="H13" s="44">
        <v>10779784</v>
      </c>
      <c r="I13" s="45">
        <f t="shared" si="0"/>
        <v>0</v>
      </c>
      <c r="J13" s="72">
        <f>SUM(J11:J12)</f>
        <v>423472164</v>
      </c>
      <c r="K13" s="42"/>
      <c r="L13" s="57">
        <v>255412</v>
      </c>
      <c r="M13" s="57"/>
      <c r="N13" s="58">
        <v>489303</v>
      </c>
      <c r="O13" s="64"/>
      <c r="P13" s="64"/>
      <c r="T13" s="94"/>
      <c r="U13" s="89"/>
    </row>
    <row r="14" spans="1:21" s="4" customFormat="1" ht="24">
      <c r="A14" s="109"/>
      <c r="B14" s="26" t="s">
        <v>20</v>
      </c>
      <c r="C14" s="28">
        <v>4</v>
      </c>
      <c r="D14" s="30" t="s">
        <v>25</v>
      </c>
      <c r="E14" s="11">
        <v>56576</v>
      </c>
      <c r="F14" s="11">
        <f>+E14</f>
        <v>56576</v>
      </c>
      <c r="G14" s="44">
        <f>706678495+3012000+1124480-79115980</f>
        <v>631698995</v>
      </c>
      <c r="H14" s="44">
        <v>593472085</v>
      </c>
      <c r="I14" s="45">
        <f t="shared" si="0"/>
        <v>38226910</v>
      </c>
      <c r="J14" s="68"/>
      <c r="K14" s="42"/>
      <c r="L14" s="57">
        <v>35046</v>
      </c>
      <c r="M14" s="57"/>
      <c r="N14" s="58">
        <v>828375</v>
      </c>
      <c r="O14" s="64"/>
      <c r="P14" s="64"/>
      <c r="T14" s="94"/>
      <c r="U14" s="89"/>
    </row>
    <row r="15" spans="1:23" s="4" customFormat="1" ht="24">
      <c r="A15" s="109"/>
      <c r="B15" s="25" t="s">
        <v>21</v>
      </c>
      <c r="C15" s="29"/>
      <c r="D15" s="30" t="s">
        <v>25</v>
      </c>
      <c r="E15" s="11">
        <v>830642</v>
      </c>
      <c r="F15" s="11">
        <v>830642</v>
      </c>
      <c r="G15" s="44">
        <f>90237432+10040000</f>
        <v>100277432</v>
      </c>
      <c r="H15" s="44">
        <v>99183030</v>
      </c>
      <c r="I15" s="45">
        <f t="shared" si="0"/>
        <v>1094402</v>
      </c>
      <c r="J15" s="82" t="s">
        <v>106</v>
      </c>
      <c r="K15" s="42"/>
      <c r="L15" s="57">
        <v>85137</v>
      </c>
      <c r="M15" s="57"/>
      <c r="N15" s="58">
        <v>341394</v>
      </c>
      <c r="O15" s="64"/>
      <c r="P15" s="64"/>
      <c r="S15" s="95"/>
      <c r="T15" s="96"/>
      <c r="U15" s="97"/>
      <c r="V15" s="98"/>
      <c r="W15" s="98"/>
    </row>
    <row r="16" spans="1:23" s="4" customFormat="1" ht="36">
      <c r="A16" s="109"/>
      <c r="B16" s="25" t="s">
        <v>22</v>
      </c>
      <c r="C16" s="29"/>
      <c r="D16" s="30" t="s">
        <v>25</v>
      </c>
      <c r="E16" s="11">
        <v>150000</v>
      </c>
      <c r="F16" s="11">
        <v>150000</v>
      </c>
      <c r="G16" s="44">
        <f>12000000+45000000</f>
        <v>57000000</v>
      </c>
      <c r="H16" s="44">
        <v>56999280</v>
      </c>
      <c r="I16" s="45">
        <f t="shared" si="0"/>
        <v>720</v>
      </c>
      <c r="J16" s="72">
        <v>166621471</v>
      </c>
      <c r="K16" s="42"/>
      <c r="L16" s="57">
        <v>105137</v>
      </c>
      <c r="M16" s="57"/>
      <c r="N16" s="58">
        <v>206144</v>
      </c>
      <c r="O16" s="64"/>
      <c r="P16" s="64"/>
      <c r="S16" s="98"/>
      <c r="T16" s="96"/>
      <c r="U16" s="99"/>
      <c r="V16" s="98"/>
      <c r="W16" s="98"/>
    </row>
    <row r="17" spans="1:23" s="4" customFormat="1" ht="24">
      <c r="A17" s="109"/>
      <c r="B17" s="26" t="s">
        <v>23</v>
      </c>
      <c r="C17" s="28">
        <v>5</v>
      </c>
      <c r="D17" s="30" t="s">
        <v>26</v>
      </c>
      <c r="E17" s="11">
        <v>2</v>
      </c>
      <c r="F17" s="11">
        <v>2</v>
      </c>
      <c r="G17" s="44">
        <f>43657664+26495123</f>
        <v>70152787</v>
      </c>
      <c r="H17" s="44">
        <v>70152787</v>
      </c>
      <c r="I17" s="45">
        <f t="shared" si="0"/>
        <v>0</v>
      </c>
      <c r="J17" s="72">
        <v>474190061</v>
      </c>
      <c r="K17" s="42"/>
      <c r="L17" s="57">
        <v>425685</v>
      </c>
      <c r="M17" s="57"/>
      <c r="N17" s="58">
        <v>197989</v>
      </c>
      <c r="O17" s="64"/>
      <c r="P17" s="64"/>
      <c r="S17" s="98"/>
      <c r="T17" s="96"/>
      <c r="U17" s="99"/>
      <c r="V17" s="98"/>
      <c r="W17" s="98"/>
    </row>
    <row r="18" spans="1:23" s="4" customFormat="1" ht="21" customHeight="1">
      <c r="A18" s="109"/>
      <c r="B18" s="5" t="s">
        <v>100</v>
      </c>
      <c r="C18" s="29"/>
      <c r="D18" s="10" t="s">
        <v>101</v>
      </c>
      <c r="E18" s="11">
        <v>1</v>
      </c>
      <c r="F18" s="11">
        <f>+H18/G18</f>
        <v>0.9982107369341788</v>
      </c>
      <c r="G18" s="47">
        <f>3614400+10344000+14682940+3600000+677660+12811000</f>
        <v>45730000</v>
      </c>
      <c r="H18" s="47">
        <v>45648177</v>
      </c>
      <c r="I18" s="45">
        <f t="shared" si="0"/>
        <v>81823</v>
      </c>
      <c r="J18" s="82">
        <f>SUM(J16:J17)</f>
        <v>640811532</v>
      </c>
      <c r="K18" s="42"/>
      <c r="L18" s="57">
        <v>1097149</v>
      </c>
      <c r="M18" s="57"/>
      <c r="N18" s="58">
        <v>278352</v>
      </c>
      <c r="O18" s="64"/>
      <c r="P18" s="64"/>
      <c r="S18" s="98"/>
      <c r="T18" s="96"/>
      <c r="U18" s="99"/>
      <c r="V18" s="98"/>
      <c r="W18" s="98"/>
    </row>
    <row r="19" spans="1:23" s="4" customFormat="1" ht="15" customHeight="1">
      <c r="A19" s="109"/>
      <c r="B19" s="114" t="s">
        <v>27</v>
      </c>
      <c r="C19" s="115"/>
      <c r="D19" s="115"/>
      <c r="E19" s="115"/>
      <c r="F19" s="116"/>
      <c r="G19" s="46">
        <f>+G9+G10+G11+G12+G13+G14+G15+G16+G17+G18</f>
        <v>4642062826</v>
      </c>
      <c r="H19" s="20"/>
      <c r="I19" s="111">
        <f>SUM(I9:I18)</f>
        <v>111224410</v>
      </c>
      <c r="J19" s="43">
        <f>675436154-J18</f>
        <v>34624622</v>
      </c>
      <c r="K19" s="42"/>
      <c r="L19" s="57">
        <v>210274</v>
      </c>
      <c r="M19" s="57"/>
      <c r="N19" s="58"/>
      <c r="O19" s="64"/>
      <c r="P19" s="64"/>
      <c r="S19" s="98"/>
      <c r="T19" s="96"/>
      <c r="U19" s="99"/>
      <c r="V19" s="98"/>
      <c r="W19" s="98"/>
    </row>
    <row r="20" spans="1:23" s="4" customFormat="1" ht="15" customHeight="1">
      <c r="A20" s="109"/>
      <c r="B20" s="114" t="s">
        <v>28</v>
      </c>
      <c r="C20" s="115"/>
      <c r="D20" s="115"/>
      <c r="E20" s="115"/>
      <c r="F20" s="115"/>
      <c r="G20" s="116"/>
      <c r="H20" s="46">
        <f>SUM(H9:H18)</f>
        <v>4530838416</v>
      </c>
      <c r="I20" s="134"/>
      <c r="J20" s="74">
        <v>11</v>
      </c>
      <c r="K20" s="42"/>
      <c r="L20" s="57">
        <v>105137</v>
      </c>
      <c r="M20" s="57"/>
      <c r="N20" s="58"/>
      <c r="O20" s="64"/>
      <c r="P20" s="64"/>
      <c r="S20" s="95"/>
      <c r="T20" s="96"/>
      <c r="U20" s="99"/>
      <c r="V20" s="98"/>
      <c r="W20" s="98"/>
    </row>
    <row r="21" spans="1:23" s="4" customFormat="1" ht="24" customHeight="1" thickBot="1">
      <c r="A21" s="110"/>
      <c r="B21" s="114" t="s">
        <v>29</v>
      </c>
      <c r="C21" s="115"/>
      <c r="D21" s="115"/>
      <c r="E21" s="115"/>
      <c r="F21" s="115"/>
      <c r="G21" s="116"/>
      <c r="H21" s="31">
        <f>+H20/G19</f>
        <v>0.9760398740454272</v>
      </c>
      <c r="I21" s="135"/>
      <c r="J21" s="68"/>
      <c r="K21" s="42"/>
      <c r="L21" s="59"/>
      <c r="M21" s="59">
        <f>SUM(L11:M20)</f>
        <v>2688657</v>
      </c>
      <c r="N21" s="58"/>
      <c r="O21" s="64"/>
      <c r="P21" s="64"/>
      <c r="S21" s="98"/>
      <c r="T21" s="96"/>
      <c r="U21" s="99"/>
      <c r="V21" s="98"/>
      <c r="W21" s="98"/>
    </row>
    <row r="22" spans="1:23" s="4" customFormat="1" ht="17.25" customHeight="1">
      <c r="A22" s="132" t="s">
        <v>0</v>
      </c>
      <c r="B22" s="123" t="s">
        <v>2</v>
      </c>
      <c r="C22" s="128" t="s">
        <v>24</v>
      </c>
      <c r="D22" s="123" t="s">
        <v>3</v>
      </c>
      <c r="E22" s="123" t="s">
        <v>6</v>
      </c>
      <c r="F22" s="123"/>
      <c r="G22" s="118" t="s">
        <v>7</v>
      </c>
      <c r="H22" s="118"/>
      <c r="I22" s="119"/>
      <c r="J22" s="68"/>
      <c r="K22" s="42"/>
      <c r="L22" s="57"/>
      <c r="M22" s="57"/>
      <c r="N22" s="58"/>
      <c r="O22" s="64"/>
      <c r="P22" s="64"/>
      <c r="S22" s="98"/>
      <c r="T22" s="96"/>
      <c r="U22" s="99"/>
      <c r="V22" s="98"/>
      <c r="W22" s="98"/>
    </row>
    <row r="23" spans="1:23" s="4" customFormat="1" ht="51.75" customHeight="1" thickBot="1">
      <c r="A23" s="133"/>
      <c r="B23" s="127"/>
      <c r="C23" s="129"/>
      <c r="D23" s="127"/>
      <c r="E23" s="19" t="s">
        <v>8</v>
      </c>
      <c r="F23" s="19" t="s">
        <v>9</v>
      </c>
      <c r="G23" s="33" t="s">
        <v>10</v>
      </c>
      <c r="H23" s="33" t="s">
        <v>11</v>
      </c>
      <c r="I23" s="34" t="s">
        <v>12</v>
      </c>
      <c r="J23" s="68"/>
      <c r="K23" s="42"/>
      <c r="L23" s="57"/>
      <c r="M23" s="57"/>
      <c r="N23" s="58"/>
      <c r="O23" s="64"/>
      <c r="P23" s="64"/>
      <c r="S23" s="98"/>
      <c r="T23" s="96"/>
      <c r="U23" s="99"/>
      <c r="V23" s="98"/>
      <c r="W23" s="98"/>
    </row>
    <row r="24" spans="1:23" s="4" customFormat="1" ht="30.75" customHeight="1">
      <c r="A24" s="108" t="s">
        <v>47</v>
      </c>
      <c r="B24" s="26" t="s">
        <v>31</v>
      </c>
      <c r="C24" s="29">
        <v>6</v>
      </c>
      <c r="D24" s="81" t="s">
        <v>41</v>
      </c>
      <c r="E24" s="32">
        <v>4</v>
      </c>
      <c r="F24" s="85">
        <v>4</v>
      </c>
      <c r="G24" s="48">
        <v>599084325</v>
      </c>
      <c r="H24" s="48">
        <v>598258133</v>
      </c>
      <c r="I24" s="45">
        <f>+G24-H24</f>
        <v>826192</v>
      </c>
      <c r="J24" s="68"/>
      <c r="K24" s="42"/>
      <c r="L24" s="75">
        <v>700912</v>
      </c>
      <c r="M24" s="57">
        <v>1182280</v>
      </c>
      <c r="N24" s="58"/>
      <c r="O24" s="64"/>
      <c r="P24" s="64"/>
      <c r="S24" s="98"/>
      <c r="T24" s="96"/>
      <c r="U24" s="99"/>
      <c r="V24" s="98"/>
      <c r="W24" s="98"/>
    </row>
    <row r="25" spans="1:23" s="4" customFormat="1" ht="30.75" customHeight="1">
      <c r="A25" s="109"/>
      <c r="B25" s="26" t="s">
        <v>32</v>
      </c>
      <c r="C25" s="29">
        <v>7</v>
      </c>
      <c r="D25" s="30" t="s">
        <v>41</v>
      </c>
      <c r="E25" s="32">
        <v>2</v>
      </c>
      <c r="F25" s="85">
        <v>2</v>
      </c>
      <c r="G25" s="48">
        <v>1414280791</v>
      </c>
      <c r="H25" s="48">
        <v>1414280750</v>
      </c>
      <c r="I25" s="45">
        <f aca="true" t="shared" si="1" ref="I25:I33">+G25-H25</f>
        <v>41</v>
      </c>
      <c r="J25" s="68"/>
      <c r="K25" s="42"/>
      <c r="L25" s="75">
        <f>75206</f>
        <v>75206</v>
      </c>
      <c r="M25" s="57">
        <v>340671</v>
      </c>
      <c r="N25" s="58"/>
      <c r="O25" s="64"/>
      <c r="P25" s="64"/>
      <c r="S25" s="98"/>
      <c r="T25" s="96"/>
      <c r="U25" s="99"/>
      <c r="V25" s="98"/>
      <c r="W25" s="98"/>
    </row>
    <row r="26" spans="1:23" s="4" customFormat="1" ht="30.75" customHeight="1" hidden="1">
      <c r="A26" s="109"/>
      <c r="B26" s="26" t="s">
        <v>33</v>
      </c>
      <c r="C26" s="29">
        <v>3</v>
      </c>
      <c r="D26" s="30" t="s">
        <v>42</v>
      </c>
      <c r="E26" s="32">
        <v>0</v>
      </c>
      <c r="F26" s="85">
        <v>0</v>
      </c>
      <c r="G26" s="48">
        <v>0</v>
      </c>
      <c r="H26" s="48">
        <v>0</v>
      </c>
      <c r="I26" s="45">
        <f t="shared" si="1"/>
        <v>0</v>
      </c>
      <c r="J26" s="68"/>
      <c r="K26" s="42"/>
      <c r="L26" s="75">
        <f>35046*4</f>
        <v>140184</v>
      </c>
      <c r="M26" s="57">
        <v>70092</v>
      </c>
      <c r="N26" s="58"/>
      <c r="O26" s="64"/>
      <c r="P26" s="64"/>
      <c r="S26" s="98"/>
      <c r="T26" s="96"/>
      <c r="U26" s="99"/>
      <c r="V26" s="98"/>
      <c r="W26" s="98"/>
    </row>
    <row r="27" spans="1:23" s="4" customFormat="1" ht="30.75" customHeight="1" hidden="1">
      <c r="A27" s="109"/>
      <c r="B27" s="25" t="s">
        <v>34</v>
      </c>
      <c r="C27" s="13"/>
      <c r="D27" s="30" t="s">
        <v>42</v>
      </c>
      <c r="E27" s="32">
        <v>0</v>
      </c>
      <c r="F27" s="85">
        <v>0</v>
      </c>
      <c r="G27" s="48">
        <v>0</v>
      </c>
      <c r="H27" s="48">
        <v>0</v>
      </c>
      <c r="I27" s="45">
        <f t="shared" si="1"/>
        <v>0</v>
      </c>
      <c r="J27" s="68"/>
      <c r="K27" s="42"/>
      <c r="L27" s="75">
        <v>65165</v>
      </c>
      <c r="M27" s="57">
        <v>266765</v>
      </c>
      <c r="N27" s="58"/>
      <c r="O27" s="64"/>
      <c r="P27" s="64"/>
      <c r="S27" s="98"/>
      <c r="T27" s="96"/>
      <c r="U27" s="99"/>
      <c r="V27" s="98"/>
      <c r="W27" s="98"/>
    </row>
    <row r="28" spans="1:23" s="4" customFormat="1" ht="30.75" customHeight="1">
      <c r="A28" s="109"/>
      <c r="B28" s="25" t="s">
        <v>35</v>
      </c>
      <c r="C28" s="13"/>
      <c r="D28" s="30" t="s">
        <v>43</v>
      </c>
      <c r="E28" s="11">
        <v>2000</v>
      </c>
      <c r="F28" s="85">
        <v>2059</v>
      </c>
      <c r="G28" s="48">
        <f>364406439+6498322</f>
        <v>370904761</v>
      </c>
      <c r="H28" s="48">
        <v>265400190</v>
      </c>
      <c r="I28" s="45">
        <f t="shared" si="1"/>
        <v>105504571</v>
      </c>
      <c r="J28" s="68"/>
      <c r="K28" s="42"/>
      <c r="L28" s="75">
        <v>420548</v>
      </c>
      <c r="M28" s="57">
        <v>420547</v>
      </c>
      <c r="N28" s="58"/>
      <c r="O28" s="64"/>
      <c r="P28" s="64"/>
      <c r="S28" s="98"/>
      <c r="T28" s="96"/>
      <c r="U28" s="99"/>
      <c r="V28" s="98"/>
      <c r="W28" s="98"/>
    </row>
    <row r="29" spans="1:23" s="4" customFormat="1" ht="30.75" customHeight="1">
      <c r="A29" s="109"/>
      <c r="B29" s="26" t="s">
        <v>36</v>
      </c>
      <c r="C29" s="29">
        <v>8</v>
      </c>
      <c r="D29" s="30" t="s">
        <v>43</v>
      </c>
      <c r="E29" s="11">
        <v>107</v>
      </c>
      <c r="F29" s="85">
        <v>327</v>
      </c>
      <c r="G29" s="48">
        <f>36425120+7028000+8333200</f>
        <v>51786320</v>
      </c>
      <c r="H29" s="48">
        <v>51786320</v>
      </c>
      <c r="I29" s="45">
        <f t="shared" si="1"/>
        <v>0</v>
      </c>
      <c r="J29" s="68"/>
      <c r="K29" s="42"/>
      <c r="L29" s="75">
        <v>117374</v>
      </c>
      <c r="M29" s="57">
        <v>35048</v>
      </c>
      <c r="N29" s="58"/>
      <c r="O29" s="64"/>
      <c r="P29" s="64"/>
      <c r="S29" s="98"/>
      <c r="T29" s="96"/>
      <c r="U29" s="99"/>
      <c r="V29" s="98"/>
      <c r="W29" s="98"/>
    </row>
    <row r="30" spans="1:23" s="4" customFormat="1" ht="30.75" customHeight="1">
      <c r="A30" s="109"/>
      <c r="B30" s="26" t="s">
        <v>37</v>
      </c>
      <c r="C30" s="29">
        <v>9</v>
      </c>
      <c r="D30" s="30" t="s">
        <v>43</v>
      </c>
      <c r="E30" s="11">
        <v>346</v>
      </c>
      <c r="F30" s="85">
        <v>0</v>
      </c>
      <c r="G30" s="48">
        <v>0</v>
      </c>
      <c r="H30" s="48">
        <v>0</v>
      </c>
      <c r="I30" s="45">
        <f t="shared" si="1"/>
        <v>0</v>
      </c>
      <c r="J30" s="68"/>
      <c r="K30" s="42"/>
      <c r="L30" s="75">
        <v>210274</v>
      </c>
      <c r="M30" s="57">
        <v>260473</v>
      </c>
      <c r="N30" s="58"/>
      <c r="O30" s="64"/>
      <c r="P30" s="64"/>
      <c r="S30" s="98"/>
      <c r="T30" s="96"/>
      <c r="U30" s="99"/>
      <c r="V30" s="98"/>
      <c r="W30" s="98"/>
    </row>
    <row r="31" spans="1:23" s="4" customFormat="1" ht="30.75" customHeight="1">
      <c r="A31" s="109"/>
      <c r="B31" s="25" t="s">
        <v>38</v>
      </c>
      <c r="C31" s="13"/>
      <c r="D31" s="30" t="s">
        <v>43</v>
      </c>
      <c r="E31" s="11">
        <v>213</v>
      </c>
      <c r="F31" s="85">
        <v>210</v>
      </c>
      <c r="G31" s="48">
        <f>273392561+24423288+4560168+4560168</f>
        <v>306936185</v>
      </c>
      <c r="H31" s="48">
        <v>295294510</v>
      </c>
      <c r="I31" s="45">
        <f t="shared" si="1"/>
        <v>11641675</v>
      </c>
      <c r="J31" s="68"/>
      <c r="K31" s="42"/>
      <c r="L31" s="75">
        <v>63158</v>
      </c>
      <c r="M31" s="57">
        <v>75206</v>
      </c>
      <c r="N31" s="58"/>
      <c r="O31" s="64"/>
      <c r="P31" s="64"/>
      <c r="S31" s="98"/>
      <c r="T31" s="96"/>
      <c r="U31" s="99"/>
      <c r="V31" s="98"/>
      <c r="W31" s="98"/>
    </row>
    <row r="32" spans="1:23" s="4" customFormat="1" ht="30.75" customHeight="1">
      <c r="A32" s="109"/>
      <c r="B32" s="25" t="s">
        <v>39</v>
      </c>
      <c r="C32" s="13"/>
      <c r="D32" s="30" t="s">
        <v>44</v>
      </c>
      <c r="E32" s="11">
        <v>4</v>
      </c>
      <c r="F32" s="85">
        <v>4</v>
      </c>
      <c r="G32" s="48">
        <v>0</v>
      </c>
      <c r="H32" s="48">
        <v>0</v>
      </c>
      <c r="I32" s="45">
        <f t="shared" si="1"/>
        <v>0</v>
      </c>
      <c r="J32" s="68"/>
      <c r="K32" s="42"/>
      <c r="L32" s="57">
        <v>1027142</v>
      </c>
      <c r="M32" s="57"/>
      <c r="N32" s="58"/>
      <c r="O32" s="64"/>
      <c r="P32" s="64"/>
      <c r="S32" s="98"/>
      <c r="T32" s="96"/>
      <c r="U32" s="99"/>
      <c r="V32" s="98"/>
      <c r="W32" s="98"/>
    </row>
    <row r="33" spans="1:23" s="4" customFormat="1" ht="30.75" customHeight="1">
      <c r="A33" s="109"/>
      <c r="B33" s="26" t="s">
        <v>40</v>
      </c>
      <c r="C33" s="29">
        <v>10</v>
      </c>
      <c r="D33" s="30" t="s">
        <v>45</v>
      </c>
      <c r="E33" s="11">
        <v>2</v>
      </c>
      <c r="F33" s="85">
        <v>2</v>
      </c>
      <c r="G33" s="48">
        <v>200000000</v>
      </c>
      <c r="H33" s="48">
        <v>149989568</v>
      </c>
      <c r="I33" s="45">
        <f t="shared" si="1"/>
        <v>50010432</v>
      </c>
      <c r="J33" s="68"/>
      <c r="K33" s="42"/>
      <c r="L33" s="57">
        <v>42569</v>
      </c>
      <c r="M33" s="57"/>
      <c r="N33" s="58"/>
      <c r="O33" s="64"/>
      <c r="P33" s="64"/>
      <c r="S33" s="98"/>
      <c r="T33" s="96"/>
      <c r="U33" s="99"/>
      <c r="V33" s="98"/>
      <c r="W33" s="98"/>
    </row>
    <row r="34" spans="1:23" s="4" customFormat="1" ht="37.5" customHeight="1">
      <c r="A34" s="109"/>
      <c r="B34" s="26" t="s">
        <v>98</v>
      </c>
      <c r="C34" s="29">
        <v>12</v>
      </c>
      <c r="D34" s="30" t="s">
        <v>46</v>
      </c>
      <c r="E34" s="11">
        <v>5</v>
      </c>
      <c r="F34" s="106">
        <v>13.58</v>
      </c>
      <c r="G34" s="137">
        <f>42000000+35000000+45000000</f>
        <v>122000000</v>
      </c>
      <c r="H34" s="137">
        <f>41999328+35000000</f>
        <v>76999328</v>
      </c>
      <c r="I34" s="107">
        <f>+G34-H34</f>
        <v>45000672</v>
      </c>
      <c r="J34" s="68"/>
      <c r="K34" s="42"/>
      <c r="L34" s="57">
        <v>491060</v>
      </c>
      <c r="M34" s="57"/>
      <c r="N34" s="58"/>
      <c r="O34" s="64"/>
      <c r="P34" s="64"/>
      <c r="S34" s="98"/>
      <c r="T34" s="96"/>
      <c r="U34" s="99"/>
      <c r="V34" s="98"/>
      <c r="W34" s="98"/>
    </row>
    <row r="35" spans="1:23" s="4" customFormat="1" ht="35.25" customHeight="1">
      <c r="A35" s="109"/>
      <c r="B35" s="26" t="s">
        <v>99</v>
      </c>
      <c r="C35" s="29">
        <v>12</v>
      </c>
      <c r="D35" s="30" t="s">
        <v>46</v>
      </c>
      <c r="E35" s="11">
        <v>5</v>
      </c>
      <c r="F35" s="32">
        <v>11.28</v>
      </c>
      <c r="G35" s="138"/>
      <c r="H35" s="138"/>
      <c r="I35" s="136"/>
      <c r="J35" s="68"/>
      <c r="K35" s="42"/>
      <c r="L35" s="57">
        <v>105138</v>
      </c>
      <c r="M35" s="57"/>
      <c r="N35" s="58"/>
      <c r="O35" s="64"/>
      <c r="P35" s="64"/>
      <c r="S35" s="98"/>
      <c r="T35" s="96"/>
      <c r="U35" s="99"/>
      <c r="V35" s="98"/>
      <c r="W35" s="98"/>
    </row>
    <row r="36" spans="1:23" s="4" customFormat="1" ht="42.75" customHeight="1">
      <c r="A36" s="109"/>
      <c r="B36" s="25" t="s">
        <v>102</v>
      </c>
      <c r="C36" s="29"/>
      <c r="D36" s="10" t="s">
        <v>101</v>
      </c>
      <c r="E36" s="11">
        <v>1</v>
      </c>
      <c r="F36" s="32">
        <v>1</v>
      </c>
      <c r="G36" s="47">
        <v>2354324969</v>
      </c>
      <c r="H36" s="47">
        <v>2354324961</v>
      </c>
      <c r="I36" s="45">
        <f>+G36-H36</f>
        <v>8</v>
      </c>
      <c r="J36" s="68"/>
      <c r="K36" s="42"/>
      <c r="L36" s="57">
        <f>260474*2</f>
        <v>520948</v>
      </c>
      <c r="M36" s="57"/>
      <c r="N36" s="58"/>
      <c r="O36" s="64"/>
      <c r="P36" s="64"/>
      <c r="S36" s="98"/>
      <c r="T36" s="96"/>
      <c r="U36" s="99"/>
      <c r="V36" s="98"/>
      <c r="W36" s="98"/>
    </row>
    <row r="37" spans="1:23" s="4" customFormat="1" ht="25.5" customHeight="1">
      <c r="A37" s="109"/>
      <c r="B37" s="5" t="s">
        <v>100</v>
      </c>
      <c r="C37" s="29"/>
      <c r="D37" s="10" t="s">
        <v>101</v>
      </c>
      <c r="E37" s="11">
        <v>1</v>
      </c>
      <c r="F37" s="11">
        <f>+H37/G37</f>
        <v>0.9999643996456388</v>
      </c>
      <c r="G37" s="47">
        <v>102049546</v>
      </c>
      <c r="H37" s="47">
        <v>102045913</v>
      </c>
      <c r="I37" s="45">
        <f>+G37-H37</f>
        <v>3633</v>
      </c>
      <c r="J37" s="68">
        <v>12</v>
      </c>
      <c r="K37" s="52"/>
      <c r="L37" s="59"/>
      <c r="M37" s="59">
        <f>SUM(L24:M36)</f>
        <v>6630760</v>
      </c>
      <c r="N37" s="58"/>
      <c r="O37" s="64"/>
      <c r="P37" s="64"/>
      <c r="S37" s="98"/>
      <c r="T37" s="96"/>
      <c r="U37" s="99"/>
      <c r="V37" s="98"/>
      <c r="W37" s="98"/>
    </row>
    <row r="38" spans="1:23" s="4" customFormat="1" ht="17.25" customHeight="1">
      <c r="A38" s="109"/>
      <c r="B38" s="124" t="s">
        <v>27</v>
      </c>
      <c r="C38" s="125"/>
      <c r="D38" s="125"/>
      <c r="E38" s="125"/>
      <c r="F38" s="126"/>
      <c r="G38" s="46">
        <f>+G37+G36+G34+G33+G32+G31+G30+G29+G28+G27+G26+G25+G24</f>
        <v>5521366897</v>
      </c>
      <c r="H38" s="47"/>
      <c r="I38" s="111">
        <f>SUM(I24:I37)</f>
        <v>212987224</v>
      </c>
      <c r="J38" s="74"/>
      <c r="K38" s="42"/>
      <c r="L38" s="57"/>
      <c r="M38" s="57"/>
      <c r="N38" s="58"/>
      <c r="O38" s="64"/>
      <c r="P38" s="64"/>
      <c r="S38" s="98"/>
      <c r="T38" s="96"/>
      <c r="U38" s="99"/>
      <c r="V38" s="98"/>
      <c r="W38" s="98"/>
    </row>
    <row r="39" spans="1:23" s="4" customFormat="1" ht="16.5" customHeight="1">
      <c r="A39" s="109"/>
      <c r="B39" s="124" t="s">
        <v>28</v>
      </c>
      <c r="C39" s="125"/>
      <c r="D39" s="125"/>
      <c r="E39" s="125"/>
      <c r="F39" s="125"/>
      <c r="G39" s="126"/>
      <c r="H39" s="46">
        <f>SUM(H24:H38)</f>
        <v>5308379673</v>
      </c>
      <c r="I39" s="112"/>
      <c r="J39" s="74"/>
      <c r="K39" s="42"/>
      <c r="L39" s="57"/>
      <c r="M39" s="57"/>
      <c r="N39" s="58"/>
      <c r="O39" s="64"/>
      <c r="P39" s="64"/>
      <c r="S39" s="98"/>
      <c r="T39" s="96"/>
      <c r="U39" s="99"/>
      <c r="V39" s="98"/>
      <c r="W39" s="98"/>
    </row>
    <row r="40" spans="1:23" s="4" customFormat="1" ht="18.75" thickBot="1">
      <c r="A40" s="110"/>
      <c r="B40" s="114" t="s">
        <v>29</v>
      </c>
      <c r="C40" s="115"/>
      <c r="D40" s="115"/>
      <c r="E40" s="115"/>
      <c r="F40" s="115"/>
      <c r="G40" s="116"/>
      <c r="H40" s="31">
        <f>+H39/G38</f>
        <v>0.9614249101765497</v>
      </c>
      <c r="I40" s="117"/>
      <c r="J40" s="68"/>
      <c r="K40" s="42"/>
      <c r="L40" s="57"/>
      <c r="M40" s="57"/>
      <c r="N40" s="58"/>
      <c r="O40" s="64"/>
      <c r="P40" s="64"/>
      <c r="S40" s="98"/>
      <c r="T40" s="96"/>
      <c r="U40" s="99"/>
      <c r="V40" s="98"/>
      <c r="W40" s="98"/>
    </row>
    <row r="41" spans="1:23" s="4" customFormat="1" ht="16.5" customHeight="1">
      <c r="A41" s="132" t="s">
        <v>0</v>
      </c>
      <c r="B41" s="123" t="s">
        <v>2</v>
      </c>
      <c r="C41" s="128" t="s">
        <v>24</v>
      </c>
      <c r="D41" s="123" t="s">
        <v>3</v>
      </c>
      <c r="E41" s="123" t="s">
        <v>6</v>
      </c>
      <c r="F41" s="123"/>
      <c r="G41" s="118" t="s">
        <v>7</v>
      </c>
      <c r="H41" s="118"/>
      <c r="I41" s="119"/>
      <c r="J41" s="68"/>
      <c r="K41" s="42"/>
      <c r="L41" s="57"/>
      <c r="M41" s="57"/>
      <c r="N41" s="58"/>
      <c r="O41" s="64"/>
      <c r="P41" s="64"/>
      <c r="S41" s="98"/>
      <c r="T41" s="96"/>
      <c r="U41" s="99"/>
      <c r="V41" s="98"/>
      <c r="W41" s="98"/>
    </row>
    <row r="42" spans="1:23" s="4" customFormat="1" ht="51" customHeight="1" thickBot="1">
      <c r="A42" s="133"/>
      <c r="B42" s="127"/>
      <c r="C42" s="129"/>
      <c r="D42" s="127"/>
      <c r="E42" s="19" t="s">
        <v>8</v>
      </c>
      <c r="F42" s="19" t="s">
        <v>9</v>
      </c>
      <c r="G42" s="33" t="s">
        <v>10</v>
      </c>
      <c r="H42" s="33" t="s">
        <v>11</v>
      </c>
      <c r="I42" s="34" t="s">
        <v>12</v>
      </c>
      <c r="J42" s="68"/>
      <c r="K42" s="42"/>
      <c r="L42" s="57"/>
      <c r="M42" s="57"/>
      <c r="N42" s="58"/>
      <c r="O42" s="64"/>
      <c r="P42" s="64"/>
      <c r="S42" s="98"/>
      <c r="T42" s="96"/>
      <c r="U42" s="99"/>
      <c r="V42" s="98"/>
      <c r="W42" s="98"/>
    </row>
    <row r="43" spans="1:23" s="4" customFormat="1" ht="24" customHeight="1">
      <c r="A43" s="108" t="s">
        <v>54</v>
      </c>
      <c r="B43" s="27" t="s">
        <v>48</v>
      </c>
      <c r="C43" s="29">
        <v>20</v>
      </c>
      <c r="D43" s="81" t="s">
        <v>52</v>
      </c>
      <c r="E43" s="32">
        <v>10</v>
      </c>
      <c r="F43" s="32">
        <v>9</v>
      </c>
      <c r="G43" s="44">
        <f>12048000+1894401+5206718+7028000</f>
        <v>26177119</v>
      </c>
      <c r="H43" s="44">
        <v>26171942</v>
      </c>
      <c r="I43" s="45">
        <f>+G43-H43</f>
        <v>5177</v>
      </c>
      <c r="J43" s="68"/>
      <c r="K43" s="42"/>
      <c r="L43" s="57">
        <v>175228</v>
      </c>
      <c r="M43" s="57">
        <v>45086</v>
      </c>
      <c r="N43" s="58">
        <v>334406</v>
      </c>
      <c r="O43" s="64"/>
      <c r="P43" s="64"/>
      <c r="S43" s="98"/>
      <c r="T43" s="96"/>
      <c r="U43" s="99"/>
      <c r="V43" s="98"/>
      <c r="W43" s="98"/>
    </row>
    <row r="44" spans="1:23" s="4" customFormat="1" ht="36">
      <c r="A44" s="109"/>
      <c r="B44" s="26" t="s">
        <v>49</v>
      </c>
      <c r="C44" s="29">
        <v>21</v>
      </c>
      <c r="D44" s="30" t="s">
        <v>46</v>
      </c>
      <c r="E44" s="11">
        <v>80</v>
      </c>
      <c r="F44" s="11">
        <v>80</v>
      </c>
      <c r="G44" s="44">
        <v>0</v>
      </c>
      <c r="H44" s="44">
        <v>0</v>
      </c>
      <c r="I44" s="45">
        <f>+G44-H44</f>
        <v>0</v>
      </c>
      <c r="J44" s="68"/>
      <c r="K44" s="42"/>
      <c r="L44" s="57">
        <v>105136</v>
      </c>
      <c r="M44" s="57">
        <v>420736</v>
      </c>
      <c r="N44" s="58"/>
      <c r="O44" s="64"/>
      <c r="P44" s="64"/>
      <c r="S44" s="98"/>
      <c r="T44" s="96"/>
      <c r="U44" s="99"/>
      <c r="V44" s="98"/>
      <c r="W44" s="98"/>
    </row>
    <row r="45" spans="1:23" s="4" customFormat="1" ht="24">
      <c r="A45" s="109"/>
      <c r="B45" s="26" t="s">
        <v>50</v>
      </c>
      <c r="C45" s="29">
        <v>19</v>
      </c>
      <c r="D45" s="35" t="s">
        <v>53</v>
      </c>
      <c r="E45" s="11">
        <v>7</v>
      </c>
      <c r="F45" s="11">
        <v>11</v>
      </c>
      <c r="G45" s="44">
        <v>176791674</v>
      </c>
      <c r="H45" s="44">
        <f>176232363</f>
        <v>176232363</v>
      </c>
      <c r="I45" s="45">
        <f>+G45-H45</f>
        <v>559311</v>
      </c>
      <c r="J45" s="68"/>
      <c r="K45" s="42"/>
      <c r="L45" s="57">
        <f>245319*2</f>
        <v>490638</v>
      </c>
      <c r="M45" s="57"/>
      <c r="N45" s="58"/>
      <c r="O45" s="64"/>
      <c r="P45" s="64"/>
      <c r="S45" s="98"/>
      <c r="T45" s="96"/>
      <c r="U45" s="99"/>
      <c r="V45" s="98"/>
      <c r="W45" s="98"/>
    </row>
    <row r="46" spans="1:23" s="4" customFormat="1" ht="24">
      <c r="A46" s="109"/>
      <c r="B46" s="25" t="s">
        <v>51</v>
      </c>
      <c r="C46" s="13"/>
      <c r="D46" s="10" t="s">
        <v>43</v>
      </c>
      <c r="E46" s="11">
        <v>87</v>
      </c>
      <c r="F46" s="11">
        <v>87</v>
      </c>
      <c r="G46" s="44">
        <v>0</v>
      </c>
      <c r="H46" s="44">
        <v>0</v>
      </c>
      <c r="I46" s="45">
        <f>+G46-H46</f>
        <v>0</v>
      </c>
      <c r="J46" s="68"/>
      <c r="K46" s="42"/>
      <c r="L46" s="57">
        <v>60240</v>
      </c>
      <c r="M46" s="57"/>
      <c r="N46" s="58"/>
      <c r="O46" s="64"/>
      <c r="P46" s="64"/>
      <c r="S46" s="98"/>
      <c r="T46" s="96"/>
      <c r="U46" s="99"/>
      <c r="V46" s="98"/>
      <c r="W46" s="98"/>
    </row>
    <row r="47" spans="1:23" s="4" customFormat="1" ht="18">
      <c r="A47" s="109"/>
      <c r="B47" s="25" t="s">
        <v>114</v>
      </c>
      <c r="C47" s="38"/>
      <c r="D47" s="10" t="s">
        <v>115</v>
      </c>
      <c r="E47" s="11">
        <v>181557</v>
      </c>
      <c r="F47" s="11">
        <v>181557</v>
      </c>
      <c r="G47" s="44">
        <v>182284000</v>
      </c>
      <c r="H47" s="44">
        <v>182284000</v>
      </c>
      <c r="I47" s="45">
        <v>0</v>
      </c>
      <c r="J47" s="68"/>
      <c r="K47" s="42"/>
      <c r="L47" s="57"/>
      <c r="M47" s="57"/>
      <c r="N47" s="58"/>
      <c r="O47" s="64"/>
      <c r="P47" s="64"/>
      <c r="S47" s="98"/>
      <c r="T47" s="96"/>
      <c r="U47" s="99"/>
      <c r="V47" s="98"/>
      <c r="W47" s="98"/>
    </row>
    <row r="48" spans="1:23" s="4" customFormat="1" ht="18">
      <c r="A48" s="109"/>
      <c r="B48" s="5" t="s">
        <v>100</v>
      </c>
      <c r="C48" s="38"/>
      <c r="D48" s="30" t="s">
        <v>101</v>
      </c>
      <c r="E48" s="11">
        <v>1</v>
      </c>
      <c r="F48" s="11">
        <v>1</v>
      </c>
      <c r="G48" s="44">
        <v>28634076</v>
      </c>
      <c r="H48" s="44">
        <f>28563985</f>
        <v>28563985</v>
      </c>
      <c r="I48" s="45">
        <f>+G48-H48</f>
        <v>70091</v>
      </c>
      <c r="J48" s="68"/>
      <c r="K48" s="42"/>
      <c r="L48" s="57">
        <f>335868*2</f>
        <v>671736</v>
      </c>
      <c r="M48" s="57"/>
      <c r="N48" s="58"/>
      <c r="O48" s="64"/>
      <c r="P48" s="64"/>
      <c r="S48" s="98"/>
      <c r="T48" s="96"/>
      <c r="U48" s="99"/>
      <c r="V48" s="98"/>
      <c r="W48" s="98"/>
    </row>
    <row r="49" spans="1:23" s="4" customFormat="1" ht="18">
      <c r="A49" s="109"/>
      <c r="B49" s="124" t="s">
        <v>27</v>
      </c>
      <c r="C49" s="125"/>
      <c r="D49" s="125"/>
      <c r="E49" s="125"/>
      <c r="F49" s="126"/>
      <c r="G49" s="46">
        <f>SUM(G43:G48)</f>
        <v>413886869</v>
      </c>
      <c r="H49" s="47"/>
      <c r="I49" s="111">
        <f>SUM(I43:I48)</f>
        <v>634579</v>
      </c>
      <c r="J49" s="46"/>
      <c r="K49" s="42"/>
      <c r="L49" s="57">
        <v>630821</v>
      </c>
      <c r="M49" s="57"/>
      <c r="N49" s="58"/>
      <c r="O49" s="64"/>
      <c r="P49" s="64"/>
      <c r="S49" s="98"/>
      <c r="T49" s="96"/>
      <c r="U49" s="99"/>
      <c r="V49" s="98"/>
      <c r="W49" s="98"/>
    </row>
    <row r="50" spans="1:23" s="4" customFormat="1" ht="18">
      <c r="A50" s="109"/>
      <c r="B50" s="124" t="s">
        <v>28</v>
      </c>
      <c r="C50" s="125"/>
      <c r="D50" s="125"/>
      <c r="E50" s="125"/>
      <c r="F50" s="125"/>
      <c r="G50" s="126"/>
      <c r="H50" s="46">
        <f>SUM(H43:H49)</f>
        <v>413252290</v>
      </c>
      <c r="I50" s="112"/>
      <c r="J50" s="74"/>
      <c r="K50" s="42"/>
      <c r="L50" s="57">
        <v>4107244</v>
      </c>
      <c r="M50" s="57"/>
      <c r="N50" s="58"/>
      <c r="O50" s="64"/>
      <c r="P50" s="64"/>
      <c r="S50" s="98"/>
      <c r="T50" s="96"/>
      <c r="U50" s="99"/>
      <c r="V50" s="98"/>
      <c r="W50" s="98"/>
    </row>
    <row r="51" spans="1:23" s="4" customFormat="1" ht="18.75" thickBot="1">
      <c r="A51" s="110"/>
      <c r="B51" s="114" t="s">
        <v>29</v>
      </c>
      <c r="C51" s="115"/>
      <c r="D51" s="115"/>
      <c r="E51" s="115"/>
      <c r="F51" s="115"/>
      <c r="G51" s="116"/>
      <c r="H51" s="31">
        <f>+H50/G49</f>
        <v>0.9984667815107707</v>
      </c>
      <c r="I51" s="117"/>
      <c r="J51" s="68">
        <v>80</v>
      </c>
      <c r="K51" s="42"/>
      <c r="L51" s="60"/>
      <c r="M51" s="59">
        <f>SUM(L43:M50)</f>
        <v>6706865</v>
      </c>
      <c r="N51" s="61">
        <f>SUM(N43:N50)</f>
        <v>334406</v>
      </c>
      <c r="O51" s="64"/>
      <c r="P51" s="64"/>
      <c r="S51" s="98"/>
      <c r="T51" s="96"/>
      <c r="U51" s="99"/>
      <c r="V51" s="98"/>
      <c r="W51" s="98"/>
    </row>
    <row r="52" spans="1:23" s="4" customFormat="1" ht="19.5" customHeight="1">
      <c r="A52" s="132" t="s">
        <v>0</v>
      </c>
      <c r="B52" s="123" t="s">
        <v>2</v>
      </c>
      <c r="C52" s="128" t="s">
        <v>24</v>
      </c>
      <c r="D52" s="123" t="s">
        <v>3</v>
      </c>
      <c r="E52" s="123" t="s">
        <v>6</v>
      </c>
      <c r="F52" s="123"/>
      <c r="G52" s="118" t="s">
        <v>7</v>
      </c>
      <c r="H52" s="118"/>
      <c r="I52" s="119"/>
      <c r="J52" s="68"/>
      <c r="K52" s="42"/>
      <c r="L52" s="57"/>
      <c r="M52" s="57"/>
      <c r="N52" s="58"/>
      <c r="O52" s="64"/>
      <c r="P52" s="64"/>
      <c r="S52" s="98"/>
      <c r="T52" s="96"/>
      <c r="U52" s="99"/>
      <c r="V52" s="98"/>
      <c r="W52" s="98"/>
    </row>
    <row r="53" spans="1:23" s="4" customFormat="1" ht="45.75" customHeight="1" thickBot="1">
      <c r="A53" s="133"/>
      <c r="B53" s="127"/>
      <c r="C53" s="129"/>
      <c r="D53" s="127"/>
      <c r="E53" s="19" t="s">
        <v>8</v>
      </c>
      <c r="F53" s="19" t="s">
        <v>9</v>
      </c>
      <c r="G53" s="33" t="s">
        <v>10</v>
      </c>
      <c r="H53" s="33" t="s">
        <v>11</v>
      </c>
      <c r="I53" s="34" t="s">
        <v>12</v>
      </c>
      <c r="J53" s="68"/>
      <c r="K53" s="42"/>
      <c r="L53" s="57"/>
      <c r="M53" s="57"/>
      <c r="N53" s="58"/>
      <c r="O53" s="64"/>
      <c r="P53" s="64"/>
      <c r="S53" s="98"/>
      <c r="T53" s="96"/>
      <c r="U53" s="99"/>
      <c r="V53" s="98"/>
      <c r="W53" s="98"/>
    </row>
    <row r="54" spans="1:23" s="4" customFormat="1" ht="30.75" customHeight="1">
      <c r="A54" s="130" t="s">
        <v>61</v>
      </c>
      <c r="B54" s="27" t="s">
        <v>55</v>
      </c>
      <c r="C54" s="29">
        <v>22</v>
      </c>
      <c r="D54" s="81" t="s">
        <v>59</v>
      </c>
      <c r="E54" s="11">
        <v>26</v>
      </c>
      <c r="F54" s="11">
        <v>26</v>
      </c>
      <c r="G54" s="44">
        <v>171792867</v>
      </c>
      <c r="H54" s="44">
        <f>141000000+1590865+3252960+12048000+4698720+3388000</f>
        <v>165978545</v>
      </c>
      <c r="I54" s="45">
        <f>+G54-H54</f>
        <v>5814322</v>
      </c>
      <c r="J54" s="68"/>
      <c r="K54" s="42"/>
      <c r="L54" s="62">
        <v>951912</v>
      </c>
      <c r="M54" s="57">
        <v>69813</v>
      </c>
      <c r="N54" s="58">
        <v>412670</v>
      </c>
      <c r="O54" s="64"/>
      <c r="P54" s="64"/>
      <c r="S54" s="98"/>
      <c r="T54" s="96"/>
      <c r="U54" s="99"/>
      <c r="V54" s="98"/>
      <c r="W54" s="98"/>
    </row>
    <row r="55" spans="1:23" s="4" customFormat="1" ht="30.75" customHeight="1">
      <c r="A55" s="131"/>
      <c r="B55" s="26" t="s">
        <v>56</v>
      </c>
      <c r="C55" s="29">
        <v>23</v>
      </c>
      <c r="D55" s="30" t="s">
        <v>59</v>
      </c>
      <c r="E55" s="11">
        <v>5</v>
      </c>
      <c r="F55" s="11">
        <v>5</v>
      </c>
      <c r="G55" s="44">
        <v>158541822</v>
      </c>
      <c r="H55" s="44">
        <v>158537200</v>
      </c>
      <c r="I55" s="45">
        <f>+G55-H55</f>
        <v>4622</v>
      </c>
      <c r="J55" s="68"/>
      <c r="K55" s="42"/>
      <c r="L55" s="62">
        <f>280554*2</f>
        <v>561108</v>
      </c>
      <c r="M55" s="57">
        <f>105137*2</f>
        <v>210274</v>
      </c>
      <c r="N55" s="58"/>
      <c r="O55" s="64"/>
      <c r="P55" s="64"/>
      <c r="S55" s="98"/>
      <c r="T55" s="96"/>
      <c r="U55" s="99"/>
      <c r="V55" s="98"/>
      <c r="W55" s="98"/>
    </row>
    <row r="56" spans="1:23" s="4" customFormat="1" ht="30.75" customHeight="1">
      <c r="A56" s="131"/>
      <c r="B56" s="25" t="s">
        <v>57</v>
      </c>
      <c r="C56" s="13"/>
      <c r="D56" s="30" t="s">
        <v>43</v>
      </c>
      <c r="E56" s="11">
        <v>60</v>
      </c>
      <c r="F56" s="11">
        <v>60</v>
      </c>
      <c r="G56" s="44">
        <v>1171556250</v>
      </c>
      <c r="H56" s="44">
        <v>1171269642</v>
      </c>
      <c r="I56" s="45">
        <f>+G56-H56</f>
        <v>286608</v>
      </c>
      <c r="J56" s="68"/>
      <c r="K56" s="42"/>
      <c r="L56" s="62">
        <v>425686</v>
      </c>
      <c r="M56" s="57">
        <v>63158</v>
      </c>
      <c r="N56" s="58"/>
      <c r="O56" s="64"/>
      <c r="P56" s="64"/>
      <c r="S56" s="98"/>
      <c r="T56" s="96"/>
      <c r="U56" s="97"/>
      <c r="V56" s="98"/>
      <c r="W56" s="98"/>
    </row>
    <row r="57" spans="1:23" s="4" customFormat="1" ht="30.75" customHeight="1">
      <c r="A57" s="131"/>
      <c r="B57" s="25" t="s">
        <v>58</v>
      </c>
      <c r="C57" s="13"/>
      <c r="D57" s="30" t="s">
        <v>60</v>
      </c>
      <c r="E57" s="11">
        <v>1</v>
      </c>
      <c r="F57" s="11">
        <v>1</v>
      </c>
      <c r="G57" s="44">
        <v>60120000</v>
      </c>
      <c r="H57" s="44">
        <v>60120000</v>
      </c>
      <c r="I57" s="45">
        <f>+G57-H57</f>
        <v>0</v>
      </c>
      <c r="J57" s="68"/>
      <c r="K57" s="42"/>
      <c r="L57" s="62">
        <v>215388</v>
      </c>
      <c r="M57" s="57">
        <v>75206</v>
      </c>
      <c r="N57" s="58"/>
      <c r="O57" s="64"/>
      <c r="P57" s="64"/>
      <c r="S57" s="98"/>
      <c r="T57" s="96"/>
      <c r="U57" s="99"/>
      <c r="V57" s="98"/>
      <c r="W57" s="98"/>
    </row>
    <row r="58" spans="1:23" s="4" customFormat="1" ht="23.25" customHeight="1">
      <c r="A58" s="131"/>
      <c r="B58" s="5" t="s">
        <v>100</v>
      </c>
      <c r="C58" s="13"/>
      <c r="D58" s="30" t="s">
        <v>101</v>
      </c>
      <c r="E58" s="11">
        <v>1</v>
      </c>
      <c r="F58" s="11">
        <v>1</v>
      </c>
      <c r="G58" s="47">
        <v>13228983</v>
      </c>
      <c r="H58" s="47">
        <v>13228983</v>
      </c>
      <c r="I58" s="51">
        <f>+G58-H58</f>
        <v>0</v>
      </c>
      <c r="J58" s="68"/>
      <c r="K58" s="42"/>
      <c r="L58" s="62">
        <v>210274</v>
      </c>
      <c r="M58" s="57">
        <v>145297</v>
      </c>
      <c r="N58" s="58"/>
      <c r="O58" s="64"/>
      <c r="P58" s="64"/>
      <c r="S58" s="98"/>
      <c r="T58" s="96"/>
      <c r="U58" s="99"/>
      <c r="V58" s="98"/>
      <c r="W58" s="98"/>
    </row>
    <row r="59" spans="1:23" s="4" customFormat="1" ht="18">
      <c r="A59" s="131"/>
      <c r="B59" s="114" t="s">
        <v>27</v>
      </c>
      <c r="C59" s="115"/>
      <c r="D59" s="115"/>
      <c r="E59" s="115"/>
      <c r="F59" s="116"/>
      <c r="G59" s="46">
        <f>SUM(G54:G58)</f>
        <v>1575239922</v>
      </c>
      <c r="H59" s="20"/>
      <c r="I59" s="111">
        <f>SUM(I54:I58)</f>
        <v>6105552</v>
      </c>
      <c r="J59" s="80"/>
      <c r="K59" s="42"/>
      <c r="L59" s="62"/>
      <c r="M59" s="57">
        <f>70091*2</f>
        <v>140182</v>
      </c>
      <c r="N59" s="58"/>
      <c r="O59" s="64"/>
      <c r="P59" s="64"/>
      <c r="S59" s="98"/>
      <c r="T59" s="96"/>
      <c r="U59" s="99"/>
      <c r="V59" s="98"/>
      <c r="W59" s="98"/>
    </row>
    <row r="60" spans="1:23" s="4" customFormat="1" ht="18">
      <c r="A60" s="131"/>
      <c r="B60" s="114" t="s">
        <v>28</v>
      </c>
      <c r="C60" s="115"/>
      <c r="D60" s="115"/>
      <c r="E60" s="115"/>
      <c r="F60" s="115"/>
      <c r="G60" s="116"/>
      <c r="H60" s="46">
        <f>SUM(H54:H59)</f>
        <v>1569134370</v>
      </c>
      <c r="I60" s="112"/>
      <c r="J60" s="74">
        <v>29</v>
      </c>
      <c r="K60" s="42"/>
      <c r="L60" s="62"/>
      <c r="M60" s="57"/>
      <c r="N60" s="58"/>
      <c r="O60" s="64"/>
      <c r="P60" s="64"/>
      <c r="S60" s="100"/>
      <c r="T60" s="96"/>
      <c r="U60" s="99"/>
      <c r="V60" s="98"/>
      <c r="W60" s="98"/>
    </row>
    <row r="61" spans="1:23" s="4" customFormat="1" ht="18.75" thickBot="1">
      <c r="A61" s="131"/>
      <c r="B61" s="114" t="s">
        <v>29</v>
      </c>
      <c r="C61" s="115"/>
      <c r="D61" s="115"/>
      <c r="E61" s="115"/>
      <c r="F61" s="115"/>
      <c r="G61" s="116"/>
      <c r="H61" s="31">
        <f>+H60/G59</f>
        <v>0.9961240494766993</v>
      </c>
      <c r="I61" s="113"/>
      <c r="J61" s="68"/>
      <c r="K61" s="42"/>
      <c r="L61" s="59">
        <f>SUM(L54:L60)</f>
        <v>2364368</v>
      </c>
      <c r="M61" s="59">
        <f>SUM(M54:M60)</f>
        <v>703930</v>
      </c>
      <c r="N61" s="61">
        <f>SUM(N54:N60)</f>
        <v>412670</v>
      </c>
      <c r="O61" s="64"/>
      <c r="P61" s="64"/>
      <c r="S61" s="100"/>
      <c r="T61" s="96"/>
      <c r="U61" s="99"/>
      <c r="V61" s="98"/>
      <c r="W61" s="98"/>
    </row>
    <row r="62" spans="1:23" s="4" customFormat="1" ht="21.75" customHeight="1">
      <c r="A62" s="132" t="s">
        <v>0</v>
      </c>
      <c r="B62" s="123" t="s">
        <v>2</v>
      </c>
      <c r="C62" s="128" t="s">
        <v>24</v>
      </c>
      <c r="D62" s="123" t="s">
        <v>3</v>
      </c>
      <c r="E62" s="123" t="s">
        <v>6</v>
      </c>
      <c r="F62" s="123"/>
      <c r="G62" s="118" t="s">
        <v>7</v>
      </c>
      <c r="H62" s="118"/>
      <c r="I62" s="119"/>
      <c r="J62" s="68"/>
      <c r="K62" s="42"/>
      <c r="L62" s="57"/>
      <c r="M62" s="57"/>
      <c r="N62" s="58"/>
      <c r="O62" s="64"/>
      <c r="P62" s="64"/>
      <c r="S62" s="98"/>
      <c r="T62" s="96"/>
      <c r="U62" s="99"/>
      <c r="V62" s="98"/>
      <c r="W62" s="98"/>
    </row>
    <row r="63" spans="1:23" s="4" customFormat="1" ht="48" customHeight="1" thickBot="1">
      <c r="A63" s="133"/>
      <c r="B63" s="127"/>
      <c r="C63" s="129"/>
      <c r="D63" s="127"/>
      <c r="E63" s="19" t="s">
        <v>8</v>
      </c>
      <c r="F63" s="19" t="s">
        <v>9</v>
      </c>
      <c r="G63" s="33" t="s">
        <v>10</v>
      </c>
      <c r="H63" s="33" t="s">
        <v>11</v>
      </c>
      <c r="I63" s="34" t="s">
        <v>12</v>
      </c>
      <c r="J63" s="68"/>
      <c r="K63" s="42"/>
      <c r="L63" s="57"/>
      <c r="M63" s="57"/>
      <c r="N63" s="58"/>
      <c r="O63" s="64"/>
      <c r="P63" s="64"/>
      <c r="S63" s="98"/>
      <c r="T63" s="96"/>
      <c r="U63" s="99"/>
      <c r="V63" s="98"/>
      <c r="W63" s="98"/>
    </row>
    <row r="64" spans="1:23" s="4" customFormat="1" ht="50.25" customHeight="1">
      <c r="A64" s="108" t="s">
        <v>76</v>
      </c>
      <c r="B64" s="27" t="s">
        <v>62</v>
      </c>
      <c r="C64" s="29">
        <v>16</v>
      </c>
      <c r="D64" s="81" t="s">
        <v>46</v>
      </c>
      <c r="E64" s="11">
        <v>90</v>
      </c>
      <c r="F64" s="11">
        <v>97</v>
      </c>
      <c r="G64" s="48">
        <v>13832045</v>
      </c>
      <c r="H64" s="48">
        <v>13832045</v>
      </c>
      <c r="I64" s="45">
        <f>+G64-H64</f>
        <v>0</v>
      </c>
      <c r="J64" s="68"/>
      <c r="K64" s="42"/>
      <c r="L64" s="57">
        <v>232514</v>
      </c>
      <c r="M64" s="57">
        <v>77615</v>
      </c>
      <c r="N64" s="58">
        <v>233394</v>
      </c>
      <c r="O64" s="64">
        <v>18676636</v>
      </c>
      <c r="P64" s="64">
        <v>282726</v>
      </c>
      <c r="Q64" s="4">
        <f>+O64/2</f>
        <v>9338318</v>
      </c>
      <c r="R64" s="4">
        <f aca="true" t="shared" si="2" ref="R64:R76">+P64/2</f>
        <v>141363</v>
      </c>
      <c r="S64" s="98"/>
      <c r="T64" s="96"/>
      <c r="U64" s="99"/>
      <c r="V64" s="98"/>
      <c r="W64" s="98"/>
    </row>
    <row r="65" spans="1:23" s="4" customFormat="1" ht="30.75" customHeight="1">
      <c r="A65" s="109"/>
      <c r="B65" s="26" t="s">
        <v>63</v>
      </c>
      <c r="C65" s="29">
        <v>18</v>
      </c>
      <c r="D65" s="30" t="s">
        <v>26</v>
      </c>
      <c r="E65" s="11">
        <v>90</v>
      </c>
      <c r="F65" s="11">
        <v>139</v>
      </c>
      <c r="G65" s="48">
        <v>0</v>
      </c>
      <c r="H65" s="48">
        <v>0</v>
      </c>
      <c r="I65" s="45">
        <f aca="true" t="shared" si="3" ref="I65:I74">+G65-H65</f>
        <v>0</v>
      </c>
      <c r="J65" s="68"/>
      <c r="K65" s="42"/>
      <c r="L65" s="57">
        <v>1500642</v>
      </c>
      <c r="M65" s="57">
        <f>63158*2</f>
        <v>126316</v>
      </c>
      <c r="N65" s="58">
        <v>355370</v>
      </c>
      <c r="O65" s="64">
        <v>353408</v>
      </c>
      <c r="P65" s="64">
        <v>135540</v>
      </c>
      <c r="Q65" s="4">
        <f aca="true" t="shared" si="4" ref="Q65:Q76">+O65/2</f>
        <v>176704</v>
      </c>
      <c r="R65" s="4">
        <f t="shared" si="2"/>
        <v>67770</v>
      </c>
      <c r="S65" s="98"/>
      <c r="T65" s="96"/>
      <c r="U65" s="99"/>
      <c r="V65" s="98"/>
      <c r="W65" s="98"/>
    </row>
    <row r="66" spans="1:23" s="4" customFormat="1" ht="30.75" customHeight="1">
      <c r="A66" s="109"/>
      <c r="B66" s="26" t="s">
        <v>64</v>
      </c>
      <c r="C66" s="29">
        <v>17</v>
      </c>
      <c r="D66" s="30" t="s">
        <v>46</v>
      </c>
      <c r="E66" s="11">
        <v>50</v>
      </c>
      <c r="F66" s="11">
        <v>37</v>
      </c>
      <c r="G66" s="48">
        <v>0</v>
      </c>
      <c r="H66" s="48">
        <v>0</v>
      </c>
      <c r="I66" s="45">
        <f t="shared" si="3"/>
        <v>0</v>
      </c>
      <c r="J66" s="68"/>
      <c r="K66" s="42"/>
      <c r="L66" s="57">
        <v>75206</v>
      </c>
      <c r="M66" s="57">
        <v>184478</v>
      </c>
      <c r="N66" s="58">
        <v>553359</v>
      </c>
      <c r="O66" s="64">
        <v>494471</v>
      </c>
      <c r="P66" s="64">
        <v>211643</v>
      </c>
      <c r="Q66" s="4">
        <f t="shared" si="4"/>
        <v>247235.5</v>
      </c>
      <c r="R66" s="4">
        <f t="shared" si="2"/>
        <v>105821.5</v>
      </c>
      <c r="S66" s="98"/>
      <c r="T66" s="96"/>
      <c r="U66" s="99"/>
      <c r="V66" s="98"/>
      <c r="W66" s="98"/>
    </row>
    <row r="67" spans="1:23" s="4" customFormat="1" ht="39" customHeight="1">
      <c r="A67" s="109"/>
      <c r="B67" s="26" t="s">
        <v>65</v>
      </c>
      <c r="C67" s="29">
        <v>11</v>
      </c>
      <c r="D67" s="30" t="s">
        <v>46</v>
      </c>
      <c r="E67" s="11">
        <v>95</v>
      </c>
      <c r="F67" s="11">
        <v>100</v>
      </c>
      <c r="G67" s="48">
        <v>0</v>
      </c>
      <c r="H67" s="48">
        <v>0</v>
      </c>
      <c r="I67" s="45">
        <f t="shared" si="3"/>
        <v>0</v>
      </c>
      <c r="J67" s="68"/>
      <c r="K67" s="42"/>
      <c r="L67" s="57">
        <v>340670</v>
      </c>
      <c r="M67" s="57">
        <v>43078</v>
      </c>
      <c r="N67" s="58"/>
      <c r="O67" s="64">
        <v>282726</v>
      </c>
      <c r="P67" s="64"/>
      <c r="Q67" s="4">
        <f t="shared" si="4"/>
        <v>141363</v>
      </c>
      <c r="R67" s="4">
        <f t="shared" si="2"/>
        <v>0</v>
      </c>
      <c r="S67" s="98"/>
      <c r="T67" s="96"/>
      <c r="U67" s="99"/>
      <c r="V67" s="98"/>
      <c r="W67" s="98"/>
    </row>
    <row r="68" spans="1:23" s="4" customFormat="1" ht="39.75" customHeight="1">
      <c r="A68" s="109"/>
      <c r="B68" s="26" t="s">
        <v>66</v>
      </c>
      <c r="C68" s="29">
        <v>15</v>
      </c>
      <c r="D68" s="30" t="s">
        <v>72</v>
      </c>
      <c r="E68" s="11">
        <v>1</v>
      </c>
      <c r="F68" s="11">
        <v>1</v>
      </c>
      <c r="G68" s="48">
        <v>0</v>
      </c>
      <c r="H68" s="48">
        <v>0</v>
      </c>
      <c r="I68" s="45">
        <f t="shared" si="3"/>
        <v>0</v>
      </c>
      <c r="J68" s="68"/>
      <c r="K68" s="42"/>
      <c r="L68" s="57">
        <v>63653</v>
      </c>
      <c r="M68" s="57">
        <v>409786</v>
      </c>
      <c r="N68" s="58"/>
      <c r="O68" s="64">
        <v>565453</v>
      </c>
      <c r="P68" s="64"/>
      <c r="Q68" s="4">
        <f t="shared" si="4"/>
        <v>282726.5</v>
      </c>
      <c r="R68" s="4">
        <f t="shared" si="2"/>
        <v>0</v>
      </c>
      <c r="S68" s="98"/>
      <c r="T68" s="96"/>
      <c r="U68" s="99"/>
      <c r="V68" s="98"/>
      <c r="W68" s="98"/>
    </row>
    <row r="69" spans="1:23" s="4" customFormat="1" ht="50.25" customHeight="1">
      <c r="A69" s="109"/>
      <c r="B69" s="26" t="s">
        <v>67</v>
      </c>
      <c r="C69" s="29">
        <v>24</v>
      </c>
      <c r="D69" s="30" t="s">
        <v>46</v>
      </c>
      <c r="E69" s="11">
        <v>60</v>
      </c>
      <c r="F69" s="11">
        <v>91</v>
      </c>
      <c r="G69" s="48">
        <f>20080000+19209636+21850570+5522000+26537394+5558160+2510000+5000000+32500000+35522000</f>
        <v>174289760</v>
      </c>
      <c r="H69" s="48">
        <v>148225769</v>
      </c>
      <c r="I69" s="45">
        <f>+G69-H69</f>
        <v>26063991</v>
      </c>
      <c r="J69" s="68"/>
      <c r="K69" s="42"/>
      <c r="L69" s="57">
        <v>255412</v>
      </c>
      <c r="M69" s="57">
        <v>135257</v>
      </c>
      <c r="N69" s="58"/>
      <c r="O69" s="64">
        <f>212045*2</f>
        <v>424090</v>
      </c>
      <c r="P69" s="64"/>
      <c r="Q69" s="4">
        <f t="shared" si="4"/>
        <v>212045</v>
      </c>
      <c r="R69" s="4">
        <f t="shared" si="2"/>
        <v>0</v>
      </c>
      <c r="S69" s="98"/>
      <c r="T69" s="96"/>
      <c r="U69" s="99"/>
      <c r="V69" s="98"/>
      <c r="W69" s="98"/>
    </row>
    <row r="70" spans="1:23" s="4" customFormat="1" ht="30.75" customHeight="1">
      <c r="A70" s="109"/>
      <c r="B70" s="25" t="s">
        <v>68</v>
      </c>
      <c r="C70" s="2"/>
      <c r="D70" s="30" t="s">
        <v>73</v>
      </c>
      <c r="E70" s="11">
        <v>10</v>
      </c>
      <c r="F70" s="11">
        <v>10</v>
      </c>
      <c r="G70" s="44">
        <f>30120000+53102800</f>
        <v>83222800</v>
      </c>
      <c r="H70" s="44">
        <v>79317470</v>
      </c>
      <c r="I70" s="45">
        <f t="shared" si="3"/>
        <v>3905330</v>
      </c>
      <c r="J70" s="68"/>
      <c r="K70" s="42"/>
      <c r="L70" s="57">
        <v>191507</v>
      </c>
      <c r="M70" s="57">
        <v>51136</v>
      </c>
      <c r="N70" s="58"/>
      <c r="O70" s="64">
        <v>247386</v>
      </c>
      <c r="P70" s="64"/>
      <c r="Q70" s="4">
        <f t="shared" si="4"/>
        <v>123693</v>
      </c>
      <c r="R70" s="4">
        <f t="shared" si="2"/>
        <v>0</v>
      </c>
      <c r="S70" s="98"/>
      <c r="T70" s="96"/>
      <c r="U70" s="99"/>
      <c r="V70" s="98"/>
      <c r="W70" s="98"/>
    </row>
    <row r="71" spans="1:23" s="4" customFormat="1" ht="30.75" customHeight="1">
      <c r="A71" s="109"/>
      <c r="B71" s="25" t="s">
        <v>69</v>
      </c>
      <c r="C71" s="2"/>
      <c r="D71" s="30" t="s">
        <v>74</v>
      </c>
      <c r="E71" s="11">
        <v>4</v>
      </c>
      <c r="F71" s="11">
        <v>4</v>
      </c>
      <c r="G71" s="44">
        <v>50000000</v>
      </c>
      <c r="H71" s="44">
        <v>0</v>
      </c>
      <c r="I71" s="45">
        <f t="shared" si="3"/>
        <v>50000000</v>
      </c>
      <c r="J71" s="68"/>
      <c r="K71" s="42"/>
      <c r="L71" s="57">
        <v>203340</v>
      </c>
      <c r="M71" s="57">
        <v>67199</v>
      </c>
      <c r="N71" s="58"/>
      <c r="O71" s="64">
        <v>459430</v>
      </c>
      <c r="P71" s="64"/>
      <c r="Q71" s="4">
        <f t="shared" si="4"/>
        <v>229715</v>
      </c>
      <c r="R71" s="4">
        <f t="shared" si="2"/>
        <v>0</v>
      </c>
      <c r="S71" s="98"/>
      <c r="T71" s="96"/>
      <c r="U71" s="99"/>
      <c r="V71" s="98"/>
      <c r="W71" s="98"/>
    </row>
    <row r="72" spans="1:23" s="4" customFormat="1" ht="30.75" customHeight="1">
      <c r="A72" s="109"/>
      <c r="B72" s="25" t="s">
        <v>70</v>
      </c>
      <c r="C72" s="2"/>
      <c r="D72" s="30" t="s">
        <v>75</v>
      </c>
      <c r="E72" s="11">
        <v>1</v>
      </c>
      <c r="F72" s="11">
        <v>1</v>
      </c>
      <c r="G72" s="44">
        <f>2811200+55052999+72990800</f>
        <v>130854999</v>
      </c>
      <c r="H72" s="44">
        <v>130854999</v>
      </c>
      <c r="I72" s="45">
        <f t="shared" si="3"/>
        <v>0</v>
      </c>
      <c r="J72" s="68"/>
      <c r="K72" s="42"/>
      <c r="L72" s="57">
        <v>90266</v>
      </c>
      <c r="M72" s="57">
        <v>315411</v>
      </c>
      <c r="N72" s="58"/>
      <c r="O72" s="64">
        <v>388749</v>
      </c>
      <c r="P72" s="64"/>
      <c r="Q72" s="4">
        <f t="shared" si="4"/>
        <v>194374.5</v>
      </c>
      <c r="R72" s="4">
        <f t="shared" si="2"/>
        <v>0</v>
      </c>
      <c r="S72" s="98"/>
      <c r="T72" s="96"/>
      <c r="U72" s="99"/>
      <c r="V72" s="98"/>
      <c r="W72" s="98"/>
    </row>
    <row r="73" spans="1:23" s="4" customFormat="1" ht="30.75" customHeight="1">
      <c r="A73" s="109"/>
      <c r="B73" s="25" t="s">
        <v>71</v>
      </c>
      <c r="C73" s="2"/>
      <c r="D73" s="30" t="s">
        <v>46</v>
      </c>
      <c r="E73" s="11">
        <v>60</v>
      </c>
      <c r="F73" s="11">
        <v>89</v>
      </c>
      <c r="G73" s="44">
        <f>20080000+19209636+21850570+3166255+5522000+26537394+5558160+9180000+2833690+98945756+5000000+7759795+56763163+35522000+14941541</f>
        <v>332869960</v>
      </c>
      <c r="H73" s="48">
        <v>252293609</v>
      </c>
      <c r="I73" s="45">
        <f t="shared" si="3"/>
        <v>80576351</v>
      </c>
      <c r="J73" s="68"/>
      <c r="K73" s="42"/>
      <c r="L73" s="57">
        <f>199513*2</f>
        <v>399026</v>
      </c>
      <c r="M73" s="57">
        <v>75206</v>
      </c>
      <c r="N73" s="58"/>
      <c r="O73" s="64">
        <v>318067</v>
      </c>
      <c r="P73" s="64"/>
      <c r="Q73" s="4">
        <f t="shared" si="4"/>
        <v>159033.5</v>
      </c>
      <c r="R73" s="4">
        <f t="shared" si="2"/>
        <v>0</v>
      </c>
      <c r="S73" s="98"/>
      <c r="T73" s="96"/>
      <c r="U73" s="99"/>
      <c r="V73" s="98"/>
      <c r="W73" s="98"/>
    </row>
    <row r="74" spans="1:23" s="4" customFormat="1" ht="21" customHeight="1">
      <c r="A74" s="109"/>
      <c r="B74" s="5" t="s">
        <v>100</v>
      </c>
      <c r="C74" s="2"/>
      <c r="D74" s="30" t="s">
        <v>101</v>
      </c>
      <c r="E74" s="11">
        <v>1</v>
      </c>
      <c r="F74" s="11">
        <v>1</v>
      </c>
      <c r="G74" s="47">
        <f>19400000+6024000+12654795+5000000+536136+1963000+2606721+1078296-1</f>
        <v>49262947</v>
      </c>
      <c r="H74" s="44">
        <v>43179497</v>
      </c>
      <c r="I74" s="51">
        <f t="shared" si="3"/>
        <v>6083450</v>
      </c>
      <c r="J74" s="68"/>
      <c r="K74" s="42"/>
      <c r="L74" s="57">
        <v>333243</v>
      </c>
      <c r="M74" s="57"/>
      <c r="N74" s="58"/>
      <c r="O74" s="64">
        <v>425686</v>
      </c>
      <c r="P74" s="64"/>
      <c r="Q74" s="4">
        <f t="shared" si="4"/>
        <v>212843</v>
      </c>
      <c r="R74" s="4">
        <f t="shared" si="2"/>
        <v>0</v>
      </c>
      <c r="S74" s="98"/>
      <c r="T74" s="96"/>
      <c r="U74" s="99"/>
      <c r="V74" s="98"/>
      <c r="W74" s="98"/>
    </row>
    <row r="75" spans="1:23" s="4" customFormat="1" ht="18">
      <c r="A75" s="109"/>
      <c r="B75" s="114" t="s">
        <v>27</v>
      </c>
      <c r="C75" s="115"/>
      <c r="D75" s="115"/>
      <c r="E75" s="115"/>
      <c r="F75" s="116"/>
      <c r="G75" s="46">
        <f>SUM(G64:G74)</f>
        <v>834332511</v>
      </c>
      <c r="H75" s="12"/>
      <c r="I75" s="111">
        <f>SUM(I64:I74)</f>
        <v>166629122</v>
      </c>
      <c r="J75" s="46"/>
      <c r="K75" s="42"/>
      <c r="L75" s="57">
        <v>340670</v>
      </c>
      <c r="M75" s="57"/>
      <c r="N75" s="58"/>
      <c r="O75" s="64">
        <v>282726</v>
      </c>
      <c r="P75" s="64"/>
      <c r="Q75" s="4">
        <f t="shared" si="4"/>
        <v>141363</v>
      </c>
      <c r="R75" s="4">
        <f t="shared" si="2"/>
        <v>0</v>
      </c>
      <c r="S75" s="98"/>
      <c r="T75" s="96"/>
      <c r="U75" s="99"/>
      <c r="V75" s="98"/>
      <c r="W75" s="98"/>
    </row>
    <row r="76" spans="1:23" s="4" customFormat="1" ht="18">
      <c r="A76" s="109"/>
      <c r="B76" s="114" t="s">
        <v>28</v>
      </c>
      <c r="C76" s="115"/>
      <c r="D76" s="115"/>
      <c r="E76" s="115"/>
      <c r="F76" s="115"/>
      <c r="G76" s="116"/>
      <c r="H76" s="46">
        <f>+H64+H65+H66+H67+H68+H69+H70+H71+H72+H73+H74-1</f>
        <v>667703388</v>
      </c>
      <c r="I76" s="112"/>
      <c r="J76" s="74">
        <v>31</v>
      </c>
      <c r="K76" s="42"/>
      <c r="L76" s="57">
        <v>425686</v>
      </c>
      <c r="M76" s="57"/>
      <c r="N76" s="58"/>
      <c r="O76" s="64">
        <v>141363</v>
      </c>
      <c r="P76" s="64"/>
      <c r="Q76" s="4">
        <f t="shared" si="4"/>
        <v>70681.5</v>
      </c>
      <c r="R76" s="4">
        <f t="shared" si="2"/>
        <v>0</v>
      </c>
      <c r="S76" s="98"/>
      <c r="T76" s="96"/>
      <c r="U76" s="99"/>
      <c r="V76" s="98"/>
      <c r="W76" s="98"/>
    </row>
    <row r="77" spans="1:23" s="4" customFormat="1" ht="18.75" thickBot="1">
      <c r="A77" s="110"/>
      <c r="B77" s="114" t="s">
        <v>29</v>
      </c>
      <c r="C77" s="115"/>
      <c r="D77" s="115"/>
      <c r="E77" s="115"/>
      <c r="F77" s="115"/>
      <c r="G77" s="116"/>
      <c r="H77" s="31">
        <f>+H76/G75</f>
        <v>0.8002845139040734</v>
      </c>
      <c r="I77" s="113"/>
      <c r="J77" s="68"/>
      <c r="K77" s="42"/>
      <c r="L77" s="67"/>
      <c r="M77" s="67">
        <f>SUM(L64:M76)</f>
        <v>5937317</v>
      </c>
      <c r="N77" s="67">
        <f>SUM(N64:N76)</f>
        <v>1142123</v>
      </c>
      <c r="O77" s="67"/>
      <c r="P77" s="67">
        <f>SUM(O64:P76)</f>
        <v>23690100</v>
      </c>
      <c r="Q77" s="4">
        <f>+P77/2</f>
        <v>11845050</v>
      </c>
      <c r="R77" s="67">
        <f>SUM(Q64:R76)</f>
        <v>11845050</v>
      </c>
      <c r="S77" s="98"/>
      <c r="T77" s="96"/>
      <c r="U77" s="99"/>
      <c r="V77" s="98"/>
      <c r="W77" s="98"/>
    </row>
    <row r="78" spans="1:23" s="4" customFormat="1" ht="19.5" customHeight="1">
      <c r="A78" s="132" t="s">
        <v>0</v>
      </c>
      <c r="B78" s="123" t="s">
        <v>2</v>
      </c>
      <c r="C78" s="128" t="s">
        <v>24</v>
      </c>
      <c r="D78" s="123" t="s">
        <v>3</v>
      </c>
      <c r="E78" s="123" t="s">
        <v>6</v>
      </c>
      <c r="F78" s="123"/>
      <c r="G78" s="118" t="s">
        <v>7</v>
      </c>
      <c r="H78" s="118"/>
      <c r="I78" s="119"/>
      <c r="J78" s="68"/>
      <c r="K78" s="42"/>
      <c r="L78" s="57"/>
      <c r="M78" s="57"/>
      <c r="N78" s="58"/>
      <c r="O78" s="64"/>
      <c r="P78" s="64"/>
      <c r="S78" s="98"/>
      <c r="T78" s="96"/>
      <c r="U78" s="99"/>
      <c r="V78" s="98"/>
      <c r="W78" s="98"/>
    </row>
    <row r="79" spans="1:23" s="4" customFormat="1" ht="50.25" customHeight="1" thickBot="1">
      <c r="A79" s="133"/>
      <c r="B79" s="127"/>
      <c r="C79" s="129"/>
      <c r="D79" s="127"/>
      <c r="E79" s="19" t="s">
        <v>8</v>
      </c>
      <c r="F79" s="19" t="s">
        <v>9</v>
      </c>
      <c r="G79" s="33" t="s">
        <v>10</v>
      </c>
      <c r="H79" s="33" t="s">
        <v>11</v>
      </c>
      <c r="I79" s="34" t="s">
        <v>12</v>
      </c>
      <c r="J79" s="68"/>
      <c r="K79" s="42"/>
      <c r="L79" s="57"/>
      <c r="M79" s="57"/>
      <c r="N79" s="58"/>
      <c r="O79" s="64"/>
      <c r="P79" s="64"/>
      <c r="S79" s="98"/>
      <c r="T79" s="96"/>
      <c r="U79" s="99"/>
      <c r="V79" s="98"/>
      <c r="W79" s="98"/>
    </row>
    <row r="80" spans="1:23" s="4" customFormat="1" ht="36" customHeight="1">
      <c r="A80" s="108" t="s">
        <v>84</v>
      </c>
      <c r="B80" s="36" t="s">
        <v>77</v>
      </c>
      <c r="C80" s="5"/>
      <c r="D80" s="81" t="s">
        <v>80</v>
      </c>
      <c r="E80" s="11">
        <v>25000</v>
      </c>
      <c r="F80" s="11">
        <v>25000</v>
      </c>
      <c r="G80" s="44">
        <f>5590272+50200000+13717082+2208800+3888139</f>
        <v>75604293</v>
      </c>
      <c r="H80" s="44">
        <v>75604293</v>
      </c>
      <c r="I80" s="49">
        <f>+G80-H80</f>
        <v>0</v>
      </c>
      <c r="J80" s="68"/>
      <c r="K80" s="42"/>
      <c r="L80" s="57"/>
      <c r="M80" s="57"/>
      <c r="N80" s="58"/>
      <c r="O80" s="64"/>
      <c r="P80" s="64"/>
      <c r="S80" s="98"/>
      <c r="T80" s="96"/>
      <c r="U80" s="99"/>
      <c r="V80" s="98"/>
      <c r="W80" s="98"/>
    </row>
    <row r="81" spans="1:23" s="4" customFormat="1" ht="36" customHeight="1">
      <c r="A81" s="109"/>
      <c r="B81" s="25" t="s">
        <v>78</v>
      </c>
      <c r="C81" s="5"/>
      <c r="D81" s="30" t="s">
        <v>81</v>
      </c>
      <c r="E81" s="11">
        <v>5000</v>
      </c>
      <c r="F81" s="11">
        <v>5000</v>
      </c>
      <c r="G81" s="44">
        <v>3012000</v>
      </c>
      <c r="H81" s="44">
        <v>3012000</v>
      </c>
      <c r="I81" s="49">
        <f>+G81-H81</f>
        <v>0</v>
      </c>
      <c r="J81" s="68"/>
      <c r="K81" s="42"/>
      <c r="L81" s="57"/>
      <c r="M81" s="57"/>
      <c r="N81" s="58"/>
      <c r="O81" s="64"/>
      <c r="P81" s="64"/>
      <c r="S81" s="98"/>
      <c r="T81" s="96"/>
      <c r="U81" s="99"/>
      <c r="V81" s="98"/>
      <c r="W81" s="98"/>
    </row>
    <row r="82" spans="1:23" s="4" customFormat="1" ht="36">
      <c r="A82" s="109"/>
      <c r="B82" s="25" t="s">
        <v>79</v>
      </c>
      <c r="C82" s="5"/>
      <c r="D82" s="30" t="s">
        <v>82</v>
      </c>
      <c r="E82" s="11">
        <v>10000</v>
      </c>
      <c r="F82" s="11">
        <v>10000</v>
      </c>
      <c r="G82" s="44">
        <v>66914237</v>
      </c>
      <c r="H82" s="44">
        <v>66914236</v>
      </c>
      <c r="I82" s="49">
        <f>+G82-H82</f>
        <v>1</v>
      </c>
      <c r="J82" s="68"/>
      <c r="K82" s="42"/>
      <c r="L82" s="57"/>
      <c r="M82" s="57"/>
      <c r="N82" s="58"/>
      <c r="O82" s="64"/>
      <c r="P82" s="64"/>
      <c r="S82" s="98"/>
      <c r="T82" s="96"/>
      <c r="U82" s="99"/>
      <c r="V82" s="98"/>
      <c r="W82" s="98"/>
    </row>
    <row r="83" spans="1:23" s="4" customFormat="1" ht="18">
      <c r="A83" s="109"/>
      <c r="B83" s="25" t="s">
        <v>117</v>
      </c>
      <c r="C83" s="5"/>
      <c r="D83" s="30" t="s">
        <v>83</v>
      </c>
      <c r="E83" s="11">
        <v>3</v>
      </c>
      <c r="F83" s="11">
        <v>3</v>
      </c>
      <c r="G83" s="44">
        <v>4016000</v>
      </c>
      <c r="H83" s="44">
        <v>4016000</v>
      </c>
      <c r="I83" s="49">
        <f>+G83-H83</f>
        <v>0</v>
      </c>
      <c r="J83" s="68"/>
      <c r="K83" s="42"/>
      <c r="L83" s="57"/>
      <c r="M83" s="57"/>
      <c r="N83" s="58"/>
      <c r="O83" s="64"/>
      <c r="P83" s="64"/>
      <c r="S83" s="98"/>
      <c r="T83" s="96"/>
      <c r="U83" s="99"/>
      <c r="V83" s="98"/>
      <c r="W83" s="98"/>
    </row>
    <row r="84" spans="1:23" s="4" customFormat="1" ht="18">
      <c r="A84" s="109"/>
      <c r="B84" s="5" t="s">
        <v>100</v>
      </c>
      <c r="C84" s="5"/>
      <c r="D84" s="30" t="s">
        <v>101</v>
      </c>
      <c r="E84" s="11">
        <v>1</v>
      </c>
      <c r="F84" s="11">
        <v>1</v>
      </c>
      <c r="G84" s="47">
        <v>10493470</v>
      </c>
      <c r="H84" s="44">
        <v>10493463</v>
      </c>
      <c r="I84" s="49">
        <f>+G84-H84</f>
        <v>7</v>
      </c>
      <c r="J84" s="78"/>
      <c r="K84" s="42"/>
      <c r="L84" s="57"/>
      <c r="M84" s="57"/>
      <c r="N84" s="58"/>
      <c r="O84" s="64"/>
      <c r="P84" s="64"/>
      <c r="S84" s="98"/>
      <c r="T84" s="96"/>
      <c r="U84" s="99"/>
      <c r="V84" s="98"/>
      <c r="W84" s="98"/>
    </row>
    <row r="85" spans="1:23" s="4" customFormat="1" ht="18">
      <c r="A85" s="109"/>
      <c r="B85" s="114" t="s">
        <v>27</v>
      </c>
      <c r="C85" s="115"/>
      <c r="D85" s="115"/>
      <c r="E85" s="115"/>
      <c r="F85" s="116"/>
      <c r="G85" s="46">
        <f>SUM(G80:G84)</f>
        <v>160040000</v>
      </c>
      <c r="H85" s="12"/>
      <c r="I85" s="111">
        <f>SUM(I80:I84)</f>
        <v>8</v>
      </c>
      <c r="J85" s="79"/>
      <c r="K85" s="42"/>
      <c r="L85" s="57"/>
      <c r="M85" s="57"/>
      <c r="N85" s="58"/>
      <c r="O85" s="64"/>
      <c r="P85" s="64"/>
      <c r="S85" s="98"/>
      <c r="T85" s="96"/>
      <c r="U85" s="99"/>
      <c r="V85" s="98"/>
      <c r="W85" s="98"/>
    </row>
    <row r="86" spans="1:23" s="4" customFormat="1" ht="18">
      <c r="A86" s="109"/>
      <c r="B86" s="114" t="s">
        <v>28</v>
      </c>
      <c r="C86" s="115"/>
      <c r="D86" s="115"/>
      <c r="E86" s="115"/>
      <c r="F86" s="115"/>
      <c r="G86" s="116"/>
      <c r="H86" s="46">
        <f>SUM(H80:H85)</f>
        <v>160039992</v>
      </c>
      <c r="I86" s="112"/>
      <c r="J86" s="77">
        <v>31</v>
      </c>
      <c r="K86" s="42"/>
      <c r="L86" s="57"/>
      <c r="M86" s="57"/>
      <c r="N86" s="58"/>
      <c r="O86" s="64"/>
      <c r="P86" s="64"/>
      <c r="S86" s="98"/>
      <c r="T86" s="96"/>
      <c r="U86" s="99"/>
      <c r="V86" s="98"/>
      <c r="W86" s="98"/>
    </row>
    <row r="87" spans="1:23" s="4" customFormat="1" ht="18.75" thickBot="1">
      <c r="A87" s="110"/>
      <c r="B87" s="114" t="s">
        <v>29</v>
      </c>
      <c r="C87" s="115"/>
      <c r="D87" s="115"/>
      <c r="E87" s="115"/>
      <c r="F87" s="115"/>
      <c r="G87" s="116"/>
      <c r="H87" s="31">
        <f>+H86/G85</f>
        <v>0.9999999500124969</v>
      </c>
      <c r="I87" s="117"/>
      <c r="J87" s="68"/>
      <c r="K87" s="42"/>
      <c r="L87" s="57"/>
      <c r="M87" s="57"/>
      <c r="N87" s="58"/>
      <c r="O87" s="64"/>
      <c r="P87" s="64"/>
      <c r="S87" s="98"/>
      <c r="T87" s="96"/>
      <c r="U87" s="99"/>
      <c r="V87" s="98"/>
      <c r="W87" s="98"/>
    </row>
    <row r="88" spans="1:23" s="4" customFormat="1" ht="26.25" customHeight="1">
      <c r="A88" s="132" t="s">
        <v>0</v>
      </c>
      <c r="B88" s="123" t="s">
        <v>2</v>
      </c>
      <c r="C88" s="128" t="s">
        <v>24</v>
      </c>
      <c r="D88" s="123" t="s">
        <v>3</v>
      </c>
      <c r="E88" s="123" t="s">
        <v>6</v>
      </c>
      <c r="F88" s="123"/>
      <c r="G88" s="118" t="s">
        <v>7</v>
      </c>
      <c r="H88" s="118"/>
      <c r="I88" s="119"/>
      <c r="J88" s="68"/>
      <c r="K88" s="42"/>
      <c r="L88" s="57"/>
      <c r="M88" s="57"/>
      <c r="N88" s="58"/>
      <c r="O88" s="64"/>
      <c r="P88" s="64"/>
      <c r="S88" s="98"/>
      <c r="T88" s="96"/>
      <c r="U88" s="99"/>
      <c r="V88" s="98"/>
      <c r="W88" s="98"/>
    </row>
    <row r="89" spans="1:23" s="4" customFormat="1" ht="47.25" customHeight="1" thickBot="1">
      <c r="A89" s="133"/>
      <c r="B89" s="127"/>
      <c r="C89" s="129"/>
      <c r="D89" s="127"/>
      <c r="E89" s="19" t="s">
        <v>8</v>
      </c>
      <c r="F89" s="19" t="s">
        <v>9</v>
      </c>
      <c r="G89" s="33" t="s">
        <v>10</v>
      </c>
      <c r="H89" s="33" t="s">
        <v>11</v>
      </c>
      <c r="I89" s="34" t="s">
        <v>12</v>
      </c>
      <c r="J89" s="68"/>
      <c r="K89" s="42"/>
      <c r="L89" s="57"/>
      <c r="M89" s="57"/>
      <c r="N89" s="58"/>
      <c r="O89" s="64"/>
      <c r="P89" s="64"/>
      <c r="S89" s="98"/>
      <c r="T89" s="96"/>
      <c r="U89" s="99"/>
      <c r="V89" s="98"/>
      <c r="W89" s="98"/>
    </row>
    <row r="90" spans="1:23" s="4" customFormat="1" ht="27" customHeight="1">
      <c r="A90" s="108" t="s">
        <v>97</v>
      </c>
      <c r="B90" s="36" t="s">
        <v>85</v>
      </c>
      <c r="C90" s="13"/>
      <c r="D90" s="81" t="s">
        <v>92</v>
      </c>
      <c r="E90" s="11">
        <v>25</v>
      </c>
      <c r="F90" s="11">
        <v>25</v>
      </c>
      <c r="G90" s="44">
        <v>227595340</v>
      </c>
      <c r="H90" s="44">
        <v>227595340</v>
      </c>
      <c r="I90" s="45">
        <f>+G90-H90</f>
        <v>0</v>
      </c>
      <c r="J90" s="68"/>
      <c r="K90" s="42"/>
      <c r="L90" s="57">
        <v>70091</v>
      </c>
      <c r="M90" s="57"/>
      <c r="N90" s="58">
        <v>413662</v>
      </c>
      <c r="O90" s="64"/>
      <c r="P90" s="64"/>
      <c r="S90" s="98"/>
      <c r="T90" s="96"/>
      <c r="U90" s="99"/>
      <c r="V90" s="98"/>
      <c r="W90" s="98"/>
    </row>
    <row r="91" spans="1:23" s="4" customFormat="1" ht="38.25">
      <c r="A91" s="109"/>
      <c r="B91" s="25" t="s">
        <v>86</v>
      </c>
      <c r="C91" s="13"/>
      <c r="D91" s="30" t="s">
        <v>93</v>
      </c>
      <c r="E91" s="11">
        <v>90</v>
      </c>
      <c r="F91" s="11">
        <v>90</v>
      </c>
      <c r="G91" s="44">
        <v>124503225</v>
      </c>
      <c r="H91" s="44">
        <v>124502969</v>
      </c>
      <c r="I91" s="45">
        <f>+G91-H91</f>
        <v>256</v>
      </c>
      <c r="J91" s="68"/>
      <c r="K91" s="42"/>
      <c r="L91" s="57">
        <v>231452</v>
      </c>
      <c r="M91" s="57"/>
      <c r="N91" s="58">
        <v>607032</v>
      </c>
      <c r="O91" s="64"/>
      <c r="P91" s="64"/>
      <c r="S91" s="98"/>
      <c r="T91" s="96"/>
      <c r="U91" s="99"/>
      <c r="V91" s="98"/>
      <c r="W91" s="98"/>
    </row>
    <row r="92" spans="1:23" s="4" customFormat="1" ht="21" customHeight="1">
      <c r="A92" s="109"/>
      <c r="B92" s="25" t="s">
        <v>87</v>
      </c>
      <c r="C92" s="13"/>
      <c r="D92" s="10" t="s">
        <v>94</v>
      </c>
      <c r="E92" s="11">
        <v>100</v>
      </c>
      <c r="F92" s="11">
        <v>100</v>
      </c>
      <c r="G92" s="44">
        <v>189596465.752</v>
      </c>
      <c r="H92" s="44">
        <v>188837370</v>
      </c>
      <c r="I92" s="45">
        <f aca="true" t="shared" si="5" ref="I92:I98">+G92-H92</f>
        <v>759095.752000004</v>
      </c>
      <c r="J92" s="68"/>
      <c r="K92" s="42"/>
      <c r="L92" s="57">
        <v>755549</v>
      </c>
      <c r="M92" s="57"/>
      <c r="N92" s="58">
        <v>709530</v>
      </c>
      <c r="O92" s="64"/>
      <c r="P92" s="64"/>
      <c r="S92" s="98"/>
      <c r="T92" s="96"/>
      <c r="U92" s="99"/>
      <c r="V92" s="98"/>
      <c r="W92" s="98"/>
    </row>
    <row r="93" spans="1:23" s="4" customFormat="1" ht="29.25" customHeight="1">
      <c r="A93" s="109"/>
      <c r="B93" s="25" t="s">
        <v>113</v>
      </c>
      <c r="C93" s="13"/>
      <c r="D93" s="10" t="s">
        <v>59</v>
      </c>
      <c r="E93" s="11">
        <v>3</v>
      </c>
      <c r="F93" s="11">
        <v>3</v>
      </c>
      <c r="G93" s="44">
        <v>66080806</v>
      </c>
      <c r="H93" s="44">
        <f>18072000+40160000+7848806</f>
        <v>66080806</v>
      </c>
      <c r="I93" s="45">
        <f t="shared" si="5"/>
        <v>0</v>
      </c>
      <c r="J93" s="68"/>
      <c r="K93" s="42"/>
      <c r="L93" s="57"/>
      <c r="M93" s="57"/>
      <c r="N93" s="58"/>
      <c r="O93" s="64"/>
      <c r="P93" s="64"/>
      <c r="S93" s="98"/>
      <c r="T93" s="96"/>
      <c r="U93" s="99"/>
      <c r="V93" s="98"/>
      <c r="W93" s="98"/>
    </row>
    <row r="94" spans="1:23" s="4" customFormat="1" ht="28.5" customHeight="1">
      <c r="A94" s="109"/>
      <c r="B94" s="26" t="s">
        <v>88</v>
      </c>
      <c r="C94" s="29">
        <v>13</v>
      </c>
      <c r="D94" s="30" t="s">
        <v>1</v>
      </c>
      <c r="E94" s="11">
        <v>60</v>
      </c>
      <c r="F94" s="11">
        <v>66</v>
      </c>
      <c r="G94" s="44">
        <v>0</v>
      </c>
      <c r="H94" s="44">
        <v>0</v>
      </c>
      <c r="I94" s="45">
        <f t="shared" si="5"/>
        <v>0</v>
      </c>
      <c r="J94" s="68"/>
      <c r="K94" s="42"/>
      <c r="L94" s="57"/>
      <c r="M94" s="57"/>
      <c r="N94" s="58"/>
      <c r="O94" s="64"/>
      <c r="P94" s="64"/>
      <c r="S94" s="98"/>
      <c r="T94" s="96"/>
      <c r="U94" s="99"/>
      <c r="V94" s="98"/>
      <c r="W94" s="98"/>
    </row>
    <row r="95" spans="1:23" s="4" customFormat="1" ht="28.5" customHeight="1">
      <c r="A95" s="109"/>
      <c r="B95" s="26" t="s">
        <v>89</v>
      </c>
      <c r="C95" s="29">
        <v>14</v>
      </c>
      <c r="D95" s="30" t="s">
        <v>1</v>
      </c>
      <c r="E95" s="11">
        <v>60</v>
      </c>
      <c r="F95" s="11">
        <v>34</v>
      </c>
      <c r="G95" s="44">
        <v>0</v>
      </c>
      <c r="H95" s="44">
        <v>0</v>
      </c>
      <c r="I95" s="45">
        <f t="shared" si="5"/>
        <v>0</v>
      </c>
      <c r="J95" s="68"/>
      <c r="K95" s="42"/>
      <c r="L95" s="57"/>
      <c r="M95" s="57"/>
      <c r="N95" s="58"/>
      <c r="O95" s="64"/>
      <c r="P95" s="64"/>
      <c r="S95" s="98"/>
      <c r="T95" s="104"/>
      <c r="U95" s="99"/>
      <c r="V95" s="98"/>
      <c r="W95" s="98"/>
    </row>
    <row r="96" spans="1:23" s="4" customFormat="1" ht="28.5" customHeight="1">
      <c r="A96" s="109"/>
      <c r="B96" s="26" t="s">
        <v>90</v>
      </c>
      <c r="C96" s="29">
        <v>25</v>
      </c>
      <c r="D96" s="30" t="s">
        <v>95</v>
      </c>
      <c r="E96" s="11">
        <v>60</v>
      </c>
      <c r="F96" s="11">
        <v>37.5</v>
      </c>
      <c r="G96" s="44">
        <v>0</v>
      </c>
      <c r="H96" s="44">
        <v>0</v>
      </c>
      <c r="I96" s="45">
        <f t="shared" si="5"/>
        <v>0</v>
      </c>
      <c r="J96" s="68"/>
      <c r="K96" s="42"/>
      <c r="L96" s="57"/>
      <c r="M96" s="57"/>
      <c r="N96" s="58"/>
      <c r="O96" s="64"/>
      <c r="P96" s="64"/>
      <c r="S96" s="98"/>
      <c r="T96" s="96"/>
      <c r="U96" s="99"/>
      <c r="V96" s="98"/>
      <c r="W96" s="98"/>
    </row>
    <row r="97" spans="1:23" s="4" customFormat="1" ht="36">
      <c r="A97" s="109"/>
      <c r="B97" s="25" t="s">
        <v>91</v>
      </c>
      <c r="C97" s="13"/>
      <c r="D97" s="30" t="s">
        <v>96</v>
      </c>
      <c r="E97" s="11">
        <v>2</v>
      </c>
      <c r="F97" s="11">
        <v>3</v>
      </c>
      <c r="G97" s="44">
        <v>37207949</v>
      </c>
      <c r="H97" s="44">
        <v>37158655</v>
      </c>
      <c r="I97" s="45">
        <f t="shared" si="5"/>
        <v>49294</v>
      </c>
      <c r="J97" s="68"/>
      <c r="K97" s="42"/>
      <c r="L97" s="57"/>
      <c r="M97" s="57"/>
      <c r="N97" s="58"/>
      <c r="O97" s="64"/>
      <c r="P97" s="64"/>
      <c r="S97" s="98"/>
      <c r="T97" s="96"/>
      <c r="U97" s="105"/>
      <c r="V97" s="98"/>
      <c r="W97" s="98"/>
    </row>
    <row r="98" spans="1:23" s="4" customFormat="1" ht="18.75" customHeight="1">
      <c r="A98" s="109"/>
      <c r="B98" s="5" t="s">
        <v>100</v>
      </c>
      <c r="C98" s="13"/>
      <c r="D98" s="30" t="s">
        <v>101</v>
      </c>
      <c r="E98" s="11">
        <v>1</v>
      </c>
      <c r="F98" s="11">
        <v>1</v>
      </c>
      <c r="G98" s="47">
        <v>8598458</v>
      </c>
      <c r="H98" s="44">
        <f>7996058+602400</f>
        <v>8598458</v>
      </c>
      <c r="I98" s="45">
        <f t="shared" si="5"/>
        <v>0</v>
      </c>
      <c r="J98" s="68"/>
      <c r="K98" s="42"/>
      <c r="L98" s="57"/>
      <c r="M98" s="57"/>
      <c r="N98" s="58"/>
      <c r="O98" s="64"/>
      <c r="P98" s="64"/>
      <c r="S98" s="98"/>
      <c r="T98" s="96"/>
      <c r="U98" s="99"/>
      <c r="V98" s="98"/>
      <c r="W98" s="98"/>
    </row>
    <row r="99" spans="1:23" s="4" customFormat="1" ht="18">
      <c r="A99" s="109"/>
      <c r="B99" s="114" t="s">
        <v>27</v>
      </c>
      <c r="C99" s="115"/>
      <c r="D99" s="115"/>
      <c r="E99" s="115"/>
      <c r="F99" s="116"/>
      <c r="G99" s="46">
        <f>SUM(G90:G98)</f>
        <v>653582243.752</v>
      </c>
      <c r="H99" s="12"/>
      <c r="I99" s="111">
        <f>SUM(I90:I98)</f>
        <v>808645.752000004</v>
      </c>
      <c r="J99" s="76"/>
      <c r="K99" s="42"/>
      <c r="L99" s="57"/>
      <c r="M99" s="57"/>
      <c r="N99" s="58"/>
      <c r="O99" s="64"/>
      <c r="P99" s="64"/>
      <c r="S99" s="98"/>
      <c r="T99" s="96"/>
      <c r="U99" s="99"/>
      <c r="V99" s="98"/>
      <c r="W99" s="98"/>
    </row>
    <row r="100" spans="1:23" s="4" customFormat="1" ht="18">
      <c r="A100" s="109"/>
      <c r="B100" s="114" t="s">
        <v>28</v>
      </c>
      <c r="C100" s="115"/>
      <c r="D100" s="115"/>
      <c r="E100" s="115"/>
      <c r="F100" s="115"/>
      <c r="G100" s="116"/>
      <c r="H100" s="46">
        <f>SUM(H90:H99)</f>
        <v>652773598</v>
      </c>
      <c r="I100" s="112"/>
      <c r="J100" s="77">
        <v>21</v>
      </c>
      <c r="K100" s="42"/>
      <c r="L100" s="57"/>
      <c r="M100" s="57"/>
      <c r="N100" s="58"/>
      <c r="O100" s="64"/>
      <c r="P100" s="64"/>
      <c r="S100" s="98"/>
      <c r="T100" s="96"/>
      <c r="U100" s="99"/>
      <c r="V100" s="98"/>
      <c r="W100" s="98"/>
    </row>
    <row r="101" spans="1:23" s="14" customFormat="1" ht="18.75" thickBot="1">
      <c r="A101" s="110"/>
      <c r="B101" s="120" t="s">
        <v>29</v>
      </c>
      <c r="C101" s="121"/>
      <c r="D101" s="121"/>
      <c r="E101" s="121"/>
      <c r="F101" s="121"/>
      <c r="G101" s="122"/>
      <c r="H101" s="37">
        <f>+H100/G99</f>
        <v>0.9987627482849629</v>
      </c>
      <c r="I101" s="112"/>
      <c r="J101" s="73">
        <f>SUM(J20:J100)/7</f>
        <v>30.714285714285715</v>
      </c>
      <c r="K101" s="43"/>
      <c r="L101" s="59">
        <f>SUM(L90:L100)</f>
        <v>1057092</v>
      </c>
      <c r="M101" s="59"/>
      <c r="N101" s="59">
        <f>SUM(N90:N100)</f>
        <v>1730224</v>
      </c>
      <c r="O101" s="66"/>
      <c r="P101" s="66"/>
      <c r="S101" s="101"/>
      <c r="T101" s="102"/>
      <c r="U101" s="103"/>
      <c r="V101" s="101"/>
      <c r="W101" s="101"/>
    </row>
    <row r="102" spans="1:23" ht="24" customHeight="1">
      <c r="A102" s="139" t="s">
        <v>110</v>
      </c>
      <c r="B102" s="140"/>
      <c r="C102" s="140"/>
      <c r="D102" s="140"/>
      <c r="E102" s="140"/>
      <c r="F102" s="140"/>
      <c r="G102" s="141"/>
      <c r="H102" s="84">
        <f>+G99+G85+G75+G59+G49+G38+G19</f>
        <v>13800511268.751999</v>
      </c>
      <c r="I102" s="142">
        <f>+I99+I85+I75+I59+I49+I38+I19</f>
        <v>498389540.752</v>
      </c>
      <c r="K102" s="15"/>
      <c r="Q102" s="16"/>
      <c r="S102" s="100"/>
      <c r="T102" s="96"/>
      <c r="U102" s="99"/>
      <c r="V102" s="98"/>
      <c r="W102" s="98"/>
    </row>
    <row r="103" spans="1:23" ht="24" customHeight="1">
      <c r="A103" s="143" t="s">
        <v>111</v>
      </c>
      <c r="B103" s="144"/>
      <c r="C103" s="144"/>
      <c r="D103" s="144"/>
      <c r="E103" s="144"/>
      <c r="F103" s="144"/>
      <c r="G103" s="145"/>
      <c r="H103" s="50">
        <f>+H100+H86+H76+H60+H50+H39+H20</f>
        <v>13302121727</v>
      </c>
      <c r="I103" s="112"/>
      <c r="K103" s="15"/>
      <c r="Q103" s="16"/>
      <c r="S103" s="98"/>
      <c r="T103" s="96"/>
      <c r="U103" s="99"/>
      <c r="V103" s="98"/>
      <c r="W103" s="98"/>
    </row>
    <row r="104" spans="1:23" ht="24" customHeight="1" thickBot="1">
      <c r="A104" s="146" t="s">
        <v>112</v>
      </c>
      <c r="B104" s="147"/>
      <c r="C104" s="147"/>
      <c r="D104" s="147"/>
      <c r="E104" s="147"/>
      <c r="F104" s="147"/>
      <c r="G104" s="148"/>
      <c r="H104" s="83">
        <f>+H103/H102</f>
        <v>0.9638861537774702</v>
      </c>
      <c r="I104" s="117"/>
      <c r="K104" s="15"/>
      <c r="Q104" s="16"/>
      <c r="S104" s="98"/>
      <c r="T104" s="96"/>
      <c r="U104" s="99"/>
      <c r="V104" s="98"/>
      <c r="W104" s="98"/>
    </row>
    <row r="105" spans="19:23" ht="18">
      <c r="S105" s="98"/>
      <c r="T105" s="96"/>
      <c r="U105" s="99"/>
      <c r="V105" s="98"/>
      <c r="W105" s="98"/>
    </row>
    <row r="106" spans="19:23" ht="18">
      <c r="S106" s="98"/>
      <c r="T106" s="96"/>
      <c r="U106" s="99"/>
      <c r="V106" s="98"/>
      <c r="W106" s="98"/>
    </row>
    <row r="107" spans="19:23" ht="18">
      <c r="S107" s="98"/>
      <c r="T107" s="96"/>
      <c r="U107" s="99"/>
      <c r="V107" s="98"/>
      <c r="W107" s="98"/>
    </row>
    <row r="108" spans="19:23" ht="18">
      <c r="S108" s="98"/>
      <c r="T108" s="96"/>
      <c r="U108" s="99"/>
      <c r="V108" s="98"/>
      <c r="W108" s="98"/>
    </row>
    <row r="109" spans="19:23" ht="18">
      <c r="S109" s="98"/>
      <c r="T109" s="96"/>
      <c r="U109" s="99"/>
      <c r="V109" s="98"/>
      <c r="W109" s="98"/>
    </row>
    <row r="110" spans="19:23" ht="18">
      <c r="S110" s="98"/>
      <c r="T110" s="96"/>
      <c r="U110" s="99"/>
      <c r="V110" s="98"/>
      <c r="W110" s="98"/>
    </row>
    <row r="111" spans="19:23" ht="18">
      <c r="S111" s="98"/>
      <c r="T111" s="96"/>
      <c r="U111" s="99"/>
      <c r="V111" s="98"/>
      <c r="W111" s="98"/>
    </row>
    <row r="112" spans="19:23" ht="18">
      <c r="S112" s="98"/>
      <c r="T112" s="96"/>
      <c r="U112" s="99"/>
      <c r="V112" s="98"/>
      <c r="W112" s="98"/>
    </row>
    <row r="113" spans="19:23" ht="18">
      <c r="S113" s="98"/>
      <c r="T113" s="96"/>
      <c r="U113" s="99"/>
      <c r="V113" s="98"/>
      <c r="W113" s="98"/>
    </row>
    <row r="114" spans="19:23" ht="18">
      <c r="S114" s="98"/>
      <c r="T114" s="96"/>
      <c r="U114" s="99"/>
      <c r="V114" s="98"/>
      <c r="W114" s="98"/>
    </row>
    <row r="115" spans="19:23" ht="18">
      <c r="S115" s="98"/>
      <c r="T115" s="96"/>
      <c r="U115" s="99"/>
      <c r="V115" s="98"/>
      <c r="W115" s="98"/>
    </row>
    <row r="116" spans="19:23" ht="18">
      <c r="S116" s="98"/>
      <c r="T116" s="96"/>
      <c r="U116" s="99"/>
      <c r="V116" s="98"/>
      <c r="W116" s="98"/>
    </row>
    <row r="117" spans="19:23" ht="18">
      <c r="S117" s="98"/>
      <c r="T117" s="96"/>
      <c r="U117" s="99"/>
      <c r="V117" s="98"/>
      <c r="W117" s="98"/>
    </row>
    <row r="118" spans="19:23" ht="18">
      <c r="S118" s="98"/>
      <c r="T118" s="96"/>
      <c r="U118" s="99"/>
      <c r="V118" s="98"/>
      <c r="W118" s="98"/>
    </row>
    <row r="119" spans="19:23" ht="18">
      <c r="S119" s="98"/>
      <c r="T119" s="96"/>
      <c r="U119" s="99"/>
      <c r="V119" s="98"/>
      <c r="W119" s="98"/>
    </row>
  </sheetData>
  <sheetProtection/>
  <mergeCells count="89">
    <mergeCell ref="A6:I6"/>
    <mergeCell ref="A7:A8"/>
    <mergeCell ref="B7:B8"/>
    <mergeCell ref="D7:D8"/>
    <mergeCell ref="E7:F7"/>
    <mergeCell ref="G7:I7"/>
    <mergeCell ref="A1:H3"/>
    <mergeCell ref="A4:I4"/>
    <mergeCell ref="B5:D5"/>
    <mergeCell ref="G5:I5"/>
    <mergeCell ref="A88:A89"/>
    <mergeCell ref="B88:B89"/>
    <mergeCell ref="C88:C89"/>
    <mergeCell ref="B59:F59"/>
    <mergeCell ref="B60:G60"/>
    <mergeCell ref="B61:G61"/>
    <mergeCell ref="E88:F88"/>
    <mergeCell ref="G88:I88"/>
    <mergeCell ref="A78:A79"/>
    <mergeCell ref="B78:B79"/>
    <mergeCell ref="A102:G102"/>
    <mergeCell ref="I102:I104"/>
    <mergeCell ref="A103:G103"/>
    <mergeCell ref="A104:G104"/>
    <mergeCell ref="A41:A42"/>
    <mergeCell ref="B41:B42"/>
    <mergeCell ref="B38:F38"/>
    <mergeCell ref="E41:F41"/>
    <mergeCell ref="B40:G40"/>
    <mergeCell ref="B39:G39"/>
    <mergeCell ref="A24:A40"/>
    <mergeCell ref="G34:G35"/>
    <mergeCell ref="G41:I41"/>
    <mergeCell ref="C41:C42"/>
    <mergeCell ref="D41:D42"/>
    <mergeCell ref="C7:C8"/>
    <mergeCell ref="G22:I22"/>
    <mergeCell ref="E22:F22"/>
    <mergeCell ref="I38:I40"/>
    <mergeCell ref="H34:H35"/>
    <mergeCell ref="A9:A21"/>
    <mergeCell ref="I19:I21"/>
    <mergeCell ref="I34:I35"/>
    <mergeCell ref="B19:F19"/>
    <mergeCell ref="B20:G20"/>
    <mergeCell ref="B21:G21"/>
    <mergeCell ref="B22:B23"/>
    <mergeCell ref="C22:C23"/>
    <mergeCell ref="D22:D23"/>
    <mergeCell ref="A22:A23"/>
    <mergeCell ref="A43:A51"/>
    <mergeCell ref="D62:D63"/>
    <mergeCell ref="E62:F62"/>
    <mergeCell ref="B50:G50"/>
    <mergeCell ref="B51:G51"/>
    <mergeCell ref="A54:A61"/>
    <mergeCell ref="A62:A63"/>
    <mergeCell ref="B62:B63"/>
    <mergeCell ref="C62:C63"/>
    <mergeCell ref="A52:A53"/>
    <mergeCell ref="A80:A87"/>
    <mergeCell ref="B75:F75"/>
    <mergeCell ref="E78:F78"/>
    <mergeCell ref="B76:G76"/>
    <mergeCell ref="B77:G77"/>
    <mergeCell ref="C78:C79"/>
    <mergeCell ref="D78:D79"/>
    <mergeCell ref="A64:A77"/>
    <mergeCell ref="G62:I62"/>
    <mergeCell ref="I59:I61"/>
    <mergeCell ref="D88:D89"/>
    <mergeCell ref="I99:I101"/>
    <mergeCell ref="I49:I51"/>
    <mergeCell ref="E52:F52"/>
    <mergeCell ref="G52:I52"/>
    <mergeCell ref="B49:F49"/>
    <mergeCell ref="B52:B53"/>
    <mergeCell ref="C52:C53"/>
    <mergeCell ref="D52:D53"/>
    <mergeCell ref="A90:A101"/>
    <mergeCell ref="I75:I77"/>
    <mergeCell ref="B85:F85"/>
    <mergeCell ref="B86:G86"/>
    <mergeCell ref="B87:G87"/>
    <mergeCell ref="I85:I87"/>
    <mergeCell ref="G78:I78"/>
    <mergeCell ref="B100:G100"/>
    <mergeCell ref="B101:G101"/>
    <mergeCell ref="B99:F99"/>
  </mergeCells>
  <printOptions/>
  <pageMargins left="0.6299212598425197" right="0.2755905511811024" top="0.9055118110236221" bottom="0.35433070866141736" header="0" footer="0"/>
  <pageSetup horizontalDpi="600" verticalDpi="600" orientation="landscape" scale="68" r:id="rId4"/>
  <headerFooter alignWithMargins="0">
    <oddFooter>&amp;ROficina de Planeación
Diciembre 31/2008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2009-03-17T21:24:45Z</cp:lastPrinted>
  <dcterms:created xsi:type="dcterms:W3CDTF">2004-04-28T15:04:46Z</dcterms:created>
  <dcterms:modified xsi:type="dcterms:W3CDTF">2009-03-17T21:24:47Z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