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467" activeTab="1"/>
  </bookViews>
  <sheets>
    <sheet name="Hoja1" sheetId="1" r:id="rId1"/>
    <sheet name="T-CAM-034" sheetId="2" r:id="rId2"/>
  </sheets>
  <definedNames>
    <definedName name="_xlnm.Print_Titles" localSheetId="1">'T-CAM-034'!$1:$8</definedName>
  </definedNames>
  <calcPr fullCalcOnLoad="1"/>
</workbook>
</file>

<file path=xl/comments1.xml><?xml version="1.0" encoding="utf-8"?>
<comments xmlns="http://schemas.openxmlformats.org/spreadsheetml/2006/main">
  <authors>
    <author>jfestupinan</author>
    <author>solidos</author>
  </authors>
  <commentList>
    <comment ref="F35" authorId="0">
      <text>
        <r>
          <rPr>
            <b/>
            <sz val="9"/>
            <rFont val="Tahoma"/>
            <family val="0"/>
          </rPr>
          <t>jfestupinan:</t>
        </r>
        <r>
          <rPr>
            <sz val="9"/>
            <rFont val="Tahoma"/>
            <family val="0"/>
          </rPr>
          <t xml:space="preserve">
NOTA: EL DILIGENCIAMIENTO DE ESTA INFORMACION SE DEBERA LLEVAR ACABO A PARTIR DEL AÑO 2008, YA QUE LA CORPORACION MEDIANTE EL ACUERDO No. 020 DEL 27 DE DICIEMBRE DE 2007, DETERMINÓ EL VALOR DE LA CARGA CONTAMINATE DE LINE A BASE Y LAS METAS DE REDUCCION GLOBALES DE DBO5 Y SST EN VERTIMIENTOS LIQUIDOS PARA EL QUINQUENIO 2007 - 2012 EN JURISDICCION DE LA CAM; RAZON POR LA CUAL NO EXISTEN DATOS AL RESPECTO EN LA CORPORACION</t>
        </r>
      </text>
    </comment>
    <comment ref="F53" authorId="0">
      <text>
        <r>
          <rPr>
            <b/>
            <sz val="9"/>
            <rFont val="Tahoma"/>
            <family val="0"/>
          </rPr>
          <t>jfestupinan:</t>
        </r>
        <r>
          <rPr>
            <sz val="9"/>
            <rFont val="Tahoma"/>
            <family val="0"/>
          </rPr>
          <t xml:space="preserve">
Municipios Capacitados en el tema de Riesgo
</t>
        </r>
      </text>
    </comment>
    <comment ref="F64" authorId="1">
      <text>
        <r>
          <rPr>
            <b/>
            <sz val="8"/>
            <rFont val="Tahoma"/>
            <family val="0"/>
          </rPr>
          <t>Jboaños: De acuerdo a lo señalado en el Decreto 4741 de 2005, no es posible el registro de generadores de RESPEL porque el MAVDT no ha expedido la resolucion para la adopcion del registro de generadores.</t>
        </r>
        <r>
          <rPr>
            <sz val="8"/>
            <rFont val="Tahoma"/>
            <family val="0"/>
          </rPr>
          <t xml:space="preserve">
</t>
        </r>
      </text>
    </comment>
  </commentList>
</comments>
</file>

<file path=xl/comments2.xml><?xml version="1.0" encoding="utf-8"?>
<comments xmlns="http://schemas.openxmlformats.org/spreadsheetml/2006/main">
  <authors>
    <author>solidos</author>
    <author>jfestupinan</author>
    <author>jvargas</author>
  </authors>
  <commentList>
    <comment ref="F64" authorId="0">
      <text>
        <r>
          <rPr>
            <sz val="11"/>
            <rFont val="Arial"/>
            <family val="2"/>
          </rPr>
          <t xml:space="preserve">De acuerdo a lo señalado en el Decreto 4741 de 2005 y la Resolución No. 1362 del 2 de Agosto de 2.007 del Ministerio de Ambiente, Vivienda y Desarrollo Territorial, reglamentan y establecen los procedimientos a seguir para registrar las personas y actividades que generan residuos o desechos peligrosos ante las autoridades ambientales. ARTÍCULO 14. Vigencia. La presente resolución entra en vigencia a partir del primero (1) de enero de 2008.
La dirección URL por la cual se van a capturar datos oficialmente a partir del 1 de Enero de 2008 es la denominada :
http://noreimako.ideam.gov.co:7782/mursmpr/index.php </t>
        </r>
      </text>
    </comment>
    <comment ref="F35" authorId="1">
      <text>
        <r>
          <rPr>
            <b/>
            <sz val="9"/>
            <rFont val="Tahoma"/>
            <family val="0"/>
          </rPr>
          <t>jfestupinan:</t>
        </r>
        <r>
          <rPr>
            <sz val="9"/>
            <rFont val="Tahoma"/>
            <family val="0"/>
          </rPr>
          <t xml:space="preserve">
NOTA: EL DILIGENCIAMIENTO DE ESTA INFORMACION SE DEBERA LLEVAR ACABO A PARTIR DEL AÑO 2008, YA QUE LA CORPORACION MEDIANTE EL ACUERDO No. 020 DEL 27 DE DICIEMBRE DE 2007, DETERMINÓ EL VALOR DE LA CARGA CONTAMINATE DE LINE A BASE Y LAS METAS DE REDUCCION GLOBALES DE DBO5 Y SST EN VERTIMIENTOS LIQUIDOS PARA EL QUINQUENIO 2007 - 2012 EN JURISDICCION DE LA CAM; RAZON POR LA CUAL NO EXISTEN DATOS AL RESPECTO EN LA CORPORACION</t>
        </r>
      </text>
    </comment>
    <comment ref="F53" authorId="1">
      <text>
        <r>
          <rPr>
            <b/>
            <sz val="9"/>
            <rFont val="Tahoma"/>
            <family val="0"/>
          </rPr>
          <t>jfestupinan:</t>
        </r>
        <r>
          <rPr>
            <sz val="9"/>
            <rFont val="Tahoma"/>
            <family val="0"/>
          </rPr>
          <t xml:space="preserve">
Municipios Capacitados en el tema de Riesgo
</t>
        </r>
      </text>
    </comment>
    <comment ref="F63" authorId="2">
      <text>
        <r>
          <rPr>
            <b/>
            <sz val="8"/>
            <rFont val="Tahoma"/>
            <family val="0"/>
          </rPr>
          <t>jvargas:</t>
        </r>
        <r>
          <rPr>
            <sz val="8"/>
            <rFont val="Tahoma"/>
            <family val="0"/>
          </rPr>
          <t xml:space="preserve">
EL MUNICIPIO DE COLOMBIA SE ENCUENTRA EN TRAMITE DE PROCESO SANCIONATORIO</t>
        </r>
      </text>
    </comment>
    <comment ref="G92" authorId="2">
      <text>
        <r>
          <rPr>
            <b/>
            <sz val="8"/>
            <rFont val="Tahoma"/>
            <family val="0"/>
          </rPr>
          <t>jvargas:</t>
        </r>
        <r>
          <rPr>
            <sz val="8"/>
            <rFont val="Tahoma"/>
            <family val="0"/>
          </rPr>
          <t xml:space="preserve">
LO PRESUPUESTADO ES </t>
        </r>
        <r>
          <rPr>
            <sz val="10"/>
            <rFont val="Tahoma"/>
            <family val="2"/>
          </rPr>
          <t>=939.032.888</t>
        </r>
      </text>
    </comment>
    <comment ref="G93" authorId="2">
      <text>
        <r>
          <rPr>
            <b/>
            <sz val="8"/>
            <rFont val="Tahoma"/>
            <family val="0"/>
          </rPr>
          <t>jvargas:</t>
        </r>
        <r>
          <rPr>
            <sz val="8"/>
            <rFont val="Tahoma"/>
            <family val="0"/>
          </rPr>
          <t xml:space="preserve">
LO PRESUPUESTADO ES </t>
        </r>
        <r>
          <rPr>
            <sz val="10"/>
            <rFont val="Tahoma"/>
            <family val="2"/>
          </rPr>
          <t>=724.342.500</t>
        </r>
      </text>
    </comment>
    <comment ref="J99" authorId="2">
      <text>
        <r>
          <rPr>
            <b/>
            <sz val="8"/>
            <rFont val="Tahoma"/>
            <family val="0"/>
          </rPr>
          <t>jvargas:
PROMEDIO FISICO</t>
        </r>
      </text>
    </comment>
  </commentList>
</comments>
</file>

<file path=xl/sharedStrings.xml><?xml version="1.0" encoding="utf-8"?>
<sst xmlns="http://schemas.openxmlformats.org/spreadsheetml/2006/main" count="477" uniqueCount="121">
  <si>
    <t>PROYECTO</t>
  </si>
  <si>
    <t>%</t>
  </si>
  <si>
    <t>INDICADORES DE GESTION</t>
  </si>
  <si>
    <t>UNIDAD DE MEDIDA</t>
  </si>
  <si>
    <t>VIGENCIA (AÑO)</t>
  </si>
  <si>
    <t>PERIODO</t>
  </si>
  <si>
    <t>METAS</t>
  </si>
  <si>
    <t>PRESUPUESTO</t>
  </si>
  <si>
    <t>PROYECTADA</t>
  </si>
  <si>
    <t>EJECUTADA</t>
  </si>
  <si>
    <t>DEFINITIVO ($)</t>
  </si>
  <si>
    <t>COMPROMETIDO ($)</t>
  </si>
  <si>
    <t>POR COMPROMETER ($)</t>
  </si>
  <si>
    <t>PRESUPUESTO APROPIADO PAT VIGENCIA 2007</t>
  </si>
  <si>
    <t>VALOR TOTAL COMPROMETIDO PAT VIGENCIA 2007</t>
  </si>
  <si>
    <t>INDICE GLOBAL DE EJECUCION FINANCIERA PAT 2007</t>
  </si>
  <si>
    <t>Versión: 1</t>
  </si>
  <si>
    <t xml:space="preserve">Código: T-CAM-034 </t>
  </si>
  <si>
    <t>Fecha: 01 Oct 06</t>
  </si>
  <si>
    <t>INFORME DE EJECUCION DEL PLAN DE ACCION TRIENAL  2007-2009</t>
  </si>
  <si>
    <t>No. de has de areas protegidas declaradas en la jurisdicción de la Corporación</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</si>
  <si>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</si>
  <si>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</si>
  <si>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</si>
  <si>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has. de ecosistemas estratégicos (Zonas Secas) con plan de manejo u ordenación en ejecución</t>
  </si>
  <si>
    <t>Diseño, ajuste y prospección del SIRAP (incluyendo SIRAP del Macizo Colombiano)</t>
  </si>
  <si>
    <t>Delimitación y gestión compartida de zonas amortiguadoras de los parques nacionales naturales Puracé, Nevado del Huila y Cueva de los Guacharros</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</si>
  <si>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</si>
  <si>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</si>
  <si>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</si>
  <si>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</si>
  <si>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</si>
  <si>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</si>
  <si>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</si>
  <si>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P1: Planeación y Gestión de Areas Protegidas para la Conservación y Aprovechamiento Sostenible de la Biodiversidad y los Bienes y Servicios Ambientales</t>
  </si>
  <si>
    <t>No. de cuencas con POMCA formulados</t>
  </si>
  <si>
    <t>No. de cuencas con  POMCA en ejecución</t>
  </si>
  <si>
    <t>Plan general de ordenación forestal en la jurisdicción de la CAM formulado</t>
  </si>
  <si>
    <t>Formulación de plan de manejo ambiental de la reserva forestal central y de la amazonia (Ley 2 de 1959)</t>
  </si>
  <si>
    <t>No. de has. revegetalizadas naturalmente para la protección de cuencas abastecedoras</t>
  </si>
  <si>
    <t>No. has. reforestadas  para la protección de cuencas abastecedoras</t>
  </si>
  <si>
    <t>No. has. reforestadas  para la protección de cuencas abastecedoras, en mantenimiento</t>
  </si>
  <si>
    <t>Programa de reforestación, manejo integrado del cultivo y aprovechamiento de la guadua</t>
  </si>
  <si>
    <t>Cuenca o tramo de cuenca con monitoreo de calidad y cantidad del recurso hídrico en el alto magdalena</t>
  </si>
  <si>
    <t>No. corrientes hidricas reglamentadas por la CAM, con relación a las cuencas priorizadas</t>
  </si>
  <si>
    <t>Cuenca</t>
  </si>
  <si>
    <t>Plan</t>
  </si>
  <si>
    <t>Ha</t>
  </si>
  <si>
    <t>Cuenca o Tramo</t>
  </si>
  <si>
    <t>Corriente</t>
  </si>
  <si>
    <t>Porcentaje</t>
  </si>
  <si>
    <t>P2: Planificación y Gestión Integral del Recurso Hídrico</t>
  </si>
  <si>
    <t>Proyectos piloto de la producción más limpia de sectores productivos, acompañados por la Corporación</t>
  </si>
  <si>
    <t>Cumplimiento promedio de los compromisos definidos en los convenios de producción más limpia y/o agendas ambientales suscritos por la Corporación con sectores productivos</t>
  </si>
  <si>
    <t>Mipymes y empresas de base comunitaria vinculadas a Mercados Verdes acompañados por la CAM</t>
  </si>
  <si>
    <t>Establecimiento de plantaciones forestales comerciales a través de la Empresa Forestal del Huila</t>
  </si>
  <si>
    <t>Proyecto</t>
  </si>
  <si>
    <t>Empresa acompañada</t>
  </si>
  <si>
    <t>P3: Promoción y Apoyo a Procesos Competitivos Sostenibles y Aprovechamiento de la Oferta Natural de la Región.</t>
  </si>
  <si>
    <t>No. de municipios con inclusión del riesgo en sus POT a partir de los determinantes ambientales generados por la CAM</t>
  </si>
  <si>
    <t>No. de municipios asesorados por la CAM en formulación de planes de prevención y mitigación de desastres naturales</t>
  </si>
  <si>
    <t>Programa piloto de mejoramiento de la calidad y cantidad del espacio público</t>
  </si>
  <si>
    <t>Planificación ambiental y ordenamiento territorial de resguardos indigenas</t>
  </si>
  <si>
    <t>Municipio</t>
  </si>
  <si>
    <t>Resguardo Indigena</t>
  </si>
  <si>
    <t>P4: Estrategia Gestión Integral del Territorio Rural y Urbano</t>
  </si>
  <si>
    <t>Municipios con acceso a sitios de disposición final de residuos sólidos tecnicamente adecuados y autorizados por la CAR (rellenos sanitarios, celdas transitorias) con referencia al total de municipios de la jurisdicción (cabeceras municipales)</t>
  </si>
  <si>
    <t>Número de registros de generadores  de residuos o desechos peligrosos en la jurisdicción de la CAM</t>
  </si>
  <si>
    <t>Cumplimiento promedio de los compromisos establecidos en los PGIRS de la jurisdicción de la CAM</t>
  </si>
  <si>
    <t>Planes de saneamiento y manejo de vertimientos PSMV- en seguimiento por parte de la CAM con referencia al numero de cabeceras municipales de su jurisdicción</t>
  </si>
  <si>
    <t>Registro de la calidad del aire en centro poblados mayores de 100.000 habitantes y corredores industriales, determinado en redes de monitoreo acompañadas por la Corporación</t>
  </si>
  <si>
    <t>Cantidad de proyectos con seguimiento (licencias ambientales, concesiones de agua, aprovechamiento forestal, emisiones atmosfericas, permisos de vertimientos) con referencia a la totalidad de proyectos activos con licencias, permisos y/o autorizaciones otorgadas por la CAM</t>
  </si>
  <si>
    <t>Fortalecimiento del seguimiento, monitoreo y control del agua en corrientes de alto conflicto y legalización del uso del recurso en grandes cantidades</t>
  </si>
  <si>
    <t>Fortalecimiento de las redes territoriales para prevención y atención de incendios forestales</t>
  </si>
  <si>
    <t>Fortalecimiento y focalización de las acciones de la red de control de aprovechamiento y trafico ilegal de vida silvestre hacía las áreas del SIRAP</t>
  </si>
  <si>
    <t>Seguimiento, monitoreo y control a medidas de compensación impuestas por contravenciones ambientales</t>
  </si>
  <si>
    <t>Red acompañada</t>
  </si>
  <si>
    <t>Fuente hídrica</t>
  </si>
  <si>
    <t xml:space="preserve">Red </t>
  </si>
  <si>
    <t>Red</t>
  </si>
  <si>
    <t>P5: Estrategia Autoridad Ambiental Integral, Oportuna y Efectiva</t>
  </si>
  <si>
    <t>Diseño e implementación de estrategias de comunicación y educación ambiental, con énfasis en uso y aprovechamiento sostenible de los recursos naturales renovables</t>
  </si>
  <si>
    <t>Programa ambiental educativo y de fortalecimiento de la presencia institucional  en zonas de alto conflicto ambiental, articulada con las ONGS Ambientales y los promotores ambientales comunitarios del área respectiva</t>
  </si>
  <si>
    <t xml:space="preserve">Fortalecimento de la dimensión ambiental en los procesos de educación formal a través de estrategias como escuela viva, escuela viajera, colegios agropecuarios y ondas educativas entre otras </t>
  </si>
  <si>
    <t>Conformación y/o fortalecimiento de los CIDEA del Huila, de la Tatacoa y del Macizo Colombiano</t>
  </si>
  <si>
    <t>Personas informadas</t>
  </si>
  <si>
    <t>Personas capacitadas</t>
  </si>
  <si>
    <t>Estudiantes</t>
  </si>
  <si>
    <t>CIDEA</t>
  </si>
  <si>
    <t>P6:  Estrategia Educación y Comunicación para la Participación Ciudadana y Comunitaria en la Gestión Ambiental</t>
  </si>
  <si>
    <t>Modernización informatica a partir de la implementación del PETI</t>
  </si>
  <si>
    <t>Programa de mejoramiento de las condiciones necesarias para un óptimo desempeño y rendimiento de los servidores públicos</t>
  </si>
  <si>
    <t>Consolidación SGC bajo la norma NTCGP:1000 en coordinación con MECI</t>
  </si>
  <si>
    <t>Total de recursos recaudados con referencia al total de recursos facturado por concepto de tasa retributiva</t>
  </si>
  <si>
    <t>Total de recursos recaudado con referencia al total de recursos facturado por concepto de tasa de uso del agua</t>
  </si>
  <si>
    <t>Tiempo promedio de trámite para la evaluación de las licencias ambientales, permisos y autorizaciones otorgadas por la CAM</t>
  </si>
  <si>
    <t>Apoyo a la organización y reallización de encuentros nacionales y regionales de actores del SINA, para el intercambio de experiencias y el fortalecimiento institucional</t>
  </si>
  <si>
    <t>% PETI</t>
  </si>
  <si>
    <t>Indice de satisfacción del personal</t>
  </si>
  <si>
    <t>% avance</t>
  </si>
  <si>
    <t>Días</t>
  </si>
  <si>
    <t>Evento</t>
  </si>
  <si>
    <t>P7: Estrategia Fortalecimiento Institucional e Implementación del Sistema de Gestión de Calidad</t>
  </si>
  <si>
    <t>Cumplimiento promedio de metas de reducción de carga contaminante, en aplicación de la tasa retributiva, en las cuencas o tramos de cuencas de la jurisdicción de la Corporación (DBO)</t>
  </si>
  <si>
    <t>Cumplimiento promedio de metas de reducción de carga contaminante, en aplicación de la tasa retributiva, en las cuencas o tramos de cuencas de la jurisdicción de la Corporación (SST)</t>
  </si>
  <si>
    <t>Gastos administrativos y operativos del proyecto</t>
  </si>
  <si>
    <t>Global</t>
  </si>
  <si>
    <t>Cofinanciación de proyectos de construcción de sistemas de tratamiento de aguas residuales urbanas, de acuerdo con la reglamentación del Fondo Regional de Inversión para la Descontaminación Hídrica.</t>
  </si>
  <si>
    <t>N.R.</t>
  </si>
  <si>
    <t>A Junio 30</t>
  </si>
  <si>
    <t>VIATICOS</t>
  </si>
  <si>
    <t>TIQUETES AEREOS</t>
  </si>
  <si>
    <t>VALOR PROIN?</t>
  </si>
  <si>
    <t>FERRETERIA?</t>
  </si>
  <si>
    <t>SUBVENCION TRANSPORTE</t>
  </si>
  <si>
    <t>No. de has de reserva de la sociedad civil registradas y/o apoyadas</t>
  </si>
  <si>
    <t>No. de Acciones</t>
  </si>
  <si>
    <t>Fecha: 01 Oct 07</t>
  </si>
  <si>
    <t>PRESUPUESTO APROPIADO PAT VIGENCIA 2008</t>
  </si>
  <si>
    <t>VALOR TOTAL COMPROMETIDO PAT VIGENCIA 2008</t>
  </si>
  <si>
    <t>INDICE GLOBAL DE EJECUCION FINANCIERA PAT 2008</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</si>
</sst>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0.000"/>
    <numFmt numFmtId="196" formatCode="0.0000"/>
    <numFmt numFmtId="197" formatCode="#,##0.0000000000"/>
    <numFmt numFmtId="198" formatCode="0.0"/>
    <numFmt numFmtId="199" formatCode="0.000"/>
    <numFmt numFmtId="200" formatCode="_(* #,##0_);_(* \(#,##0\);_(* &quot;-&quot;??_);_(@_)"/>
    <numFmt numFmtId="201" formatCode="_ * #,##0_ ;_ * \-#,##0_ ;_ * &quot;-&quot;??_ ;_ @_ "/>
    <numFmt numFmtId="202" formatCode="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Red]#,##0"/>
    <numFmt numFmtId="208" formatCode="&quot;$&quot;\ #,##0;[Red]&quot;$&quot;\ #,##0"/>
  </numFmts>
  <fonts count="40">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2"/>
    </font>
    <font>
      <b/>
      <sz val="10"/>
      <name val="Arial"/>
      <family val="2"/>
    </font>
    <font>
      <b/>
      <sz val="8"/>
      <name val="Tahoma"/>
      <family val="0"/>
    </font>
    <font>
      <b/>
      <sz val="11"/>
      <name val="Arial"/>
      <family val="2"/>
    </font>
    <font>
      <b/>
      <sz val="16"/>
      <name val="Arial"/>
      <family val="2"/>
    </font>
    <font>
      <sz val="13"/>
      <name val="Arial"/>
      <family val="2"/>
    </font>
    <font>
      <b/>
      <sz val="14"/>
      <name val="Tahoma"/>
      <family val="2"/>
    </font>
    <font>
      <b/>
      <sz val="14"/>
      <name val="Arial"/>
      <family val="2"/>
    </font>
    <font>
      <sz val="14"/>
      <name val="Arial"/>
      <family val="2"/>
    </font>
    <font>
      <sz val="11"/>
      <name val="Arial"/>
      <family val="2"/>
    </font>
    <font>
      <sz val="12"/>
      <name val="Arial"/>
      <family val="2"/>
    </font>
    <font>
      <sz val="8"/>
      <name val="Tahoma"/>
      <family val="0"/>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0"/>
    </font>
    <font>
      <sz val="10"/>
      <name val="Tahoma"/>
      <family val="2"/>
    </font>
    <font>
      <sz val="11"/>
      <color indexed="1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style="mediu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style="medium"/>
      <bottom>
        <color indexed="63"/>
      </bottom>
    </border>
    <border>
      <left style="thin"/>
      <right style="medium"/>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2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61">
    <xf numFmtId="0" fontId="0" fillId="0" borderId="0" xfId="0" applyAlignment="1">
      <alignment/>
    </xf>
    <xf numFmtId="0" fontId="5" fillId="24" borderId="0" xfId="0" applyFont="1" applyFill="1" applyAlignment="1">
      <alignment vertical="center" wrapText="1"/>
    </xf>
    <xf numFmtId="0" fontId="5" fillId="0" borderId="10" xfId="0" applyFont="1" applyFill="1" applyBorder="1" applyAlignment="1">
      <alignment horizontal="left" vertical="center" wrapText="1"/>
    </xf>
    <xf numFmtId="0" fontId="5" fillId="24" borderId="0" xfId="0" applyFont="1" applyFill="1" applyAlignment="1">
      <alignment horizontal="center" vertical="center" wrapText="1"/>
    </xf>
    <xf numFmtId="0" fontId="5" fillId="0" borderId="0" xfId="0" applyFont="1" applyFill="1" applyAlignment="1">
      <alignment vertical="center" wrapText="1"/>
    </xf>
    <xf numFmtId="0" fontId="5" fillId="0" borderId="10" xfId="0" applyFont="1" applyFill="1" applyBorder="1" applyAlignment="1">
      <alignment vertical="center" wrapText="1"/>
    </xf>
    <xf numFmtId="0" fontId="12" fillId="16"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0" fillId="0" borderId="10" xfId="0"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0" fontId="0" fillId="0" borderId="10" xfId="0" applyFill="1" applyBorder="1" applyAlignment="1">
      <alignment vertical="center" wrapText="1"/>
    </xf>
    <xf numFmtId="0" fontId="8" fillId="0" borderId="0" xfId="0" applyFont="1" applyFill="1" applyAlignment="1">
      <alignment vertical="center" wrapText="1"/>
    </xf>
    <xf numFmtId="3" fontId="15" fillId="24" borderId="0" xfId="0" applyNumberFormat="1" applyFont="1" applyFill="1" applyAlignment="1">
      <alignment vertical="center" wrapText="1"/>
    </xf>
    <xf numFmtId="3" fontId="5" fillId="24" borderId="0" xfId="0" applyNumberFormat="1" applyFont="1" applyFill="1" applyAlignment="1">
      <alignment vertical="center" wrapText="1"/>
    </xf>
    <xf numFmtId="0" fontId="14" fillId="24" borderId="0" xfId="0" applyFont="1" applyFill="1" applyAlignment="1">
      <alignment horizontal="center" vertical="center" wrapText="1"/>
    </xf>
    <xf numFmtId="4" fontId="14" fillId="24" borderId="0" xfId="0" applyNumberFormat="1" applyFont="1" applyFill="1" applyAlignment="1">
      <alignment horizontal="right" vertical="center" wrapText="1"/>
    </xf>
    <xf numFmtId="3" fontId="6" fillId="16" borderId="12" xfId="0" applyNumberFormat="1" applyFont="1" applyFill="1" applyBorder="1" applyAlignment="1">
      <alignment horizontal="center" vertical="center" wrapText="1"/>
    </xf>
    <xf numFmtId="4" fontId="14" fillId="0" borderId="13" xfId="0" applyNumberFormat="1" applyFont="1" applyFill="1" applyBorder="1" applyAlignment="1">
      <alignment horizontal="right" vertical="center" wrapText="1"/>
    </xf>
    <xf numFmtId="0" fontId="10" fillId="16" borderId="14" xfId="0" applyFont="1" applyFill="1" applyBorder="1" applyAlignment="1">
      <alignment vertical="center" wrapText="1"/>
    </xf>
    <xf numFmtId="0" fontId="10" fillId="16" borderId="15" xfId="0" applyFont="1" applyFill="1" applyBorder="1" applyAlignment="1">
      <alignment vertical="center" wrapText="1"/>
    </xf>
    <xf numFmtId="0" fontId="10" fillId="16" borderId="16" xfId="0" applyFont="1" applyFill="1" applyBorder="1" applyAlignment="1">
      <alignment vertical="center" wrapText="1"/>
    </xf>
    <xf numFmtId="0" fontId="5" fillId="3" borderId="17" xfId="0" applyFont="1" applyFill="1" applyBorder="1" applyAlignment="1">
      <alignment vertical="center" wrapText="1"/>
    </xf>
    <xf numFmtId="0" fontId="5" fillId="0" borderId="18" xfId="0" applyFont="1" applyFill="1" applyBorder="1" applyAlignment="1">
      <alignment vertical="center" wrapTex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0" fontId="6" fillId="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202" fontId="8" fillId="0" borderId="13"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4" fontId="6" fillId="16" borderId="12" xfId="0" applyNumberFormat="1" applyFont="1" applyFill="1" applyBorder="1" applyAlignment="1">
      <alignment horizontal="center" vertical="center" wrapText="1"/>
    </xf>
    <xf numFmtId="4" fontId="6" fillId="16" borderId="2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4" fillId="24" borderId="10" xfId="0" applyFont="1" applyFill="1" applyBorder="1" applyAlignment="1">
      <alignment horizontal="center" vertical="center" wrapText="1"/>
    </xf>
    <xf numFmtId="0" fontId="5" fillId="0" borderId="19" xfId="0" applyFont="1" applyFill="1" applyBorder="1" applyAlignment="1">
      <alignment vertical="center" wrapText="1"/>
    </xf>
    <xf numFmtId="202" fontId="8" fillId="0" borderId="21" xfId="0" applyNumberFormat="1" applyFont="1" applyFill="1" applyBorder="1" applyAlignment="1">
      <alignment horizontal="right" vertical="center" wrapText="1"/>
    </xf>
    <xf numFmtId="202" fontId="8" fillId="0" borderId="10" xfId="0" applyNumberFormat="1" applyFont="1" applyFill="1" applyBorder="1" applyAlignment="1">
      <alignment horizontal="right" vertical="center" wrapText="1"/>
    </xf>
    <xf numFmtId="0" fontId="0" fillId="0" borderId="22" xfId="0" applyFill="1" applyBorder="1" applyAlignment="1">
      <alignment vertical="center" wrapText="1"/>
    </xf>
    <xf numFmtId="3" fontId="0" fillId="0" borderId="0" xfId="0" applyNumberFormat="1" applyAlignment="1">
      <alignment/>
    </xf>
    <xf numFmtId="3" fontId="13" fillId="0" borderId="0" xfId="0" applyNumberFormat="1" applyFont="1" applyFill="1" applyAlignment="1">
      <alignment horizontal="center" vertical="center" wrapText="1"/>
    </xf>
    <xf numFmtId="3" fontId="13" fillId="0" borderId="0" xfId="0" applyNumberFormat="1" applyFont="1" applyFill="1" applyAlignment="1">
      <alignment vertical="center" wrapText="1"/>
    </xf>
    <xf numFmtId="3" fontId="5" fillId="0" borderId="0" xfId="0" applyNumberFormat="1" applyFont="1" applyFill="1" applyAlignment="1">
      <alignment vertical="center" wrapText="1"/>
    </xf>
    <xf numFmtId="3" fontId="8" fillId="0" borderId="0" xfId="0" applyNumberFormat="1" applyFont="1" applyFill="1" applyAlignment="1">
      <alignment vertical="center" wrapText="1"/>
    </xf>
    <xf numFmtId="3" fontId="14" fillId="0" borderId="10"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10" xfId="0" applyNumberFormat="1" applyFont="1" applyFill="1" applyBorder="1" applyAlignment="1">
      <alignment vertical="center" wrapText="1"/>
    </xf>
    <xf numFmtId="3" fontId="14" fillId="0" borderId="24"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center" vertical="center" wrapText="1"/>
    </xf>
    <xf numFmtId="207"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3" fontId="14" fillId="0" borderId="25" xfId="0" applyNumberFormat="1" applyFont="1" applyFill="1" applyBorder="1" applyAlignment="1">
      <alignment horizontal="right" vertical="center" wrapText="1"/>
    </xf>
    <xf numFmtId="3" fontId="14" fillId="0" borderId="26" xfId="0" applyNumberFormat="1" applyFont="1" applyFill="1" applyBorder="1" applyAlignment="1">
      <alignment horizontal="right" vertical="center" wrapText="1"/>
    </xf>
    <xf numFmtId="3" fontId="14" fillId="0" borderId="27" xfId="0" applyNumberFormat="1" applyFont="1" applyFill="1" applyBorder="1" applyAlignment="1">
      <alignment horizontal="right" vertical="center" wrapText="1"/>
    </xf>
    <xf numFmtId="10" fontId="5" fillId="0" borderId="0" xfId="0" applyNumberFormat="1" applyFont="1" applyFill="1" applyAlignment="1">
      <alignment vertical="center" wrapText="1"/>
    </xf>
    <xf numFmtId="9" fontId="14" fillId="0" borderId="10" xfId="0" applyNumberFormat="1" applyFont="1" applyFill="1" applyBorder="1" applyAlignment="1">
      <alignment horizontal="center" vertical="center" wrapText="1"/>
    </xf>
    <xf numFmtId="3" fontId="14" fillId="19" borderId="10" xfId="0" applyNumberFormat="1" applyFont="1" applyFill="1" applyBorder="1" applyAlignment="1">
      <alignment horizontal="right" vertical="center" wrapText="1"/>
    </xf>
    <xf numFmtId="3" fontId="14" fillId="25" borderId="10" xfId="0" applyNumberFormat="1" applyFont="1" applyFill="1" applyBorder="1" applyAlignment="1">
      <alignment/>
    </xf>
    <xf numFmtId="3" fontId="14" fillId="4" borderId="10" xfId="0" applyNumberFormat="1" applyFont="1" applyFill="1" applyBorder="1" applyAlignment="1">
      <alignment/>
    </xf>
    <xf numFmtId="3" fontId="8" fillId="25" borderId="10" xfId="0" applyNumberFormat="1" applyFont="1" applyFill="1" applyBorder="1" applyAlignment="1">
      <alignment horizontal="center" vertical="center" wrapText="1"/>
    </xf>
    <xf numFmtId="3" fontId="8" fillId="4" borderId="10" xfId="0" applyNumberFormat="1" applyFont="1" applyFill="1" applyBorder="1" applyAlignment="1">
      <alignment horizontal="center" vertical="center" wrapText="1"/>
    </xf>
    <xf numFmtId="3" fontId="14" fillId="25" borderId="10" xfId="0" applyNumberFormat="1" applyFont="1" applyFill="1" applyBorder="1" applyAlignment="1">
      <alignment vertical="center" wrapText="1"/>
    </xf>
    <xf numFmtId="3" fontId="14" fillId="4" borderId="10" xfId="0" applyNumberFormat="1" applyFont="1" applyFill="1" applyBorder="1" applyAlignment="1">
      <alignment vertical="center" wrapText="1"/>
    </xf>
    <xf numFmtId="3" fontId="8" fillId="19" borderId="10" xfId="0" applyNumberFormat="1" applyFont="1" applyFill="1" applyBorder="1" applyAlignment="1">
      <alignment vertical="center" wrapText="1"/>
    </xf>
    <xf numFmtId="3" fontId="14" fillId="19" borderId="10" xfId="0" applyNumberFormat="1" applyFont="1" applyFill="1" applyBorder="1" applyAlignment="1">
      <alignment vertical="center" wrapText="1"/>
    </xf>
    <xf numFmtId="3" fontId="8" fillId="4" borderId="10" xfId="0" applyNumberFormat="1" applyFont="1" applyFill="1" applyBorder="1" applyAlignment="1">
      <alignment vertical="center" wrapText="1"/>
    </xf>
    <xf numFmtId="3" fontId="14" fillId="11" borderId="10" xfId="0" applyNumberFormat="1" applyFont="1" applyFill="1" applyBorder="1" applyAlignment="1">
      <alignment vertical="center" wrapText="1"/>
    </xf>
    <xf numFmtId="3" fontId="14" fillId="22" borderId="10" xfId="0" applyNumberFormat="1" applyFont="1" applyFill="1" applyBorder="1" applyAlignment="1">
      <alignment/>
    </xf>
    <xf numFmtId="3" fontId="14" fillId="22" borderId="10" xfId="0" applyNumberFormat="1" applyFont="1" applyFill="1" applyBorder="1" applyAlignment="1">
      <alignment vertical="center" wrapText="1"/>
    </xf>
    <xf numFmtId="3" fontId="14" fillId="22" borderId="10" xfId="0" applyNumberFormat="1" applyFont="1" applyFill="1" applyBorder="1" applyAlignment="1">
      <alignment horizontal="center" vertical="center" wrapText="1"/>
    </xf>
    <xf numFmtId="3" fontId="8" fillId="22" borderId="10" xfId="0" applyNumberFormat="1" applyFont="1" applyFill="1" applyBorder="1" applyAlignment="1">
      <alignment vertical="center" wrapText="1"/>
    </xf>
    <xf numFmtId="3" fontId="8" fillId="19" borderId="10" xfId="0" applyNumberFormat="1" applyFont="1" applyFill="1" applyBorder="1" applyAlignment="1">
      <alignment vertical="center" wrapText="1"/>
    </xf>
    <xf numFmtId="3" fontId="15" fillId="0" borderId="0" xfId="0" applyNumberFormat="1" applyFont="1" applyFill="1" applyAlignment="1">
      <alignment vertical="center" wrapText="1"/>
    </xf>
    <xf numFmtId="3" fontId="15" fillId="24" borderId="0" xfId="0" applyNumberFormat="1" applyFont="1" applyFill="1" applyAlignment="1">
      <alignment vertical="center" wrapText="1"/>
    </xf>
    <xf numFmtId="3" fontId="15" fillId="0" borderId="0" xfId="0" applyNumberFormat="1" applyFont="1" applyAlignment="1">
      <alignment/>
    </xf>
    <xf numFmtId="3" fontId="15" fillId="0" borderId="0" xfId="0" applyNumberFormat="1" applyFont="1" applyFill="1" applyAlignment="1">
      <alignment horizontal="center" vertical="center" wrapText="1"/>
    </xf>
    <xf numFmtId="3" fontId="15" fillId="19" borderId="0" xfId="0" applyNumberFormat="1" applyFont="1" applyFill="1" applyAlignment="1">
      <alignment vertical="center" wrapText="1"/>
    </xf>
    <xf numFmtId="3" fontId="36" fillId="0" borderId="0" xfId="0" applyNumberFormat="1" applyFont="1" applyFill="1" applyAlignment="1">
      <alignment vertical="center" wrapText="1"/>
    </xf>
    <xf numFmtId="0" fontId="5" fillId="8" borderId="18" xfId="0" applyFont="1" applyFill="1" applyBorder="1" applyAlignment="1">
      <alignment vertical="center" wrapText="1"/>
    </xf>
    <xf numFmtId="3" fontId="14" fillId="8" borderId="10" xfId="0" applyNumberFormat="1" applyFont="1" applyFill="1" applyBorder="1" applyAlignment="1">
      <alignment horizontal="center" vertical="center" wrapText="1"/>
    </xf>
    <xf numFmtId="0" fontId="14" fillId="8" borderId="10" xfId="0" applyFont="1" applyFill="1" applyBorder="1" applyAlignment="1">
      <alignment horizontal="center" vertical="center" wrapText="1"/>
    </xf>
    <xf numFmtId="0" fontId="0" fillId="8" borderId="10" xfId="0" applyFill="1" applyBorder="1" applyAlignment="1">
      <alignment horizontal="center" vertical="center" wrapText="1"/>
    </xf>
    <xf numFmtId="3" fontId="14" fillId="25" borderId="10" xfId="0" applyNumberFormat="1" applyFont="1" applyFill="1" applyBorder="1" applyAlignment="1">
      <alignment horizontal="center" vertical="center" wrapText="1"/>
    </xf>
    <xf numFmtId="9" fontId="14" fillId="25" borderId="10" xfId="0" applyNumberFormat="1" applyFont="1" applyFill="1" applyBorder="1" applyAlignment="1">
      <alignment horizontal="center" vertical="center" wrapText="1"/>
    </xf>
    <xf numFmtId="194" fontId="14" fillId="25" borderId="10" xfId="0" applyNumberFormat="1" applyFont="1" applyFill="1" applyBorder="1" applyAlignment="1">
      <alignment horizontal="center" vertical="center" wrapText="1"/>
    </xf>
    <xf numFmtId="3" fontId="36" fillId="0" borderId="0" xfId="0" applyNumberFormat="1" applyFont="1" applyFill="1" applyAlignment="1">
      <alignment vertical="center" wrapText="1"/>
    </xf>
    <xf numFmtId="3" fontId="38" fillId="25" borderId="10" xfId="0" applyNumberFormat="1" applyFont="1" applyFill="1" applyBorder="1" applyAlignment="1">
      <alignment vertical="center" wrapText="1"/>
    </xf>
    <xf numFmtId="3" fontId="36" fillId="0" borderId="0" xfId="0" applyNumberFormat="1" applyFont="1" applyFill="1" applyBorder="1" applyAlignment="1">
      <alignment horizontal="right" vertical="center" wrapText="1"/>
    </xf>
    <xf numFmtId="3" fontId="36" fillId="0" borderId="0" xfId="0" applyNumberFormat="1" applyFont="1" applyFill="1" applyBorder="1" applyAlignment="1">
      <alignment vertical="center" wrapText="1"/>
    </xf>
    <xf numFmtId="3" fontId="15" fillId="0" borderId="0" xfId="0" applyNumberFormat="1" applyFont="1" applyFill="1" applyBorder="1" applyAlignment="1">
      <alignment vertical="center" wrapText="1"/>
    </xf>
    <xf numFmtId="4"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0" fillId="0" borderId="13" xfId="0" applyBorder="1" applyAlignment="1">
      <alignment horizontal="center" vertical="center" wrapText="1"/>
    </xf>
    <xf numFmtId="3" fontId="14" fillId="24" borderId="10" xfId="0" applyNumberFormat="1" applyFont="1" applyFill="1" applyBorder="1" applyAlignment="1">
      <alignment horizontal="right" vertical="center" wrapText="1"/>
    </xf>
    <xf numFmtId="3" fontId="15" fillId="11" borderId="0" xfId="0" applyNumberFormat="1" applyFont="1" applyFill="1" applyAlignment="1">
      <alignment vertical="center" wrapText="1"/>
    </xf>
    <xf numFmtId="4" fontId="14" fillId="0" borderId="10" xfId="0" applyNumberFormat="1" applyFont="1" applyFill="1" applyBorder="1" applyAlignment="1">
      <alignment horizontal="center" vertical="center" wrapText="1"/>
    </xf>
    <xf numFmtId="0" fontId="12" fillId="16" borderId="28" xfId="0" applyFont="1" applyFill="1" applyBorder="1" applyAlignment="1">
      <alignment horizontal="left" vertical="justify" wrapText="1"/>
    </xf>
    <xf numFmtId="0" fontId="12" fillId="16" borderId="13" xfId="0" applyFont="1" applyFill="1" applyBorder="1" applyAlignment="1">
      <alignment horizontal="left" vertical="justify" wrapText="1"/>
    </xf>
    <xf numFmtId="0" fontId="12" fillId="16" borderId="19" xfId="0" applyFont="1" applyFill="1" applyBorder="1" applyAlignment="1">
      <alignment horizontal="left" vertical="justify" wrapText="1"/>
    </xf>
    <xf numFmtId="3" fontId="8" fillId="0" borderId="10" xfId="0" applyNumberFormat="1" applyFont="1" applyFill="1" applyBorder="1" applyAlignment="1">
      <alignment horizontal="right" vertical="center" wrapText="1"/>
    </xf>
    <xf numFmtId="0" fontId="12" fillId="16" borderId="29" xfId="0" applyFont="1" applyFill="1" applyBorder="1" applyAlignment="1">
      <alignment horizontal="left" vertical="justify" wrapText="1"/>
    </xf>
    <xf numFmtId="0" fontId="12" fillId="16" borderId="10" xfId="0" applyFont="1" applyFill="1" applyBorder="1" applyAlignment="1">
      <alignment horizontal="left" vertical="justify" wrapText="1"/>
    </xf>
    <xf numFmtId="0" fontId="12" fillId="16" borderId="18" xfId="0" applyFont="1" applyFill="1" applyBorder="1" applyAlignment="1">
      <alignment horizontal="left" vertical="justify" wrapText="1"/>
    </xf>
    <xf numFmtId="0" fontId="12" fillId="16" borderId="30" xfId="0" applyFont="1" applyFill="1" applyBorder="1" applyAlignment="1">
      <alignment horizontal="left" vertical="center" wrapText="1"/>
    </xf>
    <xf numFmtId="0" fontId="12" fillId="16" borderId="12" xfId="0" applyFont="1" applyFill="1" applyBorder="1" applyAlignment="1">
      <alignment horizontal="left" vertical="center" wrapText="1"/>
    </xf>
    <xf numFmtId="0" fontId="12" fillId="16" borderId="31" xfId="0" applyFont="1" applyFill="1" applyBorder="1" applyAlignment="1">
      <alignment horizontal="left" vertical="center" wrapText="1"/>
    </xf>
    <xf numFmtId="0" fontId="6" fillId="16" borderId="32" xfId="0" applyFont="1" applyFill="1" applyBorder="1" applyAlignment="1">
      <alignment horizontal="center" vertical="center" wrapText="1"/>
    </xf>
    <xf numFmtId="4" fontId="6" fillId="16" borderId="32" xfId="0" applyNumberFormat="1" applyFont="1" applyFill="1" applyBorder="1" applyAlignment="1">
      <alignment horizontal="center" vertical="center" wrapText="1"/>
    </xf>
    <xf numFmtId="4" fontId="6" fillId="16" borderId="33"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7" xfId="0" applyFont="1" applyFill="1" applyBorder="1" applyAlignment="1">
      <alignment horizontal="left" vertical="center" wrapText="1"/>
    </xf>
    <xf numFmtId="3" fontId="8" fillId="0" borderId="38" xfId="0" applyNumberFormat="1" applyFont="1" applyFill="1" applyBorder="1" applyAlignment="1">
      <alignment horizontal="right" vertical="center" wrapText="1"/>
    </xf>
    <xf numFmtId="3" fontId="8" fillId="0" borderId="21" xfId="0" applyNumberFormat="1"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0" fontId="6" fillId="16" borderId="28"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16" borderId="38" xfId="0" applyFont="1" applyFill="1" applyBorder="1" applyAlignment="1">
      <alignment horizontal="center" vertical="center" wrapText="1"/>
    </xf>
    <xf numFmtId="3" fontId="8" fillId="0" borderId="26" xfId="0" applyNumberFormat="1" applyFont="1" applyFill="1" applyBorder="1" applyAlignment="1">
      <alignment horizontal="right" vertical="center" wrapText="1"/>
    </xf>
    <xf numFmtId="3" fontId="8" fillId="0" borderId="25" xfId="0" applyNumberFormat="1" applyFont="1" applyFill="1" applyBorder="1" applyAlignment="1">
      <alignment horizontal="right" vertical="center" wrapText="1"/>
    </xf>
    <xf numFmtId="3" fontId="8" fillId="0" borderId="23" xfId="0" applyNumberFormat="1" applyFont="1" applyFill="1" applyBorder="1" applyAlignment="1">
      <alignment horizontal="right" vertical="center"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3" fontId="4" fillId="0" borderId="18" xfId="0" applyNumberFormat="1"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3" fontId="4" fillId="0" borderId="37" xfId="0" applyNumberFormat="1" applyFont="1" applyFill="1" applyBorder="1" applyAlignment="1">
      <alignment horizontal="left" vertical="center" wrapText="1"/>
    </xf>
    <xf numFmtId="3" fontId="8" fillId="0" borderId="40" xfId="0" applyNumberFormat="1" applyFont="1" applyFill="1" applyBorder="1" applyAlignment="1">
      <alignment horizontal="right" vertical="center" wrapText="1"/>
    </xf>
    <xf numFmtId="0" fontId="4" fillId="0" borderId="41" xfId="0" applyFont="1" applyFill="1" applyBorder="1" applyAlignment="1">
      <alignment horizontal="center" vertical="top" wrapText="1"/>
    </xf>
    <xf numFmtId="3" fontId="14" fillId="0" borderId="38"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26"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0" fontId="5" fillId="24" borderId="42" xfId="0" applyFont="1" applyFill="1" applyBorder="1" applyAlignment="1">
      <alignment horizontal="center" vertical="center" wrapText="1"/>
    </xf>
    <xf numFmtId="0" fontId="5" fillId="24" borderId="4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44" xfId="0" applyFont="1" applyFill="1" applyBorder="1" applyAlignment="1">
      <alignment horizontal="center" vertical="center" wrapText="1"/>
    </xf>
    <xf numFmtId="0" fontId="9" fillId="16" borderId="45"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16" borderId="46" xfId="0" applyFont="1" applyFill="1" applyBorder="1" applyAlignment="1">
      <alignment horizontal="center" vertical="center" wrapText="1"/>
    </xf>
    <xf numFmtId="0" fontId="9" fillId="16" borderId="47" xfId="0" applyFont="1" applyFill="1" applyBorder="1" applyAlignment="1">
      <alignment horizontal="center" vertical="center" wrapText="1"/>
    </xf>
    <xf numFmtId="0" fontId="9" fillId="16" borderId="48" xfId="0" applyFont="1" applyFill="1" applyBorder="1" applyAlignment="1">
      <alignment horizontal="center" vertical="center" wrapText="1"/>
    </xf>
    <xf numFmtId="0" fontId="9" fillId="16"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0</xdr:row>
      <xdr:rowOff>104775</xdr:rowOff>
    </xdr:from>
    <xdr:to>
      <xdr:col>1</xdr:col>
      <xdr:colOff>466725</xdr:colOff>
      <xdr:row>2</xdr:row>
      <xdr:rowOff>285750</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1152525" y="104775"/>
          <a:ext cx="6477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0</xdr:row>
      <xdr:rowOff>104775</xdr:rowOff>
    </xdr:from>
    <xdr:to>
      <xdr:col>1</xdr:col>
      <xdr:colOff>466725</xdr:colOff>
      <xdr:row>2</xdr:row>
      <xdr:rowOff>285750</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1152525" y="104775"/>
          <a:ext cx="5048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2"/>
  <sheetViews>
    <sheetView workbookViewId="0" topLeftCell="A1">
      <selection activeCell="A1" sqref="A1:IV16384"/>
    </sheetView>
  </sheetViews>
  <sheetFormatPr defaultColWidth="11.421875" defaultRowHeight="12.75"/>
  <cols>
    <col min="1" max="1" width="20.00390625" style="3" customWidth="1"/>
    <col min="2" max="2" width="62.421875" style="1" customWidth="1"/>
    <col min="3" max="3" width="9.57421875" style="1" customWidth="1"/>
    <col min="4" max="4" width="15.28125" style="1" customWidth="1"/>
    <col min="5" max="5" width="18.421875" style="17" customWidth="1"/>
    <col min="6" max="6" width="17.28125" style="17" customWidth="1"/>
    <col min="7" max="7" width="21.140625" style="18" customWidth="1"/>
    <col min="8" max="8" width="22.421875" style="18" customWidth="1"/>
    <col min="9" max="9" width="28.421875" style="18" customWidth="1"/>
    <col min="10" max="10" width="14.421875" style="78" bestFit="1" customWidth="1"/>
    <col min="11" max="11" width="8.8515625" style="16" customWidth="1"/>
    <col min="12" max="13" width="14.421875" style="66" customWidth="1"/>
    <col min="14" max="14" width="14.421875" style="67" customWidth="1"/>
    <col min="15" max="16" width="14.421875" style="73" customWidth="1"/>
    <col min="17" max="16384" width="11.421875" style="1" customWidth="1"/>
  </cols>
  <sheetData>
    <row r="1" spans="1:16" ht="28.5" customHeight="1">
      <c r="A1" s="148" t="s">
        <v>19</v>
      </c>
      <c r="B1" s="149"/>
      <c r="C1" s="149"/>
      <c r="D1" s="149"/>
      <c r="E1" s="149"/>
      <c r="F1" s="149"/>
      <c r="G1" s="149"/>
      <c r="H1" s="150"/>
      <c r="I1" s="21" t="s">
        <v>17</v>
      </c>
      <c r="J1" s="79"/>
      <c r="K1" s="41"/>
      <c r="L1" s="62"/>
      <c r="M1" s="62"/>
      <c r="N1" s="63"/>
      <c r="O1" s="72"/>
      <c r="P1" s="72"/>
    </row>
    <row r="2" spans="1:16" ht="28.5" customHeight="1">
      <c r="A2" s="148"/>
      <c r="B2" s="149"/>
      <c r="C2" s="149"/>
      <c r="D2" s="149"/>
      <c r="E2" s="149"/>
      <c r="F2" s="149"/>
      <c r="G2" s="149"/>
      <c r="H2" s="150"/>
      <c r="I2" s="22" t="s">
        <v>16</v>
      </c>
      <c r="J2" s="79"/>
      <c r="K2" s="41"/>
      <c r="L2" s="62"/>
      <c r="M2" s="62"/>
      <c r="N2" s="63"/>
      <c r="O2" s="72"/>
      <c r="P2" s="72"/>
    </row>
    <row r="3" spans="1:16" ht="28.5" customHeight="1" thickBot="1">
      <c r="A3" s="151"/>
      <c r="B3" s="152"/>
      <c r="C3" s="152"/>
      <c r="D3" s="152"/>
      <c r="E3" s="152"/>
      <c r="F3" s="152"/>
      <c r="G3" s="152"/>
      <c r="H3" s="153"/>
      <c r="I3" s="23" t="s">
        <v>18</v>
      </c>
      <c r="J3" s="79"/>
      <c r="K3" s="41"/>
      <c r="L3" s="62"/>
      <c r="M3" s="62"/>
      <c r="N3" s="63"/>
      <c r="O3" s="72"/>
      <c r="P3" s="72"/>
    </row>
    <row r="4" spans="1:16" ht="8.25" customHeight="1" thickBot="1">
      <c r="A4" s="154"/>
      <c r="B4" s="155"/>
      <c r="C4" s="155"/>
      <c r="D4" s="155"/>
      <c r="E4" s="156"/>
      <c r="F4" s="155"/>
      <c r="G4" s="155"/>
      <c r="H4" s="155"/>
      <c r="I4" s="157"/>
      <c r="J4" s="79"/>
      <c r="K4" s="41"/>
      <c r="L4" s="62"/>
      <c r="M4" s="62"/>
      <c r="N4" s="63"/>
      <c r="O4" s="72"/>
      <c r="P4" s="72"/>
    </row>
    <row r="5" spans="1:16" ht="39" customHeight="1" thickBot="1">
      <c r="A5" s="6" t="s">
        <v>4</v>
      </c>
      <c r="B5" s="158">
        <v>2008</v>
      </c>
      <c r="C5" s="159"/>
      <c r="D5" s="160"/>
      <c r="E5" s="7"/>
      <c r="F5" s="6" t="s">
        <v>5</v>
      </c>
      <c r="G5" s="158" t="s">
        <v>109</v>
      </c>
      <c r="H5" s="159"/>
      <c r="I5" s="160"/>
      <c r="J5" s="79"/>
      <c r="K5" s="41"/>
      <c r="L5" s="62"/>
      <c r="M5" s="62"/>
      <c r="N5" s="63"/>
      <c r="O5" s="72"/>
      <c r="P5" s="72"/>
    </row>
    <row r="6" spans="1:14" ht="8.25" customHeight="1" thickBot="1">
      <c r="A6" s="144"/>
      <c r="B6" s="145"/>
      <c r="C6" s="145"/>
      <c r="D6" s="145"/>
      <c r="E6" s="146"/>
      <c r="F6" s="145"/>
      <c r="G6" s="145"/>
      <c r="H6" s="145"/>
      <c r="I6" s="147"/>
      <c r="L6" s="62"/>
      <c r="M6" s="62"/>
      <c r="N6" s="63"/>
    </row>
    <row r="7" spans="1:16" s="8" customFormat="1" ht="15.75" customHeight="1">
      <c r="A7" s="123" t="s">
        <v>0</v>
      </c>
      <c r="B7" s="111" t="s">
        <v>2</v>
      </c>
      <c r="C7" s="126" t="s">
        <v>28</v>
      </c>
      <c r="D7" s="111" t="s">
        <v>3</v>
      </c>
      <c r="E7" s="111" t="s">
        <v>6</v>
      </c>
      <c r="F7" s="111"/>
      <c r="G7" s="112" t="s">
        <v>7</v>
      </c>
      <c r="H7" s="112"/>
      <c r="I7" s="113"/>
      <c r="J7" s="80"/>
      <c r="K7" s="42"/>
      <c r="L7" s="62"/>
      <c r="M7" s="62"/>
      <c r="N7" s="63"/>
      <c r="O7" s="74"/>
      <c r="P7" s="74"/>
    </row>
    <row r="8" spans="1:16" s="9" customFormat="1" ht="35.25" customHeight="1" thickBot="1">
      <c r="A8" s="124"/>
      <c r="B8" s="125"/>
      <c r="C8" s="127"/>
      <c r="D8" s="128"/>
      <c r="E8" s="19" t="s">
        <v>8</v>
      </c>
      <c r="F8" s="19" t="s">
        <v>9</v>
      </c>
      <c r="G8" s="33" t="s">
        <v>10</v>
      </c>
      <c r="H8" s="33" t="s">
        <v>11</v>
      </c>
      <c r="I8" s="34" t="s">
        <v>12</v>
      </c>
      <c r="J8" s="77"/>
      <c r="K8" s="43"/>
      <c r="L8" s="64" t="s">
        <v>110</v>
      </c>
      <c r="M8" s="64" t="s">
        <v>110</v>
      </c>
      <c r="N8" s="65" t="s">
        <v>111</v>
      </c>
      <c r="O8" s="75" t="s">
        <v>114</v>
      </c>
      <c r="P8" s="75" t="s">
        <v>114</v>
      </c>
    </row>
    <row r="9" spans="1:16" s="4" customFormat="1" ht="24">
      <c r="A9" s="114" t="s">
        <v>34</v>
      </c>
      <c r="B9" s="24" t="s">
        <v>20</v>
      </c>
      <c r="C9" s="28">
        <v>1</v>
      </c>
      <c r="D9" s="30" t="s">
        <v>29</v>
      </c>
      <c r="E9" s="11">
        <v>55000</v>
      </c>
      <c r="F9" s="53">
        <v>0</v>
      </c>
      <c r="G9" s="46">
        <v>2000000</v>
      </c>
      <c r="H9" s="46">
        <v>1807200</v>
      </c>
      <c r="I9" s="47">
        <f>+G9-H9</f>
        <v>192800</v>
      </c>
      <c r="J9" s="77"/>
      <c r="K9" s="44"/>
      <c r="L9" s="66"/>
      <c r="M9" s="66"/>
      <c r="N9" s="67"/>
      <c r="O9" s="73"/>
      <c r="P9" s="73"/>
    </row>
    <row r="10" spans="1:16" s="4" customFormat="1" ht="30">
      <c r="A10" s="115"/>
      <c r="B10" s="83" t="s">
        <v>115</v>
      </c>
      <c r="C10" s="29"/>
      <c r="D10" s="30" t="s">
        <v>29</v>
      </c>
      <c r="E10" s="84">
        <v>5718</v>
      </c>
      <c r="F10" s="53">
        <v>0</v>
      </c>
      <c r="G10" s="46">
        <v>34136000</v>
      </c>
      <c r="H10" s="61">
        <v>34136000</v>
      </c>
      <c r="I10" s="47">
        <f aca="true" t="shared" si="0" ref="I10:I18">+G10-H10</f>
        <v>0</v>
      </c>
      <c r="J10" s="81" t="s">
        <v>112</v>
      </c>
      <c r="K10" s="44"/>
      <c r="L10" s="66"/>
      <c r="M10" s="66"/>
      <c r="N10" s="67"/>
      <c r="O10" s="73"/>
      <c r="P10" s="73"/>
    </row>
    <row r="11" spans="1:16" s="4" customFormat="1" ht="24">
      <c r="A11" s="115"/>
      <c r="B11" s="26" t="s">
        <v>21</v>
      </c>
      <c r="C11" s="28">
        <v>2</v>
      </c>
      <c r="D11" s="30" t="s">
        <v>29</v>
      </c>
      <c r="E11" s="84">
        <v>245242</v>
      </c>
      <c r="F11" s="53">
        <f>190760+53531+951</f>
        <v>245242</v>
      </c>
      <c r="G11" s="46">
        <v>2480239491</v>
      </c>
      <c r="H11" s="46">
        <f>11063696+36144000+36000000+36000000+63052000+63000000+14400000*2+13800000*4+13776000+13680000+13200000+118606003+304866161+504473904+170962250+73678100+6547847+17287371+15358720+7072180*2+15238964</f>
        <v>1611079376</v>
      </c>
      <c r="I11" s="47">
        <f t="shared" si="0"/>
        <v>869160115</v>
      </c>
      <c r="J11" s="81">
        <v>118606003</v>
      </c>
      <c r="K11" s="44"/>
      <c r="L11" s="66">
        <v>35046</v>
      </c>
      <c r="M11" s="66">
        <v>255412</v>
      </c>
      <c r="N11" s="67">
        <v>615140</v>
      </c>
      <c r="O11" s="73"/>
      <c r="P11" s="73"/>
    </row>
    <row r="12" spans="1:16" s="4" customFormat="1" ht="24">
      <c r="A12" s="115"/>
      <c r="B12" s="26" t="s">
        <v>22</v>
      </c>
      <c r="C12" s="28">
        <v>4</v>
      </c>
      <c r="D12" s="30" t="s">
        <v>29</v>
      </c>
      <c r="E12" s="11">
        <v>20000</v>
      </c>
      <c r="F12" s="53">
        <v>0</v>
      </c>
      <c r="G12" s="46">
        <v>54450243</v>
      </c>
      <c r="H12" s="46">
        <v>0</v>
      </c>
      <c r="I12" s="47">
        <f t="shared" si="0"/>
        <v>54450243</v>
      </c>
      <c r="J12" s="81">
        <v>304866161</v>
      </c>
      <c r="K12" s="44"/>
      <c r="L12" s="66">
        <v>79222</v>
      </c>
      <c r="M12" s="66"/>
      <c r="N12" s="67">
        <v>165962</v>
      </c>
      <c r="O12" s="73"/>
      <c r="P12" s="73"/>
    </row>
    <row r="13" spans="1:16" s="4" customFormat="1" ht="24">
      <c r="A13" s="115"/>
      <c r="B13" s="26" t="s">
        <v>23</v>
      </c>
      <c r="C13" s="28">
        <v>4</v>
      </c>
      <c r="D13" s="30" t="s">
        <v>29</v>
      </c>
      <c r="E13" s="11">
        <v>7000</v>
      </c>
      <c r="F13" s="53">
        <v>0</v>
      </c>
      <c r="G13" s="46">
        <v>35000000</v>
      </c>
      <c r="H13" s="46">
        <v>0</v>
      </c>
      <c r="I13" s="47">
        <f t="shared" si="0"/>
        <v>35000000</v>
      </c>
      <c r="J13" s="81">
        <f>SUM(J11:J12)</f>
        <v>423472164</v>
      </c>
      <c r="K13" s="44"/>
      <c r="L13" s="66">
        <v>255412</v>
      </c>
      <c r="M13" s="66"/>
      <c r="N13" s="67">
        <v>489303</v>
      </c>
      <c r="O13" s="73"/>
      <c r="P13" s="73"/>
    </row>
    <row r="14" spans="1:16" s="4" customFormat="1" ht="24">
      <c r="A14" s="115"/>
      <c r="B14" s="26" t="s">
        <v>24</v>
      </c>
      <c r="C14" s="28">
        <v>4</v>
      </c>
      <c r="D14" s="30" t="s">
        <v>29</v>
      </c>
      <c r="E14" s="11">
        <v>55000</v>
      </c>
      <c r="F14" s="53">
        <v>0</v>
      </c>
      <c r="G14" s="46">
        <v>710930073</v>
      </c>
      <c r="H14" s="46">
        <v>3012000</v>
      </c>
      <c r="I14" s="47">
        <f t="shared" si="0"/>
        <v>707918073</v>
      </c>
      <c r="J14" s="77"/>
      <c r="K14" s="44"/>
      <c r="L14" s="66">
        <v>35046</v>
      </c>
      <c r="M14" s="66"/>
      <c r="N14" s="67">
        <v>828375</v>
      </c>
      <c r="O14" s="73"/>
      <c r="P14" s="73"/>
    </row>
    <row r="15" spans="1:16" s="4" customFormat="1" ht="30">
      <c r="A15" s="115"/>
      <c r="B15" s="25" t="s">
        <v>25</v>
      </c>
      <c r="C15" s="29"/>
      <c r="D15" s="30" t="s">
        <v>29</v>
      </c>
      <c r="E15" s="84">
        <v>830642</v>
      </c>
      <c r="F15" s="53">
        <v>0</v>
      </c>
      <c r="G15" s="46">
        <v>90237432</v>
      </c>
      <c r="H15" s="61">
        <f>14237432+76000000</f>
        <v>90237432</v>
      </c>
      <c r="I15" s="47">
        <f t="shared" si="0"/>
        <v>0</v>
      </c>
      <c r="J15" s="81" t="s">
        <v>113</v>
      </c>
      <c r="K15" s="44"/>
      <c r="L15" s="66">
        <v>85137</v>
      </c>
      <c r="M15" s="66"/>
      <c r="N15" s="67">
        <v>341394</v>
      </c>
      <c r="O15" s="73"/>
      <c r="P15" s="73"/>
    </row>
    <row r="16" spans="1:16" s="4" customFormat="1" ht="36">
      <c r="A16" s="115"/>
      <c r="B16" s="25" t="s">
        <v>26</v>
      </c>
      <c r="C16" s="29"/>
      <c r="D16" s="30" t="s">
        <v>29</v>
      </c>
      <c r="E16" s="11">
        <v>150000</v>
      </c>
      <c r="F16" s="53">
        <v>0</v>
      </c>
      <c r="G16" s="46">
        <v>57000000</v>
      </c>
      <c r="H16" s="46">
        <v>0</v>
      </c>
      <c r="I16" s="47">
        <f t="shared" si="0"/>
        <v>57000000</v>
      </c>
      <c r="J16" s="81">
        <v>170962250</v>
      </c>
      <c r="K16" s="44"/>
      <c r="L16" s="66">
        <v>105137</v>
      </c>
      <c r="M16" s="66"/>
      <c r="N16" s="67">
        <v>206144</v>
      </c>
      <c r="O16" s="73"/>
      <c r="P16" s="73"/>
    </row>
    <row r="17" spans="1:16" s="4" customFormat="1" ht="24">
      <c r="A17" s="115"/>
      <c r="B17" s="26" t="s">
        <v>27</v>
      </c>
      <c r="C17" s="28">
        <v>5</v>
      </c>
      <c r="D17" s="30" t="s">
        <v>30</v>
      </c>
      <c r="E17" s="11">
        <v>3</v>
      </c>
      <c r="F17" s="53">
        <v>0</v>
      </c>
      <c r="G17" s="46">
        <f>73483729-3650000</f>
        <v>69833729</v>
      </c>
      <c r="H17" s="46">
        <v>5020000</v>
      </c>
      <c r="I17" s="47">
        <f t="shared" si="0"/>
        <v>64813729</v>
      </c>
      <c r="J17" s="81">
        <v>504473904</v>
      </c>
      <c r="K17" s="44"/>
      <c r="L17" s="66">
        <v>425685</v>
      </c>
      <c r="M17" s="66"/>
      <c r="N17" s="67">
        <v>197989</v>
      </c>
      <c r="O17" s="73"/>
      <c r="P17" s="73"/>
    </row>
    <row r="18" spans="1:16" s="4" customFormat="1" ht="21" customHeight="1">
      <c r="A18" s="115"/>
      <c r="B18" s="5" t="s">
        <v>105</v>
      </c>
      <c r="C18" s="29"/>
      <c r="D18" s="10" t="s">
        <v>106</v>
      </c>
      <c r="E18" s="60">
        <v>1</v>
      </c>
      <c r="F18" s="60">
        <f>+H18/G18</f>
        <v>0.37613879974731523</v>
      </c>
      <c r="G18" s="49">
        <v>39575000</v>
      </c>
      <c r="H18" s="49">
        <f>8396717+615140+165962+489303+828375+341394+206144+197989+677660+278352+M21</f>
        <v>14885693</v>
      </c>
      <c r="I18" s="47">
        <f t="shared" si="0"/>
        <v>24689307</v>
      </c>
      <c r="J18" s="81">
        <f>SUM(J16:J17)</f>
        <v>675436154</v>
      </c>
      <c r="K18" s="44"/>
      <c r="L18" s="66">
        <v>1097149</v>
      </c>
      <c r="M18" s="66"/>
      <c r="N18" s="67">
        <v>278352</v>
      </c>
      <c r="O18" s="73"/>
      <c r="P18" s="73"/>
    </row>
    <row r="19" spans="1:16" s="4" customFormat="1" ht="15" customHeight="1">
      <c r="A19" s="115"/>
      <c r="B19" s="117" t="s">
        <v>31</v>
      </c>
      <c r="C19" s="118"/>
      <c r="D19" s="118"/>
      <c r="E19" s="118"/>
      <c r="F19" s="119"/>
      <c r="G19" s="48">
        <f>+G9+G10+G11+G12+G13+G14+G15+G16+G17+G18</f>
        <v>3573401968</v>
      </c>
      <c r="H19" s="20"/>
      <c r="I19" s="129">
        <f>SUM(I9:I17)</f>
        <v>1788534960</v>
      </c>
      <c r="J19" s="77"/>
      <c r="K19" s="44"/>
      <c r="L19" s="66">
        <v>210274</v>
      </c>
      <c r="M19" s="66"/>
      <c r="N19" s="67"/>
      <c r="O19" s="73"/>
      <c r="P19" s="73"/>
    </row>
    <row r="20" spans="1:16" s="4" customFormat="1" ht="15" customHeight="1">
      <c r="A20" s="115"/>
      <c r="B20" s="117" t="s">
        <v>32</v>
      </c>
      <c r="C20" s="118"/>
      <c r="D20" s="118"/>
      <c r="E20" s="118"/>
      <c r="F20" s="118"/>
      <c r="G20" s="119"/>
      <c r="H20" s="48">
        <f>SUM(H9:H19)</f>
        <v>1760177701</v>
      </c>
      <c r="I20" s="130"/>
      <c r="J20" s="77"/>
      <c r="K20" s="44"/>
      <c r="L20" s="66">
        <v>105137</v>
      </c>
      <c r="M20" s="66"/>
      <c r="N20" s="67"/>
      <c r="O20" s="73"/>
      <c r="P20" s="73"/>
    </row>
    <row r="21" spans="1:16" s="4" customFormat="1" ht="24" customHeight="1" thickBot="1">
      <c r="A21" s="116"/>
      <c r="B21" s="117" t="s">
        <v>33</v>
      </c>
      <c r="C21" s="118"/>
      <c r="D21" s="118"/>
      <c r="E21" s="118"/>
      <c r="F21" s="118"/>
      <c r="G21" s="119"/>
      <c r="H21" s="31">
        <f>+H20/G19</f>
        <v>0.49257758202477153</v>
      </c>
      <c r="I21" s="138"/>
      <c r="J21" s="77"/>
      <c r="K21" s="44"/>
      <c r="L21" s="68"/>
      <c r="M21" s="68">
        <f>SUM(L11:M20)</f>
        <v>2688657</v>
      </c>
      <c r="N21" s="67"/>
      <c r="O21" s="73"/>
      <c r="P21" s="73"/>
    </row>
    <row r="22" spans="1:16" s="4" customFormat="1" ht="17.25" customHeight="1">
      <c r="A22" s="123" t="s">
        <v>0</v>
      </c>
      <c r="B22" s="111" t="s">
        <v>2</v>
      </c>
      <c r="C22" s="126" t="s">
        <v>28</v>
      </c>
      <c r="D22" s="111" t="s">
        <v>3</v>
      </c>
      <c r="E22" s="111" t="s">
        <v>6</v>
      </c>
      <c r="F22" s="111"/>
      <c r="G22" s="112" t="s">
        <v>7</v>
      </c>
      <c r="H22" s="112"/>
      <c r="I22" s="113"/>
      <c r="J22" s="77"/>
      <c r="K22" s="44"/>
      <c r="L22" s="66"/>
      <c r="M22" s="66"/>
      <c r="N22" s="67"/>
      <c r="O22" s="73"/>
      <c r="P22" s="73"/>
    </row>
    <row r="23" spans="1:16" s="4" customFormat="1" ht="36" customHeight="1" thickBot="1">
      <c r="A23" s="124"/>
      <c r="B23" s="125"/>
      <c r="C23" s="127"/>
      <c r="D23" s="128"/>
      <c r="E23" s="19" t="s">
        <v>8</v>
      </c>
      <c r="F23" s="19" t="s">
        <v>9</v>
      </c>
      <c r="G23" s="33" t="s">
        <v>10</v>
      </c>
      <c r="H23" s="33" t="s">
        <v>11</v>
      </c>
      <c r="I23" s="34" t="s">
        <v>12</v>
      </c>
      <c r="J23" s="77"/>
      <c r="K23" s="44"/>
      <c r="L23" s="66"/>
      <c r="M23" s="66"/>
      <c r="N23" s="67"/>
      <c r="O23" s="73"/>
      <c r="P23" s="73"/>
    </row>
    <row r="24" spans="1:16" s="4" customFormat="1" ht="30.75" customHeight="1">
      <c r="A24" s="139" t="s">
        <v>51</v>
      </c>
      <c r="B24" s="26" t="s">
        <v>35</v>
      </c>
      <c r="C24" s="29">
        <v>6</v>
      </c>
      <c r="D24" s="30" t="s">
        <v>45</v>
      </c>
      <c r="E24" s="85">
        <v>5</v>
      </c>
      <c r="F24" s="54">
        <v>0</v>
      </c>
      <c r="G24" s="50">
        <v>664608957</v>
      </c>
      <c r="H24" s="50">
        <f>5020000+65059200+174817986</f>
        <v>244897186</v>
      </c>
      <c r="I24" s="47">
        <f>+G24-H24</f>
        <v>419711771</v>
      </c>
      <c r="J24" s="77"/>
      <c r="K24" s="44"/>
      <c r="L24" s="66">
        <v>700912</v>
      </c>
      <c r="M24" s="66">
        <v>1182280</v>
      </c>
      <c r="N24" s="67"/>
      <c r="O24" s="73"/>
      <c r="P24" s="73"/>
    </row>
    <row r="25" spans="1:16" s="4" customFormat="1" ht="30.75" customHeight="1">
      <c r="A25" s="133"/>
      <c r="B25" s="26" t="s">
        <v>36</v>
      </c>
      <c r="C25" s="29">
        <v>7</v>
      </c>
      <c r="D25" s="30" t="s">
        <v>45</v>
      </c>
      <c r="E25" s="32">
        <v>2</v>
      </c>
      <c r="F25" s="54">
        <v>0</v>
      </c>
      <c r="G25" s="50">
        <v>1414280791</v>
      </c>
      <c r="H25" s="50">
        <f>3373400+1410907350</f>
        <v>1414280750</v>
      </c>
      <c r="I25" s="47">
        <f aca="true" t="shared" si="1" ref="I25:I33">+G25-H25</f>
        <v>41</v>
      </c>
      <c r="J25" s="77"/>
      <c r="K25" s="44"/>
      <c r="L25" s="66">
        <f>75206*2</f>
        <v>150412</v>
      </c>
      <c r="M25" s="66">
        <v>340671</v>
      </c>
      <c r="N25" s="67"/>
      <c r="O25" s="73"/>
      <c r="P25" s="73"/>
    </row>
    <row r="26" spans="1:16" s="4" customFormat="1" ht="30.75" customHeight="1">
      <c r="A26" s="133"/>
      <c r="B26" s="26" t="s">
        <v>37</v>
      </c>
      <c r="C26" s="29">
        <v>3</v>
      </c>
      <c r="D26" s="30" t="s">
        <v>46</v>
      </c>
      <c r="E26" s="32">
        <v>0</v>
      </c>
      <c r="F26" s="54">
        <v>0</v>
      </c>
      <c r="G26" s="50">
        <v>0</v>
      </c>
      <c r="H26" s="50">
        <v>0</v>
      </c>
      <c r="I26" s="47">
        <f t="shared" si="1"/>
        <v>0</v>
      </c>
      <c r="J26" s="77"/>
      <c r="K26" s="44"/>
      <c r="L26" s="66">
        <f>35046*5</f>
        <v>175230</v>
      </c>
      <c r="M26" s="66">
        <v>70092</v>
      </c>
      <c r="N26" s="67"/>
      <c r="O26" s="73"/>
      <c r="P26" s="73"/>
    </row>
    <row r="27" spans="1:16" s="4" customFormat="1" ht="30.75" customHeight="1">
      <c r="A27" s="133"/>
      <c r="B27" s="25" t="s">
        <v>38</v>
      </c>
      <c r="C27" s="13"/>
      <c r="D27" s="30" t="s">
        <v>46</v>
      </c>
      <c r="E27" s="32">
        <v>2</v>
      </c>
      <c r="F27" s="54">
        <v>0</v>
      </c>
      <c r="G27" s="50">
        <v>76690058</v>
      </c>
      <c r="H27" s="50">
        <v>0</v>
      </c>
      <c r="I27" s="47">
        <f t="shared" si="1"/>
        <v>76690058</v>
      </c>
      <c r="J27" s="77"/>
      <c r="K27" s="44"/>
      <c r="L27" s="66">
        <v>65165</v>
      </c>
      <c r="M27" s="66">
        <v>266765</v>
      </c>
      <c r="N27" s="67"/>
      <c r="O27" s="73"/>
      <c r="P27" s="73"/>
    </row>
    <row r="28" spans="1:16" s="4" customFormat="1" ht="30.75" customHeight="1">
      <c r="A28" s="133"/>
      <c r="B28" s="25" t="s">
        <v>39</v>
      </c>
      <c r="C28" s="13"/>
      <c r="D28" s="30" t="s">
        <v>47</v>
      </c>
      <c r="E28" s="11">
        <v>2000</v>
      </c>
      <c r="F28" s="54">
        <v>0</v>
      </c>
      <c r="G28" s="50">
        <v>245280000</v>
      </c>
      <c r="H28" s="50">
        <f>15361200+21686400+4518000+13554000+12469680+40662000+44276400+29818800+7843243</f>
        <v>190189723</v>
      </c>
      <c r="I28" s="47">
        <f t="shared" si="1"/>
        <v>55090277</v>
      </c>
      <c r="J28" s="77"/>
      <c r="K28" s="44"/>
      <c r="L28" s="66">
        <v>420548</v>
      </c>
      <c r="M28" s="66">
        <v>420547</v>
      </c>
      <c r="N28" s="67"/>
      <c r="O28" s="73"/>
      <c r="P28" s="73"/>
    </row>
    <row r="29" spans="1:16" s="4" customFormat="1" ht="30.75" customHeight="1">
      <c r="A29" s="133"/>
      <c r="B29" s="26" t="s">
        <v>40</v>
      </c>
      <c r="C29" s="29">
        <v>8</v>
      </c>
      <c r="D29" s="30" t="s">
        <v>47</v>
      </c>
      <c r="E29" s="11">
        <v>100</v>
      </c>
      <c r="F29" s="54">
        <v>0</v>
      </c>
      <c r="G29" s="50">
        <v>29698320</v>
      </c>
      <c r="H29" s="50">
        <f>21365120+8333200</f>
        <v>29698320</v>
      </c>
      <c r="I29" s="47">
        <f t="shared" si="1"/>
        <v>0</v>
      </c>
      <c r="J29" s="77"/>
      <c r="K29" s="44"/>
      <c r="L29" s="66">
        <v>117374</v>
      </c>
      <c r="M29" s="66"/>
      <c r="N29" s="67"/>
      <c r="O29" s="73"/>
      <c r="P29" s="73"/>
    </row>
    <row r="30" spans="1:16" s="4" customFormat="1" ht="30.75" customHeight="1">
      <c r="A30" s="133"/>
      <c r="B30" s="26" t="s">
        <v>41</v>
      </c>
      <c r="C30" s="29">
        <v>9</v>
      </c>
      <c r="D30" s="30" t="s">
        <v>47</v>
      </c>
      <c r="E30" s="11">
        <v>346</v>
      </c>
      <c r="F30" s="54">
        <v>0</v>
      </c>
      <c r="G30" s="50">
        <v>0</v>
      </c>
      <c r="H30" s="50">
        <v>0</v>
      </c>
      <c r="I30" s="47">
        <f t="shared" si="1"/>
        <v>0</v>
      </c>
      <c r="J30" s="77"/>
      <c r="K30" s="44"/>
      <c r="L30" s="66">
        <v>210274</v>
      </c>
      <c r="M30" s="66"/>
      <c r="N30" s="67"/>
      <c r="O30" s="73"/>
      <c r="P30" s="73"/>
    </row>
    <row r="31" spans="1:16" s="4" customFormat="1" ht="30.75" customHeight="1">
      <c r="A31" s="133"/>
      <c r="B31" s="25" t="s">
        <v>42</v>
      </c>
      <c r="C31" s="13"/>
      <c r="D31" s="30" t="s">
        <v>47</v>
      </c>
      <c r="E31" s="11">
        <v>200</v>
      </c>
      <c r="F31" s="54">
        <v>0</v>
      </c>
      <c r="G31" s="50">
        <v>313073824</v>
      </c>
      <c r="H31" s="50">
        <f>12072250+8577342+1834612+9074121+2751917+7778962+22932636*2+2751921+21096853+11007665</f>
        <v>122810915</v>
      </c>
      <c r="I31" s="47">
        <f t="shared" si="1"/>
        <v>190262909</v>
      </c>
      <c r="J31" s="77"/>
      <c r="K31" s="44"/>
      <c r="L31" s="66">
        <v>63158</v>
      </c>
      <c r="M31" s="66"/>
      <c r="N31" s="67"/>
      <c r="O31" s="73"/>
      <c r="P31" s="73"/>
    </row>
    <row r="32" spans="1:16" s="4" customFormat="1" ht="30.75" customHeight="1">
      <c r="A32" s="133"/>
      <c r="B32" s="25" t="s">
        <v>43</v>
      </c>
      <c r="C32" s="13"/>
      <c r="D32" s="30" t="s">
        <v>48</v>
      </c>
      <c r="E32" s="11">
        <v>7</v>
      </c>
      <c r="F32" s="54">
        <v>0</v>
      </c>
      <c r="G32" s="50">
        <v>0</v>
      </c>
      <c r="H32" s="50">
        <v>0</v>
      </c>
      <c r="I32" s="47">
        <f t="shared" si="1"/>
        <v>0</v>
      </c>
      <c r="J32" s="77"/>
      <c r="K32" s="44"/>
      <c r="L32" s="66">
        <v>1027142</v>
      </c>
      <c r="M32" s="66"/>
      <c r="N32" s="67"/>
      <c r="O32" s="73"/>
      <c r="P32" s="73"/>
    </row>
    <row r="33" spans="1:16" s="4" customFormat="1" ht="30.75" customHeight="1">
      <c r="A33" s="133"/>
      <c r="B33" s="26" t="s">
        <v>44</v>
      </c>
      <c r="C33" s="29">
        <v>10</v>
      </c>
      <c r="D33" s="30" t="s">
        <v>49</v>
      </c>
      <c r="E33" s="11">
        <v>2</v>
      </c>
      <c r="F33" s="54">
        <v>0</v>
      </c>
      <c r="G33" s="50">
        <v>200000000</v>
      </c>
      <c r="H33" s="50">
        <v>0</v>
      </c>
      <c r="I33" s="47">
        <f t="shared" si="1"/>
        <v>200000000</v>
      </c>
      <c r="J33" s="77"/>
      <c r="K33" s="44"/>
      <c r="L33" s="66">
        <v>42569</v>
      </c>
      <c r="M33" s="66"/>
      <c r="N33" s="67"/>
      <c r="O33" s="73"/>
      <c r="P33" s="73"/>
    </row>
    <row r="34" spans="1:16" s="4" customFormat="1" ht="37.5" customHeight="1">
      <c r="A34" s="133"/>
      <c r="B34" s="26" t="s">
        <v>103</v>
      </c>
      <c r="C34" s="29">
        <v>12</v>
      </c>
      <c r="D34" s="30" t="s">
        <v>50</v>
      </c>
      <c r="E34" s="11">
        <v>5</v>
      </c>
      <c r="F34" s="54">
        <v>0</v>
      </c>
      <c r="G34" s="140">
        <v>122000000</v>
      </c>
      <c r="H34" s="140">
        <v>0</v>
      </c>
      <c r="I34" s="142">
        <f>+G34-H34</f>
        <v>122000000</v>
      </c>
      <c r="J34" s="77"/>
      <c r="K34" s="44"/>
      <c r="L34" s="66">
        <v>491060</v>
      </c>
      <c r="M34" s="66"/>
      <c r="N34" s="67"/>
      <c r="O34" s="73"/>
      <c r="P34" s="73"/>
    </row>
    <row r="35" spans="1:16" s="4" customFormat="1" ht="35.25" customHeight="1">
      <c r="A35" s="133"/>
      <c r="B35" s="26" t="s">
        <v>104</v>
      </c>
      <c r="C35" s="29">
        <v>12</v>
      </c>
      <c r="D35" s="30" t="s">
        <v>50</v>
      </c>
      <c r="E35" s="11">
        <v>5</v>
      </c>
      <c r="F35" s="55">
        <v>0</v>
      </c>
      <c r="G35" s="141"/>
      <c r="H35" s="141"/>
      <c r="I35" s="143"/>
      <c r="J35" s="77"/>
      <c r="K35" s="44"/>
      <c r="L35" s="66">
        <v>105138</v>
      </c>
      <c r="M35" s="66"/>
      <c r="N35" s="67"/>
      <c r="O35" s="73"/>
      <c r="P35" s="73"/>
    </row>
    <row r="36" spans="1:16" s="4" customFormat="1" ht="42.75" customHeight="1">
      <c r="A36" s="133"/>
      <c r="B36" s="25" t="s">
        <v>107</v>
      </c>
      <c r="C36" s="29"/>
      <c r="D36" s="10" t="s">
        <v>106</v>
      </c>
      <c r="E36" s="11">
        <v>1</v>
      </c>
      <c r="F36" s="55">
        <v>0</v>
      </c>
      <c r="G36" s="49">
        <v>2354324969</v>
      </c>
      <c r="H36" s="49">
        <v>0</v>
      </c>
      <c r="I36" s="47">
        <f>+G36-H36</f>
        <v>2354324969</v>
      </c>
      <c r="J36" s="77"/>
      <c r="K36" s="44"/>
      <c r="L36" s="66">
        <f>260474*3</f>
        <v>781422</v>
      </c>
      <c r="M36" s="66"/>
      <c r="N36" s="67"/>
      <c r="O36" s="73"/>
      <c r="P36" s="73"/>
    </row>
    <row r="37" spans="1:16" s="4" customFormat="1" ht="25.5" customHeight="1">
      <c r="A37" s="133"/>
      <c r="B37" s="5" t="s">
        <v>105</v>
      </c>
      <c r="C37" s="29"/>
      <c r="D37" s="10" t="s">
        <v>106</v>
      </c>
      <c r="E37" s="60">
        <v>1</v>
      </c>
      <c r="F37" s="60">
        <f>+H37/G37</f>
        <v>0.23135693213494507</v>
      </c>
      <c r="G37" s="49">
        <v>86349978</v>
      </c>
      <c r="H37" s="49">
        <f>3614400+7618003+2114504+M37</f>
        <v>19977666</v>
      </c>
      <c r="I37" s="47">
        <f>+G37-H37</f>
        <v>66372312</v>
      </c>
      <c r="J37" s="77"/>
      <c r="K37" s="59"/>
      <c r="L37" s="68"/>
      <c r="M37" s="68">
        <f>SUM(L24:M36)</f>
        <v>6630759</v>
      </c>
      <c r="N37" s="67"/>
      <c r="O37" s="73"/>
      <c r="P37" s="73"/>
    </row>
    <row r="38" spans="1:16" s="4" customFormat="1" ht="17.25" customHeight="1">
      <c r="A38" s="133"/>
      <c r="B38" s="135" t="s">
        <v>31</v>
      </c>
      <c r="C38" s="136"/>
      <c r="D38" s="136"/>
      <c r="E38" s="136"/>
      <c r="F38" s="137"/>
      <c r="G38" s="48">
        <f>+G37+G36+G34+G33+G32+G31+G30+G29+G28+G27+G26+G25+G24</f>
        <v>5506306897</v>
      </c>
      <c r="H38" s="49"/>
      <c r="I38" s="129">
        <f>SUM(I24:I37)</f>
        <v>3484452337</v>
      </c>
      <c r="J38" s="77"/>
      <c r="K38" s="44"/>
      <c r="L38" s="66"/>
      <c r="M38" s="66"/>
      <c r="N38" s="67"/>
      <c r="O38" s="73"/>
      <c r="P38" s="73"/>
    </row>
    <row r="39" spans="1:16" s="4" customFormat="1" ht="16.5" customHeight="1">
      <c r="A39" s="133"/>
      <c r="B39" s="135" t="s">
        <v>32</v>
      </c>
      <c r="C39" s="136"/>
      <c r="D39" s="136"/>
      <c r="E39" s="136"/>
      <c r="F39" s="136"/>
      <c r="G39" s="137"/>
      <c r="H39" s="48">
        <f>SUM(H24:H38)</f>
        <v>2021854560</v>
      </c>
      <c r="I39" s="130"/>
      <c r="J39" s="77"/>
      <c r="K39" s="44"/>
      <c r="L39" s="66"/>
      <c r="M39" s="66"/>
      <c r="N39" s="67"/>
      <c r="O39" s="73"/>
      <c r="P39" s="73"/>
    </row>
    <row r="40" spans="1:16" s="4" customFormat="1" ht="15.75" thickBot="1">
      <c r="A40" s="133"/>
      <c r="B40" s="117" t="s">
        <v>33</v>
      </c>
      <c r="C40" s="118"/>
      <c r="D40" s="118"/>
      <c r="E40" s="118"/>
      <c r="F40" s="118"/>
      <c r="G40" s="119"/>
      <c r="H40" s="31">
        <f>+H39/G38</f>
        <v>0.3671888613948428</v>
      </c>
      <c r="I40" s="138"/>
      <c r="J40" s="77"/>
      <c r="K40" s="44"/>
      <c r="L40" s="66"/>
      <c r="M40" s="66"/>
      <c r="N40" s="67"/>
      <c r="O40" s="73"/>
      <c r="P40" s="73"/>
    </row>
    <row r="41" spans="1:16" s="4" customFormat="1" ht="16.5" customHeight="1">
      <c r="A41" s="123" t="s">
        <v>0</v>
      </c>
      <c r="B41" s="111" t="s">
        <v>2</v>
      </c>
      <c r="C41" s="126" t="s">
        <v>28</v>
      </c>
      <c r="D41" s="111" t="s">
        <v>3</v>
      </c>
      <c r="E41" s="111" t="s">
        <v>6</v>
      </c>
      <c r="F41" s="111"/>
      <c r="G41" s="112" t="s">
        <v>7</v>
      </c>
      <c r="H41" s="112"/>
      <c r="I41" s="113"/>
      <c r="J41" s="77"/>
      <c r="K41" s="44"/>
      <c r="L41" s="66"/>
      <c r="M41" s="66"/>
      <c r="N41" s="67"/>
      <c r="O41" s="73"/>
      <c r="P41" s="73"/>
    </row>
    <row r="42" spans="1:16" s="4" customFormat="1" ht="30.75" customHeight="1" thickBot="1">
      <c r="A42" s="124"/>
      <c r="B42" s="125"/>
      <c r="C42" s="127"/>
      <c r="D42" s="128"/>
      <c r="E42" s="19" t="s">
        <v>8</v>
      </c>
      <c r="F42" s="19" t="s">
        <v>9</v>
      </c>
      <c r="G42" s="33" t="s">
        <v>10</v>
      </c>
      <c r="H42" s="33" t="s">
        <v>11</v>
      </c>
      <c r="I42" s="34" t="s">
        <v>12</v>
      </c>
      <c r="J42" s="77"/>
      <c r="K42" s="44"/>
      <c r="L42" s="66"/>
      <c r="M42" s="66"/>
      <c r="N42" s="67"/>
      <c r="O42" s="73"/>
      <c r="P42" s="73"/>
    </row>
    <row r="43" spans="1:16" s="4" customFormat="1" ht="24">
      <c r="A43" s="114" t="s">
        <v>58</v>
      </c>
      <c r="B43" s="27" t="s">
        <v>52</v>
      </c>
      <c r="C43" s="29">
        <v>20</v>
      </c>
      <c r="D43" s="30" t="s">
        <v>56</v>
      </c>
      <c r="E43" s="36">
        <v>10</v>
      </c>
      <c r="F43" s="55">
        <v>9</v>
      </c>
      <c r="G43" s="46">
        <v>28076000</v>
      </c>
      <c r="H43" s="46">
        <v>0</v>
      </c>
      <c r="I43" s="47">
        <f>+G43-H43</f>
        <v>28076000</v>
      </c>
      <c r="J43" s="77"/>
      <c r="K43" s="44"/>
      <c r="L43" s="66">
        <v>175228</v>
      </c>
      <c r="M43" s="66">
        <v>45086</v>
      </c>
      <c r="N43" s="67">
        <v>334406</v>
      </c>
      <c r="O43" s="73"/>
      <c r="P43" s="73"/>
    </row>
    <row r="44" spans="1:16" s="4" customFormat="1" ht="36">
      <c r="A44" s="115"/>
      <c r="B44" s="26" t="s">
        <v>53</v>
      </c>
      <c r="C44" s="29">
        <v>21</v>
      </c>
      <c r="D44" s="30" t="s">
        <v>50</v>
      </c>
      <c r="E44" s="11">
        <v>80</v>
      </c>
      <c r="F44" s="53">
        <v>15</v>
      </c>
      <c r="G44" s="46">
        <v>0</v>
      </c>
      <c r="H44" s="46">
        <v>0</v>
      </c>
      <c r="I44" s="47">
        <f>+G44-H44</f>
        <v>0</v>
      </c>
      <c r="J44" s="77"/>
      <c r="K44" s="44"/>
      <c r="L44" s="66">
        <v>105136</v>
      </c>
      <c r="M44" s="66">
        <v>420736</v>
      </c>
      <c r="N44" s="67"/>
      <c r="O44" s="73"/>
      <c r="P44" s="73"/>
    </row>
    <row r="45" spans="1:16" s="4" customFormat="1" ht="24">
      <c r="A45" s="115"/>
      <c r="B45" s="26" t="s">
        <v>54</v>
      </c>
      <c r="C45" s="29">
        <v>19</v>
      </c>
      <c r="D45" s="35" t="s">
        <v>57</v>
      </c>
      <c r="E45" s="84">
        <v>7</v>
      </c>
      <c r="F45" s="53">
        <v>7</v>
      </c>
      <c r="G45" s="46">
        <v>153514927</v>
      </c>
      <c r="H45" s="46">
        <f>6526000+8142440+20080000+115900487</f>
        <v>150648927</v>
      </c>
      <c r="I45" s="47">
        <f>+G45-H45</f>
        <v>2866000</v>
      </c>
      <c r="J45" s="77">
        <v>6425600</v>
      </c>
      <c r="K45" s="44"/>
      <c r="L45" s="66">
        <f>245319*2</f>
        <v>490638</v>
      </c>
      <c r="M45" s="66"/>
      <c r="N45" s="67"/>
      <c r="O45" s="73"/>
      <c r="P45" s="73"/>
    </row>
    <row r="46" spans="1:16" s="4" customFormat="1" ht="25.5">
      <c r="A46" s="115"/>
      <c r="B46" s="25" t="s">
        <v>55</v>
      </c>
      <c r="C46" s="13"/>
      <c r="D46" s="86" t="s">
        <v>116</v>
      </c>
      <c r="E46" s="84">
        <f>+G46/1000</f>
        <v>182284</v>
      </c>
      <c r="F46" s="53">
        <f>+E46</f>
        <v>182284</v>
      </c>
      <c r="G46" s="46">
        <v>182284000</v>
      </c>
      <c r="H46" s="46">
        <v>182284000</v>
      </c>
      <c r="I46" s="47">
        <f>+G46-H46</f>
        <v>0</v>
      </c>
      <c r="J46" s="77">
        <v>1716840</v>
      </c>
      <c r="K46" s="44"/>
      <c r="L46" s="66">
        <v>60240</v>
      </c>
      <c r="M46" s="66"/>
      <c r="N46" s="67"/>
      <c r="O46" s="73"/>
      <c r="P46" s="73"/>
    </row>
    <row r="47" spans="1:16" s="4" customFormat="1" ht="15">
      <c r="A47" s="115"/>
      <c r="B47" s="5" t="s">
        <v>105</v>
      </c>
      <c r="C47" s="40"/>
      <c r="D47" s="30" t="s">
        <v>106</v>
      </c>
      <c r="E47" s="60">
        <v>1</v>
      </c>
      <c r="F47" s="60">
        <f>+H47/G47</f>
        <v>0.28376202975213466</v>
      </c>
      <c r="G47" s="46">
        <v>29895670</v>
      </c>
      <c r="H47" s="46">
        <f>1204800+237185+M50+N50</f>
        <v>8483256</v>
      </c>
      <c r="I47" s="47">
        <f>+G47-H47</f>
        <v>21412414</v>
      </c>
      <c r="J47" s="77">
        <f>SUM(J45:J46)</f>
        <v>8142440</v>
      </c>
      <c r="K47" s="44"/>
      <c r="L47" s="66">
        <f>335868*2</f>
        <v>671736</v>
      </c>
      <c r="M47" s="66"/>
      <c r="N47" s="67"/>
      <c r="O47" s="73"/>
      <c r="P47" s="73"/>
    </row>
    <row r="48" spans="1:16" s="4" customFormat="1" ht="15">
      <c r="A48" s="115"/>
      <c r="B48" s="135" t="s">
        <v>31</v>
      </c>
      <c r="C48" s="136"/>
      <c r="D48" s="136"/>
      <c r="E48" s="136"/>
      <c r="F48" s="137"/>
      <c r="G48" s="48">
        <f>SUM(G43:G47)</f>
        <v>393770597</v>
      </c>
      <c r="H48" s="49"/>
      <c r="I48" s="129">
        <f>SUM(I43:I47)</f>
        <v>52354414</v>
      </c>
      <c r="J48" s="77"/>
      <c r="K48" s="44"/>
      <c r="L48" s="66">
        <v>630821</v>
      </c>
      <c r="M48" s="66"/>
      <c r="N48" s="67"/>
      <c r="O48" s="73"/>
      <c r="P48" s="73"/>
    </row>
    <row r="49" spans="1:16" s="4" customFormat="1" ht="15">
      <c r="A49" s="115"/>
      <c r="B49" s="135" t="s">
        <v>32</v>
      </c>
      <c r="C49" s="136"/>
      <c r="D49" s="136"/>
      <c r="E49" s="136"/>
      <c r="F49" s="136"/>
      <c r="G49" s="137"/>
      <c r="H49" s="48">
        <f>SUM(H43:H48)</f>
        <v>341416183</v>
      </c>
      <c r="I49" s="130"/>
      <c r="J49" s="77"/>
      <c r="K49" s="44"/>
      <c r="L49" s="66">
        <v>4107244</v>
      </c>
      <c r="M49" s="66"/>
      <c r="N49" s="67"/>
      <c r="O49" s="73"/>
      <c r="P49" s="73"/>
    </row>
    <row r="50" spans="1:16" s="4" customFormat="1" ht="15.75" thickBot="1">
      <c r="A50" s="115"/>
      <c r="B50" s="117" t="s">
        <v>33</v>
      </c>
      <c r="C50" s="118"/>
      <c r="D50" s="118"/>
      <c r="E50" s="118"/>
      <c r="F50" s="118"/>
      <c r="G50" s="119"/>
      <c r="H50" s="31">
        <f>+H49/G48</f>
        <v>0.8670433638294227</v>
      </c>
      <c r="I50" s="138"/>
      <c r="J50" s="77"/>
      <c r="K50" s="44"/>
      <c r="L50" s="69"/>
      <c r="M50" s="68">
        <f>SUM(L43:M49)</f>
        <v>6706865</v>
      </c>
      <c r="N50" s="70">
        <f>SUM(N43:N49)</f>
        <v>334406</v>
      </c>
      <c r="O50" s="73"/>
      <c r="P50" s="73"/>
    </row>
    <row r="51" spans="1:16" s="4" customFormat="1" ht="19.5" customHeight="1">
      <c r="A51" s="123" t="s">
        <v>0</v>
      </c>
      <c r="B51" s="111" t="s">
        <v>2</v>
      </c>
      <c r="C51" s="126" t="s">
        <v>28</v>
      </c>
      <c r="D51" s="111" t="s">
        <v>3</v>
      </c>
      <c r="E51" s="111" t="s">
        <v>6</v>
      </c>
      <c r="F51" s="111"/>
      <c r="G51" s="112" t="s">
        <v>7</v>
      </c>
      <c r="H51" s="112"/>
      <c r="I51" s="113"/>
      <c r="J51" s="77"/>
      <c r="K51" s="44"/>
      <c r="L51" s="66"/>
      <c r="M51" s="66"/>
      <c r="N51" s="67"/>
      <c r="O51" s="73"/>
      <c r="P51" s="73"/>
    </row>
    <row r="52" spans="1:16" s="4" customFormat="1" ht="31.5" customHeight="1" thickBot="1">
      <c r="A52" s="124"/>
      <c r="B52" s="125"/>
      <c r="C52" s="127"/>
      <c r="D52" s="128"/>
      <c r="E52" s="19" t="s">
        <v>8</v>
      </c>
      <c r="F52" s="19" t="s">
        <v>9</v>
      </c>
      <c r="G52" s="33" t="s">
        <v>10</v>
      </c>
      <c r="H52" s="33" t="s">
        <v>11</v>
      </c>
      <c r="I52" s="34" t="s">
        <v>12</v>
      </c>
      <c r="J52" s="77"/>
      <c r="K52" s="44"/>
      <c r="L52" s="66"/>
      <c r="M52" s="66"/>
      <c r="N52" s="67"/>
      <c r="O52" s="73"/>
      <c r="P52" s="73"/>
    </row>
    <row r="53" spans="1:16" s="4" customFormat="1" ht="30.75" customHeight="1">
      <c r="A53" s="114" t="s">
        <v>65</v>
      </c>
      <c r="B53" s="27" t="s">
        <v>59</v>
      </c>
      <c r="C53" s="29">
        <v>22</v>
      </c>
      <c r="D53" s="30" t="s">
        <v>63</v>
      </c>
      <c r="E53" s="11">
        <v>37</v>
      </c>
      <c r="F53" s="53">
        <v>13</v>
      </c>
      <c r="G53" s="46">
        <v>75000000</v>
      </c>
      <c r="H53" s="46">
        <f>+M60</f>
        <v>703930</v>
      </c>
      <c r="I53" s="47">
        <f>+G53-H53</f>
        <v>74296070</v>
      </c>
      <c r="J53" s="77"/>
      <c r="K53" s="44"/>
      <c r="L53" s="71">
        <v>951912</v>
      </c>
      <c r="M53" s="66">
        <v>69813</v>
      </c>
      <c r="N53" s="67">
        <v>412670</v>
      </c>
      <c r="O53" s="73"/>
      <c r="P53" s="73"/>
    </row>
    <row r="54" spans="1:16" s="4" customFormat="1" ht="30.75" customHeight="1">
      <c r="A54" s="115"/>
      <c r="B54" s="26" t="s">
        <v>60</v>
      </c>
      <c r="C54" s="29">
        <v>23</v>
      </c>
      <c r="D54" s="30" t="s">
        <v>63</v>
      </c>
      <c r="E54" s="84">
        <v>2</v>
      </c>
      <c r="F54" s="53">
        <v>0</v>
      </c>
      <c r="G54" s="46">
        <v>52513822</v>
      </c>
      <c r="H54" s="46">
        <v>0</v>
      </c>
      <c r="I54" s="47">
        <f>+G54-H54</f>
        <v>52513822</v>
      </c>
      <c r="J54" s="77"/>
      <c r="K54" s="44"/>
      <c r="L54" s="71">
        <f>280554*2</f>
        <v>561108</v>
      </c>
      <c r="M54" s="66">
        <f>105137*2</f>
        <v>210274</v>
      </c>
      <c r="N54" s="67"/>
      <c r="O54" s="73"/>
      <c r="P54" s="73"/>
    </row>
    <row r="55" spans="1:16" s="4" customFormat="1" ht="30.75" customHeight="1">
      <c r="A55" s="115"/>
      <c r="B55" s="25" t="s">
        <v>61</v>
      </c>
      <c r="C55" s="13"/>
      <c r="D55" s="30" t="s">
        <v>47</v>
      </c>
      <c r="E55" s="11">
        <v>60</v>
      </c>
      <c r="F55" s="53">
        <v>30</v>
      </c>
      <c r="G55" s="46">
        <v>197036178</v>
      </c>
      <c r="H55" s="46">
        <v>10040000</v>
      </c>
      <c r="I55" s="47">
        <f>+G55-H55</f>
        <v>186996178</v>
      </c>
      <c r="J55" s="77"/>
      <c r="K55" s="44"/>
      <c r="L55" s="71">
        <v>425686</v>
      </c>
      <c r="M55" s="66">
        <v>63158</v>
      </c>
      <c r="N55" s="67"/>
      <c r="O55" s="73"/>
      <c r="P55" s="73"/>
    </row>
    <row r="56" spans="1:16" s="4" customFormat="1" ht="30.75" customHeight="1">
      <c r="A56" s="115"/>
      <c r="B56" s="25" t="s">
        <v>62</v>
      </c>
      <c r="C56" s="13"/>
      <c r="D56" s="30" t="s">
        <v>64</v>
      </c>
      <c r="E56" s="11">
        <v>2</v>
      </c>
      <c r="F56" s="53">
        <v>0</v>
      </c>
      <c r="G56" s="46">
        <v>30000000</v>
      </c>
      <c r="H56" s="46">
        <v>0</v>
      </c>
      <c r="I56" s="47">
        <f>+G56-H56</f>
        <v>30000000</v>
      </c>
      <c r="J56" s="77"/>
      <c r="K56" s="44"/>
      <c r="L56" s="71">
        <v>215388</v>
      </c>
      <c r="M56" s="66">
        <v>75206</v>
      </c>
      <c r="N56" s="67"/>
      <c r="O56" s="73"/>
      <c r="P56" s="73"/>
    </row>
    <row r="57" spans="1:16" s="4" customFormat="1" ht="23.25" customHeight="1">
      <c r="A57" s="115"/>
      <c r="B57" s="5" t="s">
        <v>105</v>
      </c>
      <c r="C57" s="13"/>
      <c r="D57" s="30" t="s">
        <v>106</v>
      </c>
      <c r="E57" s="60">
        <v>1</v>
      </c>
      <c r="F57" s="60">
        <f>+H57/G57</f>
        <v>0.5970601834862386</v>
      </c>
      <c r="G57" s="49">
        <v>5450000</v>
      </c>
      <c r="H57" s="49">
        <f>401600+75340+L60+N60</f>
        <v>3253978</v>
      </c>
      <c r="I57" s="56">
        <f>+G57-H57</f>
        <v>2196022</v>
      </c>
      <c r="J57" s="77"/>
      <c r="K57" s="44"/>
      <c r="L57" s="71">
        <v>210274</v>
      </c>
      <c r="M57" s="66">
        <v>145297</v>
      </c>
      <c r="N57" s="67"/>
      <c r="O57" s="73"/>
      <c r="P57" s="73"/>
    </row>
    <row r="58" spans="1:16" s="4" customFormat="1" ht="15">
      <c r="A58" s="115"/>
      <c r="B58" s="117" t="s">
        <v>31</v>
      </c>
      <c r="C58" s="118"/>
      <c r="D58" s="118"/>
      <c r="E58" s="118"/>
      <c r="F58" s="119"/>
      <c r="G58" s="48">
        <f>SUM(G53:G57)</f>
        <v>360000000</v>
      </c>
      <c r="H58" s="20"/>
      <c r="I58" s="129">
        <f>SUM(I53:I57)</f>
        <v>346002092</v>
      </c>
      <c r="J58" s="77"/>
      <c r="K58" s="44"/>
      <c r="L58" s="71"/>
      <c r="M58" s="66">
        <f>70091*2</f>
        <v>140182</v>
      </c>
      <c r="N58" s="67"/>
      <c r="O58" s="73"/>
      <c r="P58" s="73"/>
    </row>
    <row r="59" spans="1:16" s="4" customFormat="1" ht="15">
      <c r="A59" s="115"/>
      <c r="B59" s="117" t="s">
        <v>32</v>
      </c>
      <c r="C59" s="118"/>
      <c r="D59" s="118"/>
      <c r="E59" s="118"/>
      <c r="F59" s="118"/>
      <c r="G59" s="119"/>
      <c r="H59" s="48">
        <f>SUM(H53:H58)</f>
        <v>13997908</v>
      </c>
      <c r="I59" s="130"/>
      <c r="J59" s="77"/>
      <c r="K59" s="44"/>
      <c r="L59" s="71"/>
      <c r="M59" s="66"/>
      <c r="N59" s="67"/>
      <c r="O59" s="73"/>
      <c r="P59" s="73"/>
    </row>
    <row r="60" spans="1:16" s="4" customFormat="1" ht="15.75" thickBot="1">
      <c r="A60" s="115"/>
      <c r="B60" s="117" t="s">
        <v>33</v>
      </c>
      <c r="C60" s="118"/>
      <c r="D60" s="118"/>
      <c r="E60" s="118"/>
      <c r="F60" s="118"/>
      <c r="G60" s="119"/>
      <c r="H60" s="31">
        <f>+H59/G58</f>
        <v>0.038883077777777775</v>
      </c>
      <c r="I60" s="131"/>
      <c r="J60" s="77"/>
      <c r="K60" s="44"/>
      <c r="L60" s="68">
        <f>SUM(L53:L59)</f>
        <v>2364368</v>
      </c>
      <c r="M60" s="68">
        <f>SUM(M53:M59)</f>
        <v>703930</v>
      </c>
      <c r="N60" s="70">
        <f>SUM(N53:N59)</f>
        <v>412670</v>
      </c>
      <c r="O60" s="73"/>
      <c r="P60" s="73"/>
    </row>
    <row r="61" spans="1:16" s="4" customFormat="1" ht="21.75" customHeight="1">
      <c r="A61" s="123" t="s">
        <v>0</v>
      </c>
      <c r="B61" s="111" t="s">
        <v>2</v>
      </c>
      <c r="C61" s="126" t="s">
        <v>28</v>
      </c>
      <c r="D61" s="111" t="s">
        <v>3</v>
      </c>
      <c r="E61" s="111" t="s">
        <v>6</v>
      </c>
      <c r="F61" s="111"/>
      <c r="G61" s="112" t="s">
        <v>7</v>
      </c>
      <c r="H61" s="112"/>
      <c r="I61" s="113"/>
      <c r="J61" s="77"/>
      <c r="K61" s="44"/>
      <c r="L61" s="66"/>
      <c r="M61" s="66"/>
      <c r="N61" s="67"/>
      <c r="O61" s="73"/>
      <c r="P61" s="73"/>
    </row>
    <row r="62" spans="1:16" s="4" customFormat="1" ht="30.75" customHeight="1" thickBot="1">
      <c r="A62" s="124"/>
      <c r="B62" s="125"/>
      <c r="C62" s="127"/>
      <c r="D62" s="128"/>
      <c r="E62" s="19" t="s">
        <v>8</v>
      </c>
      <c r="F62" s="19" t="s">
        <v>9</v>
      </c>
      <c r="G62" s="33" t="s">
        <v>10</v>
      </c>
      <c r="H62" s="33" t="s">
        <v>11</v>
      </c>
      <c r="I62" s="34" t="s">
        <v>12</v>
      </c>
      <c r="J62" s="77"/>
      <c r="K62" s="44"/>
      <c r="L62" s="66"/>
      <c r="M62" s="66"/>
      <c r="N62" s="67"/>
      <c r="O62" s="73"/>
      <c r="P62" s="73"/>
    </row>
    <row r="63" spans="1:16" s="4" customFormat="1" ht="50.25" customHeight="1">
      <c r="A63" s="132" t="s">
        <v>80</v>
      </c>
      <c r="B63" s="27" t="s">
        <v>66</v>
      </c>
      <c r="C63" s="29">
        <v>16</v>
      </c>
      <c r="D63" s="30" t="s">
        <v>50</v>
      </c>
      <c r="E63" s="11">
        <v>90</v>
      </c>
      <c r="F63" s="87">
        <v>100</v>
      </c>
      <c r="G63" s="50">
        <v>16593045</v>
      </c>
      <c r="H63" s="50">
        <v>13832045</v>
      </c>
      <c r="I63" s="47">
        <f>+G63-H63</f>
        <v>2761000</v>
      </c>
      <c r="J63" s="77"/>
      <c r="K63" s="44"/>
      <c r="L63" s="66">
        <v>232514</v>
      </c>
      <c r="M63" s="66">
        <v>77615</v>
      </c>
      <c r="N63" s="67">
        <v>233394</v>
      </c>
      <c r="O63" s="73">
        <v>18676636</v>
      </c>
      <c r="P63" s="73">
        <v>282726</v>
      </c>
    </row>
    <row r="64" spans="1:16" s="4" customFormat="1" ht="30.75" customHeight="1">
      <c r="A64" s="133"/>
      <c r="B64" s="26" t="s">
        <v>67</v>
      </c>
      <c r="C64" s="29">
        <v>18</v>
      </c>
      <c r="D64" s="30" t="s">
        <v>30</v>
      </c>
      <c r="E64" s="11">
        <v>90</v>
      </c>
      <c r="F64" s="87">
        <v>88</v>
      </c>
      <c r="G64" s="50">
        <v>0</v>
      </c>
      <c r="H64" s="50">
        <v>0</v>
      </c>
      <c r="I64" s="47">
        <f aca="true" t="shared" si="2" ref="I64:I73">+G64-H64</f>
        <v>0</v>
      </c>
      <c r="J64" s="77"/>
      <c r="K64" s="44"/>
      <c r="L64" s="66">
        <v>1500642</v>
      </c>
      <c r="M64" s="66">
        <f>63158*2</f>
        <v>126316</v>
      </c>
      <c r="N64" s="67">
        <v>355370</v>
      </c>
      <c r="O64" s="73">
        <v>353408</v>
      </c>
      <c r="P64" s="73">
        <v>135540</v>
      </c>
    </row>
    <row r="65" spans="1:16" s="4" customFormat="1" ht="30.75" customHeight="1">
      <c r="A65" s="133"/>
      <c r="B65" s="26" t="s">
        <v>68</v>
      </c>
      <c r="C65" s="29">
        <v>17</v>
      </c>
      <c r="D65" s="30" t="s">
        <v>50</v>
      </c>
      <c r="E65" s="11">
        <v>50</v>
      </c>
      <c r="F65" s="87">
        <v>52</v>
      </c>
      <c r="G65" s="50">
        <v>0</v>
      </c>
      <c r="H65" s="50">
        <v>0</v>
      </c>
      <c r="I65" s="47">
        <f t="shared" si="2"/>
        <v>0</v>
      </c>
      <c r="J65" s="77"/>
      <c r="K65" s="44"/>
      <c r="L65" s="66">
        <v>75206</v>
      </c>
      <c r="M65" s="66">
        <v>184478</v>
      </c>
      <c r="N65" s="67">
        <v>553359</v>
      </c>
      <c r="O65" s="73">
        <v>494471</v>
      </c>
      <c r="P65" s="73">
        <v>211643</v>
      </c>
    </row>
    <row r="66" spans="1:16" s="4" customFormat="1" ht="39" customHeight="1">
      <c r="A66" s="133"/>
      <c r="B66" s="26" t="s">
        <v>69</v>
      </c>
      <c r="C66" s="29">
        <v>11</v>
      </c>
      <c r="D66" s="30" t="s">
        <v>50</v>
      </c>
      <c r="E66" s="11">
        <v>95</v>
      </c>
      <c r="F66" s="87" t="s">
        <v>108</v>
      </c>
      <c r="G66" s="50">
        <v>0</v>
      </c>
      <c r="H66" s="50">
        <v>0</v>
      </c>
      <c r="I66" s="47">
        <f t="shared" si="2"/>
        <v>0</v>
      </c>
      <c r="J66" s="77"/>
      <c r="K66" s="44"/>
      <c r="L66" s="66">
        <v>340670</v>
      </c>
      <c r="M66" s="66">
        <v>43078</v>
      </c>
      <c r="N66" s="67"/>
      <c r="O66" s="73">
        <v>282726</v>
      </c>
      <c r="P66" s="73"/>
    </row>
    <row r="67" spans="1:16" s="4" customFormat="1" ht="39.75" customHeight="1">
      <c r="A67" s="133"/>
      <c r="B67" s="26" t="s">
        <v>70</v>
      </c>
      <c r="C67" s="29">
        <v>15</v>
      </c>
      <c r="D67" s="30" t="s">
        <v>76</v>
      </c>
      <c r="E67" s="11">
        <v>1</v>
      </c>
      <c r="F67" s="87">
        <v>0</v>
      </c>
      <c r="G67" s="50">
        <v>50000000</v>
      </c>
      <c r="H67" s="50">
        <v>0</v>
      </c>
      <c r="I67" s="47">
        <f t="shared" si="2"/>
        <v>50000000</v>
      </c>
      <c r="J67" s="77">
        <v>11995792</v>
      </c>
      <c r="K67" s="44"/>
      <c r="L67" s="66">
        <v>63653</v>
      </c>
      <c r="M67" s="66">
        <v>409786</v>
      </c>
      <c r="N67" s="67"/>
      <c r="O67" s="73">
        <v>565453</v>
      </c>
      <c r="P67" s="73"/>
    </row>
    <row r="68" spans="1:16" s="4" customFormat="1" ht="50.25" customHeight="1">
      <c r="A68" s="133"/>
      <c r="B68" s="26" t="s">
        <v>71</v>
      </c>
      <c r="C68" s="29">
        <v>24</v>
      </c>
      <c r="D68" s="30" t="s">
        <v>50</v>
      </c>
      <c r="E68" s="11">
        <v>60</v>
      </c>
      <c r="F68" s="87">
        <v>58</v>
      </c>
      <c r="G68" s="50">
        <v>144289760</v>
      </c>
      <c r="H68" s="50">
        <f>3998597*2+2510000+P76/2+11044000/2+5321200/2+7195218*2+9999840/2+4819200/2+11044000/2+9638400/2+8534000/2</f>
        <v>66943000</v>
      </c>
      <c r="I68" s="47">
        <f>+G68-H68</f>
        <v>77346760</v>
      </c>
      <c r="J68" s="77">
        <f>+J67/3</f>
        <v>3998597.3333333335</v>
      </c>
      <c r="K68" s="44"/>
      <c r="L68" s="66">
        <v>255412</v>
      </c>
      <c r="M68" s="66">
        <v>135257</v>
      </c>
      <c r="N68" s="67"/>
      <c r="O68" s="73">
        <f>212045*2</f>
        <v>424090</v>
      </c>
      <c r="P68" s="73"/>
    </row>
    <row r="69" spans="1:16" s="4" customFormat="1" ht="30.75" customHeight="1">
      <c r="A69" s="133"/>
      <c r="B69" s="25" t="s">
        <v>72</v>
      </c>
      <c r="C69" s="2"/>
      <c r="D69" s="30" t="s">
        <v>77</v>
      </c>
      <c r="E69" s="11">
        <v>10</v>
      </c>
      <c r="F69" s="87">
        <v>0</v>
      </c>
      <c r="G69" s="46">
        <v>83222800</v>
      </c>
      <c r="H69" s="46">
        <f>3998597*2+6927600+8126376+3012000</f>
        <v>26063170</v>
      </c>
      <c r="I69" s="47">
        <f t="shared" si="2"/>
        <v>57159630</v>
      </c>
      <c r="J69" s="77"/>
      <c r="K69" s="44"/>
      <c r="L69" s="66">
        <v>191507</v>
      </c>
      <c r="M69" s="66">
        <v>51136</v>
      </c>
      <c r="N69" s="67"/>
      <c r="O69" s="73">
        <v>247386</v>
      </c>
      <c r="P69" s="73"/>
    </row>
    <row r="70" spans="1:16" s="4" customFormat="1" ht="30.75" customHeight="1">
      <c r="A70" s="133"/>
      <c r="B70" s="25" t="s">
        <v>73</v>
      </c>
      <c r="C70" s="2"/>
      <c r="D70" s="30" t="s">
        <v>78</v>
      </c>
      <c r="E70" s="11">
        <v>4</v>
      </c>
      <c r="F70" s="87">
        <v>0</v>
      </c>
      <c r="G70" s="46">
        <v>50000000</v>
      </c>
      <c r="H70" s="46">
        <v>0</v>
      </c>
      <c r="I70" s="47">
        <f t="shared" si="2"/>
        <v>50000000</v>
      </c>
      <c r="J70" s="77"/>
      <c r="K70" s="44"/>
      <c r="L70" s="66">
        <v>203340</v>
      </c>
      <c r="M70" s="66">
        <v>67199</v>
      </c>
      <c r="N70" s="67"/>
      <c r="O70" s="73">
        <v>459430</v>
      </c>
      <c r="P70" s="73"/>
    </row>
    <row r="71" spans="1:16" s="4" customFormat="1" ht="30.75" customHeight="1">
      <c r="A71" s="133"/>
      <c r="B71" s="25" t="s">
        <v>74</v>
      </c>
      <c r="C71" s="2"/>
      <c r="D71" s="30" t="s">
        <v>79</v>
      </c>
      <c r="E71" s="11">
        <v>1</v>
      </c>
      <c r="F71" s="87">
        <v>1</v>
      </c>
      <c r="G71" s="46">
        <v>130854999</v>
      </c>
      <c r="H71" s="46">
        <f>2811200+72990800+55052999</f>
        <v>130854999</v>
      </c>
      <c r="I71" s="47">
        <f t="shared" si="2"/>
        <v>0</v>
      </c>
      <c r="J71" s="77"/>
      <c r="K71" s="44"/>
      <c r="L71" s="66">
        <v>90266</v>
      </c>
      <c r="M71" s="66">
        <v>315411</v>
      </c>
      <c r="N71" s="67"/>
      <c r="O71" s="73">
        <v>388749</v>
      </c>
      <c r="P71" s="73"/>
    </row>
    <row r="72" spans="1:16" s="4" customFormat="1" ht="30.75" customHeight="1">
      <c r="A72" s="133"/>
      <c r="B72" s="25" t="s">
        <v>75</v>
      </c>
      <c r="C72" s="2"/>
      <c r="D72" s="30" t="s">
        <v>50</v>
      </c>
      <c r="E72" s="11">
        <v>60</v>
      </c>
      <c r="F72" s="87">
        <v>66</v>
      </c>
      <c r="G72" s="46">
        <v>187953964</v>
      </c>
      <c r="H72" s="46">
        <f>3998597*2+2833690+P76/2+11044000/2+5321200/2+7195218*2+9999840/2+4819200/2+11044000/2+9638400/2+8534000/2</f>
        <v>67266690</v>
      </c>
      <c r="I72" s="47">
        <f t="shared" si="2"/>
        <v>120687274</v>
      </c>
      <c r="J72" s="77"/>
      <c r="K72" s="44"/>
      <c r="L72" s="66">
        <f>199513*2</f>
        <v>399026</v>
      </c>
      <c r="M72" s="66">
        <v>75206</v>
      </c>
      <c r="N72" s="67"/>
      <c r="O72" s="73">
        <v>318067</v>
      </c>
      <c r="P72" s="73"/>
    </row>
    <row r="73" spans="1:16" s="4" customFormat="1" ht="21" customHeight="1">
      <c r="A73" s="133"/>
      <c r="B73" s="5" t="s">
        <v>105</v>
      </c>
      <c r="C73" s="2"/>
      <c r="D73" s="30" t="s">
        <v>106</v>
      </c>
      <c r="E73" s="60">
        <v>1</v>
      </c>
      <c r="F73" s="88">
        <f>+H73/G73</f>
        <v>0.44758388812677247</v>
      </c>
      <c r="G73" s="49">
        <v>49154781</v>
      </c>
      <c r="H73" s="46">
        <f>+M76+N76+14385312+536136</f>
        <v>22000888</v>
      </c>
      <c r="I73" s="56">
        <f t="shared" si="2"/>
        <v>27153893</v>
      </c>
      <c r="J73" s="77"/>
      <c r="K73" s="44"/>
      <c r="L73" s="66">
        <v>333243</v>
      </c>
      <c r="M73" s="66"/>
      <c r="N73" s="67"/>
      <c r="O73" s="73">
        <v>425686</v>
      </c>
      <c r="P73" s="73"/>
    </row>
    <row r="74" spans="1:16" s="4" customFormat="1" ht="15">
      <c r="A74" s="133"/>
      <c r="B74" s="117" t="s">
        <v>31</v>
      </c>
      <c r="C74" s="118"/>
      <c r="D74" s="118"/>
      <c r="E74" s="118"/>
      <c r="F74" s="119"/>
      <c r="G74" s="48">
        <f>SUM(G63:G73)</f>
        <v>712069349</v>
      </c>
      <c r="H74" s="12"/>
      <c r="I74" s="129">
        <f>SUM(I63:I73)</f>
        <v>385108557</v>
      </c>
      <c r="J74" s="77"/>
      <c r="K74" s="44"/>
      <c r="L74" s="66">
        <v>340670</v>
      </c>
      <c r="M74" s="66"/>
      <c r="N74" s="67"/>
      <c r="O74" s="73">
        <v>282726</v>
      </c>
      <c r="P74" s="73"/>
    </row>
    <row r="75" spans="1:16" s="4" customFormat="1" ht="15">
      <c r="A75" s="133"/>
      <c r="B75" s="117" t="s">
        <v>32</v>
      </c>
      <c r="C75" s="118"/>
      <c r="D75" s="118"/>
      <c r="E75" s="118"/>
      <c r="F75" s="118"/>
      <c r="G75" s="119"/>
      <c r="H75" s="48">
        <f>+H63+H64+H65+H66+H67+H68+H69+H70+H71+H72+H73</f>
        <v>326960792</v>
      </c>
      <c r="I75" s="130"/>
      <c r="J75" s="77"/>
      <c r="K75" s="44"/>
      <c r="L75" s="66">
        <v>425686</v>
      </c>
      <c r="M75" s="66"/>
      <c r="N75" s="67"/>
      <c r="O75" s="73">
        <v>141363</v>
      </c>
      <c r="P75" s="73"/>
    </row>
    <row r="76" spans="1:16" s="4" customFormat="1" ht="15.75" thickBot="1">
      <c r="A76" s="134"/>
      <c r="B76" s="117" t="s">
        <v>33</v>
      </c>
      <c r="C76" s="118"/>
      <c r="D76" s="118"/>
      <c r="E76" s="118"/>
      <c r="F76" s="118"/>
      <c r="G76" s="119"/>
      <c r="H76" s="31">
        <f>+H75/G74</f>
        <v>0.45916987223108235</v>
      </c>
      <c r="I76" s="131"/>
      <c r="J76" s="77"/>
      <c r="K76" s="44"/>
      <c r="L76" s="76"/>
      <c r="M76" s="76">
        <f>SUM(L63:M75)</f>
        <v>5937317</v>
      </c>
      <c r="N76" s="76">
        <f>SUM(N63:N75)</f>
        <v>1142123</v>
      </c>
      <c r="O76" s="76"/>
      <c r="P76" s="76">
        <f>SUM(O63:P75)</f>
        <v>23690100</v>
      </c>
    </row>
    <row r="77" spans="1:16" s="4" customFormat="1" ht="19.5" customHeight="1">
      <c r="A77" s="123" t="s">
        <v>0</v>
      </c>
      <c r="B77" s="111" t="s">
        <v>2</v>
      </c>
      <c r="C77" s="126" t="s">
        <v>28</v>
      </c>
      <c r="D77" s="111" t="s">
        <v>3</v>
      </c>
      <c r="E77" s="111" t="s">
        <v>6</v>
      </c>
      <c r="F77" s="111"/>
      <c r="G77" s="112" t="s">
        <v>7</v>
      </c>
      <c r="H77" s="112"/>
      <c r="I77" s="113"/>
      <c r="J77" s="77"/>
      <c r="K77" s="44"/>
      <c r="L77" s="66"/>
      <c r="M77" s="66"/>
      <c r="N77" s="67"/>
      <c r="O77" s="73"/>
      <c r="P77" s="73"/>
    </row>
    <row r="78" spans="1:16" s="4" customFormat="1" ht="30.75" customHeight="1" thickBot="1">
      <c r="A78" s="124"/>
      <c r="B78" s="125"/>
      <c r="C78" s="127"/>
      <c r="D78" s="128"/>
      <c r="E78" s="19" t="s">
        <v>8</v>
      </c>
      <c r="F78" s="19" t="s">
        <v>9</v>
      </c>
      <c r="G78" s="33" t="s">
        <v>10</v>
      </c>
      <c r="H78" s="33" t="s">
        <v>11</v>
      </c>
      <c r="I78" s="34" t="s">
        <v>12</v>
      </c>
      <c r="J78" s="77"/>
      <c r="K78" s="44"/>
      <c r="L78" s="66"/>
      <c r="M78" s="66"/>
      <c r="N78" s="67"/>
      <c r="O78" s="73"/>
      <c r="P78" s="73"/>
    </row>
    <row r="79" spans="1:16" s="4" customFormat="1" ht="36" customHeight="1">
      <c r="A79" s="114" t="s">
        <v>89</v>
      </c>
      <c r="B79" s="37" t="s">
        <v>81</v>
      </c>
      <c r="C79" s="5"/>
      <c r="D79" s="30" t="s">
        <v>85</v>
      </c>
      <c r="E79" s="11">
        <v>25000</v>
      </c>
      <c r="F79" s="53">
        <v>12500</v>
      </c>
      <c r="G79" s="46">
        <v>73059072</v>
      </c>
      <c r="H79" s="46">
        <v>5590272</v>
      </c>
      <c r="I79" s="51">
        <f>+G79-H79</f>
        <v>67468800</v>
      </c>
      <c r="J79" s="77"/>
      <c r="K79" s="44"/>
      <c r="L79" s="66"/>
      <c r="M79" s="66"/>
      <c r="N79" s="67"/>
      <c r="O79" s="73"/>
      <c r="P79" s="73"/>
    </row>
    <row r="80" spans="1:16" s="4" customFormat="1" ht="36">
      <c r="A80" s="115"/>
      <c r="B80" s="25" t="s">
        <v>82</v>
      </c>
      <c r="C80" s="5"/>
      <c r="D80" s="30" t="s">
        <v>86</v>
      </c>
      <c r="E80" s="11">
        <v>5000</v>
      </c>
      <c r="F80" s="53">
        <v>1000</v>
      </c>
      <c r="G80" s="46">
        <v>3012000</v>
      </c>
      <c r="H80" s="46">
        <v>3012000</v>
      </c>
      <c r="I80" s="51">
        <f>+G80-H80</f>
        <v>0</v>
      </c>
      <c r="J80" s="77"/>
      <c r="K80" s="44"/>
      <c r="L80" s="66"/>
      <c r="M80" s="66"/>
      <c r="N80" s="67"/>
      <c r="O80" s="73"/>
      <c r="P80" s="73"/>
    </row>
    <row r="81" spans="1:16" s="4" customFormat="1" ht="36">
      <c r="A81" s="115"/>
      <c r="B81" s="25" t="s">
        <v>83</v>
      </c>
      <c r="C81" s="5"/>
      <c r="D81" s="30" t="s">
        <v>87</v>
      </c>
      <c r="E81" s="11">
        <v>10000</v>
      </c>
      <c r="F81" s="87">
        <v>1000</v>
      </c>
      <c r="G81" s="46">
        <v>68711728</v>
      </c>
      <c r="H81" s="46">
        <f>3012000+10040000+2409600+3012000</f>
        <v>18473600</v>
      </c>
      <c r="I81" s="51">
        <f>+G81-H81</f>
        <v>50238128</v>
      </c>
      <c r="J81" s="77"/>
      <c r="K81" s="44"/>
      <c r="L81" s="66"/>
      <c r="M81" s="66"/>
      <c r="N81" s="67"/>
      <c r="O81" s="73"/>
      <c r="P81" s="73"/>
    </row>
    <row r="82" spans="1:16" s="4" customFormat="1" ht="24">
      <c r="A82" s="115"/>
      <c r="B82" s="25" t="s">
        <v>84</v>
      </c>
      <c r="C82" s="5"/>
      <c r="D82" s="30" t="s">
        <v>88</v>
      </c>
      <c r="E82" s="11">
        <v>3</v>
      </c>
      <c r="F82" s="53">
        <v>1</v>
      </c>
      <c r="G82" s="46">
        <v>4016000</v>
      </c>
      <c r="H82" s="46">
        <v>4016000</v>
      </c>
      <c r="I82" s="51">
        <f>+G82-H82</f>
        <v>0</v>
      </c>
      <c r="J82" s="77"/>
      <c r="K82" s="44"/>
      <c r="L82" s="66"/>
      <c r="M82" s="66"/>
      <c r="N82" s="67"/>
      <c r="O82" s="73"/>
      <c r="P82" s="73"/>
    </row>
    <row r="83" spans="1:16" s="4" customFormat="1" ht="15">
      <c r="A83" s="115"/>
      <c r="B83" s="5" t="s">
        <v>105</v>
      </c>
      <c r="C83" s="5"/>
      <c r="D83" s="30" t="s">
        <v>106</v>
      </c>
      <c r="E83" s="60">
        <v>1</v>
      </c>
      <c r="F83" s="60">
        <f>+H83/G83</f>
        <v>0.04242785467743657</v>
      </c>
      <c r="G83" s="49">
        <v>11241200</v>
      </c>
      <c r="H83" s="46">
        <f>401600+75340</f>
        <v>476940</v>
      </c>
      <c r="I83" s="57">
        <f>+G83-H83</f>
        <v>10764260</v>
      </c>
      <c r="J83" s="77"/>
      <c r="K83" s="44"/>
      <c r="L83" s="66"/>
      <c r="M83" s="66"/>
      <c r="N83" s="67"/>
      <c r="O83" s="73"/>
      <c r="P83" s="73"/>
    </row>
    <row r="84" spans="1:16" s="4" customFormat="1" ht="15">
      <c r="A84" s="115"/>
      <c r="B84" s="117" t="s">
        <v>31</v>
      </c>
      <c r="C84" s="118"/>
      <c r="D84" s="118"/>
      <c r="E84" s="118"/>
      <c r="F84" s="119"/>
      <c r="G84" s="48">
        <f>SUM(G79:G83)</f>
        <v>160040000</v>
      </c>
      <c r="H84" s="12"/>
      <c r="I84" s="129">
        <f>SUM(I79:I83)</f>
        <v>128471188</v>
      </c>
      <c r="J84" s="77"/>
      <c r="K84" s="44"/>
      <c r="L84" s="66"/>
      <c r="M84" s="66"/>
      <c r="N84" s="67"/>
      <c r="O84" s="73"/>
      <c r="P84" s="73"/>
    </row>
    <row r="85" spans="1:16" s="4" customFormat="1" ht="15">
      <c r="A85" s="115"/>
      <c r="B85" s="117" t="s">
        <v>32</v>
      </c>
      <c r="C85" s="118"/>
      <c r="D85" s="118"/>
      <c r="E85" s="118"/>
      <c r="F85" s="118"/>
      <c r="G85" s="119"/>
      <c r="H85" s="48">
        <f>SUM(H79:H84)</f>
        <v>31568812</v>
      </c>
      <c r="I85" s="130"/>
      <c r="J85" s="77"/>
      <c r="K85" s="44"/>
      <c r="L85" s="66"/>
      <c r="M85" s="66"/>
      <c r="N85" s="67"/>
      <c r="O85" s="73"/>
      <c r="P85" s="73"/>
    </row>
    <row r="86" spans="1:16" s="4" customFormat="1" ht="15.75" thickBot="1">
      <c r="A86" s="115"/>
      <c r="B86" s="117" t="s">
        <v>33</v>
      </c>
      <c r="C86" s="118"/>
      <c r="D86" s="118"/>
      <c r="E86" s="118"/>
      <c r="F86" s="118"/>
      <c r="G86" s="119"/>
      <c r="H86" s="31">
        <f>+H85/G84</f>
        <v>0.19725576105973508</v>
      </c>
      <c r="I86" s="131"/>
      <c r="J86" s="77"/>
      <c r="K86" s="44"/>
      <c r="L86" s="66"/>
      <c r="M86" s="66"/>
      <c r="N86" s="67"/>
      <c r="O86" s="73"/>
      <c r="P86" s="73"/>
    </row>
    <row r="87" spans="1:16" s="4" customFormat="1" ht="26.25" customHeight="1">
      <c r="A87" s="123" t="s">
        <v>0</v>
      </c>
      <c r="B87" s="111" t="s">
        <v>2</v>
      </c>
      <c r="C87" s="126" t="s">
        <v>28</v>
      </c>
      <c r="D87" s="111" t="s">
        <v>3</v>
      </c>
      <c r="E87" s="111" t="s">
        <v>6</v>
      </c>
      <c r="F87" s="111"/>
      <c r="G87" s="112" t="s">
        <v>7</v>
      </c>
      <c r="H87" s="112"/>
      <c r="I87" s="113"/>
      <c r="J87" s="77"/>
      <c r="K87" s="44"/>
      <c r="L87" s="66"/>
      <c r="M87" s="66"/>
      <c r="N87" s="67"/>
      <c r="O87" s="73"/>
      <c r="P87" s="73"/>
    </row>
    <row r="88" spans="1:16" s="4" customFormat="1" ht="33" customHeight="1" thickBot="1">
      <c r="A88" s="124"/>
      <c r="B88" s="125"/>
      <c r="C88" s="127"/>
      <c r="D88" s="128"/>
      <c r="E88" s="19" t="s">
        <v>8</v>
      </c>
      <c r="F88" s="19" t="s">
        <v>9</v>
      </c>
      <c r="G88" s="33" t="s">
        <v>10</v>
      </c>
      <c r="H88" s="33" t="s">
        <v>11</v>
      </c>
      <c r="I88" s="34" t="s">
        <v>12</v>
      </c>
      <c r="J88" s="77"/>
      <c r="K88" s="44"/>
      <c r="L88" s="66"/>
      <c r="M88" s="66"/>
      <c r="N88" s="67"/>
      <c r="O88" s="73"/>
      <c r="P88" s="73"/>
    </row>
    <row r="89" spans="1:16" s="4" customFormat="1" ht="27" customHeight="1">
      <c r="A89" s="114" t="s">
        <v>102</v>
      </c>
      <c r="B89" s="37" t="s">
        <v>90</v>
      </c>
      <c r="C89" s="13"/>
      <c r="D89" s="30" t="s">
        <v>97</v>
      </c>
      <c r="E89" s="11">
        <v>25</v>
      </c>
      <c r="F89" s="53">
        <v>4</v>
      </c>
      <c r="G89" s="46">
        <v>233696634</v>
      </c>
      <c r="H89" s="46">
        <f>10209234+6806156+3403079</f>
        <v>20418469</v>
      </c>
      <c r="I89" s="47">
        <f>+G89-H89</f>
        <v>213278165</v>
      </c>
      <c r="J89" s="77"/>
      <c r="K89" s="44"/>
      <c r="L89" s="66">
        <v>70091</v>
      </c>
      <c r="M89" s="66"/>
      <c r="N89" s="67">
        <v>413662</v>
      </c>
      <c r="O89" s="73"/>
      <c r="P89" s="73"/>
    </row>
    <row r="90" spans="1:16" s="4" customFormat="1" ht="38.25">
      <c r="A90" s="115"/>
      <c r="B90" s="25" t="s">
        <v>91</v>
      </c>
      <c r="C90" s="13"/>
      <c r="D90" s="30" t="s">
        <v>98</v>
      </c>
      <c r="E90" s="11">
        <v>90</v>
      </c>
      <c r="F90" s="53">
        <v>10</v>
      </c>
      <c r="G90" s="46">
        <v>136122392</v>
      </c>
      <c r="H90" s="46">
        <f>8337216+4550630+3740904</f>
        <v>16628750</v>
      </c>
      <c r="I90" s="47">
        <f>+G90-H90</f>
        <v>119493642</v>
      </c>
      <c r="J90" s="77"/>
      <c r="K90" s="44"/>
      <c r="L90" s="66">
        <v>231452</v>
      </c>
      <c r="M90" s="66"/>
      <c r="N90" s="67">
        <v>607032</v>
      </c>
      <c r="O90" s="73"/>
      <c r="P90" s="73"/>
    </row>
    <row r="91" spans="1:16" s="4" customFormat="1" ht="21" customHeight="1">
      <c r="A91" s="115"/>
      <c r="B91" s="25" t="s">
        <v>92</v>
      </c>
      <c r="C91" s="13"/>
      <c r="D91" s="10" t="s">
        <v>99</v>
      </c>
      <c r="E91" s="11">
        <v>100</v>
      </c>
      <c r="F91" s="53">
        <v>50</v>
      </c>
      <c r="G91" s="46">
        <v>184616476</v>
      </c>
      <c r="H91" s="46">
        <f>6960732+2780076+3012000+84336+349392+12284340</f>
        <v>25470876</v>
      </c>
      <c r="I91" s="47">
        <f aca="true" t="shared" si="3" ref="I91:I96">+G91-H91</f>
        <v>159145600</v>
      </c>
      <c r="J91" s="77"/>
      <c r="K91" s="44"/>
      <c r="L91" s="66">
        <v>755549</v>
      </c>
      <c r="M91" s="66"/>
      <c r="N91" s="67">
        <v>709530</v>
      </c>
      <c r="O91" s="73"/>
      <c r="P91" s="73"/>
    </row>
    <row r="92" spans="1:16" s="4" customFormat="1" ht="28.5" customHeight="1">
      <c r="A92" s="115"/>
      <c r="B92" s="26" t="s">
        <v>93</v>
      </c>
      <c r="C92" s="29">
        <v>13</v>
      </c>
      <c r="D92" s="30" t="s">
        <v>1</v>
      </c>
      <c r="E92" s="11">
        <v>60</v>
      </c>
      <c r="F92" s="87">
        <v>0</v>
      </c>
      <c r="G92" s="46">
        <v>0</v>
      </c>
      <c r="H92" s="46">
        <v>0</v>
      </c>
      <c r="I92" s="47">
        <f t="shared" si="3"/>
        <v>0</v>
      </c>
      <c r="J92" s="77"/>
      <c r="K92" s="44"/>
      <c r="L92" s="66"/>
      <c r="M92" s="66"/>
      <c r="N92" s="67"/>
      <c r="O92" s="73"/>
      <c r="P92" s="73"/>
    </row>
    <row r="93" spans="1:16" s="4" customFormat="1" ht="28.5" customHeight="1">
      <c r="A93" s="115"/>
      <c r="B93" s="26" t="s">
        <v>94</v>
      </c>
      <c r="C93" s="29">
        <v>14</v>
      </c>
      <c r="D93" s="30" t="s">
        <v>1</v>
      </c>
      <c r="E93" s="11">
        <v>60</v>
      </c>
      <c r="F93" s="87">
        <v>0</v>
      </c>
      <c r="G93" s="46">
        <v>0</v>
      </c>
      <c r="H93" s="46">
        <v>0</v>
      </c>
      <c r="I93" s="47">
        <f t="shared" si="3"/>
        <v>0</v>
      </c>
      <c r="J93" s="77"/>
      <c r="K93" s="44"/>
      <c r="L93" s="66"/>
      <c r="M93" s="66"/>
      <c r="N93" s="67"/>
      <c r="O93" s="73"/>
      <c r="P93" s="73"/>
    </row>
    <row r="94" spans="1:16" s="4" customFormat="1" ht="28.5" customHeight="1">
      <c r="A94" s="115"/>
      <c r="B94" s="26" t="s">
        <v>95</v>
      </c>
      <c r="C94" s="29">
        <v>25</v>
      </c>
      <c r="D94" s="30" t="s">
        <v>100</v>
      </c>
      <c r="E94" s="11">
        <v>60</v>
      </c>
      <c r="F94" s="89">
        <v>52.6</v>
      </c>
      <c r="G94" s="46">
        <v>0</v>
      </c>
      <c r="H94" s="46">
        <v>0</v>
      </c>
      <c r="I94" s="47">
        <f t="shared" si="3"/>
        <v>0</v>
      </c>
      <c r="J94" s="77"/>
      <c r="K94" s="44"/>
      <c r="L94" s="66"/>
      <c r="M94" s="66"/>
      <c r="N94" s="67"/>
      <c r="O94" s="73"/>
      <c r="P94" s="73"/>
    </row>
    <row r="95" spans="1:16" s="4" customFormat="1" ht="36">
      <c r="A95" s="115"/>
      <c r="B95" s="25" t="s">
        <v>96</v>
      </c>
      <c r="C95" s="13"/>
      <c r="D95" s="30" t="s">
        <v>101</v>
      </c>
      <c r="E95" s="11">
        <v>2</v>
      </c>
      <c r="F95" s="53">
        <v>1</v>
      </c>
      <c r="G95" s="46">
        <v>10000000</v>
      </c>
      <c r="H95" s="46">
        <v>0</v>
      </c>
      <c r="I95" s="47">
        <f t="shared" si="3"/>
        <v>10000000</v>
      </c>
      <c r="J95" s="77"/>
      <c r="K95" s="44"/>
      <c r="L95" s="66"/>
      <c r="M95" s="66"/>
      <c r="N95" s="67"/>
      <c r="O95" s="73"/>
      <c r="P95" s="73"/>
    </row>
    <row r="96" spans="1:16" s="4" customFormat="1" ht="18.75" customHeight="1">
      <c r="A96" s="115"/>
      <c r="B96" s="5" t="s">
        <v>105</v>
      </c>
      <c r="C96" s="13"/>
      <c r="D96" s="30" t="s">
        <v>106</v>
      </c>
      <c r="E96" s="60">
        <v>1</v>
      </c>
      <c r="F96" s="60">
        <f>+H96/G96</f>
        <v>0.2872051354155943</v>
      </c>
      <c r="G96" s="49">
        <v>13025937</v>
      </c>
      <c r="H96" s="46">
        <f>803200+150600+L99+N99</f>
        <v>3741116</v>
      </c>
      <c r="I96" s="58">
        <f t="shared" si="3"/>
        <v>9284821</v>
      </c>
      <c r="J96" s="77"/>
      <c r="K96" s="44"/>
      <c r="L96" s="66"/>
      <c r="M96" s="66"/>
      <c r="N96" s="67"/>
      <c r="O96" s="73"/>
      <c r="P96" s="73"/>
    </row>
    <row r="97" spans="1:16" s="4" customFormat="1" ht="15">
      <c r="A97" s="115"/>
      <c r="B97" s="117" t="s">
        <v>31</v>
      </c>
      <c r="C97" s="118"/>
      <c r="D97" s="118"/>
      <c r="E97" s="118"/>
      <c r="F97" s="119"/>
      <c r="G97" s="48">
        <f>SUM(G89:G96)</f>
        <v>577461439</v>
      </c>
      <c r="H97" s="12"/>
      <c r="I97" s="120">
        <f>SUM(I89:I96)</f>
        <v>511202228</v>
      </c>
      <c r="J97" s="77"/>
      <c r="K97" s="44"/>
      <c r="L97" s="66"/>
      <c r="M97" s="66"/>
      <c r="N97" s="67"/>
      <c r="O97" s="73"/>
      <c r="P97" s="73"/>
    </row>
    <row r="98" spans="1:16" s="4" customFormat="1" ht="15">
      <c r="A98" s="115"/>
      <c r="B98" s="117" t="s">
        <v>32</v>
      </c>
      <c r="C98" s="118"/>
      <c r="D98" s="118"/>
      <c r="E98" s="118"/>
      <c r="F98" s="118"/>
      <c r="G98" s="119"/>
      <c r="H98" s="48">
        <f>SUM(H89:H97)</f>
        <v>66259211</v>
      </c>
      <c r="I98" s="121"/>
      <c r="J98" s="77"/>
      <c r="K98" s="44"/>
      <c r="L98" s="66"/>
      <c r="M98" s="66"/>
      <c r="N98" s="67"/>
      <c r="O98" s="73"/>
      <c r="P98" s="73"/>
    </row>
    <row r="99" spans="1:16" s="14" customFormat="1" ht="16.5" thickBot="1">
      <c r="A99" s="116"/>
      <c r="B99" s="117" t="s">
        <v>33</v>
      </c>
      <c r="C99" s="118"/>
      <c r="D99" s="118"/>
      <c r="E99" s="118"/>
      <c r="F99" s="118"/>
      <c r="G99" s="119"/>
      <c r="H99" s="38">
        <f>+H98/G97</f>
        <v>0.11474222610386284</v>
      </c>
      <c r="I99" s="122"/>
      <c r="J99" s="82"/>
      <c r="K99" s="45"/>
      <c r="L99" s="68">
        <f>SUM(L89:L98)</f>
        <v>1057092</v>
      </c>
      <c r="M99" s="68"/>
      <c r="N99" s="68">
        <f>SUM(N89:N98)</f>
        <v>1730224</v>
      </c>
      <c r="O99" s="75"/>
      <c r="P99" s="75"/>
    </row>
    <row r="100" spans="1:17" ht="24" customHeight="1">
      <c r="A100" s="101" t="s">
        <v>13</v>
      </c>
      <c r="B100" s="102"/>
      <c r="C100" s="102"/>
      <c r="D100" s="102"/>
      <c r="E100" s="102"/>
      <c r="F100" s="102"/>
      <c r="G100" s="103"/>
      <c r="H100" s="52">
        <f>+G97+G84+G74+G58+G48+G38+G19</f>
        <v>11283050250</v>
      </c>
      <c r="I100" s="104">
        <f>+I97+I84+I74+I58+I48+I38+I19</f>
        <v>6696125776</v>
      </c>
      <c r="K100" s="15"/>
      <c r="Q100" s="16"/>
    </row>
    <row r="101" spans="1:17" ht="24" customHeight="1">
      <c r="A101" s="105" t="s">
        <v>14</v>
      </c>
      <c r="B101" s="106"/>
      <c r="C101" s="106"/>
      <c r="D101" s="106"/>
      <c r="E101" s="106"/>
      <c r="F101" s="106"/>
      <c r="G101" s="107"/>
      <c r="H101" s="52">
        <f>+H98+H85+H75+H59+H49+H39+H20</f>
        <v>4562235167</v>
      </c>
      <c r="I101" s="104"/>
      <c r="K101" s="15"/>
      <c r="Q101" s="16"/>
    </row>
    <row r="102" spans="1:17" ht="24" customHeight="1" thickBot="1">
      <c r="A102" s="108" t="s">
        <v>15</v>
      </c>
      <c r="B102" s="109"/>
      <c r="C102" s="109"/>
      <c r="D102" s="109"/>
      <c r="E102" s="109"/>
      <c r="F102" s="109"/>
      <c r="G102" s="110"/>
      <c r="H102" s="39">
        <f>+H101/H100</f>
        <v>0.40434413265154073</v>
      </c>
      <c r="I102" s="104"/>
      <c r="K102" s="15"/>
      <c r="Q102" s="16"/>
    </row>
  </sheetData>
  <mergeCells count="89">
    <mergeCell ref="A1:H3"/>
    <mergeCell ref="A4:I4"/>
    <mergeCell ref="B5:D5"/>
    <mergeCell ref="G5:I5"/>
    <mergeCell ref="A6:I6"/>
    <mergeCell ref="A7:A8"/>
    <mergeCell ref="B7:B8"/>
    <mergeCell ref="C7:C8"/>
    <mergeCell ref="D7:D8"/>
    <mergeCell ref="E7:F7"/>
    <mergeCell ref="G7:I7"/>
    <mergeCell ref="A9:A21"/>
    <mergeCell ref="B19:F19"/>
    <mergeCell ref="I19:I21"/>
    <mergeCell ref="B20:G20"/>
    <mergeCell ref="B21:G21"/>
    <mergeCell ref="A22:A23"/>
    <mergeCell ref="B22:B23"/>
    <mergeCell ref="C22:C23"/>
    <mergeCell ref="D22:D23"/>
    <mergeCell ref="A24:A40"/>
    <mergeCell ref="G34:G35"/>
    <mergeCell ref="H34:H35"/>
    <mergeCell ref="I34:I35"/>
    <mergeCell ref="B38:F38"/>
    <mergeCell ref="I38:I40"/>
    <mergeCell ref="B39:G39"/>
    <mergeCell ref="B40:G40"/>
    <mergeCell ref="C41:C42"/>
    <mergeCell ref="D41:D42"/>
    <mergeCell ref="E22:F22"/>
    <mergeCell ref="G22:I22"/>
    <mergeCell ref="D51:D52"/>
    <mergeCell ref="E41:F41"/>
    <mergeCell ref="G41:I41"/>
    <mergeCell ref="A43:A50"/>
    <mergeCell ref="B48:F48"/>
    <mergeCell ref="I48:I50"/>
    <mergeCell ref="B49:G49"/>
    <mergeCell ref="B50:G50"/>
    <mergeCell ref="A41:A42"/>
    <mergeCell ref="B41:B42"/>
    <mergeCell ref="E51:F51"/>
    <mergeCell ref="G51:I51"/>
    <mergeCell ref="A53:A60"/>
    <mergeCell ref="B58:F58"/>
    <mergeCell ref="I58:I60"/>
    <mergeCell ref="B59:G59"/>
    <mergeCell ref="B60:G60"/>
    <mergeCell ref="A51:A52"/>
    <mergeCell ref="B51:B52"/>
    <mergeCell ref="C51:C52"/>
    <mergeCell ref="A61:A62"/>
    <mergeCell ref="B61:B62"/>
    <mergeCell ref="C61:C62"/>
    <mergeCell ref="D61:D62"/>
    <mergeCell ref="A63:A76"/>
    <mergeCell ref="B74:F74"/>
    <mergeCell ref="I74:I76"/>
    <mergeCell ref="B75:G75"/>
    <mergeCell ref="B76:G76"/>
    <mergeCell ref="C77:C78"/>
    <mergeCell ref="D77:D78"/>
    <mergeCell ref="E61:F61"/>
    <mergeCell ref="G61:I61"/>
    <mergeCell ref="D87:D88"/>
    <mergeCell ref="E77:F77"/>
    <mergeCell ref="G77:I77"/>
    <mergeCell ref="A79:A86"/>
    <mergeCell ref="B84:F84"/>
    <mergeCell ref="I84:I86"/>
    <mergeCell ref="B85:G85"/>
    <mergeCell ref="B86:G86"/>
    <mergeCell ref="A77:A78"/>
    <mergeCell ref="B77:B78"/>
    <mergeCell ref="E87:F87"/>
    <mergeCell ref="G87:I87"/>
    <mergeCell ref="A89:A99"/>
    <mergeCell ref="B97:F97"/>
    <mergeCell ref="I97:I99"/>
    <mergeCell ref="B98:G98"/>
    <mergeCell ref="B99:G99"/>
    <mergeCell ref="A87:A88"/>
    <mergeCell ref="B87:B88"/>
    <mergeCell ref="C87:C88"/>
    <mergeCell ref="A100:G100"/>
    <mergeCell ref="I100:I102"/>
    <mergeCell ref="A101:G101"/>
    <mergeCell ref="A102:G102"/>
  </mergeCells>
  <printOptions/>
  <pageMargins left="0.75" right="0.75" top="1" bottom="1" header="0" footer="0"/>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R102"/>
  <sheetViews>
    <sheetView tabSelected="1" zoomScale="75" zoomScaleNormal="75" zoomScalePageLayoutView="0" workbookViewId="0" topLeftCell="A58">
      <selection activeCell="E12" sqref="E12"/>
    </sheetView>
  </sheetViews>
  <sheetFormatPr defaultColWidth="11.421875" defaultRowHeight="12.75"/>
  <cols>
    <col min="1" max="1" width="17.8515625" style="3" customWidth="1"/>
    <col min="2" max="2" width="62.421875" style="1" customWidth="1"/>
    <col min="3" max="3" width="9.57421875" style="1" hidden="1" customWidth="1"/>
    <col min="4" max="4" width="16.8515625" style="1" customWidth="1"/>
    <col min="5" max="5" width="13.8515625" style="17" customWidth="1"/>
    <col min="6" max="6" width="14.00390625" style="17" customWidth="1"/>
    <col min="7" max="7" width="16.421875" style="18" customWidth="1"/>
    <col min="8" max="8" width="16.00390625" style="18" customWidth="1"/>
    <col min="9" max="9" width="23.421875" style="18" customWidth="1"/>
    <col min="10" max="10" width="18.421875" style="78" customWidth="1"/>
    <col min="11" max="11" width="17.00390625" style="16" customWidth="1"/>
    <col min="12" max="13" width="14.421875" style="66" customWidth="1"/>
    <col min="14" max="14" width="14.421875" style="67" customWidth="1"/>
    <col min="15" max="16" width="14.421875" style="73" customWidth="1"/>
    <col min="17" max="16384" width="11.421875" style="1" customWidth="1"/>
  </cols>
  <sheetData>
    <row r="1" spans="1:16" ht="28.5" customHeight="1">
      <c r="A1" s="148" t="s">
        <v>19</v>
      </c>
      <c r="B1" s="149"/>
      <c r="C1" s="149"/>
      <c r="D1" s="149"/>
      <c r="E1" s="149"/>
      <c r="F1" s="149"/>
      <c r="G1" s="149"/>
      <c r="H1" s="150"/>
      <c r="I1" s="21" t="s">
        <v>17</v>
      </c>
      <c r="J1" s="79"/>
      <c r="K1" s="41"/>
      <c r="L1" s="62"/>
      <c r="M1" s="62"/>
      <c r="N1" s="63"/>
      <c r="O1" s="72"/>
      <c r="P1" s="72"/>
    </row>
    <row r="2" spans="1:16" ht="28.5" customHeight="1">
      <c r="A2" s="148"/>
      <c r="B2" s="149"/>
      <c r="C2" s="149"/>
      <c r="D2" s="149"/>
      <c r="E2" s="149"/>
      <c r="F2" s="149"/>
      <c r="G2" s="149"/>
      <c r="H2" s="150"/>
      <c r="I2" s="22" t="s">
        <v>16</v>
      </c>
      <c r="J2" s="79"/>
      <c r="K2" s="41"/>
      <c r="L2" s="62"/>
      <c r="M2" s="62"/>
      <c r="N2" s="63"/>
      <c r="O2" s="72"/>
      <c r="P2" s="72"/>
    </row>
    <row r="3" spans="1:16" ht="28.5" customHeight="1" thickBot="1">
      <c r="A3" s="151"/>
      <c r="B3" s="152"/>
      <c r="C3" s="152"/>
      <c r="D3" s="152"/>
      <c r="E3" s="152"/>
      <c r="F3" s="152"/>
      <c r="G3" s="152"/>
      <c r="H3" s="153"/>
      <c r="I3" s="23" t="s">
        <v>117</v>
      </c>
      <c r="J3" s="79"/>
      <c r="K3" s="41"/>
      <c r="L3" s="62"/>
      <c r="M3" s="62"/>
      <c r="N3" s="63"/>
      <c r="O3" s="72"/>
      <c r="P3" s="72"/>
    </row>
    <row r="4" spans="1:16" ht="8.25" customHeight="1" thickBot="1">
      <c r="A4" s="154"/>
      <c r="B4" s="155"/>
      <c r="C4" s="155"/>
      <c r="D4" s="155"/>
      <c r="E4" s="156"/>
      <c r="F4" s="155"/>
      <c r="G4" s="155"/>
      <c r="H4" s="155"/>
      <c r="I4" s="157"/>
      <c r="J4" s="79"/>
      <c r="K4" s="41"/>
      <c r="L4" s="62"/>
      <c r="M4" s="62"/>
      <c r="N4" s="63"/>
      <c r="O4" s="72"/>
      <c r="P4" s="72"/>
    </row>
    <row r="5" spans="1:16" ht="39" customHeight="1" thickBot="1">
      <c r="A5" s="6" t="s">
        <v>4</v>
      </c>
      <c r="B5" s="158">
        <v>2008</v>
      </c>
      <c r="C5" s="159"/>
      <c r="D5" s="160"/>
      <c r="E5" s="7"/>
      <c r="F5" s="6" t="s">
        <v>5</v>
      </c>
      <c r="G5" s="158" t="s">
        <v>109</v>
      </c>
      <c r="H5" s="159"/>
      <c r="I5" s="160"/>
      <c r="J5" s="79"/>
      <c r="K5" s="41"/>
      <c r="L5" s="62"/>
      <c r="M5" s="62"/>
      <c r="N5" s="63"/>
      <c r="O5" s="72"/>
      <c r="P5" s="72"/>
    </row>
    <row r="6" spans="1:14" ht="8.25" customHeight="1" thickBot="1">
      <c r="A6" s="144"/>
      <c r="B6" s="145"/>
      <c r="C6" s="145"/>
      <c r="D6" s="145"/>
      <c r="E6" s="146"/>
      <c r="F6" s="145"/>
      <c r="G6" s="145"/>
      <c r="H6" s="145"/>
      <c r="I6" s="147"/>
      <c r="L6" s="62"/>
      <c r="M6" s="62"/>
      <c r="N6" s="63"/>
    </row>
    <row r="7" spans="1:16" s="8" customFormat="1" ht="15.75" customHeight="1">
      <c r="A7" s="123" t="s">
        <v>0</v>
      </c>
      <c r="B7" s="111" t="s">
        <v>2</v>
      </c>
      <c r="C7" s="126" t="s">
        <v>28</v>
      </c>
      <c r="D7" s="111" t="s">
        <v>3</v>
      </c>
      <c r="E7" s="111" t="s">
        <v>6</v>
      </c>
      <c r="F7" s="111"/>
      <c r="G7" s="112" t="s">
        <v>7</v>
      </c>
      <c r="H7" s="112"/>
      <c r="I7" s="113"/>
      <c r="J7" s="80"/>
      <c r="K7" s="42"/>
      <c r="L7" s="62"/>
      <c r="M7" s="62"/>
      <c r="N7" s="63"/>
      <c r="O7" s="74"/>
      <c r="P7" s="74"/>
    </row>
    <row r="8" spans="1:16" s="9" customFormat="1" ht="35.25" customHeight="1" thickBot="1">
      <c r="A8" s="124"/>
      <c r="B8" s="125"/>
      <c r="C8" s="127"/>
      <c r="D8" s="125"/>
      <c r="E8" s="19" t="s">
        <v>8</v>
      </c>
      <c r="F8" s="19" t="s">
        <v>9</v>
      </c>
      <c r="G8" s="33" t="s">
        <v>10</v>
      </c>
      <c r="H8" s="33" t="s">
        <v>11</v>
      </c>
      <c r="I8" s="34" t="s">
        <v>12</v>
      </c>
      <c r="J8" s="77"/>
      <c r="K8" s="43"/>
      <c r="L8" s="64" t="s">
        <v>110</v>
      </c>
      <c r="M8" s="64" t="s">
        <v>110</v>
      </c>
      <c r="N8" s="65" t="s">
        <v>111</v>
      </c>
      <c r="O8" s="75" t="s">
        <v>114</v>
      </c>
      <c r="P8" s="75" t="s">
        <v>114</v>
      </c>
    </row>
    <row r="9" spans="1:16" s="4" customFormat="1" ht="24" customHeight="1">
      <c r="A9" s="139" t="s">
        <v>34</v>
      </c>
      <c r="B9" s="24" t="s">
        <v>20</v>
      </c>
      <c r="C9" s="28">
        <v>1</v>
      </c>
      <c r="D9" s="97" t="s">
        <v>29</v>
      </c>
      <c r="E9" s="11">
        <v>55000</v>
      </c>
      <c r="F9" s="53">
        <v>0</v>
      </c>
      <c r="G9" s="46">
        <v>2000000</v>
      </c>
      <c r="H9" s="46">
        <v>1807200</v>
      </c>
      <c r="I9" s="47">
        <f>+G9-H9</f>
        <v>192800</v>
      </c>
      <c r="J9" s="77"/>
      <c r="K9" s="44"/>
      <c r="L9" s="66"/>
      <c r="M9" s="66"/>
      <c r="N9" s="67"/>
      <c r="O9" s="73"/>
      <c r="P9" s="73"/>
    </row>
    <row r="10" spans="1:16" s="4" customFormat="1" ht="15">
      <c r="A10" s="133"/>
      <c r="B10" s="25" t="s">
        <v>115</v>
      </c>
      <c r="C10" s="29"/>
      <c r="D10" s="30" t="s">
        <v>29</v>
      </c>
      <c r="E10" s="11">
        <v>2000</v>
      </c>
      <c r="F10" s="53">
        <v>0</v>
      </c>
      <c r="G10" s="46">
        <v>34136000</v>
      </c>
      <c r="H10" s="46">
        <v>0</v>
      </c>
      <c r="I10" s="47">
        <f aca="true" t="shared" si="0" ref="I10:I18">+G10-H10</f>
        <v>34136000</v>
      </c>
      <c r="J10" s="81" t="s">
        <v>112</v>
      </c>
      <c r="K10" s="44"/>
      <c r="L10" s="66"/>
      <c r="M10" s="66"/>
      <c r="N10" s="67"/>
      <c r="O10" s="73"/>
      <c r="P10" s="73"/>
    </row>
    <row r="11" spans="1:16" s="4" customFormat="1" ht="24">
      <c r="A11" s="133"/>
      <c r="B11" s="26" t="s">
        <v>21</v>
      </c>
      <c r="C11" s="28">
        <v>2</v>
      </c>
      <c r="D11" s="30" t="s">
        <v>29</v>
      </c>
      <c r="E11" s="11">
        <v>190259</v>
      </c>
      <c r="F11" s="53">
        <f>190760+53531+951</f>
        <v>245242</v>
      </c>
      <c r="G11" s="46">
        <v>2480239491</v>
      </c>
      <c r="H11" s="46">
        <f>11063696+35951760+35971800+36072000+42084000*2+41482000+14434560*2+13855200*4+13831104+13734720+13252800+118606003+304866161+166621471+474190061+73678100+6547847+17287371+15358720+7072180+15238964</f>
        <v>1569284678</v>
      </c>
      <c r="I11" s="47">
        <f t="shared" si="0"/>
        <v>910954813</v>
      </c>
      <c r="J11" s="81">
        <v>118606003</v>
      </c>
      <c r="K11" s="44"/>
      <c r="L11" s="66">
        <v>35046</v>
      </c>
      <c r="M11" s="66">
        <v>255412</v>
      </c>
      <c r="N11" s="67">
        <v>615140</v>
      </c>
      <c r="O11" s="73"/>
      <c r="P11" s="73"/>
    </row>
    <row r="12" spans="1:16" s="4" customFormat="1" ht="24">
      <c r="A12" s="133"/>
      <c r="B12" s="26" t="s">
        <v>22</v>
      </c>
      <c r="C12" s="28">
        <v>4</v>
      </c>
      <c r="D12" s="30" t="s">
        <v>29</v>
      </c>
      <c r="E12" s="11">
        <v>20000</v>
      </c>
      <c r="F12" s="53">
        <v>0</v>
      </c>
      <c r="G12" s="46">
        <v>54450243</v>
      </c>
      <c r="H12" s="46">
        <v>0</v>
      </c>
      <c r="I12" s="47">
        <f t="shared" si="0"/>
        <v>54450243</v>
      </c>
      <c r="J12" s="81">
        <v>304866161</v>
      </c>
      <c r="K12" s="44"/>
      <c r="L12" s="66">
        <v>79222</v>
      </c>
      <c r="M12" s="66"/>
      <c r="N12" s="67">
        <v>165962</v>
      </c>
      <c r="O12" s="73"/>
      <c r="P12" s="73"/>
    </row>
    <row r="13" spans="1:16" s="4" customFormat="1" ht="24">
      <c r="A13" s="133"/>
      <c r="B13" s="26" t="s">
        <v>23</v>
      </c>
      <c r="C13" s="28">
        <v>4</v>
      </c>
      <c r="D13" s="30" t="s">
        <v>29</v>
      </c>
      <c r="E13" s="11">
        <v>7000</v>
      </c>
      <c r="F13" s="53">
        <v>0</v>
      </c>
      <c r="G13" s="46">
        <v>35000000</v>
      </c>
      <c r="H13" s="46">
        <v>0</v>
      </c>
      <c r="I13" s="47">
        <f t="shared" si="0"/>
        <v>35000000</v>
      </c>
      <c r="J13" s="81">
        <f>SUM(J11:J12)</f>
        <v>423472164</v>
      </c>
      <c r="K13" s="44"/>
      <c r="L13" s="66">
        <v>255412</v>
      </c>
      <c r="M13" s="66"/>
      <c r="N13" s="67">
        <v>489303</v>
      </c>
      <c r="O13" s="73"/>
      <c r="P13" s="73"/>
    </row>
    <row r="14" spans="1:16" s="4" customFormat="1" ht="24">
      <c r="A14" s="133"/>
      <c r="B14" s="26" t="s">
        <v>24</v>
      </c>
      <c r="C14" s="28">
        <v>4</v>
      </c>
      <c r="D14" s="30" t="s">
        <v>29</v>
      </c>
      <c r="E14" s="11">
        <v>55000</v>
      </c>
      <c r="F14" s="53">
        <v>55000</v>
      </c>
      <c r="G14" s="46">
        <f>710930073-146140388-79115980</f>
        <v>485673705</v>
      </c>
      <c r="H14" s="46">
        <v>3012000</v>
      </c>
      <c r="I14" s="47">
        <f t="shared" si="0"/>
        <v>482661705</v>
      </c>
      <c r="J14" s="77"/>
      <c r="K14" s="44"/>
      <c r="L14" s="66">
        <v>35046</v>
      </c>
      <c r="M14" s="66"/>
      <c r="N14" s="67">
        <v>828375</v>
      </c>
      <c r="O14" s="73"/>
      <c r="P14" s="73"/>
    </row>
    <row r="15" spans="1:16" s="4" customFormat="1" ht="24">
      <c r="A15" s="133"/>
      <c r="B15" s="25" t="s">
        <v>25</v>
      </c>
      <c r="C15" s="29"/>
      <c r="D15" s="30" t="s">
        <v>29</v>
      </c>
      <c r="E15" s="11">
        <v>0</v>
      </c>
      <c r="F15" s="53">
        <v>0</v>
      </c>
      <c r="G15" s="98">
        <f>90237432-76000000</f>
        <v>14237432</v>
      </c>
      <c r="H15" s="46">
        <v>0</v>
      </c>
      <c r="I15" s="47">
        <f t="shared" si="0"/>
        <v>14237432</v>
      </c>
      <c r="J15" s="99" t="s">
        <v>113</v>
      </c>
      <c r="K15" s="44"/>
      <c r="L15" s="66">
        <v>85137</v>
      </c>
      <c r="M15" s="66"/>
      <c r="N15" s="67">
        <v>341394</v>
      </c>
      <c r="O15" s="73"/>
      <c r="P15" s="73"/>
    </row>
    <row r="16" spans="1:16" s="4" customFormat="1" ht="36">
      <c r="A16" s="133"/>
      <c r="B16" s="25" t="s">
        <v>26</v>
      </c>
      <c r="C16" s="29"/>
      <c r="D16" s="30" t="s">
        <v>29</v>
      </c>
      <c r="E16" s="11">
        <v>150000</v>
      </c>
      <c r="F16" s="53">
        <v>0</v>
      </c>
      <c r="G16" s="46">
        <v>57000000</v>
      </c>
      <c r="H16" s="46">
        <v>0</v>
      </c>
      <c r="I16" s="47">
        <f t="shared" si="0"/>
        <v>57000000</v>
      </c>
      <c r="J16" s="81">
        <v>166621471</v>
      </c>
      <c r="K16" s="44"/>
      <c r="L16" s="66">
        <v>105137</v>
      </c>
      <c r="M16" s="66"/>
      <c r="N16" s="67">
        <v>206144</v>
      </c>
      <c r="O16" s="73"/>
      <c r="P16" s="73"/>
    </row>
    <row r="17" spans="1:16" s="4" customFormat="1" ht="24">
      <c r="A17" s="133"/>
      <c r="B17" s="26" t="s">
        <v>27</v>
      </c>
      <c r="C17" s="28">
        <v>5</v>
      </c>
      <c r="D17" s="30" t="s">
        <v>30</v>
      </c>
      <c r="E17" s="11">
        <v>3</v>
      </c>
      <c r="F17" s="53">
        <v>0</v>
      </c>
      <c r="G17" s="46">
        <f>73483729-3650000</f>
        <v>69833729</v>
      </c>
      <c r="H17" s="46">
        <v>5020000</v>
      </c>
      <c r="I17" s="47">
        <f t="shared" si="0"/>
        <v>64813729</v>
      </c>
      <c r="J17" s="81">
        <v>474190061</v>
      </c>
      <c r="K17" s="44"/>
      <c r="L17" s="66">
        <v>425685</v>
      </c>
      <c r="M17" s="66"/>
      <c r="N17" s="67">
        <v>197989</v>
      </c>
      <c r="O17" s="73"/>
      <c r="P17" s="73"/>
    </row>
    <row r="18" spans="1:16" s="4" customFormat="1" ht="21" customHeight="1">
      <c r="A18" s="133"/>
      <c r="B18" s="5" t="s">
        <v>105</v>
      </c>
      <c r="C18" s="29"/>
      <c r="D18" s="10" t="s">
        <v>106</v>
      </c>
      <c r="E18" s="53">
        <v>1</v>
      </c>
      <c r="F18" s="100">
        <f>+H18/G18</f>
        <v>0.37613879974731523</v>
      </c>
      <c r="G18" s="49">
        <v>39575000</v>
      </c>
      <c r="H18" s="49">
        <f>8396717+615140+165962+489303+828375+341394+206144+197989+677660+278352+M21</f>
        <v>14885693</v>
      </c>
      <c r="I18" s="47">
        <f t="shared" si="0"/>
        <v>24689307</v>
      </c>
      <c r="J18" s="99">
        <f>SUM(J16:J17)</f>
        <v>640811532</v>
      </c>
      <c r="K18" s="44"/>
      <c r="L18" s="66">
        <v>1097149</v>
      </c>
      <c r="M18" s="66"/>
      <c r="N18" s="67">
        <v>278352</v>
      </c>
      <c r="O18" s="73"/>
      <c r="P18" s="73"/>
    </row>
    <row r="19" spans="1:16" s="4" customFormat="1" ht="15" customHeight="1">
      <c r="A19" s="133"/>
      <c r="B19" s="117" t="s">
        <v>31</v>
      </c>
      <c r="C19" s="118"/>
      <c r="D19" s="118"/>
      <c r="E19" s="118"/>
      <c r="F19" s="119"/>
      <c r="G19" s="48">
        <f>+G9+G10+G11+G12+G13+G14+G15+G16+G17+G18</f>
        <v>3272145600</v>
      </c>
      <c r="H19" s="20"/>
      <c r="I19" s="129">
        <f>SUM(I9:I18)</f>
        <v>1678136029</v>
      </c>
      <c r="J19" s="45">
        <f>675436154-J18</f>
        <v>34624622</v>
      </c>
      <c r="K19" s="44"/>
      <c r="L19" s="66">
        <v>210274</v>
      </c>
      <c r="M19" s="66"/>
      <c r="N19" s="67"/>
      <c r="O19" s="73"/>
      <c r="P19" s="73"/>
    </row>
    <row r="20" spans="1:16" s="4" customFormat="1" ht="15" customHeight="1">
      <c r="A20" s="133"/>
      <c r="B20" s="117" t="s">
        <v>32</v>
      </c>
      <c r="C20" s="118"/>
      <c r="D20" s="118"/>
      <c r="E20" s="118"/>
      <c r="F20" s="118"/>
      <c r="G20" s="119"/>
      <c r="H20" s="48">
        <f>SUM(H9:H19)</f>
        <v>1594009571</v>
      </c>
      <c r="I20" s="130"/>
      <c r="J20" s="90">
        <v>11</v>
      </c>
      <c r="K20" s="44"/>
      <c r="L20" s="66">
        <v>105137</v>
      </c>
      <c r="M20" s="66"/>
      <c r="N20" s="67"/>
      <c r="O20" s="73"/>
      <c r="P20" s="73"/>
    </row>
    <row r="21" spans="1:16" s="4" customFormat="1" ht="24" customHeight="1" thickBot="1">
      <c r="A21" s="133"/>
      <c r="B21" s="117" t="s">
        <v>33</v>
      </c>
      <c r="C21" s="118"/>
      <c r="D21" s="118"/>
      <c r="E21" s="118"/>
      <c r="F21" s="118"/>
      <c r="G21" s="119"/>
      <c r="H21" s="31">
        <f>+H20/G19</f>
        <v>0.48714506194345386</v>
      </c>
      <c r="I21" s="138"/>
      <c r="J21" s="77"/>
      <c r="K21" s="44"/>
      <c r="L21" s="68"/>
      <c r="M21" s="68">
        <f>SUM(L11:M20)</f>
        <v>2688657</v>
      </c>
      <c r="N21" s="67"/>
      <c r="O21" s="73"/>
      <c r="P21" s="73"/>
    </row>
    <row r="22" spans="1:16" s="4" customFormat="1" ht="17.25" customHeight="1">
      <c r="A22" s="123" t="s">
        <v>0</v>
      </c>
      <c r="B22" s="111" t="s">
        <v>2</v>
      </c>
      <c r="C22" s="126" t="s">
        <v>28</v>
      </c>
      <c r="D22" s="111" t="s">
        <v>3</v>
      </c>
      <c r="E22" s="111" t="s">
        <v>6</v>
      </c>
      <c r="F22" s="111"/>
      <c r="G22" s="112" t="s">
        <v>7</v>
      </c>
      <c r="H22" s="112"/>
      <c r="I22" s="113"/>
      <c r="J22" s="77"/>
      <c r="K22" s="44"/>
      <c r="L22" s="66"/>
      <c r="M22" s="66"/>
      <c r="N22" s="67"/>
      <c r="O22" s="73"/>
      <c r="P22" s="73"/>
    </row>
    <row r="23" spans="1:16" s="4" customFormat="1" ht="36" customHeight="1" thickBot="1">
      <c r="A23" s="124"/>
      <c r="B23" s="125"/>
      <c r="C23" s="127"/>
      <c r="D23" s="125"/>
      <c r="E23" s="19" t="s">
        <v>8</v>
      </c>
      <c r="F23" s="19" t="s">
        <v>9</v>
      </c>
      <c r="G23" s="33" t="s">
        <v>10</v>
      </c>
      <c r="H23" s="33" t="s">
        <v>11</v>
      </c>
      <c r="I23" s="34" t="s">
        <v>12</v>
      </c>
      <c r="J23" s="77"/>
      <c r="K23" s="44"/>
      <c r="L23" s="66"/>
      <c r="M23" s="66"/>
      <c r="N23" s="67"/>
      <c r="O23" s="73"/>
      <c r="P23" s="73"/>
    </row>
    <row r="24" spans="1:16" s="4" customFormat="1" ht="30.75" customHeight="1">
      <c r="A24" s="139" t="s">
        <v>51</v>
      </c>
      <c r="B24" s="26" t="s">
        <v>35</v>
      </c>
      <c r="C24" s="29">
        <v>6</v>
      </c>
      <c r="D24" s="97" t="s">
        <v>45</v>
      </c>
      <c r="E24" s="32">
        <v>2</v>
      </c>
      <c r="F24" s="54">
        <v>0</v>
      </c>
      <c r="G24" s="50">
        <v>664608957</v>
      </c>
      <c r="H24" s="50">
        <f>5020000+65059200+174817986</f>
        <v>244897186</v>
      </c>
      <c r="I24" s="47">
        <f>+G24-H24</f>
        <v>419711771</v>
      </c>
      <c r="J24" s="77"/>
      <c r="K24" s="44"/>
      <c r="L24" s="91">
        <v>700912</v>
      </c>
      <c r="M24" s="66">
        <v>1182280</v>
      </c>
      <c r="N24" s="67"/>
      <c r="O24" s="73"/>
      <c r="P24" s="73"/>
    </row>
    <row r="25" spans="1:16" s="4" customFormat="1" ht="30.75" customHeight="1">
      <c r="A25" s="133"/>
      <c r="B25" s="26" t="s">
        <v>36</v>
      </c>
      <c r="C25" s="29">
        <v>7</v>
      </c>
      <c r="D25" s="30" t="s">
        <v>45</v>
      </c>
      <c r="E25" s="32">
        <v>2</v>
      </c>
      <c r="F25" s="54">
        <v>2</v>
      </c>
      <c r="G25" s="50">
        <v>1414280791</v>
      </c>
      <c r="H25" s="50">
        <f>3373400+1410907350</f>
        <v>1414280750</v>
      </c>
      <c r="I25" s="47">
        <f aca="true" t="shared" si="1" ref="I25:I33">+G25-H25</f>
        <v>41</v>
      </c>
      <c r="J25" s="77"/>
      <c r="K25" s="44"/>
      <c r="L25" s="91">
        <f>75206</f>
        <v>75206</v>
      </c>
      <c r="M25" s="66">
        <v>340671</v>
      </c>
      <c r="N25" s="67"/>
      <c r="O25" s="73"/>
      <c r="P25" s="73"/>
    </row>
    <row r="26" spans="1:16" s="4" customFormat="1" ht="30.75" customHeight="1" hidden="1">
      <c r="A26" s="133"/>
      <c r="B26" s="26" t="s">
        <v>37</v>
      </c>
      <c r="C26" s="29">
        <v>3</v>
      </c>
      <c r="D26" s="30" t="s">
        <v>46</v>
      </c>
      <c r="E26" s="32">
        <v>0</v>
      </c>
      <c r="F26" s="54">
        <v>0</v>
      </c>
      <c r="G26" s="50">
        <v>0</v>
      </c>
      <c r="H26" s="50">
        <v>0</v>
      </c>
      <c r="I26" s="47">
        <f t="shared" si="1"/>
        <v>0</v>
      </c>
      <c r="J26" s="77"/>
      <c r="K26" s="44"/>
      <c r="L26" s="91">
        <f>35046*4</f>
        <v>140184</v>
      </c>
      <c r="M26" s="66">
        <v>70092</v>
      </c>
      <c r="N26" s="67"/>
      <c r="O26" s="73"/>
      <c r="P26" s="73"/>
    </row>
    <row r="27" spans="1:16" s="4" customFormat="1" ht="30.75" customHeight="1">
      <c r="A27" s="133"/>
      <c r="B27" s="25" t="s">
        <v>38</v>
      </c>
      <c r="C27" s="13"/>
      <c r="D27" s="30" t="s">
        <v>46</v>
      </c>
      <c r="E27" s="32">
        <v>2</v>
      </c>
      <c r="F27" s="54">
        <v>0</v>
      </c>
      <c r="G27" s="50">
        <v>76690058</v>
      </c>
      <c r="H27" s="50">
        <v>0</v>
      </c>
      <c r="I27" s="47">
        <f t="shared" si="1"/>
        <v>76690058</v>
      </c>
      <c r="J27" s="77"/>
      <c r="K27" s="44"/>
      <c r="L27" s="91">
        <v>65165</v>
      </c>
      <c r="M27" s="66">
        <v>266765</v>
      </c>
      <c r="N27" s="67"/>
      <c r="O27" s="73"/>
      <c r="P27" s="73"/>
    </row>
    <row r="28" spans="1:16" s="4" customFormat="1" ht="30.75" customHeight="1">
      <c r="A28" s="133"/>
      <c r="B28" s="25" t="s">
        <v>39</v>
      </c>
      <c r="C28" s="13"/>
      <c r="D28" s="30" t="s">
        <v>47</v>
      </c>
      <c r="E28" s="11">
        <v>2000</v>
      </c>
      <c r="F28" s="54">
        <v>1261</v>
      </c>
      <c r="G28" s="50">
        <v>245280000</v>
      </c>
      <c r="H28" s="50">
        <f>15361200+21686400+4518000+13554000+12469680+40662000+44276400+29818800+7843243</f>
        <v>190189723</v>
      </c>
      <c r="I28" s="47">
        <f t="shared" si="1"/>
        <v>55090277</v>
      </c>
      <c r="J28" s="77"/>
      <c r="K28" s="44"/>
      <c r="L28" s="91">
        <v>420548</v>
      </c>
      <c r="M28" s="66">
        <v>420547</v>
      </c>
      <c r="N28" s="67"/>
      <c r="O28" s="73"/>
      <c r="P28" s="73"/>
    </row>
    <row r="29" spans="1:16" s="4" customFormat="1" ht="30.75" customHeight="1">
      <c r="A29" s="133"/>
      <c r="B29" s="26" t="s">
        <v>40</v>
      </c>
      <c r="C29" s="29">
        <v>8</v>
      </c>
      <c r="D29" s="30" t="s">
        <v>47</v>
      </c>
      <c r="E29" s="11">
        <v>100</v>
      </c>
      <c r="F29" s="54">
        <v>67</v>
      </c>
      <c r="G29" s="50">
        <v>29698320</v>
      </c>
      <c r="H29" s="50">
        <f>21365120+8333200</f>
        <v>29698320</v>
      </c>
      <c r="I29" s="47">
        <f t="shared" si="1"/>
        <v>0</v>
      </c>
      <c r="J29" s="77"/>
      <c r="K29" s="44"/>
      <c r="L29" s="91">
        <v>117374</v>
      </c>
      <c r="M29" s="66">
        <v>35048</v>
      </c>
      <c r="N29" s="67"/>
      <c r="O29" s="73"/>
      <c r="P29" s="73"/>
    </row>
    <row r="30" spans="1:16" s="4" customFormat="1" ht="30.75" customHeight="1">
      <c r="A30" s="133"/>
      <c r="B30" s="26" t="s">
        <v>41</v>
      </c>
      <c r="C30" s="29">
        <v>9</v>
      </c>
      <c r="D30" s="30" t="s">
        <v>47</v>
      </c>
      <c r="E30" s="11">
        <v>346</v>
      </c>
      <c r="F30" s="54">
        <v>0</v>
      </c>
      <c r="G30" s="50">
        <v>0</v>
      </c>
      <c r="H30" s="50">
        <v>0</v>
      </c>
      <c r="I30" s="47">
        <f t="shared" si="1"/>
        <v>0</v>
      </c>
      <c r="J30" s="77"/>
      <c r="K30" s="44"/>
      <c r="L30" s="91">
        <v>210274</v>
      </c>
      <c r="M30" s="66">
        <v>260473</v>
      </c>
      <c r="N30" s="67"/>
      <c r="O30" s="73"/>
      <c r="P30" s="73"/>
    </row>
    <row r="31" spans="1:16" s="4" customFormat="1" ht="30.75" customHeight="1">
      <c r="A31" s="133"/>
      <c r="B31" s="25" t="s">
        <v>42</v>
      </c>
      <c r="C31" s="13"/>
      <c r="D31" s="30" t="s">
        <v>47</v>
      </c>
      <c r="E31" s="11">
        <v>200</v>
      </c>
      <c r="F31" s="54">
        <v>166</v>
      </c>
      <c r="G31" s="50">
        <v>313073824</v>
      </c>
      <c r="H31" s="50">
        <f>12072250+8577342+1834612+9074121+2751917+7778962+22932636*2+2751921+21096863+11007665</f>
        <v>122810925</v>
      </c>
      <c r="I31" s="47">
        <f t="shared" si="1"/>
        <v>190262899</v>
      </c>
      <c r="J31" s="77"/>
      <c r="K31" s="44"/>
      <c r="L31" s="91">
        <v>63158</v>
      </c>
      <c r="M31" s="66">
        <v>75206</v>
      </c>
      <c r="N31" s="67"/>
      <c r="O31" s="73"/>
      <c r="P31" s="73"/>
    </row>
    <row r="32" spans="1:16" s="4" customFormat="1" ht="30.75" customHeight="1">
      <c r="A32" s="133"/>
      <c r="B32" s="25" t="s">
        <v>43</v>
      </c>
      <c r="C32" s="13"/>
      <c r="D32" s="30" t="s">
        <v>48</v>
      </c>
      <c r="E32" s="11">
        <v>7</v>
      </c>
      <c r="F32" s="54">
        <v>4</v>
      </c>
      <c r="G32" s="50">
        <v>0</v>
      </c>
      <c r="H32" s="50">
        <v>0</v>
      </c>
      <c r="I32" s="47">
        <f t="shared" si="1"/>
        <v>0</v>
      </c>
      <c r="J32" s="77"/>
      <c r="K32" s="44"/>
      <c r="L32" s="66">
        <v>1027142</v>
      </c>
      <c r="M32" s="66"/>
      <c r="N32" s="67"/>
      <c r="O32" s="73"/>
      <c r="P32" s="73"/>
    </row>
    <row r="33" spans="1:16" s="4" customFormat="1" ht="30.75" customHeight="1">
      <c r="A33" s="133"/>
      <c r="B33" s="26" t="s">
        <v>44</v>
      </c>
      <c r="C33" s="29">
        <v>10</v>
      </c>
      <c r="D33" s="30" t="s">
        <v>49</v>
      </c>
      <c r="E33" s="11">
        <v>2</v>
      </c>
      <c r="F33" s="54">
        <v>0</v>
      </c>
      <c r="G33" s="50">
        <v>200000000</v>
      </c>
      <c r="H33" s="50">
        <v>0</v>
      </c>
      <c r="I33" s="47">
        <f t="shared" si="1"/>
        <v>200000000</v>
      </c>
      <c r="J33" s="77"/>
      <c r="K33" s="44"/>
      <c r="L33" s="66">
        <v>42569</v>
      </c>
      <c r="M33" s="66"/>
      <c r="N33" s="67"/>
      <c r="O33" s="73"/>
      <c r="P33" s="73"/>
    </row>
    <row r="34" spans="1:16" s="4" customFormat="1" ht="37.5" customHeight="1">
      <c r="A34" s="133"/>
      <c r="B34" s="26" t="s">
        <v>103</v>
      </c>
      <c r="C34" s="29">
        <v>12</v>
      </c>
      <c r="D34" s="30" t="s">
        <v>50</v>
      </c>
      <c r="E34" s="11">
        <v>5</v>
      </c>
      <c r="F34" s="54">
        <v>0</v>
      </c>
      <c r="G34" s="140">
        <v>122000000</v>
      </c>
      <c r="H34" s="140">
        <v>0</v>
      </c>
      <c r="I34" s="142">
        <f>+G34-H34</f>
        <v>122000000</v>
      </c>
      <c r="J34" s="77"/>
      <c r="K34" s="44"/>
      <c r="L34" s="66">
        <v>491060</v>
      </c>
      <c r="M34" s="66"/>
      <c r="N34" s="67"/>
      <c r="O34" s="73"/>
      <c r="P34" s="73"/>
    </row>
    <row r="35" spans="1:16" s="4" customFormat="1" ht="35.25" customHeight="1">
      <c r="A35" s="133"/>
      <c r="B35" s="26" t="s">
        <v>104</v>
      </c>
      <c r="C35" s="29">
        <v>12</v>
      </c>
      <c r="D35" s="30" t="s">
        <v>50</v>
      </c>
      <c r="E35" s="11">
        <v>5</v>
      </c>
      <c r="F35" s="55">
        <v>0</v>
      </c>
      <c r="G35" s="141"/>
      <c r="H35" s="141"/>
      <c r="I35" s="143"/>
      <c r="J35" s="77"/>
      <c r="K35" s="44"/>
      <c r="L35" s="66">
        <v>105138</v>
      </c>
      <c r="M35" s="66"/>
      <c r="N35" s="67"/>
      <c r="O35" s="73"/>
      <c r="P35" s="73"/>
    </row>
    <row r="36" spans="1:16" s="4" customFormat="1" ht="42.75" customHeight="1">
      <c r="A36" s="133"/>
      <c r="B36" s="25" t="s">
        <v>107</v>
      </c>
      <c r="C36" s="29"/>
      <c r="D36" s="10" t="s">
        <v>106</v>
      </c>
      <c r="E36" s="11">
        <v>1</v>
      </c>
      <c r="F36" s="55">
        <v>0</v>
      </c>
      <c r="G36" s="49">
        <v>2354324969</v>
      </c>
      <c r="H36" s="49">
        <v>0</v>
      </c>
      <c r="I36" s="47">
        <f>+G36-H36</f>
        <v>2354324969</v>
      </c>
      <c r="J36" s="77"/>
      <c r="K36" s="44"/>
      <c r="L36" s="66">
        <f>260474*2</f>
        <v>520948</v>
      </c>
      <c r="M36" s="66"/>
      <c r="N36" s="67"/>
      <c r="O36" s="73"/>
      <c r="P36" s="73"/>
    </row>
    <row r="37" spans="1:16" s="4" customFormat="1" ht="25.5" customHeight="1">
      <c r="A37" s="133"/>
      <c r="B37" s="5" t="s">
        <v>105</v>
      </c>
      <c r="C37" s="29"/>
      <c r="D37" s="10" t="s">
        <v>106</v>
      </c>
      <c r="E37" s="53">
        <v>1</v>
      </c>
      <c r="F37" s="100">
        <f>+H37/G37</f>
        <v>0.23135694371572393</v>
      </c>
      <c r="G37" s="49">
        <v>86349978</v>
      </c>
      <c r="H37" s="49">
        <f>3614400+7618003+2114504+M37</f>
        <v>19977667</v>
      </c>
      <c r="I37" s="47">
        <f>+G37-H37</f>
        <v>66372311</v>
      </c>
      <c r="J37" s="77">
        <v>12</v>
      </c>
      <c r="K37" s="59"/>
      <c r="L37" s="68"/>
      <c r="M37" s="68">
        <f>SUM(L24:M36)</f>
        <v>6630760</v>
      </c>
      <c r="N37" s="67"/>
      <c r="O37" s="73"/>
      <c r="P37" s="73"/>
    </row>
    <row r="38" spans="1:16" s="4" customFormat="1" ht="17.25" customHeight="1">
      <c r="A38" s="133"/>
      <c r="B38" s="135" t="s">
        <v>31</v>
      </c>
      <c r="C38" s="136"/>
      <c r="D38" s="136"/>
      <c r="E38" s="136"/>
      <c r="F38" s="137"/>
      <c r="G38" s="48">
        <f>+G37+G36+G34+G33+G32+G31+G30+G29+G28+G27+G26+G25+G24</f>
        <v>5506306897</v>
      </c>
      <c r="H38" s="49"/>
      <c r="I38" s="129">
        <f>SUM(I24:I37)</f>
        <v>3484452326</v>
      </c>
      <c r="J38" s="90"/>
      <c r="K38" s="44"/>
      <c r="L38" s="66"/>
      <c r="M38" s="66"/>
      <c r="N38" s="67"/>
      <c r="O38" s="73"/>
      <c r="P38" s="73"/>
    </row>
    <row r="39" spans="1:16" s="4" customFormat="1" ht="16.5" customHeight="1">
      <c r="A39" s="133"/>
      <c r="B39" s="135" t="s">
        <v>32</v>
      </c>
      <c r="C39" s="136"/>
      <c r="D39" s="136"/>
      <c r="E39" s="136"/>
      <c r="F39" s="136"/>
      <c r="G39" s="137"/>
      <c r="H39" s="48">
        <f>SUM(H24:H38)</f>
        <v>2021854571</v>
      </c>
      <c r="I39" s="130"/>
      <c r="J39" s="90"/>
      <c r="K39" s="44"/>
      <c r="L39" s="66"/>
      <c r="M39" s="66"/>
      <c r="N39" s="67"/>
      <c r="O39" s="73"/>
      <c r="P39" s="73"/>
    </row>
    <row r="40" spans="1:16" s="4" customFormat="1" ht="15.75" thickBot="1">
      <c r="A40" s="133"/>
      <c r="B40" s="117" t="s">
        <v>33</v>
      </c>
      <c r="C40" s="118"/>
      <c r="D40" s="118"/>
      <c r="E40" s="118"/>
      <c r="F40" s="118"/>
      <c r="G40" s="119"/>
      <c r="H40" s="31">
        <f>+H39/G38</f>
        <v>0.367188863392552</v>
      </c>
      <c r="I40" s="138"/>
      <c r="J40" s="77"/>
      <c r="K40" s="44"/>
      <c r="L40" s="66"/>
      <c r="M40" s="66"/>
      <c r="N40" s="67"/>
      <c r="O40" s="73"/>
      <c r="P40" s="73"/>
    </row>
    <row r="41" spans="1:16" s="4" customFormat="1" ht="16.5" customHeight="1">
      <c r="A41" s="123" t="s">
        <v>0</v>
      </c>
      <c r="B41" s="111" t="s">
        <v>2</v>
      </c>
      <c r="C41" s="126" t="s">
        <v>28</v>
      </c>
      <c r="D41" s="111" t="s">
        <v>3</v>
      </c>
      <c r="E41" s="111" t="s">
        <v>6</v>
      </c>
      <c r="F41" s="111"/>
      <c r="G41" s="112" t="s">
        <v>7</v>
      </c>
      <c r="H41" s="112"/>
      <c r="I41" s="113"/>
      <c r="J41" s="77"/>
      <c r="K41" s="44"/>
      <c r="L41" s="66"/>
      <c r="M41" s="66"/>
      <c r="N41" s="67"/>
      <c r="O41" s="73"/>
      <c r="P41" s="73"/>
    </row>
    <row r="42" spans="1:16" s="4" customFormat="1" ht="30.75" customHeight="1" thickBot="1">
      <c r="A42" s="124"/>
      <c r="B42" s="125"/>
      <c r="C42" s="127"/>
      <c r="D42" s="125"/>
      <c r="E42" s="19" t="s">
        <v>8</v>
      </c>
      <c r="F42" s="19" t="s">
        <v>9</v>
      </c>
      <c r="G42" s="33" t="s">
        <v>10</v>
      </c>
      <c r="H42" s="33" t="s">
        <v>11</v>
      </c>
      <c r="I42" s="34" t="s">
        <v>12</v>
      </c>
      <c r="J42" s="77"/>
      <c r="K42" s="44"/>
      <c r="L42" s="66"/>
      <c r="M42" s="66"/>
      <c r="N42" s="67"/>
      <c r="O42" s="73"/>
      <c r="P42" s="73"/>
    </row>
    <row r="43" spans="1:16" s="4" customFormat="1" ht="24" customHeight="1">
      <c r="A43" s="139" t="s">
        <v>58</v>
      </c>
      <c r="B43" s="27" t="s">
        <v>52</v>
      </c>
      <c r="C43" s="29">
        <v>20</v>
      </c>
      <c r="D43" s="97" t="s">
        <v>56</v>
      </c>
      <c r="E43" s="36">
        <v>10</v>
      </c>
      <c r="F43" s="55">
        <v>9</v>
      </c>
      <c r="G43" s="46">
        <v>28076000</v>
      </c>
      <c r="H43" s="46">
        <v>0</v>
      </c>
      <c r="I43" s="47">
        <f>+G43-H43</f>
        <v>28076000</v>
      </c>
      <c r="J43" s="77"/>
      <c r="K43" s="44"/>
      <c r="L43" s="66">
        <v>175228</v>
      </c>
      <c r="M43" s="66">
        <v>45086</v>
      </c>
      <c r="N43" s="67">
        <v>334406</v>
      </c>
      <c r="O43" s="73"/>
      <c r="P43" s="73"/>
    </row>
    <row r="44" spans="1:16" s="4" customFormat="1" ht="36">
      <c r="A44" s="133"/>
      <c r="B44" s="26" t="s">
        <v>53</v>
      </c>
      <c r="C44" s="29">
        <v>21</v>
      </c>
      <c r="D44" s="30" t="s">
        <v>50</v>
      </c>
      <c r="E44" s="11">
        <v>80</v>
      </c>
      <c r="F44" s="53">
        <v>50</v>
      </c>
      <c r="G44" s="46">
        <v>0</v>
      </c>
      <c r="H44" s="46">
        <v>0</v>
      </c>
      <c r="I44" s="47">
        <f>+G44-H44</f>
        <v>0</v>
      </c>
      <c r="J44" s="77"/>
      <c r="K44" s="44"/>
      <c r="L44" s="66">
        <v>105136</v>
      </c>
      <c r="M44" s="66">
        <v>420736</v>
      </c>
      <c r="N44" s="67"/>
      <c r="O44" s="73"/>
      <c r="P44" s="73"/>
    </row>
    <row r="45" spans="1:16" s="4" customFormat="1" ht="24">
      <c r="A45" s="133"/>
      <c r="B45" s="26" t="s">
        <v>54</v>
      </c>
      <c r="C45" s="29">
        <v>19</v>
      </c>
      <c r="D45" s="35" t="s">
        <v>57</v>
      </c>
      <c r="E45" s="11">
        <v>5</v>
      </c>
      <c r="F45" s="53">
        <v>5</v>
      </c>
      <c r="G45" s="46">
        <v>153514927</v>
      </c>
      <c r="H45" s="46">
        <f>6526000+8142440+20080000+115900487</f>
        <v>150648927</v>
      </c>
      <c r="I45" s="47">
        <f>+G45-H45</f>
        <v>2866000</v>
      </c>
      <c r="J45" s="77"/>
      <c r="K45" s="44"/>
      <c r="L45" s="66">
        <f>245319*2</f>
        <v>490638</v>
      </c>
      <c r="M45" s="66"/>
      <c r="N45" s="67"/>
      <c r="O45" s="73"/>
      <c r="P45" s="73"/>
    </row>
    <row r="46" spans="1:16" s="4" customFormat="1" ht="24">
      <c r="A46" s="133"/>
      <c r="B46" s="25" t="s">
        <v>55</v>
      </c>
      <c r="C46" s="13"/>
      <c r="D46" s="10" t="s">
        <v>47</v>
      </c>
      <c r="E46" s="11">
        <v>200</v>
      </c>
      <c r="F46" s="53">
        <v>91</v>
      </c>
      <c r="G46" s="46">
        <v>182284000</v>
      </c>
      <c r="H46" s="46">
        <v>182284000</v>
      </c>
      <c r="I46" s="47">
        <f>+G46-H46</f>
        <v>0</v>
      </c>
      <c r="J46" s="77"/>
      <c r="K46" s="44"/>
      <c r="L46" s="66">
        <v>60240</v>
      </c>
      <c r="M46" s="66"/>
      <c r="N46" s="67"/>
      <c r="O46" s="73"/>
      <c r="P46" s="73"/>
    </row>
    <row r="47" spans="1:16" s="4" customFormat="1" ht="15">
      <c r="A47" s="133"/>
      <c r="B47" s="5" t="s">
        <v>105</v>
      </c>
      <c r="C47" s="40"/>
      <c r="D47" s="30" t="s">
        <v>106</v>
      </c>
      <c r="E47" s="53">
        <v>1</v>
      </c>
      <c r="F47" s="100">
        <f>+H47/G47</f>
        <v>0.28376202975213466</v>
      </c>
      <c r="G47" s="46">
        <v>29895670</v>
      </c>
      <c r="H47" s="46">
        <f>1204800+237185+M50+N50</f>
        <v>8483256</v>
      </c>
      <c r="I47" s="47">
        <f>+G47-H47</f>
        <v>21412414</v>
      </c>
      <c r="J47" s="77"/>
      <c r="K47" s="44"/>
      <c r="L47" s="66">
        <f>335868*2</f>
        <v>671736</v>
      </c>
      <c r="M47" s="66"/>
      <c r="N47" s="67"/>
      <c r="O47" s="73"/>
      <c r="P47" s="73"/>
    </row>
    <row r="48" spans="1:16" s="4" customFormat="1" ht="15">
      <c r="A48" s="133"/>
      <c r="B48" s="135" t="s">
        <v>31</v>
      </c>
      <c r="C48" s="136"/>
      <c r="D48" s="136"/>
      <c r="E48" s="136"/>
      <c r="F48" s="137"/>
      <c r="G48" s="48">
        <f>SUM(G43:G47)</f>
        <v>393770597</v>
      </c>
      <c r="H48" s="49"/>
      <c r="I48" s="129">
        <f>SUM(I43:I47)</f>
        <v>52354414</v>
      </c>
      <c r="J48" s="48"/>
      <c r="K48" s="44"/>
      <c r="L48" s="66">
        <v>630821</v>
      </c>
      <c r="M48" s="66"/>
      <c r="N48" s="67"/>
      <c r="O48" s="73"/>
      <c r="P48" s="73"/>
    </row>
    <row r="49" spans="1:16" s="4" customFormat="1" ht="15.75">
      <c r="A49" s="133"/>
      <c r="B49" s="135" t="s">
        <v>32</v>
      </c>
      <c r="C49" s="136"/>
      <c r="D49" s="136"/>
      <c r="E49" s="136"/>
      <c r="F49" s="136"/>
      <c r="G49" s="137"/>
      <c r="H49" s="48">
        <f>SUM(H43:H48)</f>
        <v>341416183</v>
      </c>
      <c r="I49" s="130"/>
      <c r="J49" s="90"/>
      <c r="K49" s="44"/>
      <c r="L49" s="66">
        <v>4107244</v>
      </c>
      <c r="M49" s="66"/>
      <c r="N49" s="67"/>
      <c r="O49" s="73"/>
      <c r="P49" s="73"/>
    </row>
    <row r="50" spans="1:16" s="4" customFormat="1" ht="15.75" thickBot="1">
      <c r="A50" s="133"/>
      <c r="B50" s="117" t="s">
        <v>33</v>
      </c>
      <c r="C50" s="118"/>
      <c r="D50" s="118"/>
      <c r="E50" s="118"/>
      <c r="F50" s="118"/>
      <c r="G50" s="119"/>
      <c r="H50" s="31">
        <f>+H49/G48</f>
        <v>0.8670433638294227</v>
      </c>
      <c r="I50" s="138"/>
      <c r="J50" s="77">
        <v>80</v>
      </c>
      <c r="K50" s="44"/>
      <c r="L50" s="69"/>
      <c r="M50" s="68">
        <f>SUM(L43:M49)</f>
        <v>6706865</v>
      </c>
      <c r="N50" s="70">
        <f>SUM(N43:N49)</f>
        <v>334406</v>
      </c>
      <c r="O50" s="73"/>
      <c r="P50" s="73"/>
    </row>
    <row r="51" spans="1:16" s="4" customFormat="1" ht="19.5" customHeight="1">
      <c r="A51" s="123" t="s">
        <v>0</v>
      </c>
      <c r="B51" s="111" t="s">
        <v>2</v>
      </c>
      <c r="C51" s="126" t="s">
        <v>28</v>
      </c>
      <c r="D51" s="111" t="s">
        <v>3</v>
      </c>
      <c r="E51" s="111" t="s">
        <v>6</v>
      </c>
      <c r="F51" s="111"/>
      <c r="G51" s="112" t="s">
        <v>7</v>
      </c>
      <c r="H51" s="112"/>
      <c r="I51" s="113"/>
      <c r="J51" s="77"/>
      <c r="K51" s="44"/>
      <c r="L51" s="66"/>
      <c r="M51" s="66"/>
      <c r="N51" s="67"/>
      <c r="O51" s="73"/>
      <c r="P51" s="73"/>
    </row>
    <row r="52" spans="1:16" s="4" customFormat="1" ht="31.5" customHeight="1" thickBot="1">
      <c r="A52" s="124"/>
      <c r="B52" s="125"/>
      <c r="C52" s="127"/>
      <c r="D52" s="125"/>
      <c r="E52" s="19" t="s">
        <v>8</v>
      </c>
      <c r="F52" s="19" t="s">
        <v>9</v>
      </c>
      <c r="G52" s="33" t="s">
        <v>10</v>
      </c>
      <c r="H52" s="33" t="s">
        <v>11</v>
      </c>
      <c r="I52" s="34" t="s">
        <v>12</v>
      </c>
      <c r="J52" s="77"/>
      <c r="K52" s="44"/>
      <c r="L52" s="66"/>
      <c r="M52" s="66"/>
      <c r="N52" s="67"/>
      <c r="O52" s="73"/>
      <c r="P52" s="73"/>
    </row>
    <row r="53" spans="1:16" s="4" customFormat="1" ht="30.75" customHeight="1">
      <c r="A53" s="139" t="s">
        <v>65</v>
      </c>
      <c r="B53" s="27" t="s">
        <v>59</v>
      </c>
      <c r="C53" s="29">
        <v>22</v>
      </c>
      <c r="D53" s="97" t="s">
        <v>63</v>
      </c>
      <c r="E53" s="11">
        <v>37</v>
      </c>
      <c r="F53" s="53">
        <v>13</v>
      </c>
      <c r="G53" s="46">
        <v>75000000</v>
      </c>
      <c r="H53" s="46">
        <f>+M60</f>
        <v>703930</v>
      </c>
      <c r="I53" s="47">
        <f>+G53-H53</f>
        <v>74296070</v>
      </c>
      <c r="J53" s="77"/>
      <c r="K53" s="44"/>
      <c r="L53" s="71">
        <v>951912</v>
      </c>
      <c r="M53" s="66">
        <v>69813</v>
      </c>
      <c r="N53" s="67">
        <v>412670</v>
      </c>
      <c r="O53" s="73"/>
      <c r="P53" s="73"/>
    </row>
    <row r="54" spans="1:16" s="4" customFormat="1" ht="30.75" customHeight="1">
      <c r="A54" s="133"/>
      <c r="B54" s="26" t="s">
        <v>60</v>
      </c>
      <c r="C54" s="29">
        <v>23</v>
      </c>
      <c r="D54" s="30" t="s">
        <v>63</v>
      </c>
      <c r="E54" s="11">
        <v>5</v>
      </c>
      <c r="F54" s="53">
        <v>0</v>
      </c>
      <c r="G54" s="46">
        <v>52513822</v>
      </c>
      <c r="H54" s="46">
        <v>0</v>
      </c>
      <c r="I54" s="47">
        <f>+G54-H54</f>
        <v>52513822</v>
      </c>
      <c r="J54" s="77"/>
      <c r="K54" s="44"/>
      <c r="L54" s="71">
        <f>280554*2</f>
        <v>561108</v>
      </c>
      <c r="M54" s="66">
        <f>105137*2</f>
        <v>210274</v>
      </c>
      <c r="N54" s="67"/>
      <c r="O54" s="73"/>
      <c r="P54" s="73"/>
    </row>
    <row r="55" spans="1:16" s="4" customFormat="1" ht="30.75" customHeight="1">
      <c r="A55" s="133"/>
      <c r="B55" s="25" t="s">
        <v>61</v>
      </c>
      <c r="C55" s="13"/>
      <c r="D55" s="30" t="s">
        <v>47</v>
      </c>
      <c r="E55" s="11">
        <v>60</v>
      </c>
      <c r="F55" s="53">
        <v>20</v>
      </c>
      <c r="G55" s="46">
        <v>197036178</v>
      </c>
      <c r="H55" s="46">
        <v>10040000</v>
      </c>
      <c r="I55" s="47">
        <f>+G55-H55</f>
        <v>186996178</v>
      </c>
      <c r="J55" s="77"/>
      <c r="K55" s="44"/>
      <c r="L55" s="71">
        <v>425686</v>
      </c>
      <c r="M55" s="66">
        <v>63158</v>
      </c>
      <c r="N55" s="67"/>
      <c r="O55" s="73"/>
      <c r="P55" s="73"/>
    </row>
    <row r="56" spans="1:16" s="4" customFormat="1" ht="30.75" customHeight="1">
      <c r="A56" s="133"/>
      <c r="B56" s="25" t="s">
        <v>62</v>
      </c>
      <c r="C56" s="13"/>
      <c r="D56" s="30" t="s">
        <v>64</v>
      </c>
      <c r="E56" s="11">
        <v>2</v>
      </c>
      <c r="F56" s="53">
        <v>0</v>
      </c>
      <c r="G56" s="46">
        <v>30000000</v>
      </c>
      <c r="H56" s="46">
        <v>0</v>
      </c>
      <c r="I56" s="47">
        <f>+G56-H56</f>
        <v>30000000</v>
      </c>
      <c r="J56" s="77"/>
      <c r="K56" s="44"/>
      <c r="L56" s="71">
        <v>215388</v>
      </c>
      <c r="M56" s="66">
        <v>75206</v>
      </c>
      <c r="N56" s="67"/>
      <c r="O56" s="73"/>
      <c r="P56" s="73"/>
    </row>
    <row r="57" spans="1:16" s="4" customFormat="1" ht="23.25" customHeight="1">
      <c r="A57" s="133"/>
      <c r="B57" s="5" t="s">
        <v>105</v>
      </c>
      <c r="C57" s="13"/>
      <c r="D57" s="30" t="s">
        <v>106</v>
      </c>
      <c r="E57" s="53">
        <v>1</v>
      </c>
      <c r="F57" s="100">
        <f>+H57/G57</f>
        <v>0.5970601834862386</v>
      </c>
      <c r="G57" s="49">
        <v>5450000</v>
      </c>
      <c r="H57" s="49">
        <f>401600+75340+L60+N60</f>
        <v>3253978</v>
      </c>
      <c r="I57" s="56">
        <f>+G57-H57</f>
        <v>2196022</v>
      </c>
      <c r="J57" s="77"/>
      <c r="K57" s="44"/>
      <c r="L57" s="71">
        <v>210274</v>
      </c>
      <c r="M57" s="66">
        <v>145297</v>
      </c>
      <c r="N57" s="67"/>
      <c r="O57" s="73"/>
      <c r="P57" s="73"/>
    </row>
    <row r="58" spans="1:16" s="4" customFormat="1" ht="15">
      <c r="A58" s="133"/>
      <c r="B58" s="117" t="s">
        <v>31</v>
      </c>
      <c r="C58" s="118"/>
      <c r="D58" s="118"/>
      <c r="E58" s="118"/>
      <c r="F58" s="119"/>
      <c r="G58" s="48">
        <f>SUM(G53:G57)</f>
        <v>360000000</v>
      </c>
      <c r="H58" s="20"/>
      <c r="I58" s="129">
        <f>SUM(I53:I57)</f>
        <v>346002092</v>
      </c>
      <c r="J58" s="96"/>
      <c r="K58" s="44"/>
      <c r="L58" s="71"/>
      <c r="M58" s="66">
        <f>70091*2</f>
        <v>140182</v>
      </c>
      <c r="N58" s="67"/>
      <c r="O58" s="73"/>
      <c r="P58" s="73"/>
    </row>
    <row r="59" spans="1:16" s="4" customFormat="1" ht="15.75">
      <c r="A59" s="133"/>
      <c r="B59" s="117" t="s">
        <v>32</v>
      </c>
      <c r="C59" s="118"/>
      <c r="D59" s="118"/>
      <c r="E59" s="118"/>
      <c r="F59" s="118"/>
      <c r="G59" s="119"/>
      <c r="H59" s="48">
        <f>SUM(H53:H58)</f>
        <v>13997908</v>
      </c>
      <c r="I59" s="130"/>
      <c r="J59" s="90">
        <v>29</v>
      </c>
      <c r="K59" s="44"/>
      <c r="L59" s="71"/>
      <c r="M59" s="66"/>
      <c r="N59" s="67"/>
      <c r="O59" s="73"/>
      <c r="P59" s="73"/>
    </row>
    <row r="60" spans="1:16" s="4" customFormat="1" ht="15.75" thickBot="1">
      <c r="A60" s="133"/>
      <c r="B60" s="117" t="s">
        <v>33</v>
      </c>
      <c r="C60" s="118"/>
      <c r="D60" s="118"/>
      <c r="E60" s="118"/>
      <c r="F60" s="118"/>
      <c r="G60" s="119"/>
      <c r="H60" s="31">
        <f>+H59/G58</f>
        <v>0.038883077777777775</v>
      </c>
      <c r="I60" s="131"/>
      <c r="J60" s="77"/>
      <c r="K60" s="44"/>
      <c r="L60" s="68">
        <f>SUM(L53:L59)</f>
        <v>2364368</v>
      </c>
      <c r="M60" s="68">
        <f>SUM(M53:M59)</f>
        <v>703930</v>
      </c>
      <c r="N60" s="70">
        <f>SUM(N53:N59)</f>
        <v>412670</v>
      </c>
      <c r="O60" s="73"/>
      <c r="P60" s="73"/>
    </row>
    <row r="61" spans="1:16" s="4" customFormat="1" ht="21.75" customHeight="1">
      <c r="A61" s="123" t="s">
        <v>0</v>
      </c>
      <c r="B61" s="111" t="s">
        <v>2</v>
      </c>
      <c r="C61" s="126" t="s">
        <v>28</v>
      </c>
      <c r="D61" s="111" t="s">
        <v>3</v>
      </c>
      <c r="E61" s="111" t="s">
        <v>6</v>
      </c>
      <c r="F61" s="111"/>
      <c r="G61" s="112" t="s">
        <v>7</v>
      </c>
      <c r="H61" s="112"/>
      <c r="I61" s="113"/>
      <c r="J61" s="77"/>
      <c r="K61" s="44"/>
      <c r="L61" s="66"/>
      <c r="M61" s="66"/>
      <c r="N61" s="67"/>
      <c r="O61" s="73"/>
      <c r="P61" s="73"/>
    </row>
    <row r="62" spans="1:16" s="4" customFormat="1" ht="30.75" customHeight="1" thickBot="1">
      <c r="A62" s="124"/>
      <c r="B62" s="125"/>
      <c r="C62" s="127"/>
      <c r="D62" s="125"/>
      <c r="E62" s="19" t="s">
        <v>8</v>
      </c>
      <c r="F62" s="19" t="s">
        <v>9</v>
      </c>
      <c r="G62" s="33" t="s">
        <v>10</v>
      </c>
      <c r="H62" s="33" t="s">
        <v>11</v>
      </c>
      <c r="I62" s="34" t="s">
        <v>12</v>
      </c>
      <c r="J62" s="77"/>
      <c r="K62" s="44"/>
      <c r="L62" s="66"/>
      <c r="M62" s="66"/>
      <c r="N62" s="67"/>
      <c r="O62" s="73"/>
      <c r="P62" s="73"/>
    </row>
    <row r="63" spans="1:18" s="4" customFormat="1" ht="50.25" customHeight="1">
      <c r="A63" s="132" t="s">
        <v>80</v>
      </c>
      <c r="B63" s="27" t="s">
        <v>66</v>
      </c>
      <c r="C63" s="29">
        <v>16</v>
      </c>
      <c r="D63" s="97" t="s">
        <v>50</v>
      </c>
      <c r="E63" s="11">
        <v>90</v>
      </c>
      <c r="F63" s="53">
        <v>97.3</v>
      </c>
      <c r="G63" s="50">
        <v>16593045</v>
      </c>
      <c r="H63" s="50">
        <v>13832045</v>
      </c>
      <c r="I63" s="47">
        <f>+G63-H63</f>
        <v>2761000</v>
      </c>
      <c r="J63" s="77"/>
      <c r="K63" s="44"/>
      <c r="L63" s="66">
        <v>232514</v>
      </c>
      <c r="M63" s="66">
        <v>77615</v>
      </c>
      <c r="N63" s="67">
        <v>233394</v>
      </c>
      <c r="O63" s="73">
        <v>18676636</v>
      </c>
      <c r="P63" s="73">
        <v>282726</v>
      </c>
      <c r="Q63" s="4">
        <f>+O63/2</f>
        <v>9338318</v>
      </c>
      <c r="R63" s="4">
        <f aca="true" t="shared" si="2" ref="R63:R75">+P63/2</f>
        <v>141363</v>
      </c>
    </row>
    <row r="64" spans="1:18" s="4" customFormat="1" ht="30.75" customHeight="1">
      <c r="A64" s="133"/>
      <c r="B64" s="26" t="s">
        <v>67</v>
      </c>
      <c r="C64" s="29">
        <v>18</v>
      </c>
      <c r="D64" s="30" t="s">
        <v>30</v>
      </c>
      <c r="E64" s="11">
        <v>90</v>
      </c>
      <c r="F64" s="53">
        <v>11</v>
      </c>
      <c r="G64" s="50">
        <v>0</v>
      </c>
      <c r="H64" s="50">
        <v>0</v>
      </c>
      <c r="I64" s="47">
        <f aca="true" t="shared" si="3" ref="I64:I73">+G64-H64</f>
        <v>0</v>
      </c>
      <c r="J64" s="77"/>
      <c r="K64" s="44"/>
      <c r="L64" s="66">
        <v>1500642</v>
      </c>
      <c r="M64" s="66">
        <f>63158*2</f>
        <v>126316</v>
      </c>
      <c r="N64" s="67">
        <v>355370</v>
      </c>
      <c r="O64" s="73">
        <v>353408</v>
      </c>
      <c r="P64" s="73">
        <v>135540</v>
      </c>
      <c r="Q64" s="4">
        <f aca="true" t="shared" si="4" ref="Q64:Q75">+O64/2</f>
        <v>176704</v>
      </c>
      <c r="R64" s="4">
        <f t="shared" si="2"/>
        <v>67770</v>
      </c>
    </row>
    <row r="65" spans="1:18" s="4" customFormat="1" ht="30.75" customHeight="1">
      <c r="A65" s="133"/>
      <c r="B65" s="26" t="s">
        <v>68</v>
      </c>
      <c r="C65" s="29">
        <v>17</v>
      </c>
      <c r="D65" s="30" t="s">
        <v>50</v>
      </c>
      <c r="E65" s="11">
        <v>50</v>
      </c>
      <c r="F65" s="53">
        <v>39</v>
      </c>
      <c r="G65" s="50">
        <v>0</v>
      </c>
      <c r="H65" s="50">
        <v>0</v>
      </c>
      <c r="I65" s="47">
        <f t="shared" si="3"/>
        <v>0</v>
      </c>
      <c r="J65" s="77"/>
      <c r="K65" s="44"/>
      <c r="L65" s="66">
        <v>75206</v>
      </c>
      <c r="M65" s="66">
        <v>184478</v>
      </c>
      <c r="N65" s="67">
        <v>553359</v>
      </c>
      <c r="O65" s="73">
        <v>494471</v>
      </c>
      <c r="P65" s="73">
        <v>211643</v>
      </c>
      <c r="Q65" s="4">
        <f t="shared" si="4"/>
        <v>247235.5</v>
      </c>
      <c r="R65" s="4">
        <f t="shared" si="2"/>
        <v>105821.5</v>
      </c>
    </row>
    <row r="66" spans="1:18" s="4" customFormat="1" ht="39" customHeight="1">
      <c r="A66" s="133"/>
      <c r="B66" s="26" t="s">
        <v>69</v>
      </c>
      <c r="C66" s="29">
        <v>11</v>
      </c>
      <c r="D66" s="30" t="s">
        <v>50</v>
      </c>
      <c r="E66" s="11">
        <v>95</v>
      </c>
      <c r="F66" s="53">
        <v>100</v>
      </c>
      <c r="G66" s="50">
        <v>0</v>
      </c>
      <c r="H66" s="50">
        <v>0</v>
      </c>
      <c r="I66" s="47">
        <f t="shared" si="3"/>
        <v>0</v>
      </c>
      <c r="J66" s="77"/>
      <c r="K66" s="44"/>
      <c r="L66" s="66">
        <v>340670</v>
      </c>
      <c r="M66" s="66">
        <v>43078</v>
      </c>
      <c r="N66" s="67"/>
      <c r="O66" s="73">
        <v>282726</v>
      </c>
      <c r="P66" s="73"/>
      <c r="Q66" s="4">
        <f t="shared" si="4"/>
        <v>141363</v>
      </c>
      <c r="R66" s="4">
        <f t="shared" si="2"/>
        <v>0</v>
      </c>
    </row>
    <row r="67" spans="1:18" s="4" customFormat="1" ht="39.75" customHeight="1">
      <c r="A67" s="133"/>
      <c r="B67" s="26" t="s">
        <v>70</v>
      </c>
      <c r="C67" s="29">
        <v>15</v>
      </c>
      <c r="D67" s="30" t="s">
        <v>76</v>
      </c>
      <c r="E67" s="11">
        <v>1</v>
      </c>
      <c r="F67" s="53">
        <v>0</v>
      </c>
      <c r="G67" s="50">
        <v>50000000</v>
      </c>
      <c r="H67" s="50">
        <v>0</v>
      </c>
      <c r="I67" s="47">
        <f t="shared" si="3"/>
        <v>50000000</v>
      </c>
      <c r="J67" s="77"/>
      <c r="K67" s="44"/>
      <c r="L67" s="66">
        <v>63653</v>
      </c>
      <c r="M67" s="66">
        <v>409786</v>
      </c>
      <c r="N67" s="67"/>
      <c r="O67" s="73">
        <v>565453</v>
      </c>
      <c r="P67" s="73"/>
      <c r="Q67" s="4">
        <f t="shared" si="4"/>
        <v>282726.5</v>
      </c>
      <c r="R67" s="4">
        <f t="shared" si="2"/>
        <v>0</v>
      </c>
    </row>
    <row r="68" spans="1:18" s="4" customFormat="1" ht="50.25" customHeight="1">
      <c r="A68" s="133"/>
      <c r="B68" s="26" t="s">
        <v>71</v>
      </c>
      <c r="C68" s="29">
        <v>24</v>
      </c>
      <c r="D68" s="30" t="s">
        <v>50</v>
      </c>
      <c r="E68" s="11">
        <v>60</v>
      </c>
      <c r="F68" s="53">
        <v>50</v>
      </c>
      <c r="G68" s="50">
        <v>144289760</v>
      </c>
      <c r="H68" s="50">
        <f>3998597.33*2+2510000+P76/2+11044000/2+5321200/2+7195218*2+9999840/2+4819200/2+11044000/2+9638400/2+8534000/2</f>
        <v>66943000.66</v>
      </c>
      <c r="I68" s="47">
        <f>+G68-H68</f>
        <v>77346759.34</v>
      </c>
      <c r="J68" s="77"/>
      <c r="K68" s="44"/>
      <c r="L68" s="66">
        <v>255412</v>
      </c>
      <c r="M68" s="66">
        <v>135257</v>
      </c>
      <c r="N68" s="67"/>
      <c r="O68" s="73">
        <f>212045*2</f>
        <v>424090</v>
      </c>
      <c r="P68" s="73"/>
      <c r="Q68" s="4">
        <f t="shared" si="4"/>
        <v>212045</v>
      </c>
      <c r="R68" s="4">
        <f t="shared" si="2"/>
        <v>0</v>
      </c>
    </row>
    <row r="69" spans="1:18" s="4" customFormat="1" ht="30.75" customHeight="1">
      <c r="A69" s="133"/>
      <c r="B69" s="25" t="s">
        <v>72</v>
      </c>
      <c r="C69" s="2"/>
      <c r="D69" s="30" t="s">
        <v>77</v>
      </c>
      <c r="E69" s="11">
        <v>10</v>
      </c>
      <c r="F69" s="53">
        <v>5</v>
      </c>
      <c r="G69" s="46">
        <v>83222800</v>
      </c>
      <c r="H69" s="46">
        <f>3998597.33*2+6927600+8126376+3012000</f>
        <v>26063170.66</v>
      </c>
      <c r="I69" s="47">
        <f t="shared" si="3"/>
        <v>57159629.34</v>
      </c>
      <c r="J69" s="77"/>
      <c r="K69" s="44"/>
      <c r="L69" s="66">
        <v>191507</v>
      </c>
      <c r="M69" s="66">
        <v>51136</v>
      </c>
      <c r="N69" s="67"/>
      <c r="O69" s="73">
        <v>247386</v>
      </c>
      <c r="P69" s="73"/>
      <c r="Q69" s="4">
        <f t="shared" si="4"/>
        <v>123693</v>
      </c>
      <c r="R69" s="4">
        <f t="shared" si="2"/>
        <v>0</v>
      </c>
    </row>
    <row r="70" spans="1:18" s="4" customFormat="1" ht="30.75" customHeight="1">
      <c r="A70" s="133"/>
      <c r="B70" s="25" t="s">
        <v>73</v>
      </c>
      <c r="C70" s="2"/>
      <c r="D70" s="30" t="s">
        <v>78</v>
      </c>
      <c r="E70" s="11">
        <v>4</v>
      </c>
      <c r="F70" s="53">
        <v>0</v>
      </c>
      <c r="G70" s="46">
        <v>50000000</v>
      </c>
      <c r="H70" s="46">
        <v>0</v>
      </c>
      <c r="I70" s="47">
        <f t="shared" si="3"/>
        <v>50000000</v>
      </c>
      <c r="J70" s="77"/>
      <c r="K70" s="44"/>
      <c r="L70" s="66">
        <v>203340</v>
      </c>
      <c r="M70" s="66">
        <v>67199</v>
      </c>
      <c r="N70" s="67"/>
      <c r="O70" s="73">
        <v>459430</v>
      </c>
      <c r="P70" s="73"/>
      <c r="Q70" s="4">
        <f t="shared" si="4"/>
        <v>229715</v>
      </c>
      <c r="R70" s="4">
        <f t="shared" si="2"/>
        <v>0</v>
      </c>
    </row>
    <row r="71" spans="1:18" s="4" customFormat="1" ht="30.75" customHeight="1">
      <c r="A71" s="133"/>
      <c r="B71" s="25" t="s">
        <v>74</v>
      </c>
      <c r="C71" s="2"/>
      <c r="D71" s="30" t="s">
        <v>79</v>
      </c>
      <c r="E71" s="11">
        <v>1</v>
      </c>
      <c r="F71" s="53">
        <v>1</v>
      </c>
      <c r="G71" s="46">
        <v>130854999</v>
      </c>
      <c r="H71" s="46">
        <f>2811200+72990800+55052999</f>
        <v>130854999</v>
      </c>
      <c r="I71" s="47">
        <f t="shared" si="3"/>
        <v>0</v>
      </c>
      <c r="J71" s="77"/>
      <c r="K71" s="44"/>
      <c r="L71" s="66">
        <v>90266</v>
      </c>
      <c r="M71" s="66">
        <v>315411</v>
      </c>
      <c r="N71" s="67"/>
      <c r="O71" s="73">
        <v>388749</v>
      </c>
      <c r="P71" s="73"/>
      <c r="Q71" s="4">
        <f t="shared" si="4"/>
        <v>194374.5</v>
      </c>
      <c r="R71" s="4">
        <f t="shared" si="2"/>
        <v>0</v>
      </c>
    </row>
    <row r="72" spans="1:18" s="4" customFormat="1" ht="30.75" customHeight="1">
      <c r="A72" s="133"/>
      <c r="B72" s="25" t="s">
        <v>75</v>
      </c>
      <c r="C72" s="2"/>
      <c r="D72" s="30" t="s">
        <v>50</v>
      </c>
      <c r="E72" s="11">
        <v>60</v>
      </c>
      <c r="F72" s="53">
        <v>44</v>
      </c>
      <c r="G72" s="46">
        <v>187953964</v>
      </c>
      <c r="H72" s="46">
        <f>3998597.33*2+2833690+P76/2+11044000/2+5321200/2+7195218*2+9999840/2+4819200/2+11044000/2+9638400/2+8534000/2</f>
        <v>67266690.66</v>
      </c>
      <c r="I72" s="47">
        <f t="shared" si="3"/>
        <v>120687273.34</v>
      </c>
      <c r="J72" s="77"/>
      <c r="K72" s="44"/>
      <c r="L72" s="66">
        <f>199513*2</f>
        <v>399026</v>
      </c>
      <c r="M72" s="66">
        <v>75206</v>
      </c>
      <c r="N72" s="67"/>
      <c r="O72" s="73">
        <v>318067</v>
      </c>
      <c r="P72" s="73"/>
      <c r="Q72" s="4">
        <f t="shared" si="4"/>
        <v>159033.5</v>
      </c>
      <c r="R72" s="4">
        <f t="shared" si="2"/>
        <v>0</v>
      </c>
    </row>
    <row r="73" spans="1:18" s="4" customFormat="1" ht="21" customHeight="1">
      <c r="A73" s="133"/>
      <c r="B73" s="5" t="s">
        <v>105</v>
      </c>
      <c r="C73" s="2"/>
      <c r="D73" s="30" t="s">
        <v>106</v>
      </c>
      <c r="E73" s="53">
        <v>1</v>
      </c>
      <c r="F73" s="100">
        <f>+H73/G73</f>
        <v>0.44758388812677247</v>
      </c>
      <c r="G73" s="49">
        <v>49154781</v>
      </c>
      <c r="H73" s="46">
        <f>+M76+N76+14385312+536136</f>
        <v>22000888</v>
      </c>
      <c r="I73" s="56">
        <f t="shared" si="3"/>
        <v>27153893</v>
      </c>
      <c r="J73" s="77"/>
      <c r="K73" s="44"/>
      <c r="L73" s="66">
        <v>333243</v>
      </c>
      <c r="M73" s="66"/>
      <c r="N73" s="67"/>
      <c r="O73" s="73">
        <v>425686</v>
      </c>
      <c r="P73" s="73"/>
      <c r="Q73" s="4">
        <f t="shared" si="4"/>
        <v>212843</v>
      </c>
      <c r="R73" s="4">
        <f t="shared" si="2"/>
        <v>0</v>
      </c>
    </row>
    <row r="74" spans="1:18" s="4" customFormat="1" ht="15">
      <c r="A74" s="133"/>
      <c r="B74" s="117" t="s">
        <v>31</v>
      </c>
      <c r="C74" s="118"/>
      <c r="D74" s="118"/>
      <c r="E74" s="118"/>
      <c r="F74" s="119"/>
      <c r="G74" s="48">
        <f>SUM(G63:G73)</f>
        <v>712069349</v>
      </c>
      <c r="H74" s="12"/>
      <c r="I74" s="129">
        <f>SUM(I63:I73)</f>
        <v>385108555.02</v>
      </c>
      <c r="J74" s="48"/>
      <c r="K74" s="44"/>
      <c r="L74" s="66">
        <v>340670</v>
      </c>
      <c r="M74" s="66"/>
      <c r="N74" s="67"/>
      <c r="O74" s="73">
        <v>282726</v>
      </c>
      <c r="P74" s="73"/>
      <c r="Q74" s="4">
        <f t="shared" si="4"/>
        <v>141363</v>
      </c>
      <c r="R74" s="4">
        <f t="shared" si="2"/>
        <v>0</v>
      </c>
    </row>
    <row r="75" spans="1:18" s="4" customFormat="1" ht="15.75">
      <c r="A75" s="133"/>
      <c r="B75" s="117" t="s">
        <v>32</v>
      </c>
      <c r="C75" s="118"/>
      <c r="D75" s="118"/>
      <c r="E75" s="118"/>
      <c r="F75" s="118"/>
      <c r="G75" s="119"/>
      <c r="H75" s="48">
        <f>+H63+H64+H65+H66+H67+H68+H69+H70+H71+H72+H73</f>
        <v>326960793.98</v>
      </c>
      <c r="I75" s="130"/>
      <c r="J75" s="90">
        <v>31</v>
      </c>
      <c r="K75" s="44"/>
      <c r="L75" s="66">
        <v>425686</v>
      </c>
      <c r="M75" s="66"/>
      <c r="N75" s="67"/>
      <c r="O75" s="73">
        <v>141363</v>
      </c>
      <c r="P75" s="73"/>
      <c r="Q75" s="4">
        <f t="shared" si="4"/>
        <v>70681.5</v>
      </c>
      <c r="R75" s="4">
        <f t="shared" si="2"/>
        <v>0</v>
      </c>
    </row>
    <row r="76" spans="1:18" s="4" customFormat="1" ht="15.75" thickBot="1">
      <c r="A76" s="134"/>
      <c r="B76" s="117" t="s">
        <v>33</v>
      </c>
      <c r="C76" s="118"/>
      <c r="D76" s="118"/>
      <c r="E76" s="118"/>
      <c r="F76" s="118"/>
      <c r="G76" s="119"/>
      <c r="H76" s="31">
        <f>+H75/G74</f>
        <v>0.4591698750117104</v>
      </c>
      <c r="I76" s="131"/>
      <c r="J76" s="77"/>
      <c r="K76" s="44"/>
      <c r="L76" s="76"/>
      <c r="M76" s="76">
        <f>SUM(L63:M75)</f>
        <v>5937317</v>
      </c>
      <c r="N76" s="76">
        <f>SUM(N63:N75)</f>
        <v>1142123</v>
      </c>
      <c r="O76" s="76"/>
      <c r="P76" s="76">
        <f>SUM(O63:P75)</f>
        <v>23690100</v>
      </c>
      <c r="Q76" s="4">
        <f>+P76/2</f>
        <v>11845050</v>
      </c>
      <c r="R76" s="76">
        <f>SUM(Q63:R75)</f>
        <v>11845050</v>
      </c>
    </row>
    <row r="77" spans="1:16" s="4" customFormat="1" ht="19.5" customHeight="1">
      <c r="A77" s="123" t="s">
        <v>0</v>
      </c>
      <c r="B77" s="111" t="s">
        <v>2</v>
      </c>
      <c r="C77" s="126" t="s">
        <v>28</v>
      </c>
      <c r="D77" s="111" t="s">
        <v>3</v>
      </c>
      <c r="E77" s="111" t="s">
        <v>6</v>
      </c>
      <c r="F77" s="111"/>
      <c r="G77" s="112" t="s">
        <v>7</v>
      </c>
      <c r="H77" s="112"/>
      <c r="I77" s="113"/>
      <c r="J77" s="77"/>
      <c r="K77" s="44"/>
      <c r="L77" s="66"/>
      <c r="M77" s="66"/>
      <c r="N77" s="67"/>
      <c r="O77" s="73"/>
      <c r="P77" s="73"/>
    </row>
    <row r="78" spans="1:16" s="4" customFormat="1" ht="30.75" customHeight="1" thickBot="1">
      <c r="A78" s="124"/>
      <c r="B78" s="125"/>
      <c r="C78" s="127"/>
      <c r="D78" s="125"/>
      <c r="E78" s="19" t="s">
        <v>8</v>
      </c>
      <c r="F78" s="19" t="s">
        <v>9</v>
      </c>
      <c r="G78" s="33" t="s">
        <v>10</v>
      </c>
      <c r="H78" s="33" t="s">
        <v>11</v>
      </c>
      <c r="I78" s="34" t="s">
        <v>12</v>
      </c>
      <c r="J78" s="77"/>
      <c r="K78" s="44"/>
      <c r="L78" s="66"/>
      <c r="M78" s="66"/>
      <c r="N78" s="67"/>
      <c r="O78" s="73"/>
      <c r="P78" s="73"/>
    </row>
    <row r="79" spans="1:16" s="4" customFormat="1" ht="36" customHeight="1">
      <c r="A79" s="132" t="s">
        <v>89</v>
      </c>
      <c r="B79" s="37" t="s">
        <v>81</v>
      </c>
      <c r="C79" s="5"/>
      <c r="D79" s="97" t="s">
        <v>85</v>
      </c>
      <c r="E79" s="11">
        <v>25000</v>
      </c>
      <c r="F79" s="53">
        <v>12500</v>
      </c>
      <c r="G79" s="46">
        <v>73059072</v>
      </c>
      <c r="H79" s="46">
        <f>5590272+2208800</f>
        <v>7799072</v>
      </c>
      <c r="I79" s="51">
        <f>+G79-H79</f>
        <v>65260000</v>
      </c>
      <c r="J79" s="77"/>
      <c r="K79" s="44"/>
      <c r="L79" s="66"/>
      <c r="M79" s="66"/>
      <c r="N79" s="67"/>
      <c r="O79" s="73"/>
      <c r="P79" s="73"/>
    </row>
    <row r="80" spans="1:16" s="4" customFormat="1" ht="36" customHeight="1">
      <c r="A80" s="133"/>
      <c r="B80" s="25" t="s">
        <v>82</v>
      </c>
      <c r="C80" s="5"/>
      <c r="D80" s="30" t="s">
        <v>86</v>
      </c>
      <c r="E80" s="11">
        <v>5000</v>
      </c>
      <c r="F80" s="53">
        <v>1000</v>
      </c>
      <c r="G80" s="46">
        <v>3012000</v>
      </c>
      <c r="H80" s="46">
        <v>3012000</v>
      </c>
      <c r="I80" s="51">
        <f>+G80-H80</f>
        <v>0</v>
      </c>
      <c r="J80" s="77"/>
      <c r="K80" s="44"/>
      <c r="L80" s="66"/>
      <c r="M80" s="66"/>
      <c r="N80" s="67"/>
      <c r="O80" s="73"/>
      <c r="P80" s="73"/>
    </row>
    <row r="81" spans="1:16" s="4" customFormat="1" ht="36">
      <c r="A81" s="133"/>
      <c r="B81" s="25" t="s">
        <v>83</v>
      </c>
      <c r="C81" s="5"/>
      <c r="D81" s="30" t="s">
        <v>87</v>
      </c>
      <c r="E81" s="11">
        <v>10000</v>
      </c>
      <c r="F81" s="53">
        <v>2601</v>
      </c>
      <c r="G81" s="46">
        <v>68711728</v>
      </c>
      <c r="H81" s="46">
        <f>3012000+10040000+2409600+3012000</f>
        <v>18473600</v>
      </c>
      <c r="I81" s="51">
        <f>+G81-H81</f>
        <v>50238128</v>
      </c>
      <c r="J81" s="77"/>
      <c r="K81" s="44"/>
      <c r="L81" s="66"/>
      <c r="M81" s="66"/>
      <c r="N81" s="67"/>
      <c r="O81" s="73"/>
      <c r="P81" s="73"/>
    </row>
    <row r="82" spans="1:16" s="4" customFormat="1" ht="24">
      <c r="A82" s="133"/>
      <c r="B82" s="25" t="s">
        <v>84</v>
      </c>
      <c r="C82" s="5"/>
      <c r="D82" s="30" t="s">
        <v>88</v>
      </c>
      <c r="E82" s="11">
        <v>3</v>
      </c>
      <c r="F82" s="53">
        <v>1</v>
      </c>
      <c r="G82" s="46">
        <v>4016000</v>
      </c>
      <c r="H82" s="46">
        <v>4016000</v>
      </c>
      <c r="I82" s="51">
        <f>+G82-H82</f>
        <v>0</v>
      </c>
      <c r="J82" s="77"/>
      <c r="K82" s="44"/>
      <c r="L82" s="66"/>
      <c r="M82" s="66"/>
      <c r="N82" s="67"/>
      <c r="O82" s="73"/>
      <c r="P82" s="73"/>
    </row>
    <row r="83" spans="1:16" s="4" customFormat="1" ht="15">
      <c r="A83" s="133"/>
      <c r="B83" s="5" t="s">
        <v>105</v>
      </c>
      <c r="C83" s="5"/>
      <c r="D83" s="30" t="s">
        <v>106</v>
      </c>
      <c r="E83" s="53">
        <v>1</v>
      </c>
      <c r="F83" s="100">
        <f>+H83/G83</f>
        <v>0.04242785467743657</v>
      </c>
      <c r="G83" s="49">
        <v>11241200</v>
      </c>
      <c r="H83" s="46">
        <f>401600+75340</f>
        <v>476940</v>
      </c>
      <c r="I83" s="51">
        <f>+G83-H83</f>
        <v>10764260</v>
      </c>
      <c r="J83" s="94"/>
      <c r="K83" s="44"/>
      <c r="L83" s="66"/>
      <c r="M83" s="66"/>
      <c r="N83" s="67"/>
      <c r="O83" s="73"/>
      <c r="P83" s="73"/>
    </row>
    <row r="84" spans="1:16" s="4" customFormat="1" ht="15">
      <c r="A84" s="133"/>
      <c r="B84" s="117" t="s">
        <v>31</v>
      </c>
      <c r="C84" s="118"/>
      <c r="D84" s="118"/>
      <c r="E84" s="118"/>
      <c r="F84" s="119"/>
      <c r="G84" s="48">
        <f>SUM(G79:G83)</f>
        <v>160040000</v>
      </c>
      <c r="H84" s="12"/>
      <c r="I84" s="129">
        <f>SUM(I79:I83)</f>
        <v>126262388</v>
      </c>
      <c r="J84" s="95"/>
      <c r="K84" s="44"/>
      <c r="L84" s="66"/>
      <c r="M84" s="66"/>
      <c r="N84" s="67"/>
      <c r="O84" s="73"/>
      <c r="P84" s="73"/>
    </row>
    <row r="85" spans="1:16" s="4" customFormat="1" ht="15.75">
      <c r="A85" s="133"/>
      <c r="B85" s="117" t="s">
        <v>32</v>
      </c>
      <c r="C85" s="118"/>
      <c r="D85" s="118"/>
      <c r="E85" s="118"/>
      <c r="F85" s="118"/>
      <c r="G85" s="119"/>
      <c r="H85" s="48">
        <f>SUM(H79:H84)</f>
        <v>33777612</v>
      </c>
      <c r="I85" s="130"/>
      <c r="J85" s="93">
        <v>31</v>
      </c>
      <c r="K85" s="44"/>
      <c r="L85" s="66"/>
      <c r="M85" s="66"/>
      <c r="N85" s="67"/>
      <c r="O85" s="73"/>
      <c r="P85" s="73"/>
    </row>
    <row r="86" spans="1:16" s="4" customFormat="1" ht="15.75" thickBot="1">
      <c r="A86" s="133"/>
      <c r="B86" s="117" t="s">
        <v>33</v>
      </c>
      <c r="C86" s="118"/>
      <c r="D86" s="118"/>
      <c r="E86" s="118"/>
      <c r="F86" s="118"/>
      <c r="G86" s="119"/>
      <c r="H86" s="31">
        <f>+H85/G84</f>
        <v>0.2110573106723319</v>
      </c>
      <c r="I86" s="138"/>
      <c r="J86" s="77"/>
      <c r="K86" s="44"/>
      <c r="L86" s="66"/>
      <c r="M86" s="66"/>
      <c r="N86" s="67"/>
      <c r="O86" s="73"/>
      <c r="P86" s="73"/>
    </row>
    <row r="87" spans="1:16" s="4" customFormat="1" ht="26.25" customHeight="1">
      <c r="A87" s="123" t="s">
        <v>0</v>
      </c>
      <c r="B87" s="111" t="s">
        <v>2</v>
      </c>
      <c r="C87" s="126" t="s">
        <v>28</v>
      </c>
      <c r="D87" s="111" t="s">
        <v>3</v>
      </c>
      <c r="E87" s="111" t="s">
        <v>6</v>
      </c>
      <c r="F87" s="111"/>
      <c r="G87" s="112" t="s">
        <v>7</v>
      </c>
      <c r="H87" s="112"/>
      <c r="I87" s="113"/>
      <c r="J87" s="77"/>
      <c r="K87" s="44"/>
      <c r="L87" s="66"/>
      <c r="M87" s="66"/>
      <c r="N87" s="67"/>
      <c r="O87" s="73"/>
      <c r="P87" s="73"/>
    </row>
    <row r="88" spans="1:16" s="4" customFormat="1" ht="33" customHeight="1" thickBot="1">
      <c r="A88" s="124"/>
      <c r="B88" s="125"/>
      <c r="C88" s="127"/>
      <c r="D88" s="125"/>
      <c r="E88" s="19" t="s">
        <v>8</v>
      </c>
      <c r="F88" s="19" t="s">
        <v>9</v>
      </c>
      <c r="G88" s="33" t="s">
        <v>10</v>
      </c>
      <c r="H88" s="33" t="s">
        <v>11</v>
      </c>
      <c r="I88" s="34" t="s">
        <v>12</v>
      </c>
      <c r="J88" s="77"/>
      <c r="K88" s="44"/>
      <c r="L88" s="66"/>
      <c r="M88" s="66"/>
      <c r="N88" s="67"/>
      <c r="O88" s="73"/>
      <c r="P88" s="73"/>
    </row>
    <row r="89" spans="1:16" s="4" customFormat="1" ht="27" customHeight="1">
      <c r="A89" s="132" t="s">
        <v>102</v>
      </c>
      <c r="B89" s="37" t="s">
        <v>90</v>
      </c>
      <c r="C89" s="13"/>
      <c r="D89" s="97" t="s">
        <v>97</v>
      </c>
      <c r="E89" s="11">
        <v>25</v>
      </c>
      <c r="F89" s="53">
        <v>4</v>
      </c>
      <c r="G89" s="46">
        <v>233696634</v>
      </c>
      <c r="H89" s="46">
        <f>10209234+6806156+3403079</f>
        <v>20418469</v>
      </c>
      <c r="I89" s="47">
        <f>+G89-H89</f>
        <v>213278165</v>
      </c>
      <c r="J89" s="77"/>
      <c r="K89" s="44"/>
      <c r="L89" s="66">
        <v>70091</v>
      </c>
      <c r="M89" s="66"/>
      <c r="N89" s="67">
        <v>413662</v>
      </c>
      <c r="O89" s="73"/>
      <c r="P89" s="73"/>
    </row>
    <row r="90" spans="1:16" s="4" customFormat="1" ht="38.25">
      <c r="A90" s="133"/>
      <c r="B90" s="25" t="s">
        <v>91</v>
      </c>
      <c r="C90" s="13"/>
      <c r="D90" s="30" t="s">
        <v>98</v>
      </c>
      <c r="E90" s="11">
        <v>90</v>
      </c>
      <c r="F90" s="53">
        <v>76</v>
      </c>
      <c r="G90" s="46">
        <v>136122392</v>
      </c>
      <c r="H90" s="46">
        <f>8337216+4550630+3740904</f>
        <v>16628750</v>
      </c>
      <c r="I90" s="47">
        <f>+G90-H90</f>
        <v>119493642</v>
      </c>
      <c r="J90" s="77"/>
      <c r="K90" s="44"/>
      <c r="L90" s="66">
        <v>231452</v>
      </c>
      <c r="M90" s="66"/>
      <c r="N90" s="67">
        <v>607032</v>
      </c>
      <c r="O90" s="73"/>
      <c r="P90" s="73"/>
    </row>
    <row r="91" spans="1:16" s="4" customFormat="1" ht="21" customHeight="1">
      <c r="A91" s="133"/>
      <c r="B91" s="25" t="s">
        <v>92</v>
      </c>
      <c r="C91" s="13"/>
      <c r="D91" s="10" t="s">
        <v>99</v>
      </c>
      <c r="E91" s="11">
        <v>100</v>
      </c>
      <c r="F91" s="53">
        <v>50</v>
      </c>
      <c r="G91" s="46">
        <v>184616476</v>
      </c>
      <c r="H91" s="46">
        <f>6960732+2780076+3012000+84336+349392+12284340</f>
        <v>25470876</v>
      </c>
      <c r="I91" s="47">
        <f aca="true" t="shared" si="5" ref="I91:I96">+G91-H91</f>
        <v>159145600</v>
      </c>
      <c r="J91" s="77"/>
      <c r="K91" s="44"/>
      <c r="L91" s="66">
        <v>755549</v>
      </c>
      <c r="M91" s="66"/>
      <c r="N91" s="67">
        <v>709530</v>
      </c>
      <c r="O91" s="73"/>
      <c r="P91" s="73"/>
    </row>
    <row r="92" spans="1:16" s="4" customFormat="1" ht="28.5" customHeight="1">
      <c r="A92" s="133"/>
      <c r="B92" s="26" t="s">
        <v>93</v>
      </c>
      <c r="C92" s="29">
        <v>13</v>
      </c>
      <c r="D92" s="30" t="s">
        <v>1</v>
      </c>
      <c r="E92" s="11">
        <v>60</v>
      </c>
      <c r="F92" s="53">
        <f>290252665/366543063*100</f>
        <v>79.18651157231149</v>
      </c>
      <c r="G92" s="46">
        <v>0</v>
      </c>
      <c r="H92" s="46">
        <v>0</v>
      </c>
      <c r="I92" s="47">
        <f t="shared" si="5"/>
        <v>0</v>
      </c>
      <c r="J92" s="77"/>
      <c r="K92" s="44"/>
      <c r="L92" s="66"/>
      <c r="M92" s="66"/>
      <c r="N92" s="67"/>
      <c r="O92" s="73"/>
      <c r="P92" s="73"/>
    </row>
    <row r="93" spans="1:16" s="4" customFormat="1" ht="28.5" customHeight="1">
      <c r="A93" s="133"/>
      <c r="B93" s="26" t="s">
        <v>94</v>
      </c>
      <c r="C93" s="29">
        <v>14</v>
      </c>
      <c r="D93" s="30" t="s">
        <v>1</v>
      </c>
      <c r="E93" s="11">
        <v>60</v>
      </c>
      <c r="F93" s="53">
        <f>104305331/319590603*100</f>
        <v>32.63717081193404</v>
      </c>
      <c r="G93" s="46">
        <v>0</v>
      </c>
      <c r="H93" s="46">
        <v>0</v>
      </c>
      <c r="I93" s="47">
        <f t="shared" si="5"/>
        <v>0</v>
      </c>
      <c r="J93" s="77"/>
      <c r="K93" s="44"/>
      <c r="L93" s="66"/>
      <c r="M93" s="66"/>
      <c r="N93" s="67"/>
      <c r="O93" s="73"/>
      <c r="P93" s="73"/>
    </row>
    <row r="94" spans="1:16" s="4" customFormat="1" ht="28.5" customHeight="1">
      <c r="A94" s="133"/>
      <c r="B94" s="26" t="s">
        <v>95</v>
      </c>
      <c r="C94" s="29">
        <v>25</v>
      </c>
      <c r="D94" s="30" t="s">
        <v>100</v>
      </c>
      <c r="E94" s="11">
        <v>60</v>
      </c>
      <c r="F94" s="53">
        <v>50</v>
      </c>
      <c r="G94" s="46">
        <v>0</v>
      </c>
      <c r="H94" s="46">
        <v>0</v>
      </c>
      <c r="I94" s="47">
        <f t="shared" si="5"/>
        <v>0</v>
      </c>
      <c r="J94" s="77"/>
      <c r="K94" s="44"/>
      <c r="L94" s="66"/>
      <c r="M94" s="66"/>
      <c r="N94" s="67"/>
      <c r="O94" s="73"/>
      <c r="P94" s="73"/>
    </row>
    <row r="95" spans="1:16" s="4" customFormat="1" ht="36">
      <c r="A95" s="133"/>
      <c r="B95" s="25" t="s">
        <v>96</v>
      </c>
      <c r="C95" s="13"/>
      <c r="D95" s="30" t="s">
        <v>101</v>
      </c>
      <c r="E95" s="11">
        <v>2</v>
      </c>
      <c r="F95" s="53">
        <v>0</v>
      </c>
      <c r="G95" s="46">
        <v>10000000</v>
      </c>
      <c r="H95" s="46">
        <v>0</v>
      </c>
      <c r="I95" s="47">
        <f t="shared" si="5"/>
        <v>10000000</v>
      </c>
      <c r="J95" s="77"/>
      <c r="K95" s="44"/>
      <c r="L95" s="66"/>
      <c r="M95" s="66"/>
      <c r="N95" s="67"/>
      <c r="O95" s="73"/>
      <c r="P95" s="73"/>
    </row>
    <row r="96" spans="1:16" s="4" customFormat="1" ht="18.75" customHeight="1">
      <c r="A96" s="133"/>
      <c r="B96" s="5" t="s">
        <v>105</v>
      </c>
      <c r="C96" s="13"/>
      <c r="D96" s="30" t="s">
        <v>106</v>
      </c>
      <c r="E96" s="53">
        <v>1</v>
      </c>
      <c r="F96" s="100">
        <f>+H96/G96</f>
        <v>0.2872051354155943</v>
      </c>
      <c r="G96" s="49">
        <v>13025937</v>
      </c>
      <c r="H96" s="46">
        <f>803200+150600+L99+N99</f>
        <v>3741116</v>
      </c>
      <c r="I96" s="47">
        <f t="shared" si="5"/>
        <v>9284821</v>
      </c>
      <c r="J96" s="77"/>
      <c r="K96" s="44"/>
      <c r="L96" s="66"/>
      <c r="M96" s="66"/>
      <c r="N96" s="67"/>
      <c r="O96" s="73"/>
      <c r="P96" s="73"/>
    </row>
    <row r="97" spans="1:16" s="4" customFormat="1" ht="15.75">
      <c r="A97" s="133"/>
      <c r="B97" s="117" t="s">
        <v>31</v>
      </c>
      <c r="C97" s="118"/>
      <c r="D97" s="118"/>
      <c r="E97" s="118"/>
      <c r="F97" s="119"/>
      <c r="G97" s="48">
        <f>SUM(G89:G96)</f>
        <v>577461439</v>
      </c>
      <c r="H97" s="12"/>
      <c r="I97" s="129">
        <f>SUM(I89:I96)</f>
        <v>511202228</v>
      </c>
      <c r="J97" s="92"/>
      <c r="K97" s="44"/>
      <c r="L97" s="66"/>
      <c r="M97" s="66"/>
      <c r="N97" s="67"/>
      <c r="O97" s="73"/>
      <c r="P97" s="73"/>
    </row>
    <row r="98" spans="1:16" s="4" customFormat="1" ht="15.75">
      <c r="A98" s="133"/>
      <c r="B98" s="117" t="s">
        <v>32</v>
      </c>
      <c r="C98" s="118"/>
      <c r="D98" s="118"/>
      <c r="E98" s="118"/>
      <c r="F98" s="118"/>
      <c r="G98" s="119"/>
      <c r="H98" s="48">
        <f>SUM(H89:H97)</f>
        <v>66259211</v>
      </c>
      <c r="I98" s="130"/>
      <c r="J98" s="93">
        <v>21</v>
      </c>
      <c r="K98" s="44"/>
      <c r="L98" s="66"/>
      <c r="M98" s="66"/>
      <c r="N98" s="67"/>
      <c r="O98" s="73"/>
      <c r="P98" s="73"/>
    </row>
    <row r="99" spans="1:16" s="14" customFormat="1" ht="16.5" thickBot="1">
      <c r="A99" s="134"/>
      <c r="B99" s="117" t="s">
        <v>33</v>
      </c>
      <c r="C99" s="118"/>
      <c r="D99" s="118"/>
      <c r="E99" s="118"/>
      <c r="F99" s="118"/>
      <c r="G99" s="119"/>
      <c r="H99" s="38">
        <f>+H98/G97</f>
        <v>0.11474222610386284</v>
      </c>
      <c r="I99" s="131"/>
      <c r="J99" s="82">
        <f>SUM(J20:J98)/7</f>
        <v>30.714285714285715</v>
      </c>
      <c r="K99" s="45"/>
      <c r="L99" s="68">
        <f>SUM(L89:L98)</f>
        <v>1057092</v>
      </c>
      <c r="M99" s="68"/>
      <c r="N99" s="68">
        <f>SUM(N89:N98)</f>
        <v>1730224</v>
      </c>
      <c r="O99" s="75"/>
      <c r="P99" s="75"/>
    </row>
    <row r="100" spans="1:17" ht="24" customHeight="1">
      <c r="A100" s="101" t="s">
        <v>118</v>
      </c>
      <c r="B100" s="102"/>
      <c r="C100" s="102"/>
      <c r="D100" s="102"/>
      <c r="E100" s="102"/>
      <c r="F100" s="102"/>
      <c r="G100" s="103"/>
      <c r="H100" s="52">
        <f>+G97+G84+G74+G58+G48+G38+G19</f>
        <v>10981793882</v>
      </c>
      <c r="I100" s="122">
        <f>+I97+I84+I74+I58+I48+I38+I19</f>
        <v>6583518032.02</v>
      </c>
      <c r="K100" s="15"/>
      <c r="Q100" s="16"/>
    </row>
    <row r="101" spans="1:17" ht="24" customHeight="1">
      <c r="A101" s="105" t="s">
        <v>119</v>
      </c>
      <c r="B101" s="106"/>
      <c r="C101" s="106"/>
      <c r="D101" s="106"/>
      <c r="E101" s="106"/>
      <c r="F101" s="106"/>
      <c r="G101" s="107"/>
      <c r="H101" s="52">
        <f>+H98+H85+H75+H59+H49+H39+H20</f>
        <v>4398275849.98</v>
      </c>
      <c r="I101" s="104"/>
      <c r="K101" s="15"/>
      <c r="Q101" s="16"/>
    </row>
    <row r="102" spans="1:17" ht="24" customHeight="1" thickBot="1">
      <c r="A102" s="108" t="s">
        <v>120</v>
      </c>
      <c r="B102" s="109"/>
      <c r="C102" s="109"/>
      <c r="D102" s="109"/>
      <c r="E102" s="109"/>
      <c r="F102" s="109"/>
      <c r="G102" s="110"/>
      <c r="H102" s="39">
        <f>+H101/H100</f>
        <v>0.4005061374525623</v>
      </c>
      <c r="I102" s="104"/>
      <c r="K102" s="15"/>
      <c r="Q102" s="16"/>
    </row>
  </sheetData>
  <sheetProtection/>
  <mergeCells count="89">
    <mergeCell ref="A89:A99"/>
    <mergeCell ref="I74:I76"/>
    <mergeCell ref="B84:F84"/>
    <mergeCell ref="B85:G85"/>
    <mergeCell ref="B86:G86"/>
    <mergeCell ref="I84:I86"/>
    <mergeCell ref="G77:I77"/>
    <mergeCell ref="B98:G98"/>
    <mergeCell ref="B99:G99"/>
    <mergeCell ref="I97:I99"/>
    <mergeCell ref="B97:F97"/>
    <mergeCell ref="A63:A76"/>
    <mergeCell ref="A77:A78"/>
    <mergeCell ref="B77:B78"/>
    <mergeCell ref="A79:A86"/>
    <mergeCell ref="B74:F74"/>
    <mergeCell ref="B75:G75"/>
    <mergeCell ref="B76:G76"/>
    <mergeCell ref="C77:C78"/>
    <mergeCell ref="D77:D78"/>
    <mergeCell ref="E77:F77"/>
    <mergeCell ref="G61:I61"/>
    <mergeCell ref="I58:I60"/>
    <mergeCell ref="I48:I50"/>
    <mergeCell ref="E51:F51"/>
    <mergeCell ref="G51:I51"/>
    <mergeCell ref="B48:F48"/>
    <mergeCell ref="A51:A52"/>
    <mergeCell ref="B51:B52"/>
    <mergeCell ref="C51:C52"/>
    <mergeCell ref="D51:D52"/>
    <mergeCell ref="D87:D88"/>
    <mergeCell ref="A43:A50"/>
    <mergeCell ref="D61:D62"/>
    <mergeCell ref="E61:F61"/>
    <mergeCell ref="B49:G49"/>
    <mergeCell ref="B50:G50"/>
    <mergeCell ref="A53:A60"/>
    <mergeCell ref="A61:A62"/>
    <mergeCell ref="B61:B62"/>
    <mergeCell ref="C61:C62"/>
    <mergeCell ref="B22:B23"/>
    <mergeCell ref="C22:C23"/>
    <mergeCell ref="D22:D23"/>
    <mergeCell ref="E22:F22"/>
    <mergeCell ref="A22:A23"/>
    <mergeCell ref="B40:G40"/>
    <mergeCell ref="G22:I22"/>
    <mergeCell ref="C7:C8"/>
    <mergeCell ref="A9:A21"/>
    <mergeCell ref="I19:I21"/>
    <mergeCell ref="I34:I35"/>
    <mergeCell ref="B19:F19"/>
    <mergeCell ref="B20:G20"/>
    <mergeCell ref="B21:G21"/>
    <mergeCell ref="B39:G39"/>
    <mergeCell ref="A24:A40"/>
    <mergeCell ref="I38:I40"/>
    <mergeCell ref="E41:F41"/>
    <mergeCell ref="G41:I41"/>
    <mergeCell ref="G34:G35"/>
    <mergeCell ref="H34:H35"/>
    <mergeCell ref="A41:A42"/>
    <mergeCell ref="B41:B42"/>
    <mergeCell ref="B38:F38"/>
    <mergeCell ref="A100:G100"/>
    <mergeCell ref="I100:I102"/>
    <mergeCell ref="A101:G101"/>
    <mergeCell ref="A102:G102"/>
    <mergeCell ref="C41:C42"/>
    <mergeCell ref="A87:A88"/>
    <mergeCell ref="B87:B88"/>
    <mergeCell ref="C87:C88"/>
    <mergeCell ref="B58:F58"/>
    <mergeCell ref="B59:G59"/>
    <mergeCell ref="B60:G60"/>
    <mergeCell ref="D41:D42"/>
    <mergeCell ref="E87:F87"/>
    <mergeCell ref="G87:I87"/>
    <mergeCell ref="A6:I6"/>
    <mergeCell ref="A7:A8"/>
    <mergeCell ref="B7:B8"/>
    <mergeCell ref="D7:D8"/>
    <mergeCell ref="E7:F7"/>
    <mergeCell ref="G7:I7"/>
    <mergeCell ref="A1:H3"/>
    <mergeCell ref="A4:I4"/>
    <mergeCell ref="B5:D5"/>
    <mergeCell ref="G5:I5"/>
  </mergeCells>
  <printOptions/>
  <pageMargins left="0.64" right="0.29" top="0.25" bottom="0.43" header="0" footer="0"/>
  <pageSetup horizontalDpi="600" verticalDpi="600" orientation="landscape" scale="70" r:id="rId4"/>
  <headerFooter alignWithMargins="0">
    <oddFooter>&amp;ROficina de Planeación
Junio 30/2008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indira burbano montenegro</cp:lastModifiedBy>
  <cp:lastPrinted>2008-07-29T22:28:33Z</cp:lastPrinted>
  <dcterms:created xsi:type="dcterms:W3CDTF">2004-04-28T15:04:46Z</dcterms:created>
  <dcterms:modified xsi:type="dcterms:W3CDTF">2008-08-15T19:43:16Z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