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</externalReferences>
  <definedNames>
    <definedName name="_xlnm.Print_Area" localSheetId="3">'INVERSION'!$A$1:$J$22</definedName>
  </definedNames>
  <calcPr fullCalcOnLoad="1"/>
</workbook>
</file>

<file path=xl/sharedStrings.xml><?xml version="1.0" encoding="utf-8"?>
<sst xmlns="http://schemas.openxmlformats.org/spreadsheetml/2006/main" count="441" uniqueCount="169">
  <si>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</si>
  <si>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</si>
  <si>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</si>
  <si>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</si>
  <si>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</si>
  <si>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</si>
  <si>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</si>
  <si>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</si>
  <si>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</si>
  <si>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</si>
  <si>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</si>
  <si>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</si>
  <si>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</si>
  <si>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</si>
  <si>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</si>
  <si>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</si>
  <si>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</si>
  <si>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</si>
  <si>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</si>
  <si>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</si>
  <si>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</si>
  <si>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</si>
  <si>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</si>
  <si>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</si>
  <si>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</si>
  <si>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</si>
  <si>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</si>
  <si>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</si>
  <si>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</si>
  <si>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</si>
  <si>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</si>
  <si>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</si>
  <si>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</si>
  <si>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</si>
  <si>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</si>
  <si>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</si>
  <si>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</si>
  <si>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</si>
  <si>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</si>
  <si>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</si>
  <si>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</si>
  <si>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</si>
  <si>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</si>
  <si>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</si>
  <si>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</si>
  <si>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</si>
  <si>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</si>
  <si>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</si>
  <si>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</si>
  <si>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</si>
  <si>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</si>
  <si>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</si>
  <si>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</si>
  <si>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</si>
  <si>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</si>
  <si>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</si>
  <si>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</si>
  <si>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</si>
  <si>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</si>
  <si>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</si>
  <si>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</si>
  <si>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</si>
  <si>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</si>
  <si>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</si>
  <si>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</si>
  <si>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</si>
  <si>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</si>
  <si>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</si>
  <si>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</si>
  <si>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</si>
  <si>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</si>
  <si>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</si>
  <si>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</si>
  <si>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</si>
  <si>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</si>
  <si>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</si>
  <si>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</si>
  <si>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</si>
  <si>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</si>
  <si>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</si>
  <si>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</si>
  <si>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</si>
  <si>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</si>
  <si>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</si>
  <si>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</si>
  <si>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</si>
  <si>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</si>
  <si>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</si>
  <si>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</si>
  <si>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</si>
  <si>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</si>
  <si>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</si>
  <si>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</si>
  <si>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</si>
  <si>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</si>
  <si>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</si>
  <si>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</si>
  <si>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</si>
  <si>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</si>
  <si>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</si>
  <si>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</si>
  <si>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</si>
  <si>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</si>
  <si>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</si>
  <si>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</si>
  <si>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</si>
  <si>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</si>
  <si>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</si>
  <si>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</si>
  <si>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</si>
  <si>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</si>
  <si>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</si>
  <si>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</si>
  <si>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</si>
  <si>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</si>
  <si>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</si>
  <si>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</si>
  <si>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</si>
  <si>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</si>
  <si>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</si>
  <si>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</si>
  <si>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</si>
  <si>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</si>
  <si>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</si>
  <si>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</si>
  <si>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</si>
  <si>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</si>
  <si>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</si>
  <si>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</si>
  <si>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</si>
  <si>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</si>
  <si>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</si>
  <si>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</si>
  <si>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</si>
  <si>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</si>
  <si>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</si>
  <si>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</si>
  <si>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</si>
  <si>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</si>
  <si>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</si>
  <si>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</si>
  <si>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</si>
  <si>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</si>
  <si>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</si>
  <si>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</si>
  <si>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</si>
  <si>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</si>
  <si>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</si>
  <si>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</si>
  <si>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</si>
  <si>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</si>
  <si>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</si>
  <si>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</si>
  <si>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</si>
  <si>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</si>
  <si>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</si>
  <si>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</si>
  <si>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</si>
  <si>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</si>
  <si>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</si>
  <si>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</si>
  <si>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Transferencias fonam</t>
  </si>
  <si>
    <t>SALDO POR EJECUTAR</t>
  </si>
  <si>
    <t>SALDO POR</t>
  </si>
  <si>
    <t>02-02-900-03 Conservacion y Recuperacion de Ecosistemas Estrategicos y su Biodiversidad-pasivos vigencias expiradas</t>
  </si>
  <si>
    <t>03-03-900-03 Crecimiento Verde de Sectores Productivos-pasivos vigencias expiradas</t>
  </si>
  <si>
    <t>EJECUCION PRESUPUESTAL A DICIEMBRE 31 DE 2019</t>
  </si>
  <si>
    <t>EJECUCION PRESUPUESTAL GASTOS DE INVERSION RECURSOS PROPIOS A DICIEMBRE 31 D E2019</t>
  </si>
  <si>
    <t>OBLIGACIONES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</si>
</sst>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wrapText="1"/>
      <protection locked="0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8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wrapText="1"/>
      <protection locked="0"/>
    </xf>
    <xf numFmtId="3" fontId="29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196" fontId="7" fillId="0" borderId="10" xfId="49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horizontal="center" vertical="center"/>
    </xf>
    <xf numFmtId="3" fontId="49" fillId="0" borderId="10" xfId="49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0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7"/>
  <sheetViews>
    <sheetView tabSelected="1" zoomScalePageLayoutView="0" workbookViewId="0" topLeftCell="A25">
      <selection activeCell="V65" sqref="V65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37.7109375" style="0" customWidth="1"/>
    <col min="7" max="7" width="16.28125" style="0" customWidth="1"/>
    <col min="8" max="8" width="16.28125" style="54" customWidth="1"/>
    <col min="9" max="9" width="19.421875" style="12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19" width="2.8515625" style="0" hidden="1" customWidth="1"/>
    <col min="20" max="20" width="16.00390625" style="54" customWidth="1"/>
    <col min="21" max="21" width="16.00390625" style="0" hidden="1" customWidth="1"/>
    <col min="22" max="23" width="16.00390625" style="0" customWidth="1"/>
    <col min="24" max="24" width="18.8515625" style="0" customWidth="1"/>
    <col min="25" max="25" width="0" style="0" hidden="1" customWidth="1"/>
    <col min="26" max="26" width="18.57421875" style="0" customWidth="1"/>
    <col min="27" max="27" width="13.7109375" style="0" bestFit="1" customWidth="1"/>
    <col min="28" max="28" width="13.7109375" style="0" customWidth="1"/>
    <col min="29" max="30" width="12.7109375" style="0" bestFit="1" customWidth="1"/>
  </cols>
  <sheetData>
    <row r="1" spans="1:46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6" ht="12.75">
      <c r="A2" s="148" t="s">
        <v>166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12.75">
      <c r="A3" s="148" t="s">
        <v>77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ht="12.75">
      <c r="A4" s="2"/>
      <c r="B4" s="2"/>
      <c r="C4" s="2"/>
      <c r="D4" s="2"/>
      <c r="E4" s="2"/>
      <c r="F4" s="2"/>
      <c r="G4" s="2"/>
      <c r="H4" s="12"/>
      <c r="I4" s="114"/>
      <c r="J4" s="2"/>
      <c r="K4" s="2"/>
      <c r="L4" s="2"/>
      <c r="M4" s="26"/>
      <c r="N4" s="26"/>
      <c r="O4" s="2"/>
      <c r="P4" s="2"/>
      <c r="Q4" s="2"/>
      <c r="R4" s="2"/>
      <c r="S4" s="2"/>
      <c r="T4" s="12"/>
      <c r="U4" s="2"/>
      <c r="V4" s="2"/>
      <c r="W4" s="2"/>
      <c r="X4" s="2"/>
      <c r="Y4" s="2"/>
      <c r="Z4" s="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15" t="s">
        <v>3</v>
      </c>
      <c r="J5" s="70" t="s">
        <v>75</v>
      </c>
      <c r="K5" s="70" t="s">
        <v>35</v>
      </c>
      <c r="L5" s="14" t="s">
        <v>36</v>
      </c>
      <c r="M5" s="25" t="s">
        <v>47</v>
      </c>
      <c r="N5" s="62" t="s">
        <v>76</v>
      </c>
      <c r="O5" s="2"/>
      <c r="P5" s="2"/>
      <c r="Q5" s="2"/>
      <c r="R5" s="2"/>
      <c r="S5" s="18" t="s">
        <v>75</v>
      </c>
      <c r="T5" s="10" t="s">
        <v>35</v>
      </c>
      <c r="U5" s="18" t="s">
        <v>82</v>
      </c>
      <c r="V5" s="18" t="s">
        <v>168</v>
      </c>
      <c r="W5" s="18" t="s">
        <v>82</v>
      </c>
      <c r="X5" s="18" t="s">
        <v>78</v>
      </c>
      <c r="Y5" s="18"/>
      <c r="Z5" s="18" t="s">
        <v>74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15" t="s">
        <v>5</v>
      </c>
      <c r="J6" s="10" t="s">
        <v>1</v>
      </c>
      <c r="K6" s="24"/>
      <c r="L6" s="14" t="s">
        <v>40</v>
      </c>
      <c r="M6" s="63" t="s">
        <v>75</v>
      </c>
      <c r="N6" s="62" t="s">
        <v>35</v>
      </c>
      <c r="O6" s="2"/>
      <c r="P6" s="2"/>
      <c r="Q6" s="2"/>
      <c r="R6" s="2"/>
      <c r="S6" s="2"/>
      <c r="T6" s="10"/>
      <c r="U6" s="18"/>
      <c r="V6" s="18"/>
      <c r="W6" s="18"/>
      <c r="X6" s="18" t="s">
        <v>79</v>
      </c>
      <c r="Y6" s="18"/>
      <c r="Z6" s="18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116" t="s">
        <v>1</v>
      </c>
      <c r="J7" s="25" t="s">
        <v>1</v>
      </c>
      <c r="K7" s="25"/>
      <c r="L7" s="15"/>
      <c r="M7" s="26"/>
      <c r="N7" s="26"/>
      <c r="O7" s="2"/>
      <c r="P7" s="2"/>
      <c r="Q7" s="2"/>
      <c r="R7" s="2"/>
      <c r="S7" s="2"/>
      <c r="T7" s="13" t="s">
        <v>1</v>
      </c>
      <c r="U7" s="2"/>
      <c r="V7" s="2"/>
      <c r="W7" s="2"/>
      <c r="X7" s="2"/>
      <c r="Y7" s="2"/>
      <c r="Z7" s="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17" t="s">
        <v>1</v>
      </c>
      <c r="J8" s="19" t="s">
        <v>1</v>
      </c>
      <c r="K8" s="19" t="s">
        <v>1</v>
      </c>
      <c r="L8" s="71"/>
      <c r="M8" s="26"/>
      <c r="N8" s="26"/>
      <c r="O8" s="2"/>
      <c r="P8" s="2"/>
      <c r="Q8" s="2"/>
      <c r="R8" s="2"/>
      <c r="S8" s="2"/>
      <c r="T8" s="16" t="s">
        <v>1</v>
      </c>
      <c r="U8" s="9"/>
      <c r="V8" s="9"/>
      <c r="W8" s="9"/>
      <c r="X8" s="26" t="s">
        <v>1</v>
      </c>
      <c r="Y8" s="2"/>
      <c r="Z8" s="26" t="s">
        <v>1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7923778909</v>
      </c>
      <c r="H9" s="13">
        <f>SUM(H10+H23+H27)</f>
        <v>208000001</v>
      </c>
      <c r="I9" s="117">
        <f>+G9+H9</f>
        <v>8131778910</v>
      </c>
      <c r="J9" s="20">
        <f>SUM(J10+J23+J27)</f>
        <v>2514035997</v>
      </c>
      <c r="K9" s="20">
        <f>SUM(K10+K23+K27)</f>
        <v>2514035997</v>
      </c>
      <c r="L9" s="71">
        <f aca="true" t="shared" si="0" ref="L9:L32">+I9-J9</f>
        <v>5617742913</v>
      </c>
      <c r="M9" s="26">
        <f aca="true" t="shared" si="1" ref="M9:M32">+J9/I9*100</f>
        <v>30.91618727986297</v>
      </c>
      <c r="N9" s="26">
        <f>+K9/I9*100</f>
        <v>30.91618727986297</v>
      </c>
      <c r="O9" s="2"/>
      <c r="P9" s="2"/>
      <c r="Q9" s="2"/>
      <c r="R9" s="2"/>
      <c r="S9" s="4">
        <f>SUM(S10+S23+S27)</f>
        <v>3228996405</v>
      </c>
      <c r="T9" s="13">
        <f>SUM(T10+T23+T27)</f>
        <v>7326883404</v>
      </c>
      <c r="U9" s="4">
        <f>SUM(U10+U23+U27)</f>
        <v>5719988916</v>
      </c>
      <c r="V9" s="13">
        <f>SUM(V10+V23+V27)</f>
        <v>7115107053</v>
      </c>
      <c r="W9" s="13">
        <f>SUM(W10+W23+W27)</f>
        <v>6274458400</v>
      </c>
      <c r="X9" s="30">
        <f aca="true" t="shared" si="2" ref="X9:X32">+I9-T9</f>
        <v>804895506</v>
      </c>
      <c r="Y9" s="2"/>
      <c r="Z9" s="26">
        <f aca="true" t="shared" si="3" ref="Z9:Z14">+T9/I9*100</f>
        <v>90.10185206818419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2691035097</v>
      </c>
      <c r="H10" s="13">
        <f>SUM(H11+H18+H19+H20+H21+H22)</f>
        <v>138005000</v>
      </c>
      <c r="I10" s="4">
        <f>SUM(I11+I18+I19+I20+I21+I22)</f>
        <v>2829040097</v>
      </c>
      <c r="J10" s="20">
        <f>SUM(J11+J18+J19+J20+J21+J22)</f>
        <v>874418338</v>
      </c>
      <c r="K10" s="20">
        <f>SUM(K11+K18+K19+K20+K21+K22)</f>
        <v>874418338</v>
      </c>
      <c r="L10" s="71">
        <f t="shared" si="0"/>
        <v>1954621759</v>
      </c>
      <c r="M10" s="26">
        <f t="shared" si="1"/>
        <v>30.90865834412385</v>
      </c>
      <c r="N10" s="26">
        <f aca="true" t="shared" si="4" ref="N10:N32">+K10/I10*100</f>
        <v>30.90865834412385</v>
      </c>
      <c r="O10" s="2"/>
      <c r="P10" s="2"/>
      <c r="Q10" s="2"/>
      <c r="R10" s="2"/>
      <c r="S10" s="4">
        <f>SUM(S11+S18+S19+S20+S21+S22)</f>
        <v>1282797323</v>
      </c>
      <c r="T10" s="13">
        <f>SUM(T11+T18+T19+T20+T21+T22)</f>
        <v>2661022532</v>
      </c>
      <c r="U10" s="4">
        <f>SUM(U11+U18+U19+U20+U21+U22)</f>
        <v>1885600937</v>
      </c>
      <c r="V10" s="13">
        <f>SUM(V11+V18+V19+V20+V21+V22)</f>
        <v>2543933251</v>
      </c>
      <c r="W10" s="13">
        <f>SUM(W11+W18+W19+W20+W21+W22)</f>
        <v>2468907129</v>
      </c>
      <c r="X10" s="30">
        <f t="shared" si="2"/>
        <v>168017565</v>
      </c>
      <c r="Y10" s="2"/>
      <c r="Z10" s="26">
        <f t="shared" si="3"/>
        <v>94.06096911888343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1261690823</v>
      </c>
      <c r="H11" s="4">
        <f>SUM(H12:H17)</f>
        <v>13717000</v>
      </c>
      <c r="I11" s="118">
        <f>SUM(I12:I17)</f>
        <v>1275407823</v>
      </c>
      <c r="J11" s="20">
        <f>SUM(J12:J17)</f>
        <v>463627287</v>
      </c>
      <c r="K11" s="20">
        <f>SUM(K12:K17)</f>
        <v>463627287</v>
      </c>
      <c r="L11" s="71">
        <f t="shared" si="0"/>
        <v>811780536</v>
      </c>
      <c r="M11" s="26">
        <f t="shared" si="1"/>
        <v>36.35129710193098</v>
      </c>
      <c r="N11" s="26">
        <f t="shared" si="4"/>
        <v>36.35129710193098</v>
      </c>
      <c r="O11" s="2"/>
      <c r="P11" s="2"/>
      <c r="Q11" s="2"/>
      <c r="R11" s="2"/>
      <c r="S11" s="4">
        <f>SUM(S12:S17)</f>
        <v>462143059</v>
      </c>
      <c r="T11" s="13">
        <f>SUM(T12:T17)</f>
        <v>1248470563</v>
      </c>
      <c r="U11" s="4">
        <f>SUM(U12:U17)</f>
        <v>1065590079</v>
      </c>
      <c r="V11" s="13">
        <f>SUM(V12:V17)</f>
        <v>1248470563</v>
      </c>
      <c r="W11" s="13">
        <f>SUM(W12:W17)</f>
        <v>1248470563</v>
      </c>
      <c r="X11" s="30">
        <f t="shared" si="2"/>
        <v>26937260</v>
      </c>
      <c r="Y11" s="2"/>
      <c r="Z11" s="26">
        <f t="shared" si="3"/>
        <v>97.88794928851554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736745683</v>
      </c>
      <c r="H12" s="13">
        <f>758745683-G12</f>
        <v>22000000</v>
      </c>
      <c r="I12" s="117">
        <f aca="true" t="shared" si="5" ref="I12:I32">+G12+H12</f>
        <v>758745683</v>
      </c>
      <c r="J12" s="20">
        <v>280609080</v>
      </c>
      <c r="K12" s="20">
        <v>280609080</v>
      </c>
      <c r="L12" s="71">
        <f t="shared" si="0"/>
        <v>478136603</v>
      </c>
      <c r="M12" s="26">
        <f t="shared" si="1"/>
        <v>36.98328521494863</v>
      </c>
      <c r="N12" s="26">
        <f t="shared" si="4"/>
        <v>36.98328521494863</v>
      </c>
      <c r="O12" s="2"/>
      <c r="P12" s="2"/>
      <c r="Q12" s="2"/>
      <c r="R12" s="2"/>
      <c r="S12" s="4">
        <v>177733386</v>
      </c>
      <c r="T12" s="13">
        <f>575617164+182451939</f>
        <v>758069103</v>
      </c>
      <c r="U12" s="4">
        <f>+T12</f>
        <v>758069103</v>
      </c>
      <c r="V12" s="13">
        <f>+T12</f>
        <v>758069103</v>
      </c>
      <c r="W12" s="13">
        <f>+V12</f>
        <v>758069103</v>
      </c>
      <c r="X12" s="30">
        <f t="shared" si="2"/>
        <v>676580</v>
      </c>
      <c r="Y12" s="2"/>
      <c r="Z12" s="26">
        <f t="shared" si="3"/>
        <v>99.91082914668787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156788029</v>
      </c>
      <c r="H13" s="13">
        <f>118234029-156788029</f>
        <v>-38554000</v>
      </c>
      <c r="I13" s="117">
        <f t="shared" si="5"/>
        <v>118234029</v>
      </c>
      <c r="J13" s="20">
        <v>41107639</v>
      </c>
      <c r="K13" s="20">
        <v>41107639</v>
      </c>
      <c r="L13" s="71">
        <f t="shared" si="0"/>
        <v>77126390</v>
      </c>
      <c r="M13" s="26">
        <f t="shared" si="1"/>
        <v>34.76802689350965</v>
      </c>
      <c r="N13" s="26">
        <f t="shared" si="4"/>
        <v>34.76802689350965</v>
      </c>
      <c r="O13" s="2"/>
      <c r="P13" s="2"/>
      <c r="Q13" s="2"/>
      <c r="R13" s="2"/>
      <c r="S13" s="4">
        <v>78846525</v>
      </c>
      <c r="T13" s="13">
        <v>100582555</v>
      </c>
      <c r="U13" s="4">
        <f>+T13</f>
        <v>100582555</v>
      </c>
      <c r="V13" s="13">
        <f>+T13</f>
        <v>100582555</v>
      </c>
      <c r="W13" s="13">
        <f>+V13</f>
        <v>100582555</v>
      </c>
      <c r="X13" s="30">
        <f t="shared" si="2"/>
        <v>17651474</v>
      </c>
      <c r="Y13" s="2"/>
      <c r="Z13" s="26">
        <f t="shared" si="3"/>
        <v>85.07073289365789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10040000</v>
      </c>
      <c r="H14" s="13">
        <f>48440000-10040000</f>
        <v>38400000</v>
      </c>
      <c r="I14" s="117">
        <f t="shared" si="5"/>
        <v>48440000</v>
      </c>
      <c r="J14" s="20">
        <v>27219355</v>
      </c>
      <c r="K14" s="20">
        <v>27219355</v>
      </c>
      <c r="L14" s="71">
        <f t="shared" si="0"/>
        <v>21220645</v>
      </c>
      <c r="M14" s="26">
        <f t="shared" si="1"/>
        <v>56.191897192402976</v>
      </c>
      <c r="N14" s="26">
        <f t="shared" si="4"/>
        <v>56.191897192402976</v>
      </c>
      <c r="O14" s="2"/>
      <c r="P14" s="2"/>
      <c r="Q14" s="2"/>
      <c r="R14" s="2"/>
      <c r="S14" s="4">
        <v>31783291</v>
      </c>
      <c r="T14" s="13">
        <v>48349493</v>
      </c>
      <c r="U14" s="4">
        <f>+T14</f>
        <v>48349493</v>
      </c>
      <c r="V14" s="13">
        <f>+T14</f>
        <v>48349493</v>
      </c>
      <c r="W14" s="13">
        <f>+V14</f>
        <v>48349493</v>
      </c>
      <c r="X14" s="30">
        <f t="shared" si="2"/>
        <v>90507</v>
      </c>
      <c r="Y14" s="2"/>
      <c r="Z14" s="26">
        <f t="shared" si="3"/>
        <v>99.81315648224609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81</v>
      </c>
      <c r="G15" s="4">
        <v>0</v>
      </c>
      <c r="H15" s="13">
        <v>0</v>
      </c>
      <c r="I15" s="117">
        <f t="shared" si="5"/>
        <v>0</v>
      </c>
      <c r="J15" s="20"/>
      <c r="K15" s="20"/>
      <c r="L15" s="71"/>
      <c r="M15" s="26"/>
      <c r="N15" s="26"/>
      <c r="O15" s="2"/>
      <c r="P15" s="2"/>
      <c r="Q15" s="2"/>
      <c r="R15" s="2"/>
      <c r="S15" s="4">
        <v>0</v>
      </c>
      <c r="T15" s="13">
        <v>0</v>
      </c>
      <c r="U15" s="4">
        <v>0</v>
      </c>
      <c r="V15" s="13">
        <v>0</v>
      </c>
      <c r="W15" s="13">
        <v>0</v>
      </c>
      <c r="X15" s="30">
        <f t="shared" si="2"/>
        <v>0</v>
      </c>
      <c r="Y15" s="2"/>
      <c r="Z15" s="26">
        <v>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79760337</v>
      </c>
      <c r="H16" s="13">
        <f>83760337-79760337</f>
        <v>4000000</v>
      </c>
      <c r="I16" s="117">
        <f t="shared" si="5"/>
        <v>83760337</v>
      </c>
      <c r="J16" s="20">
        <v>27788267</v>
      </c>
      <c r="K16" s="20">
        <v>27788267</v>
      </c>
      <c r="L16" s="71">
        <f t="shared" si="0"/>
        <v>55972070</v>
      </c>
      <c r="M16" s="26">
        <f t="shared" si="1"/>
        <v>33.17592549800749</v>
      </c>
      <c r="N16" s="26">
        <f t="shared" si="4"/>
        <v>33.17592549800749</v>
      </c>
      <c r="O16" s="2"/>
      <c r="P16" s="2"/>
      <c r="Q16" s="2"/>
      <c r="R16" s="2"/>
      <c r="S16" s="4">
        <v>22501709</v>
      </c>
      <c r="T16" s="13">
        <f>64997060+18219004</f>
        <v>83216064</v>
      </c>
      <c r="U16" s="4">
        <f>+T16</f>
        <v>83216064</v>
      </c>
      <c r="V16" s="13">
        <f>+T16</f>
        <v>83216064</v>
      </c>
      <c r="W16" s="13">
        <f>+V16</f>
        <v>83216064</v>
      </c>
      <c r="X16" s="30">
        <f t="shared" si="2"/>
        <v>544273</v>
      </c>
      <c r="Y16" s="2"/>
      <c r="Z16" s="26">
        <f aca="true" t="shared" si="6" ref="Z16:Z32">+T16/I16*100</f>
        <v>99.35020199357602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f>7934124+7409640+30790640+64247093+80108694+54198108+21044906+12623568+1</f>
        <v>278356774</v>
      </c>
      <c r="H17" s="13">
        <f>266227774-278356774</f>
        <v>-12129000</v>
      </c>
      <c r="I17" s="117">
        <f t="shared" si="5"/>
        <v>266227774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71">
        <f t="shared" si="0"/>
        <v>179324828</v>
      </c>
      <c r="M17" s="26">
        <f t="shared" si="1"/>
        <v>32.642329045653966</v>
      </c>
      <c r="N17" s="26">
        <f t="shared" si="4"/>
        <v>32.642329045653966</v>
      </c>
      <c r="O17" s="26"/>
      <c r="P17" s="2"/>
      <c r="Q17" s="2"/>
      <c r="R17" s="2"/>
      <c r="S17" s="4">
        <f>40740946+9020349+4795124+4354946+19078981+56559356+7733197+8995249</f>
        <v>151278148</v>
      </c>
      <c r="T17" s="13">
        <v>258253348</v>
      </c>
      <c r="U17" s="4">
        <f>25111629+5550438+3050430+2763525+3442123+27188939+3132962+5132818</f>
        <v>75372864</v>
      </c>
      <c r="V17" s="13">
        <f>+T17</f>
        <v>258253348</v>
      </c>
      <c r="W17" s="13">
        <f>+V17</f>
        <v>258253348</v>
      </c>
      <c r="X17" s="30">
        <f t="shared" si="2"/>
        <v>7974426</v>
      </c>
      <c r="Y17" s="2"/>
      <c r="Z17" s="26">
        <f t="shared" si="6"/>
        <v>97.0046603777711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833498073</v>
      </c>
      <c r="H18" s="13">
        <f>880498073-833498073</f>
        <v>47000000</v>
      </c>
      <c r="I18" s="117">
        <f>+G18+H18</f>
        <v>880498073</v>
      </c>
      <c r="J18" s="20">
        <f>1057231+8089692+296851321</f>
        <v>305998244</v>
      </c>
      <c r="K18" s="20">
        <f>1057231+8089692+296851321</f>
        <v>305998244</v>
      </c>
      <c r="L18" s="71">
        <f t="shared" si="0"/>
        <v>574499829</v>
      </c>
      <c r="M18" s="26">
        <f t="shared" si="1"/>
        <v>34.752857886152356</v>
      </c>
      <c r="N18" s="26">
        <f t="shared" si="4"/>
        <v>34.752857886152356</v>
      </c>
      <c r="O18" s="9" t="s">
        <v>1</v>
      </c>
      <c r="P18" s="2"/>
      <c r="Q18" s="2"/>
      <c r="R18" s="2"/>
      <c r="S18" s="4">
        <f>543331358+11874352+54257070</f>
        <v>609462780</v>
      </c>
      <c r="T18" s="13">
        <f>771820063+5979476</f>
        <v>777799539</v>
      </c>
      <c r="U18" s="4">
        <f>139038852-12099496+11827031+46492041</f>
        <v>185258428</v>
      </c>
      <c r="V18" s="13">
        <f>+T18-117089281</f>
        <v>660710258</v>
      </c>
      <c r="W18" s="13">
        <v>625500411</v>
      </c>
      <c r="X18" s="30">
        <f t="shared" si="2"/>
        <v>102698534</v>
      </c>
      <c r="Y18" s="2"/>
      <c r="Z18" s="26">
        <f t="shared" si="6"/>
        <v>88.33631359917808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f>63751816+124564060+100482616</f>
        <v>288798492</v>
      </c>
      <c r="H19" s="13">
        <f>308398492-288798492</f>
        <v>19600000</v>
      </c>
      <c r="I19" s="117">
        <f t="shared" si="5"/>
        <v>308398492</v>
      </c>
      <c r="J19" s="20">
        <v>14234485</v>
      </c>
      <c r="K19" s="20">
        <v>14234485</v>
      </c>
      <c r="L19" s="71">
        <f t="shared" si="0"/>
        <v>294164007</v>
      </c>
      <c r="M19" s="26">
        <f t="shared" si="1"/>
        <v>4.61561433315958</v>
      </c>
      <c r="N19" s="26">
        <f t="shared" si="4"/>
        <v>4.61561433315958</v>
      </c>
      <c r="O19" s="26"/>
      <c r="P19" s="2"/>
      <c r="Q19" s="2"/>
      <c r="R19" s="2"/>
      <c r="S19" s="4">
        <v>139595008</v>
      </c>
      <c r="T19" s="13">
        <v>282151754</v>
      </c>
      <c r="U19" s="4">
        <f>+T19</f>
        <v>282151754</v>
      </c>
      <c r="V19" s="13">
        <f>+T19</f>
        <v>282151754</v>
      </c>
      <c r="W19" s="13">
        <f>+V19</f>
        <v>282151754</v>
      </c>
      <c r="X19" s="30">
        <f t="shared" si="2"/>
        <v>26246738</v>
      </c>
      <c r="Y19" s="2"/>
      <c r="Z19" s="26">
        <f t="shared" si="6"/>
        <v>91.48934295048369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118033519+64906148+26207104+16135667</f>
        <v>225282438</v>
      </c>
      <c r="H20" s="13">
        <f>282970438-225282438</f>
        <v>57688000</v>
      </c>
      <c r="I20" s="117">
        <f t="shared" si="5"/>
        <v>282970438</v>
      </c>
      <c r="J20" s="20">
        <v>58847998</v>
      </c>
      <c r="K20" s="20">
        <v>58847998</v>
      </c>
      <c r="L20" s="71">
        <f t="shared" si="0"/>
        <v>224122440</v>
      </c>
      <c r="M20" s="26">
        <f t="shared" si="1"/>
        <v>20.796517974078974</v>
      </c>
      <c r="N20" s="26">
        <f t="shared" si="4"/>
        <v>20.796517974078974</v>
      </c>
      <c r="O20" s="26"/>
      <c r="P20" s="2"/>
      <c r="Q20" s="2"/>
      <c r="R20" s="2"/>
      <c r="S20" s="4">
        <v>48681682</v>
      </c>
      <c r="T20" s="13">
        <v>279461401</v>
      </c>
      <c r="U20" s="4">
        <f>+T20</f>
        <v>279461401</v>
      </c>
      <c r="V20" s="13">
        <f>+T20</f>
        <v>279461401</v>
      </c>
      <c r="W20" s="13">
        <f>+V20-39816275</f>
        <v>239645126</v>
      </c>
      <c r="X20" s="30">
        <f t="shared" si="2"/>
        <v>3509037</v>
      </c>
      <c r="Y20" s="2"/>
      <c r="Z20" s="26">
        <f t="shared" si="6"/>
        <v>98.75992806004703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54692356</v>
      </c>
      <c r="H21" s="13">
        <v>0</v>
      </c>
      <c r="I21" s="117">
        <f t="shared" si="5"/>
        <v>54692356</v>
      </c>
      <c r="J21" s="20">
        <v>15733377</v>
      </c>
      <c r="K21" s="20">
        <v>15733377</v>
      </c>
      <c r="L21" s="71">
        <f t="shared" si="0"/>
        <v>38958979</v>
      </c>
      <c r="M21" s="26">
        <f t="shared" si="1"/>
        <v>28.767049274673777</v>
      </c>
      <c r="N21" s="26">
        <f t="shared" si="4"/>
        <v>28.767049274673777</v>
      </c>
      <c r="O21" s="26"/>
      <c r="P21" s="2"/>
      <c r="Q21" s="2"/>
      <c r="R21" s="2"/>
      <c r="S21" s="4">
        <v>18954215</v>
      </c>
      <c r="T21" s="13">
        <v>49454858</v>
      </c>
      <c r="U21" s="4">
        <f>+T21</f>
        <v>49454858</v>
      </c>
      <c r="V21" s="13">
        <f>+T21</f>
        <v>49454858</v>
      </c>
      <c r="W21" s="13">
        <f>+V21</f>
        <v>49454858</v>
      </c>
      <c r="X21" s="30">
        <f t="shared" si="2"/>
        <v>5237498</v>
      </c>
      <c r="Y21" s="2"/>
      <c r="Z21" s="26">
        <f t="shared" si="6"/>
        <v>90.42371113067428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27072915</v>
      </c>
      <c r="H22" s="13">
        <v>0</v>
      </c>
      <c r="I22" s="117">
        <f t="shared" si="5"/>
        <v>27072915</v>
      </c>
      <c r="J22" s="20">
        <v>15976947</v>
      </c>
      <c r="K22" s="20">
        <v>15976947</v>
      </c>
      <c r="L22" s="71">
        <f t="shared" si="0"/>
        <v>11095968</v>
      </c>
      <c r="M22" s="26">
        <f t="shared" si="1"/>
        <v>59.01450582621044</v>
      </c>
      <c r="N22" s="26">
        <f t="shared" si="4"/>
        <v>59.01450582621044</v>
      </c>
      <c r="O22" s="26"/>
      <c r="P22" s="2"/>
      <c r="Q22" s="2"/>
      <c r="R22" s="2"/>
      <c r="S22" s="4">
        <v>3960579</v>
      </c>
      <c r="T22" s="13">
        <v>23684417</v>
      </c>
      <c r="U22" s="4">
        <f>+T22</f>
        <v>23684417</v>
      </c>
      <c r="V22" s="13">
        <f>+T22</f>
        <v>23684417</v>
      </c>
      <c r="W22" s="13">
        <f>+V22</f>
        <v>23684417</v>
      </c>
      <c r="X22" s="30">
        <f t="shared" si="2"/>
        <v>3388498</v>
      </c>
      <c r="Y22" s="2"/>
      <c r="Z22" s="26">
        <f t="shared" si="6"/>
        <v>87.48380807903398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1472262364</v>
      </c>
      <c r="H23" s="13">
        <f>+H24+H25+H26</f>
        <v>-18743999</v>
      </c>
      <c r="I23" s="117">
        <f>+G23+H23</f>
        <v>1453518365</v>
      </c>
      <c r="J23" s="20">
        <f>SUM(J24:J26)</f>
        <v>837471929</v>
      </c>
      <c r="K23" s="20">
        <f>SUM(K24:K26)</f>
        <v>837471929</v>
      </c>
      <c r="L23" s="71">
        <f t="shared" si="0"/>
        <v>616046436</v>
      </c>
      <c r="M23" s="26">
        <f t="shared" si="1"/>
        <v>57.61687978397163</v>
      </c>
      <c r="N23" s="26">
        <f t="shared" si="4"/>
        <v>57.61687978397163</v>
      </c>
      <c r="O23" s="26"/>
      <c r="P23" s="2"/>
      <c r="Q23" s="2"/>
      <c r="R23" s="2"/>
      <c r="S23" s="4">
        <f>SUM(S24:S26)</f>
        <v>680793888</v>
      </c>
      <c r="T23" s="13">
        <f>SUM(T24:T26)</f>
        <v>1307251650</v>
      </c>
      <c r="U23" s="4">
        <f>SUM(U24:U26)</f>
        <v>523207848</v>
      </c>
      <c r="V23" s="13">
        <f>SUM(V24:V26)</f>
        <v>1212564580</v>
      </c>
      <c r="W23" s="13">
        <f>SUM(W24:W26)</f>
        <v>1168043437</v>
      </c>
      <c r="X23" s="30">
        <f t="shared" si="2"/>
        <v>146266715</v>
      </c>
      <c r="Y23" s="2"/>
      <c r="Z23" s="26">
        <f t="shared" si="6"/>
        <v>89.93705765802278</v>
      </c>
      <c r="AA23" s="23"/>
      <c r="AB23" s="32" t="s">
        <v>1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f>60240000+202535683</f>
        <v>262775683</v>
      </c>
      <c r="H24" s="13">
        <f>204175683-262775683</f>
        <v>-58600000</v>
      </c>
      <c r="I24" s="117">
        <f t="shared" si="5"/>
        <v>204175683</v>
      </c>
      <c r="J24" s="20">
        <f>134064120+89932764</f>
        <v>223996884</v>
      </c>
      <c r="K24" s="20">
        <f>134064120+89932764</f>
        <v>223996884</v>
      </c>
      <c r="L24" s="71">
        <f t="shared" si="0"/>
        <v>-19821201</v>
      </c>
      <c r="M24" s="26">
        <f t="shared" si="1"/>
        <v>109.70791462957908</v>
      </c>
      <c r="N24" s="26">
        <f t="shared" si="4"/>
        <v>109.70791462957908</v>
      </c>
      <c r="O24" s="26"/>
      <c r="P24" s="2"/>
      <c r="Q24" s="2"/>
      <c r="R24" s="2"/>
      <c r="S24" s="4">
        <v>90516630</v>
      </c>
      <c r="T24" s="13">
        <v>193690690</v>
      </c>
      <c r="U24" s="4">
        <v>71539421</v>
      </c>
      <c r="V24" s="13">
        <v>183743132</v>
      </c>
      <c r="W24" s="13">
        <f>156798612+7931600</f>
        <v>164730212</v>
      </c>
      <c r="X24" s="30">
        <f t="shared" si="2"/>
        <v>10484993</v>
      </c>
      <c r="Y24" s="2"/>
      <c r="Z24" s="26">
        <f t="shared" si="6"/>
        <v>94.86472000683843</v>
      </c>
      <c r="AA24" s="23"/>
      <c r="AB24" s="32" t="s">
        <v>1</v>
      </c>
      <c r="AC24" s="23"/>
      <c r="AD24" s="23"/>
      <c r="AE24" s="32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1150756681</v>
      </c>
      <c r="H25" s="13">
        <f>1201512682-1150756681</f>
        <v>50756001</v>
      </c>
      <c r="I25" s="117">
        <f t="shared" si="5"/>
        <v>1201512682</v>
      </c>
      <c r="J25" s="19">
        <f>161733438+78749875+21372007+10000000+69921141+34446675+101350157+88741110+4349508</f>
        <v>570663911</v>
      </c>
      <c r="K25" s="19">
        <f>161733438+78749875+21372007+10000000+69921141+34446675+101350157+88741110+4349508</f>
        <v>570663911</v>
      </c>
      <c r="L25" s="71">
        <f t="shared" si="0"/>
        <v>630848771</v>
      </c>
      <c r="M25" s="26">
        <f t="shared" si="1"/>
        <v>47.49545465055691</v>
      </c>
      <c r="N25" s="26">
        <f t="shared" si="4"/>
        <v>47.49545465055691</v>
      </c>
      <c r="O25" s="26"/>
      <c r="P25" s="2"/>
      <c r="Q25" s="2"/>
      <c r="R25" s="2"/>
      <c r="S25" s="4">
        <f>177530145+48822952+12932524+101159449+50929093+34887478+95118421+602400+22704858</f>
        <v>544687320</v>
      </c>
      <c r="T25" s="13">
        <f>1088337821-22601000</f>
        <v>1065736821</v>
      </c>
      <c r="U25" s="4">
        <f>105788413+23427623+12881000+100724267+49185142+19962215+84084828+602400+7938400-750000</f>
        <v>403844288</v>
      </c>
      <c r="V25" s="13">
        <f>974170554+6826755</f>
        <v>980997309</v>
      </c>
      <c r="W25" s="13">
        <f>956941659-1452573</f>
        <v>955489086</v>
      </c>
      <c r="X25" s="30">
        <f t="shared" si="2"/>
        <v>135775861</v>
      </c>
      <c r="Y25" s="2"/>
      <c r="Z25" s="26">
        <f t="shared" si="6"/>
        <v>88.69958985584806</v>
      </c>
      <c r="AA25" s="23"/>
      <c r="AB25" s="32" t="s">
        <v>1</v>
      </c>
      <c r="AC25" s="23"/>
      <c r="AD25" s="23"/>
      <c r="AE25" s="32"/>
      <c r="AF25" s="23"/>
      <c r="AG25" s="23"/>
      <c r="AH25" s="3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7" t="s">
        <v>22</v>
      </c>
      <c r="G26" s="13">
        <v>58730000</v>
      </c>
      <c r="H26" s="13">
        <f>+(46734803+1095196)-58730000+1</f>
        <v>-10900000</v>
      </c>
      <c r="I26" s="117">
        <f t="shared" si="5"/>
        <v>47830000</v>
      </c>
      <c r="J26" s="20">
        <v>42811134</v>
      </c>
      <c r="K26" s="20">
        <v>42811134</v>
      </c>
      <c r="L26" s="71">
        <f t="shared" si="0"/>
        <v>5018866</v>
      </c>
      <c r="M26" s="26">
        <f t="shared" si="1"/>
        <v>89.50686598369224</v>
      </c>
      <c r="N26" s="26">
        <f t="shared" si="4"/>
        <v>89.50686598369224</v>
      </c>
      <c r="O26" s="26"/>
      <c r="P26" s="2"/>
      <c r="Q26" s="2"/>
      <c r="R26" s="2"/>
      <c r="S26" s="13">
        <v>45589938</v>
      </c>
      <c r="T26" s="13">
        <f>49334119-1509980</f>
        <v>47824139</v>
      </c>
      <c r="U26" s="13">
        <f>+T26</f>
        <v>47824139</v>
      </c>
      <c r="V26" s="13">
        <f>+T26</f>
        <v>47824139</v>
      </c>
      <c r="W26" s="13">
        <f>+V26</f>
        <v>47824139</v>
      </c>
      <c r="X26" s="30">
        <f t="shared" si="2"/>
        <v>5861</v>
      </c>
      <c r="Y26" s="2"/>
      <c r="Z26" s="26">
        <f t="shared" si="6"/>
        <v>99.9877461844031</v>
      </c>
      <c r="AA26" s="23"/>
      <c r="AB26" s="23"/>
      <c r="AC26" s="23"/>
      <c r="AD26" s="23"/>
      <c r="AE26" s="32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SUM(G28:G32)</f>
        <v>3760481448</v>
      </c>
      <c r="H27" s="4">
        <f>SUM(H28:H32)</f>
        <v>88739000</v>
      </c>
      <c r="I27" s="117">
        <f t="shared" si="5"/>
        <v>3849220448</v>
      </c>
      <c r="J27" s="20">
        <f>SUM(J28:J32)</f>
        <v>802145730</v>
      </c>
      <c r="K27" s="20">
        <f>SUM(K28:K32)</f>
        <v>802145730</v>
      </c>
      <c r="L27" s="71">
        <f t="shared" si="0"/>
        <v>3047074718</v>
      </c>
      <c r="M27" s="26">
        <f t="shared" si="1"/>
        <v>20.83917356348825</v>
      </c>
      <c r="N27" s="26">
        <f t="shared" si="4"/>
        <v>20.83917356348825</v>
      </c>
      <c r="O27" s="26"/>
      <c r="P27" s="2"/>
      <c r="Q27" s="2"/>
      <c r="R27" s="2"/>
      <c r="S27" s="4">
        <f>SUM(S28:S32)</f>
        <v>1265405194</v>
      </c>
      <c r="T27" s="13">
        <f>SUM(T28:T32)</f>
        <v>3358609222</v>
      </c>
      <c r="U27" s="4">
        <f>SUM(U28:U32)</f>
        <v>3311180131</v>
      </c>
      <c r="V27" s="13">
        <f>SUM(V28:V32)</f>
        <v>3358609222</v>
      </c>
      <c r="W27" s="13">
        <f>SUM(W28:W32)</f>
        <v>2637507834</v>
      </c>
      <c r="X27" s="30">
        <f t="shared" si="2"/>
        <v>490611226</v>
      </c>
      <c r="Y27" s="2"/>
      <c r="Z27" s="26">
        <f t="shared" si="6"/>
        <v>87.25427050417665</v>
      </c>
      <c r="AA27" s="23"/>
      <c r="AB27" s="32"/>
      <c r="AC27" s="23"/>
      <c r="AD27" s="23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39146000</v>
      </c>
      <c r="H28" s="13">
        <f>42033530+6112470-39146000</f>
        <v>9000000</v>
      </c>
      <c r="I28" s="117">
        <f t="shared" si="5"/>
        <v>48146000</v>
      </c>
      <c r="J28" s="20">
        <v>16797214</v>
      </c>
      <c r="K28" s="20">
        <v>16797214</v>
      </c>
      <c r="L28" s="71">
        <f t="shared" si="0"/>
        <v>31348786</v>
      </c>
      <c r="M28" s="26">
        <f t="shared" si="1"/>
        <v>34.888077929630704</v>
      </c>
      <c r="N28" s="26">
        <f t="shared" si="4"/>
        <v>34.888077929630704</v>
      </c>
      <c r="O28" s="26"/>
      <c r="P28" s="2"/>
      <c r="Q28" s="2"/>
      <c r="R28" s="2"/>
      <c r="S28" s="4">
        <v>0</v>
      </c>
      <c r="T28" s="13">
        <f>41316621+6112470</f>
        <v>47429091</v>
      </c>
      <c r="U28" s="4">
        <v>0</v>
      </c>
      <c r="V28" s="13">
        <f>+T28</f>
        <v>47429091</v>
      </c>
      <c r="W28" s="13">
        <f>+V28</f>
        <v>47429091</v>
      </c>
      <c r="X28" s="30">
        <f t="shared" si="2"/>
        <v>716909</v>
      </c>
      <c r="Y28" s="2"/>
      <c r="Z28" s="26">
        <f t="shared" si="6"/>
        <v>98.5109687201429</v>
      </c>
      <c r="AA28" s="23"/>
      <c r="AB28" s="32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3004266970</v>
      </c>
      <c r="H29" s="13">
        <f>3274005970-3004266970</f>
        <v>269739000</v>
      </c>
      <c r="I29" s="117">
        <f t="shared" si="5"/>
        <v>3274005970</v>
      </c>
      <c r="J29" s="20">
        <v>740995272</v>
      </c>
      <c r="K29" s="20">
        <v>740995272</v>
      </c>
      <c r="L29" s="71">
        <f t="shared" si="0"/>
        <v>2533010698</v>
      </c>
      <c r="M29" s="26">
        <f t="shared" si="1"/>
        <v>22.63267931670876</v>
      </c>
      <c r="N29" s="26">
        <f t="shared" si="4"/>
        <v>22.63267931670876</v>
      </c>
      <c r="O29" s="26"/>
      <c r="P29" s="2"/>
      <c r="Q29" s="2"/>
      <c r="R29" s="2"/>
      <c r="S29" s="4">
        <v>951099213</v>
      </c>
      <c r="T29" s="13">
        <v>3274005970</v>
      </c>
      <c r="U29" s="4">
        <f>+T29</f>
        <v>3274005970</v>
      </c>
      <c r="V29" s="13">
        <f>+T29</f>
        <v>3274005970</v>
      </c>
      <c r="W29" s="13">
        <f>+V29-716094413</f>
        <v>2557911557</v>
      </c>
      <c r="X29" s="30">
        <f t="shared" si="2"/>
        <v>0</v>
      </c>
      <c r="Y29" s="2"/>
      <c r="Z29" s="26">
        <f t="shared" si="6"/>
        <v>100</v>
      </c>
      <c r="AA29" s="23" t="s">
        <v>1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ht="12.75">
      <c r="A30" s="8" t="s">
        <v>12</v>
      </c>
      <c r="B30" s="8">
        <v>3</v>
      </c>
      <c r="C30" s="8">
        <v>2</v>
      </c>
      <c r="D30" s="8">
        <v>1</v>
      </c>
      <c r="E30" s="8">
        <v>4</v>
      </c>
      <c r="F30" s="8" t="s">
        <v>161</v>
      </c>
      <c r="G30" s="4">
        <v>485029676</v>
      </c>
      <c r="H30" s="13"/>
      <c r="I30" s="117">
        <f>+G30</f>
        <v>485029676</v>
      </c>
      <c r="J30" s="20"/>
      <c r="K30" s="20"/>
      <c r="L30" s="71"/>
      <c r="M30" s="26"/>
      <c r="N30" s="26"/>
      <c r="O30" s="26"/>
      <c r="P30" s="2"/>
      <c r="Q30" s="2"/>
      <c r="R30" s="2"/>
      <c r="S30" s="4"/>
      <c r="T30" s="13">
        <v>0</v>
      </c>
      <c r="U30" s="4"/>
      <c r="V30" s="13">
        <v>0</v>
      </c>
      <c r="W30" s="13">
        <v>0</v>
      </c>
      <c r="X30" s="30">
        <f t="shared" si="2"/>
        <v>485029676</v>
      </c>
      <c r="Y30" s="2"/>
      <c r="Z30" s="26">
        <f t="shared" si="6"/>
        <v>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ht="12.75">
      <c r="A31" s="8" t="s">
        <v>12</v>
      </c>
      <c r="B31" s="8">
        <v>3</v>
      </c>
      <c r="C31" s="8">
        <v>2</v>
      </c>
      <c r="D31" s="8">
        <v>1</v>
      </c>
      <c r="E31" s="8">
        <v>3</v>
      </c>
      <c r="F31" s="8" t="s">
        <v>33</v>
      </c>
      <c r="G31" s="4">
        <v>32038802</v>
      </c>
      <c r="H31" s="13">
        <v>0</v>
      </c>
      <c r="I31" s="117">
        <f t="shared" si="5"/>
        <v>32038802</v>
      </c>
      <c r="J31" s="20">
        <v>21590305</v>
      </c>
      <c r="K31" s="20">
        <v>21590305</v>
      </c>
      <c r="L31" s="71">
        <f t="shared" si="0"/>
        <v>10448497</v>
      </c>
      <c r="M31" s="26">
        <f t="shared" si="1"/>
        <v>67.38799097419435</v>
      </c>
      <c r="N31" s="26">
        <f t="shared" si="4"/>
        <v>67.38799097419435</v>
      </c>
      <c r="O31" s="26"/>
      <c r="P31" s="2"/>
      <c r="Q31" s="2"/>
      <c r="R31" s="2"/>
      <c r="S31" s="4">
        <v>22814692</v>
      </c>
      <c r="T31" s="13">
        <v>32038802</v>
      </c>
      <c r="U31" s="4">
        <f>+T31</f>
        <v>32038802</v>
      </c>
      <c r="V31" s="13">
        <f>+T31</f>
        <v>32038802</v>
      </c>
      <c r="W31" s="13">
        <f>+V31</f>
        <v>32038802</v>
      </c>
      <c r="X31" s="30">
        <f t="shared" si="2"/>
        <v>0</v>
      </c>
      <c r="Y31" s="2"/>
      <c r="Z31" s="26">
        <f t="shared" si="6"/>
        <v>100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ht="12.75">
      <c r="A32" s="8" t="s">
        <v>12</v>
      </c>
      <c r="B32" s="8">
        <v>3</v>
      </c>
      <c r="C32" s="8">
        <v>6</v>
      </c>
      <c r="D32" s="8">
        <v>1</v>
      </c>
      <c r="E32" s="8">
        <v>1</v>
      </c>
      <c r="F32" s="8" t="s">
        <v>34</v>
      </c>
      <c r="G32" s="13">
        <v>200000000</v>
      </c>
      <c r="H32" s="13">
        <v>-190000000</v>
      </c>
      <c r="I32" s="117">
        <f t="shared" si="5"/>
        <v>10000000</v>
      </c>
      <c r="J32" s="20">
        <v>22762939</v>
      </c>
      <c r="K32" s="20">
        <v>22762939</v>
      </c>
      <c r="L32" s="71">
        <f t="shared" si="0"/>
        <v>-12762939</v>
      </c>
      <c r="M32" s="26">
        <f t="shared" si="1"/>
        <v>227.62939000000003</v>
      </c>
      <c r="N32" s="26">
        <f t="shared" si="4"/>
        <v>227.62939000000003</v>
      </c>
      <c r="O32" s="26"/>
      <c r="P32" s="2"/>
      <c r="Q32" s="2"/>
      <c r="R32" s="2"/>
      <c r="S32" s="13">
        <v>291491289</v>
      </c>
      <c r="T32" s="13">
        <v>5135359</v>
      </c>
      <c r="U32" s="13">
        <f>+T32</f>
        <v>5135359</v>
      </c>
      <c r="V32" s="13">
        <f>+T32</f>
        <v>5135359</v>
      </c>
      <c r="W32" s="13">
        <f>+V32-5006975</f>
        <v>128384</v>
      </c>
      <c r="X32" s="30">
        <f t="shared" si="2"/>
        <v>4864641</v>
      </c>
      <c r="Y32" s="2"/>
      <c r="Z32" s="26">
        <f t="shared" si="6"/>
        <v>51.353590000000004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ht="12.75">
      <c r="A33" s="2"/>
      <c r="B33" s="2"/>
      <c r="C33" s="2"/>
      <c r="D33" s="2"/>
      <c r="E33" s="2"/>
      <c r="F33" s="3"/>
      <c r="G33" s="9" t="s">
        <v>1</v>
      </c>
      <c r="H33" s="12"/>
      <c r="I33" s="117" t="s">
        <v>1</v>
      </c>
      <c r="J33" s="72"/>
      <c r="K33" s="72"/>
      <c r="L33" s="19" t="s">
        <v>1</v>
      </c>
      <c r="M33" s="9" t="s">
        <v>1</v>
      </c>
      <c r="N33" s="26"/>
      <c r="O33" s="26"/>
      <c r="P33" s="2"/>
      <c r="Q33" s="2"/>
      <c r="R33" s="2"/>
      <c r="S33" s="2"/>
      <c r="T33" s="12" t="s">
        <v>1</v>
      </c>
      <c r="U33" s="2"/>
      <c r="V33" s="2"/>
      <c r="W33" s="2"/>
      <c r="X33" s="2"/>
      <c r="Y33" s="2"/>
      <c r="Z33" s="26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ht="12.75">
      <c r="A34" s="8"/>
      <c r="B34" s="8"/>
      <c r="C34" s="8"/>
      <c r="D34" s="8"/>
      <c r="E34" s="8"/>
      <c r="F34" s="8" t="s">
        <v>1</v>
      </c>
      <c r="G34" s="4" t="s">
        <v>1</v>
      </c>
      <c r="H34" s="13" t="s">
        <v>1</v>
      </c>
      <c r="I34" s="117" t="s">
        <v>1</v>
      </c>
      <c r="J34" s="20" t="s">
        <v>1</v>
      </c>
      <c r="K34" s="20"/>
      <c r="L34" s="19" t="s">
        <v>1</v>
      </c>
      <c r="M34" s="9" t="s">
        <v>1</v>
      </c>
      <c r="N34" s="26"/>
      <c r="O34" s="26"/>
      <c r="P34" s="2"/>
      <c r="Q34" s="2"/>
      <c r="R34" s="2"/>
      <c r="S34" s="2"/>
      <c r="T34" s="11" t="s">
        <v>1</v>
      </c>
      <c r="U34" s="2"/>
      <c r="V34" s="2"/>
      <c r="W34" s="2"/>
      <c r="X34" s="2"/>
      <c r="Y34" s="2"/>
      <c r="Z34" s="26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ht="12.75">
      <c r="A35" s="69"/>
      <c r="B35" s="69"/>
      <c r="C35" s="69"/>
      <c r="D35" s="69"/>
      <c r="E35" s="69"/>
      <c r="F35" s="69"/>
      <c r="G35" s="78" t="s">
        <v>1</v>
      </c>
      <c r="H35" s="66"/>
      <c r="I35" s="119"/>
      <c r="J35" s="100"/>
      <c r="K35" s="100"/>
      <c r="L35" s="99"/>
      <c r="M35" s="33"/>
      <c r="N35" s="53"/>
      <c r="O35" s="53"/>
      <c r="P35" s="64"/>
      <c r="Q35" s="64"/>
      <c r="R35" s="64"/>
      <c r="S35" s="64"/>
      <c r="T35" s="99"/>
      <c r="U35" s="64"/>
      <c r="V35" s="64"/>
      <c r="W35" s="64"/>
      <c r="X35" s="64" t="s">
        <v>1</v>
      </c>
      <c r="Y35" s="64"/>
      <c r="Z35" s="5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 ht="12.75">
      <c r="A36" s="69"/>
      <c r="B36" s="69"/>
      <c r="C36" s="69"/>
      <c r="D36" s="69"/>
      <c r="E36" s="69"/>
      <c r="F36" s="69"/>
      <c r="G36" s="78" t="s">
        <v>1</v>
      </c>
      <c r="H36" s="66"/>
      <c r="I36" s="119"/>
      <c r="J36" s="100"/>
      <c r="K36" s="100"/>
      <c r="L36" s="99"/>
      <c r="M36" s="33"/>
      <c r="N36" s="53"/>
      <c r="O36" s="53"/>
      <c r="P36" s="64"/>
      <c r="Q36" s="64"/>
      <c r="R36" s="64"/>
      <c r="S36" s="64"/>
      <c r="T36" s="130"/>
      <c r="U36" s="64"/>
      <c r="V36" s="64"/>
      <c r="W36" s="64"/>
      <c r="X36" s="104" t="s">
        <v>26</v>
      </c>
      <c r="Y36" s="64"/>
      <c r="Z36" s="5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7:46" ht="12.75">
      <c r="G37" s="32" t="s">
        <v>1</v>
      </c>
      <c r="H37" s="76" t="s">
        <v>1</v>
      </c>
      <c r="I37" s="120"/>
      <c r="M37" s="101"/>
      <c r="N37" s="1"/>
      <c r="O37" s="1"/>
      <c r="S37" s="50"/>
      <c r="T37" s="76"/>
      <c r="X37" s="23"/>
      <c r="Z37" s="1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ht="12.75">
      <c r="A38" s="148" t="s">
        <v>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ht="12.75">
      <c r="A39" s="148" t="s">
        <v>166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 ht="12.75">
      <c r="A40" s="148" t="s">
        <v>80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ht="12.75">
      <c r="A41" s="2"/>
      <c r="B41" s="2"/>
      <c r="C41" s="2"/>
      <c r="D41" s="2"/>
      <c r="E41" s="2"/>
      <c r="F41" s="3"/>
      <c r="G41" s="2"/>
      <c r="H41" s="12"/>
      <c r="I41" s="114" t="s">
        <v>1</v>
      </c>
      <c r="J41" s="2"/>
      <c r="K41" s="2"/>
      <c r="L41" s="2"/>
      <c r="M41" s="26"/>
      <c r="N41" s="26"/>
      <c r="O41" s="26"/>
      <c r="P41" s="2"/>
      <c r="Q41" s="2"/>
      <c r="R41" s="2"/>
      <c r="S41" s="2"/>
      <c r="T41" s="12"/>
      <c r="U41" s="2"/>
      <c r="V41" s="2"/>
      <c r="W41" s="2"/>
      <c r="X41" s="2"/>
      <c r="Y41" s="2"/>
      <c r="Z41" s="26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 ht="12.75">
      <c r="A42" s="18" t="s">
        <v>48</v>
      </c>
      <c r="B42" s="18" t="s">
        <v>49</v>
      </c>
      <c r="C42" s="3" t="s">
        <v>50</v>
      </c>
      <c r="D42" s="3" t="s">
        <v>51</v>
      </c>
      <c r="E42" s="3" t="s">
        <v>52</v>
      </c>
      <c r="F42" s="2"/>
      <c r="G42" s="2"/>
      <c r="H42" s="102" t="s">
        <v>1</v>
      </c>
      <c r="I42" s="114"/>
      <c r="J42" s="18" t="s">
        <v>1</v>
      </c>
      <c r="K42" s="18"/>
      <c r="L42" s="14" t="s">
        <v>36</v>
      </c>
      <c r="M42" s="25" t="s">
        <v>47</v>
      </c>
      <c r="N42" s="62" t="s">
        <v>76</v>
      </c>
      <c r="O42" s="26"/>
      <c r="P42" s="2"/>
      <c r="Q42" s="2"/>
      <c r="R42" s="2"/>
      <c r="S42" s="2"/>
      <c r="T42" s="12"/>
      <c r="U42" s="2"/>
      <c r="V42" s="2"/>
      <c r="W42" s="2"/>
      <c r="X42" s="2"/>
      <c r="Y42" s="2"/>
      <c r="Z42" s="26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ht="12.75">
      <c r="A43" s="3"/>
      <c r="B43" s="18" t="s">
        <v>6</v>
      </c>
      <c r="C43" s="3"/>
      <c r="D43" s="3" t="s">
        <v>7</v>
      </c>
      <c r="E43" s="3"/>
      <c r="F43" s="2"/>
      <c r="G43" s="18" t="s">
        <v>3</v>
      </c>
      <c r="H43" s="10" t="s">
        <v>2</v>
      </c>
      <c r="I43" s="115" t="s">
        <v>3</v>
      </c>
      <c r="J43" s="10" t="s">
        <v>75</v>
      </c>
      <c r="K43" s="70" t="s">
        <v>35</v>
      </c>
      <c r="L43" s="14" t="s">
        <v>40</v>
      </c>
      <c r="M43" s="63" t="s">
        <v>75</v>
      </c>
      <c r="N43" s="62" t="s">
        <v>35</v>
      </c>
      <c r="O43" s="103"/>
      <c r="P43" s="2"/>
      <c r="Q43" s="2"/>
      <c r="R43" s="2"/>
      <c r="S43" s="18" t="s">
        <v>75</v>
      </c>
      <c r="T43" s="10" t="s">
        <v>35</v>
      </c>
      <c r="U43" s="18" t="s">
        <v>82</v>
      </c>
      <c r="V43" s="18" t="s">
        <v>168</v>
      </c>
      <c r="W43" s="18" t="s">
        <v>82</v>
      </c>
      <c r="X43" s="18" t="s">
        <v>163</v>
      </c>
      <c r="Y43" s="18"/>
      <c r="Z43" s="63" t="s">
        <v>74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 ht="12.75">
      <c r="A44" s="3"/>
      <c r="B44" s="3"/>
      <c r="C44" s="3"/>
      <c r="D44" s="3" t="s">
        <v>8</v>
      </c>
      <c r="E44" s="3"/>
      <c r="F44" s="18" t="s">
        <v>9</v>
      </c>
      <c r="G44" s="18" t="s">
        <v>4</v>
      </c>
      <c r="H44" s="10" t="s">
        <v>10</v>
      </c>
      <c r="I44" s="115" t="s">
        <v>5</v>
      </c>
      <c r="J44" s="10" t="s">
        <v>1</v>
      </c>
      <c r="K44" s="24"/>
      <c r="L44" s="12"/>
      <c r="M44" s="15"/>
      <c r="N44" s="16"/>
      <c r="O44" s="16"/>
      <c r="P44" s="2"/>
      <c r="Q44" s="2"/>
      <c r="R44" s="2"/>
      <c r="S44" s="2"/>
      <c r="T44" s="10"/>
      <c r="U44" s="18"/>
      <c r="V44" s="18"/>
      <c r="W44" s="18"/>
      <c r="X44" s="18" t="s">
        <v>79</v>
      </c>
      <c r="Y44" s="18"/>
      <c r="Z44" s="6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 ht="12.75">
      <c r="A45" s="3"/>
      <c r="B45" s="3"/>
      <c r="C45" s="3"/>
      <c r="D45" s="3" t="s">
        <v>11</v>
      </c>
      <c r="E45" s="3"/>
      <c r="F45" s="2"/>
      <c r="G45" s="18" t="s">
        <v>1</v>
      </c>
      <c r="H45" s="10" t="s">
        <v>1</v>
      </c>
      <c r="I45" s="116" t="s">
        <v>1</v>
      </c>
      <c r="J45" s="14" t="s">
        <v>1</v>
      </c>
      <c r="K45" s="14" t="s">
        <v>1</v>
      </c>
      <c r="L45" s="12"/>
      <c r="M45" s="16"/>
      <c r="N45" s="16"/>
      <c r="O45" s="16"/>
      <c r="P45" s="2"/>
      <c r="Q45" s="2"/>
      <c r="R45" s="2"/>
      <c r="S45" s="2"/>
      <c r="T45" s="13" t="s">
        <v>1</v>
      </c>
      <c r="U45" s="2"/>
      <c r="V45" s="2"/>
      <c r="W45" s="2"/>
      <c r="X45" s="2"/>
      <c r="Y45" s="2"/>
      <c r="Z45" s="26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 ht="12.75">
      <c r="A46" s="2"/>
      <c r="B46" s="2"/>
      <c r="C46" s="2"/>
      <c r="D46" s="2"/>
      <c r="E46" s="2"/>
      <c r="F46" s="2"/>
      <c r="G46" s="9" t="s">
        <v>1</v>
      </c>
      <c r="H46" s="16" t="s">
        <v>1</v>
      </c>
      <c r="I46" s="121" t="s">
        <v>1</v>
      </c>
      <c r="J46" s="15" t="s">
        <v>1</v>
      </c>
      <c r="K46" s="16" t="s">
        <v>1</v>
      </c>
      <c r="L46" s="12"/>
      <c r="M46" s="16"/>
      <c r="N46" s="16"/>
      <c r="O46" s="15"/>
      <c r="P46" s="2"/>
      <c r="Q46" s="2"/>
      <c r="R46" s="2"/>
      <c r="S46" s="2"/>
      <c r="T46" s="13" t="s">
        <v>1</v>
      </c>
      <c r="U46" s="2"/>
      <c r="V46" s="2"/>
      <c r="W46" s="2"/>
      <c r="X46" s="2"/>
      <c r="Y46" s="2"/>
      <c r="Z46" s="26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 ht="12.75">
      <c r="A47" s="2" t="s">
        <v>12</v>
      </c>
      <c r="B47" s="2"/>
      <c r="C47" s="2"/>
      <c r="D47" s="2"/>
      <c r="E47" s="2"/>
      <c r="F47" s="3" t="s">
        <v>53</v>
      </c>
      <c r="G47" s="28">
        <f>+G48+G58+G61</f>
        <v>2185304000</v>
      </c>
      <c r="H47" s="29">
        <f>SUM(H48+H58+H61)</f>
        <v>0</v>
      </c>
      <c r="I47" s="122">
        <f>+G47+H47</f>
        <v>2185304000</v>
      </c>
      <c r="J47" s="29">
        <f>SUM(J48+J58+J61)</f>
        <v>1374287113</v>
      </c>
      <c r="K47" s="29">
        <f>SUM(K48+K58+K61)</f>
        <v>1374287113</v>
      </c>
      <c r="L47" s="11">
        <f aca="true" t="shared" si="7" ref="L47:L62">+I47-J47</f>
        <v>811016887</v>
      </c>
      <c r="M47" s="31">
        <f aca="true" t="shared" si="8" ref="M47:M62">+J47/I47*100</f>
        <v>62.88768578650842</v>
      </c>
      <c r="N47" s="31">
        <f>+K47/I47*100</f>
        <v>62.88768578650842</v>
      </c>
      <c r="O47" s="31"/>
      <c r="P47" s="2"/>
      <c r="Q47" s="2"/>
      <c r="R47" s="2"/>
      <c r="S47" s="28">
        <f>+S48+S58+S61</f>
        <v>1795325302</v>
      </c>
      <c r="T47" s="29">
        <f>SUM(T48+T58+T61)</f>
        <v>2185288549</v>
      </c>
      <c r="U47" s="28">
        <f>SUM(U48+U58+U61)</f>
        <v>2174434549</v>
      </c>
      <c r="V47" s="29">
        <f>SUM(V48+V58+V61)</f>
        <v>2185288549</v>
      </c>
      <c r="W47" s="29">
        <f>SUM(W48+W58+W61)</f>
        <v>2177187334</v>
      </c>
      <c r="X47" s="30">
        <f aca="true" t="shared" si="9" ref="X47:X62">+I47-T47</f>
        <v>15451</v>
      </c>
      <c r="Y47" s="2"/>
      <c r="Z47" s="26">
        <f aca="true" t="shared" si="10" ref="Z47:Z62">+T47/I47*100</f>
        <v>99.99929295878285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ht="12.75">
      <c r="A48" s="2" t="s">
        <v>12</v>
      </c>
      <c r="B48" s="2">
        <v>1</v>
      </c>
      <c r="C48" s="2">
        <v>1</v>
      </c>
      <c r="D48" s="2">
        <v>0</v>
      </c>
      <c r="E48" s="2">
        <v>0</v>
      </c>
      <c r="F48" s="3" t="s">
        <v>13</v>
      </c>
      <c r="G48" s="28">
        <f>+G49+G54+G55+G56+G57</f>
        <v>2150339000</v>
      </c>
      <c r="H48" s="29">
        <f>+H49+H54+H55+H56+H57</f>
        <v>0</v>
      </c>
      <c r="I48" s="122">
        <f>+I49+I54+I55+I56+I57</f>
        <v>2150339000</v>
      </c>
      <c r="J48" s="28">
        <f>+J49+J54+J55+J56+J57</f>
        <v>1350176113</v>
      </c>
      <c r="K48" s="28">
        <f>+K49+K54+K55+K56+K57</f>
        <v>1350176113</v>
      </c>
      <c r="L48" s="11">
        <f t="shared" si="7"/>
        <v>800162887</v>
      </c>
      <c r="M48" s="31">
        <f t="shared" si="8"/>
        <v>62.78898875944676</v>
      </c>
      <c r="N48" s="31">
        <f aca="true" t="shared" si="11" ref="N48:N62">+K48/I48*100</f>
        <v>62.78898875944676</v>
      </c>
      <c r="O48" s="31"/>
      <c r="P48" s="2"/>
      <c r="Q48" s="2"/>
      <c r="R48" s="2"/>
      <c r="S48" s="28">
        <f>+S49+S54+S55+S56+S57</f>
        <v>1771214302</v>
      </c>
      <c r="T48" s="29">
        <f>+T49+T54+T55+T56+T57</f>
        <v>2150323549</v>
      </c>
      <c r="U48" s="28">
        <f>+U49+U54+U55+U56+U57</f>
        <v>2150323549</v>
      </c>
      <c r="V48" s="29">
        <f>+V49+V54+V55+V56+V57</f>
        <v>2150323549</v>
      </c>
      <c r="W48" s="29">
        <f>+W49+W54+W55+W56+W57</f>
        <v>2150323549</v>
      </c>
      <c r="X48" s="30">
        <f t="shared" si="9"/>
        <v>15451</v>
      </c>
      <c r="Y48" s="2"/>
      <c r="Z48" s="26">
        <f t="shared" si="10"/>
        <v>99.99928146213225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 ht="12.75">
      <c r="A49" s="2" t="s">
        <v>12</v>
      </c>
      <c r="B49" s="2">
        <v>1</v>
      </c>
      <c r="C49" s="2">
        <v>1</v>
      </c>
      <c r="D49" s="2">
        <v>1</v>
      </c>
      <c r="E49" s="2">
        <v>0</v>
      </c>
      <c r="F49" s="8" t="s">
        <v>14</v>
      </c>
      <c r="G49" s="30">
        <f>SUM(G50:G53)</f>
        <v>1802540000</v>
      </c>
      <c r="H49" s="11">
        <f>SUM(H50:H53)</f>
        <v>0</v>
      </c>
      <c r="I49" s="123">
        <f>SUM(I50:I53)</f>
        <v>1802540000</v>
      </c>
      <c r="J49" s="11">
        <f>SUM(J50:J53)</f>
        <v>1097699750</v>
      </c>
      <c r="K49" s="11">
        <f>SUM(K50:K53)</f>
        <v>1097699750</v>
      </c>
      <c r="L49" s="11">
        <f t="shared" si="7"/>
        <v>704840250</v>
      </c>
      <c r="M49" s="31">
        <f t="shared" si="8"/>
        <v>60.89738646576498</v>
      </c>
      <c r="N49" s="31">
        <f t="shared" si="11"/>
        <v>60.89738646576498</v>
      </c>
      <c r="O49" s="15"/>
      <c r="P49" s="2"/>
      <c r="Q49" s="2"/>
      <c r="R49" s="2"/>
      <c r="S49" s="30">
        <f>SUM(S50:S53)</f>
        <v>1423415302</v>
      </c>
      <c r="T49" s="11">
        <f>SUM(T50:T53)</f>
        <v>1802524549</v>
      </c>
      <c r="U49" s="30">
        <f>+T49</f>
        <v>1802524549</v>
      </c>
      <c r="V49" s="11">
        <f>SUM(V50:V53)</f>
        <v>1802524549</v>
      </c>
      <c r="W49" s="11">
        <f>SUM(W50:W53)</f>
        <v>1802524549</v>
      </c>
      <c r="X49" s="30">
        <f t="shared" si="9"/>
        <v>15451</v>
      </c>
      <c r="Y49" s="2"/>
      <c r="Z49" s="26">
        <f t="shared" si="10"/>
        <v>99.99914282068636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ht="12.75">
      <c r="A50" s="2" t="s">
        <v>12</v>
      </c>
      <c r="B50" s="2">
        <v>1</v>
      </c>
      <c r="C50" s="2">
        <v>1</v>
      </c>
      <c r="D50" s="2">
        <v>1</v>
      </c>
      <c r="E50" s="2">
        <v>1</v>
      </c>
      <c r="F50" s="2" t="s">
        <v>15</v>
      </c>
      <c r="G50" s="30">
        <v>1408264790</v>
      </c>
      <c r="H50" s="11">
        <v>0</v>
      </c>
      <c r="I50" s="123">
        <f>+G50+H50</f>
        <v>1408264790</v>
      </c>
      <c r="J50" s="29">
        <v>910042416</v>
      </c>
      <c r="K50" s="29">
        <v>910042416</v>
      </c>
      <c r="L50" s="11">
        <f t="shared" si="7"/>
        <v>498222374</v>
      </c>
      <c r="M50" s="31">
        <f t="shared" si="8"/>
        <v>64.62154152132142</v>
      </c>
      <c r="N50" s="31">
        <f t="shared" si="11"/>
        <v>64.62154152132142</v>
      </c>
      <c r="O50" s="15"/>
      <c r="P50" s="2"/>
      <c r="Q50" s="2"/>
      <c r="R50" s="2"/>
      <c r="S50" s="30">
        <v>1186166487</v>
      </c>
      <c r="T50" s="11">
        <f>+I50</f>
        <v>1408264790</v>
      </c>
      <c r="U50" s="30">
        <f aca="true" t="shared" si="12" ref="U50:U57">+T50</f>
        <v>1408264790</v>
      </c>
      <c r="V50" s="11">
        <f>+T50</f>
        <v>1408264790</v>
      </c>
      <c r="W50" s="11">
        <f>+U50</f>
        <v>1408264790</v>
      </c>
      <c r="X50" s="30">
        <f t="shared" si="9"/>
        <v>0</v>
      </c>
      <c r="Y50" s="2"/>
      <c r="Z50" s="26">
        <f t="shared" si="10"/>
        <v>100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46" ht="12.75">
      <c r="A51" s="2" t="s">
        <v>12</v>
      </c>
      <c r="B51" s="2">
        <v>1</v>
      </c>
      <c r="C51" s="2">
        <v>1</v>
      </c>
      <c r="D51" s="2">
        <v>9</v>
      </c>
      <c r="E51" s="2">
        <v>1</v>
      </c>
      <c r="F51" s="2" t="s">
        <v>54</v>
      </c>
      <c r="G51" s="30">
        <v>1749970</v>
      </c>
      <c r="H51" s="11">
        <v>0</v>
      </c>
      <c r="I51" s="123">
        <f aca="true" t="shared" si="13" ref="I51:I58">+G51+H51</f>
        <v>1749970</v>
      </c>
      <c r="J51" s="29">
        <v>805455</v>
      </c>
      <c r="K51" s="29">
        <v>805455</v>
      </c>
      <c r="L51" s="11">
        <f t="shared" si="7"/>
        <v>944515</v>
      </c>
      <c r="M51" s="31">
        <f t="shared" si="8"/>
        <v>46.02678903066909</v>
      </c>
      <c r="N51" s="31">
        <f t="shared" si="11"/>
        <v>46.02678903066909</v>
      </c>
      <c r="O51" s="15"/>
      <c r="P51" s="2"/>
      <c r="Q51" s="2"/>
      <c r="R51" s="2"/>
      <c r="S51" s="30">
        <v>1068815</v>
      </c>
      <c r="T51" s="11">
        <v>1734519</v>
      </c>
      <c r="U51" s="30">
        <f t="shared" si="12"/>
        <v>1734519</v>
      </c>
      <c r="V51" s="11">
        <v>1734519</v>
      </c>
      <c r="W51" s="11">
        <v>1734519</v>
      </c>
      <c r="X51" s="30">
        <f t="shared" si="9"/>
        <v>15451</v>
      </c>
      <c r="Y51" s="2"/>
      <c r="Z51" s="26">
        <f t="shared" si="10"/>
        <v>99.11707057835277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 ht="12.75">
      <c r="A52" s="2" t="s">
        <v>12</v>
      </c>
      <c r="B52" s="2">
        <v>1</v>
      </c>
      <c r="C52" s="2">
        <v>1</v>
      </c>
      <c r="D52" s="2">
        <v>4</v>
      </c>
      <c r="E52" s="2">
        <v>2</v>
      </c>
      <c r="F52" s="2" t="s">
        <v>16</v>
      </c>
      <c r="G52" s="30">
        <v>140102000</v>
      </c>
      <c r="H52" s="11">
        <v>0</v>
      </c>
      <c r="I52" s="123">
        <f t="shared" si="13"/>
        <v>140102000</v>
      </c>
      <c r="J52" s="29">
        <v>97076221</v>
      </c>
      <c r="K52" s="29">
        <v>97076221</v>
      </c>
      <c r="L52" s="11">
        <f t="shared" si="7"/>
        <v>43025779</v>
      </c>
      <c r="M52" s="31">
        <f t="shared" si="8"/>
        <v>69.28967537936647</v>
      </c>
      <c r="N52" s="31">
        <f t="shared" si="11"/>
        <v>69.28967537936647</v>
      </c>
      <c r="O52" s="15"/>
      <c r="P52" s="2"/>
      <c r="Q52" s="2"/>
      <c r="R52" s="2"/>
      <c r="S52" s="73">
        <f>+I52</f>
        <v>140102000</v>
      </c>
      <c r="T52" s="11">
        <f aca="true" t="shared" si="14" ref="T52:T57">+I52</f>
        <v>140102000</v>
      </c>
      <c r="U52" s="30">
        <f t="shared" si="12"/>
        <v>140102000</v>
      </c>
      <c r="V52" s="11">
        <f>+T52</f>
        <v>140102000</v>
      </c>
      <c r="W52" s="11">
        <f>+U52</f>
        <v>140102000</v>
      </c>
      <c r="X52" s="30">
        <f t="shared" si="9"/>
        <v>0</v>
      </c>
      <c r="Y52" s="2"/>
      <c r="Z52" s="26">
        <f t="shared" si="10"/>
        <v>100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ht="12.75">
      <c r="A53" s="2" t="s">
        <v>12</v>
      </c>
      <c r="B53" s="2">
        <v>1</v>
      </c>
      <c r="C53" s="2">
        <v>1</v>
      </c>
      <c r="D53" s="2">
        <v>5</v>
      </c>
      <c r="E53" s="2">
        <v>0</v>
      </c>
      <c r="F53" s="2" t="s">
        <v>17</v>
      </c>
      <c r="G53" s="30">
        <f>67372300+38005970+132918520+14126450</f>
        <v>252423240</v>
      </c>
      <c r="H53" s="11">
        <v>0</v>
      </c>
      <c r="I53" s="123">
        <f t="shared" si="13"/>
        <v>252423240</v>
      </c>
      <c r="J53" s="29">
        <f>11820000+57319500+18076500+2559658</f>
        <v>89775658</v>
      </c>
      <c r="K53" s="29">
        <f>11820000+57319500+18076500+2559658</f>
        <v>89775658</v>
      </c>
      <c r="L53" s="11">
        <f t="shared" si="7"/>
        <v>162647582</v>
      </c>
      <c r="M53" s="31">
        <f t="shared" si="8"/>
        <v>35.56552796010383</v>
      </c>
      <c r="N53" s="31">
        <f t="shared" si="11"/>
        <v>35.56552796010383</v>
      </c>
      <c r="O53" s="15"/>
      <c r="P53" s="2"/>
      <c r="Q53" s="2"/>
      <c r="R53" s="2"/>
      <c r="S53" s="30">
        <f>13000000+62000000+21078000</f>
        <v>96078000</v>
      </c>
      <c r="T53" s="11">
        <f t="shared" si="14"/>
        <v>252423240</v>
      </c>
      <c r="U53" s="30">
        <f t="shared" si="12"/>
        <v>252423240</v>
      </c>
      <c r="V53" s="11">
        <f>+T53</f>
        <v>252423240</v>
      </c>
      <c r="W53" s="11">
        <f>+U53</f>
        <v>252423240</v>
      </c>
      <c r="X53" s="30">
        <f t="shared" si="9"/>
        <v>0</v>
      </c>
      <c r="Y53" s="2"/>
      <c r="Z53" s="26">
        <f t="shared" si="10"/>
        <v>100</v>
      </c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ht="12.75">
      <c r="A54" s="2" t="s">
        <v>12</v>
      </c>
      <c r="B54" s="2">
        <v>1</v>
      </c>
      <c r="C54" s="2">
        <v>5</v>
      </c>
      <c r="D54" s="2">
        <v>0</v>
      </c>
      <c r="E54" s="2">
        <v>1</v>
      </c>
      <c r="F54" s="2" t="s">
        <v>18</v>
      </c>
      <c r="G54" s="30">
        <f>46725950+44476360</f>
        <v>91202310</v>
      </c>
      <c r="H54" s="11">
        <v>0</v>
      </c>
      <c r="I54" s="123">
        <f t="shared" si="13"/>
        <v>91202310</v>
      </c>
      <c r="J54" s="29">
        <f>+I54</f>
        <v>91202310</v>
      </c>
      <c r="K54" s="29">
        <f>+J54</f>
        <v>91202310</v>
      </c>
      <c r="L54" s="11">
        <f t="shared" si="7"/>
        <v>0</v>
      </c>
      <c r="M54" s="31">
        <f t="shared" si="8"/>
        <v>100</v>
      </c>
      <c r="N54" s="31">
        <f t="shared" si="11"/>
        <v>100</v>
      </c>
      <c r="O54" s="15"/>
      <c r="P54" s="2"/>
      <c r="Q54" s="2"/>
      <c r="R54" s="2"/>
      <c r="S54" s="30">
        <f>+I54</f>
        <v>91202310</v>
      </c>
      <c r="T54" s="11">
        <f t="shared" si="14"/>
        <v>91202310</v>
      </c>
      <c r="U54" s="30">
        <f>+T54</f>
        <v>91202310</v>
      </c>
      <c r="V54" s="11">
        <f>+K54</f>
        <v>91202310</v>
      </c>
      <c r="W54" s="11">
        <f>+V54</f>
        <v>91202310</v>
      </c>
      <c r="X54" s="30">
        <f t="shared" si="9"/>
        <v>0</v>
      </c>
      <c r="Y54" s="2"/>
      <c r="Z54" s="26">
        <f t="shared" si="10"/>
        <v>100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ht="12.75">
      <c r="A55" s="2" t="s">
        <v>12</v>
      </c>
      <c r="B55" s="2">
        <v>1</v>
      </c>
      <c r="C55" s="2">
        <v>5</v>
      </c>
      <c r="D55" s="2">
        <v>0</v>
      </c>
      <c r="E55" s="2">
        <v>2</v>
      </c>
      <c r="F55" s="2" t="s">
        <v>19</v>
      </c>
      <c r="G55" s="4">
        <f>112745963+72583244+14935547</f>
        <v>200264754</v>
      </c>
      <c r="H55" s="11">
        <v>0</v>
      </c>
      <c r="I55" s="123">
        <f t="shared" si="13"/>
        <v>200264754</v>
      </c>
      <c r="J55" s="29">
        <v>121440353</v>
      </c>
      <c r="K55" s="29">
        <v>121440353</v>
      </c>
      <c r="L55" s="11">
        <f t="shared" si="7"/>
        <v>78824401</v>
      </c>
      <c r="M55" s="31">
        <f t="shared" si="8"/>
        <v>60.63990321532066</v>
      </c>
      <c r="N55" s="31">
        <f t="shared" si="11"/>
        <v>60.63990321532066</v>
      </c>
      <c r="O55" s="15"/>
      <c r="P55" s="2"/>
      <c r="Q55" s="2"/>
      <c r="R55" s="2"/>
      <c r="S55" s="4">
        <f>+I55</f>
        <v>200264754</v>
      </c>
      <c r="T55" s="11">
        <f t="shared" si="14"/>
        <v>200264754</v>
      </c>
      <c r="U55" s="30">
        <f t="shared" si="12"/>
        <v>200264754</v>
      </c>
      <c r="V55" s="11">
        <f aca="true" t="shared" si="15" ref="V55:W57">+T55</f>
        <v>200264754</v>
      </c>
      <c r="W55" s="11">
        <f t="shared" si="15"/>
        <v>200264754</v>
      </c>
      <c r="X55" s="30">
        <f t="shared" si="9"/>
        <v>0</v>
      </c>
      <c r="Y55" s="2"/>
      <c r="Z55" s="26">
        <f t="shared" si="10"/>
        <v>100</v>
      </c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12.75">
      <c r="A56" s="2" t="s">
        <v>12</v>
      </c>
      <c r="B56" s="2">
        <v>1</v>
      </c>
      <c r="C56" s="2">
        <v>5</v>
      </c>
      <c r="D56" s="2">
        <v>0</v>
      </c>
      <c r="E56" s="2">
        <v>6</v>
      </c>
      <c r="F56" s="2" t="s">
        <v>37</v>
      </c>
      <c r="G56" s="30">
        <v>28165968</v>
      </c>
      <c r="H56" s="11">
        <v>0</v>
      </c>
      <c r="I56" s="123">
        <f t="shared" si="13"/>
        <v>28165968</v>
      </c>
      <c r="J56" s="29">
        <v>22149500</v>
      </c>
      <c r="K56" s="29">
        <v>22149500</v>
      </c>
      <c r="L56" s="11">
        <f t="shared" si="7"/>
        <v>6016468</v>
      </c>
      <c r="M56" s="31">
        <f t="shared" si="8"/>
        <v>78.63922873163813</v>
      </c>
      <c r="N56" s="31">
        <f t="shared" si="11"/>
        <v>78.63922873163813</v>
      </c>
      <c r="O56" s="15"/>
      <c r="P56" s="2"/>
      <c r="Q56" s="2"/>
      <c r="R56" s="2"/>
      <c r="S56" s="30">
        <f>+I56</f>
        <v>28165968</v>
      </c>
      <c r="T56" s="11">
        <f t="shared" si="14"/>
        <v>28165968</v>
      </c>
      <c r="U56" s="30">
        <f t="shared" si="12"/>
        <v>28165968</v>
      </c>
      <c r="V56" s="11">
        <f t="shared" si="15"/>
        <v>28165968</v>
      </c>
      <c r="W56" s="11">
        <f t="shared" si="15"/>
        <v>28165968</v>
      </c>
      <c r="X56" s="30">
        <f t="shared" si="9"/>
        <v>0</v>
      </c>
      <c r="Y56" s="2"/>
      <c r="Z56" s="26">
        <f t="shared" si="10"/>
        <v>100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1:46" ht="12.75">
      <c r="A57" s="2" t="s">
        <v>12</v>
      </c>
      <c r="B57" s="2">
        <v>1</v>
      </c>
      <c r="C57" s="2">
        <v>5</v>
      </c>
      <c r="D57" s="2">
        <v>0</v>
      </c>
      <c r="E57" s="2">
        <v>7</v>
      </c>
      <c r="F57" s="2" t="s">
        <v>38</v>
      </c>
      <c r="G57" s="30">
        <f>+G56</f>
        <v>28165968</v>
      </c>
      <c r="H57" s="11">
        <v>0</v>
      </c>
      <c r="I57" s="123">
        <f t="shared" si="13"/>
        <v>28165968</v>
      </c>
      <c r="J57" s="29">
        <v>17684200</v>
      </c>
      <c r="K57" s="29">
        <v>17684200</v>
      </c>
      <c r="L57" s="11">
        <f t="shared" si="7"/>
        <v>10481768</v>
      </c>
      <c r="M57" s="31">
        <f t="shared" si="8"/>
        <v>62.78569939438972</v>
      </c>
      <c r="N57" s="31">
        <f t="shared" si="11"/>
        <v>62.78569939438972</v>
      </c>
      <c r="O57" s="15"/>
      <c r="P57" s="2"/>
      <c r="Q57" s="2"/>
      <c r="R57" s="2"/>
      <c r="S57" s="30">
        <f>+I57</f>
        <v>28165968</v>
      </c>
      <c r="T57" s="11">
        <f t="shared" si="14"/>
        <v>28165968</v>
      </c>
      <c r="U57" s="30">
        <f t="shared" si="12"/>
        <v>28165968</v>
      </c>
      <c r="V57" s="11">
        <f t="shared" si="15"/>
        <v>28165968</v>
      </c>
      <c r="W57" s="11">
        <f t="shared" si="15"/>
        <v>28165968</v>
      </c>
      <c r="X57" s="30">
        <f t="shared" si="9"/>
        <v>0</v>
      </c>
      <c r="Y57" s="2"/>
      <c r="Z57" s="26">
        <f t="shared" si="10"/>
        <v>100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 ht="12.75">
      <c r="A58" s="2" t="s">
        <v>12</v>
      </c>
      <c r="B58" s="2">
        <v>2</v>
      </c>
      <c r="C58" s="2">
        <v>0</v>
      </c>
      <c r="D58" s="2">
        <v>0</v>
      </c>
      <c r="E58" s="2">
        <v>0</v>
      </c>
      <c r="F58" s="3" t="s">
        <v>20</v>
      </c>
      <c r="G58" s="28">
        <f>SUM(G59:G60)</f>
        <v>24111000</v>
      </c>
      <c r="H58" s="29">
        <f>SUM(H59:H60)</f>
        <v>0</v>
      </c>
      <c r="I58" s="122">
        <f t="shared" si="13"/>
        <v>24111000</v>
      </c>
      <c r="J58" s="29">
        <f>+J59+J60</f>
        <v>24111000</v>
      </c>
      <c r="K58" s="29">
        <f>+K59+K60</f>
        <v>24111000</v>
      </c>
      <c r="L58" s="11">
        <f t="shared" si="7"/>
        <v>0</v>
      </c>
      <c r="M58" s="31">
        <f t="shared" si="8"/>
        <v>100</v>
      </c>
      <c r="N58" s="31">
        <f t="shared" si="11"/>
        <v>100</v>
      </c>
      <c r="O58" s="31"/>
      <c r="P58" s="2"/>
      <c r="Q58" s="2"/>
      <c r="R58" s="2"/>
      <c r="S58" s="28">
        <f>SUM(S59:S60)</f>
        <v>24111000</v>
      </c>
      <c r="T58" s="29">
        <f>SUM(T59:T60)</f>
        <v>24111000</v>
      </c>
      <c r="U58" s="28">
        <f>SUM(U59:U60)</f>
        <v>24111000</v>
      </c>
      <c r="V58" s="29">
        <f>SUM(V59:V60)</f>
        <v>24111000</v>
      </c>
      <c r="W58" s="29">
        <f>SUM(W59:W60)</f>
        <v>16009785</v>
      </c>
      <c r="X58" s="30">
        <f t="shared" si="9"/>
        <v>0</v>
      </c>
      <c r="Y58" s="2"/>
      <c r="Z58" s="26">
        <f t="shared" si="10"/>
        <v>100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1:46" ht="12.75">
      <c r="A59" s="2" t="s">
        <v>12</v>
      </c>
      <c r="B59" s="2">
        <v>2</v>
      </c>
      <c r="C59" s="2">
        <v>0</v>
      </c>
      <c r="D59" s="2">
        <v>4</v>
      </c>
      <c r="E59" s="2">
        <v>0</v>
      </c>
      <c r="F59" s="2" t="s">
        <v>21</v>
      </c>
      <c r="G59" s="30">
        <v>22601000</v>
      </c>
      <c r="H59" s="11">
        <v>0</v>
      </c>
      <c r="I59" s="123">
        <f>+G59+H59</f>
        <v>22601000</v>
      </c>
      <c r="J59" s="29">
        <f>+I59</f>
        <v>22601000</v>
      </c>
      <c r="K59" s="29">
        <f>+J59</f>
        <v>22601000</v>
      </c>
      <c r="L59" s="11">
        <f t="shared" si="7"/>
        <v>0</v>
      </c>
      <c r="M59" s="31">
        <f t="shared" si="8"/>
        <v>100</v>
      </c>
      <c r="N59" s="31">
        <f t="shared" si="11"/>
        <v>100</v>
      </c>
      <c r="O59" s="15"/>
      <c r="P59" s="2"/>
      <c r="Q59" s="2"/>
      <c r="R59" s="2"/>
      <c r="S59" s="30">
        <f>+I59</f>
        <v>22601000</v>
      </c>
      <c r="T59" s="11">
        <f>+I59</f>
        <v>22601000</v>
      </c>
      <c r="U59" s="30">
        <f>+T59</f>
        <v>22601000</v>
      </c>
      <c r="V59" s="11">
        <f>+T59</f>
        <v>22601000</v>
      </c>
      <c r="W59" s="11">
        <f>+U59-8101215</f>
        <v>14499785</v>
      </c>
      <c r="X59" s="30">
        <f t="shared" si="9"/>
        <v>0</v>
      </c>
      <c r="Y59" s="2"/>
      <c r="Z59" s="26">
        <f t="shared" si="10"/>
        <v>100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spans="1:46" ht="12.75">
      <c r="A60" s="2" t="s">
        <v>12</v>
      </c>
      <c r="B60" s="2">
        <v>2</v>
      </c>
      <c r="C60" s="2">
        <v>0</v>
      </c>
      <c r="D60" s="2">
        <v>3</v>
      </c>
      <c r="E60" s="2">
        <v>50</v>
      </c>
      <c r="F60" s="2" t="s">
        <v>22</v>
      </c>
      <c r="G60" s="30">
        <v>1510000</v>
      </c>
      <c r="H60" s="11">
        <v>0</v>
      </c>
      <c r="I60" s="123">
        <f>+G60+H60</f>
        <v>1510000</v>
      </c>
      <c r="J60" s="29">
        <f>+I60</f>
        <v>1510000</v>
      </c>
      <c r="K60" s="29">
        <f>+J60</f>
        <v>1510000</v>
      </c>
      <c r="L60" s="11">
        <f t="shared" si="7"/>
        <v>0</v>
      </c>
      <c r="M60" s="31">
        <f t="shared" si="8"/>
        <v>100</v>
      </c>
      <c r="N60" s="31">
        <f t="shared" si="11"/>
        <v>100</v>
      </c>
      <c r="O60" s="15"/>
      <c r="P60" s="2"/>
      <c r="Q60" s="2"/>
      <c r="R60" s="2"/>
      <c r="S60" s="30">
        <f>+I60</f>
        <v>1510000</v>
      </c>
      <c r="T60" s="11">
        <f>+I60</f>
        <v>1510000</v>
      </c>
      <c r="U60" s="30">
        <f>+T60</f>
        <v>1510000</v>
      </c>
      <c r="V60" s="11">
        <f>+T60</f>
        <v>1510000</v>
      </c>
      <c r="W60" s="11">
        <f>+U60</f>
        <v>1510000</v>
      </c>
      <c r="X60" s="30">
        <f t="shared" si="9"/>
        <v>0</v>
      </c>
      <c r="Y60" s="2"/>
      <c r="Z60" s="26">
        <f t="shared" si="10"/>
        <v>100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0">
        <f>+G62</f>
        <v>10854000</v>
      </c>
      <c r="H61" s="11">
        <f>+H62</f>
        <v>0</v>
      </c>
      <c r="I61" s="123">
        <f>+G61+H61</f>
        <v>10854000</v>
      </c>
      <c r="J61" s="29">
        <f>+J62</f>
        <v>0</v>
      </c>
      <c r="K61" s="29">
        <f>+K62</f>
        <v>0</v>
      </c>
      <c r="L61" s="11">
        <f t="shared" si="7"/>
        <v>10854000</v>
      </c>
      <c r="M61" s="31">
        <f t="shared" si="8"/>
        <v>0</v>
      </c>
      <c r="N61" s="31">
        <f t="shared" si="11"/>
        <v>0</v>
      </c>
      <c r="O61" s="15"/>
      <c r="P61" s="2"/>
      <c r="Q61" s="2"/>
      <c r="R61" s="2"/>
      <c r="S61" s="30">
        <f>+S62</f>
        <v>0</v>
      </c>
      <c r="T61" s="11">
        <f>+T62</f>
        <v>10854000</v>
      </c>
      <c r="U61" s="30">
        <f>+U62</f>
        <v>0</v>
      </c>
      <c r="V61" s="11">
        <f>+V62</f>
        <v>10854000</v>
      </c>
      <c r="W61" s="11">
        <f>+W62</f>
        <v>10854000</v>
      </c>
      <c r="X61" s="30">
        <f t="shared" si="9"/>
        <v>0</v>
      </c>
      <c r="Y61" s="2"/>
      <c r="Z61" s="26">
        <f t="shared" si="10"/>
        <v>100</v>
      </c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 ht="12.75">
      <c r="A62" s="2" t="s">
        <v>12</v>
      </c>
      <c r="B62" s="2">
        <v>3</v>
      </c>
      <c r="C62" s="2">
        <v>2</v>
      </c>
      <c r="D62" s="2">
        <v>1</v>
      </c>
      <c r="E62" s="2">
        <v>1</v>
      </c>
      <c r="F62" s="2" t="s">
        <v>23</v>
      </c>
      <c r="G62" s="30">
        <v>10854000</v>
      </c>
      <c r="H62" s="11">
        <v>0</v>
      </c>
      <c r="I62" s="123">
        <f>+G62+H62</f>
        <v>10854000</v>
      </c>
      <c r="J62" s="29">
        <v>0</v>
      </c>
      <c r="K62" s="29">
        <v>0</v>
      </c>
      <c r="L62" s="11">
        <f t="shared" si="7"/>
        <v>10854000</v>
      </c>
      <c r="M62" s="31">
        <f t="shared" si="8"/>
        <v>0</v>
      </c>
      <c r="N62" s="31">
        <f t="shared" si="11"/>
        <v>0</v>
      </c>
      <c r="O62" s="15"/>
      <c r="P62" s="2"/>
      <c r="Q62" s="2"/>
      <c r="R62" s="2"/>
      <c r="S62" s="30">
        <v>0</v>
      </c>
      <c r="T62" s="11">
        <f>+I62</f>
        <v>10854000</v>
      </c>
      <c r="U62" s="30">
        <v>0</v>
      </c>
      <c r="V62" s="11">
        <f>+T62</f>
        <v>10854000</v>
      </c>
      <c r="W62" s="11">
        <f>+V62</f>
        <v>10854000</v>
      </c>
      <c r="X62" s="30">
        <f t="shared" si="9"/>
        <v>0</v>
      </c>
      <c r="Y62" s="2"/>
      <c r="Z62" s="26">
        <f t="shared" si="10"/>
        <v>100</v>
      </c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 ht="12.75">
      <c r="A63" s="8" t="s">
        <v>1</v>
      </c>
      <c r="B63" s="8" t="s">
        <v>1</v>
      </c>
      <c r="C63" s="8" t="s">
        <v>1</v>
      </c>
      <c r="D63" s="8" t="s">
        <v>1</v>
      </c>
      <c r="E63" s="8" t="s">
        <v>1</v>
      </c>
      <c r="F63" s="8" t="s">
        <v>26</v>
      </c>
      <c r="G63" s="4" t="s">
        <v>1</v>
      </c>
      <c r="H63" s="13" t="s">
        <v>1</v>
      </c>
      <c r="I63" s="24" t="s">
        <v>1</v>
      </c>
      <c r="J63" s="29" t="s">
        <v>1</v>
      </c>
      <c r="K63" s="29"/>
      <c r="L63" s="12"/>
      <c r="M63" s="31" t="s">
        <v>1</v>
      </c>
      <c r="N63" s="15"/>
      <c r="O63" s="15"/>
      <c r="P63" s="2"/>
      <c r="Q63" s="2"/>
      <c r="R63" s="2"/>
      <c r="S63" s="2"/>
      <c r="T63" s="12"/>
      <c r="U63" s="2"/>
      <c r="V63" s="2"/>
      <c r="W63" s="2"/>
      <c r="X63" s="2"/>
      <c r="Y63" s="2"/>
      <c r="Z63" s="26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7:46" ht="12.75">
      <c r="G64" s="32"/>
      <c r="H64" s="65"/>
      <c r="I64" s="124"/>
      <c r="T64" s="65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7:46" ht="12.75">
      <c r="G65" s="32"/>
      <c r="H65" s="66"/>
      <c r="I65" s="125" t="s">
        <v>1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6" t="s">
        <v>1</v>
      </c>
      <c r="U65" s="69"/>
      <c r="V65" s="78" t="s">
        <v>1</v>
      </c>
      <c r="W65" s="69"/>
      <c r="X65" s="78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7:46" ht="15">
      <c r="G66" s="7"/>
      <c r="H66" s="68"/>
      <c r="I66" s="126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68"/>
      <c r="U66" s="53"/>
      <c r="V66" s="155" t="s">
        <v>1</v>
      </c>
      <c r="W66" s="53"/>
      <c r="X66" s="53"/>
      <c r="Y66" s="1"/>
      <c r="Z66" s="1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</row>
    <row r="67" spans="7:46" ht="12.75">
      <c r="G67" s="7"/>
      <c r="H67" s="68"/>
      <c r="I67" s="125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68"/>
      <c r="U67" s="53"/>
      <c r="V67" s="155" t="s">
        <v>1</v>
      </c>
      <c r="W67" s="53"/>
      <c r="X67" s="53"/>
      <c r="Y67" s="1"/>
      <c r="Z67" s="1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7:46" ht="12.75">
      <c r="G68" s="23"/>
      <c r="H68" s="68"/>
      <c r="I68" s="127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68"/>
      <c r="U68" s="53"/>
      <c r="V68" s="155" t="s">
        <v>26</v>
      </c>
      <c r="W68" s="53"/>
      <c r="X68" s="53"/>
      <c r="Y68" s="1"/>
      <c r="Z68" s="1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7:46" ht="12.75">
      <c r="G69" s="7"/>
      <c r="H69" s="68"/>
      <c r="I69" s="127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68"/>
      <c r="U69" s="53"/>
      <c r="V69" s="53"/>
      <c r="W69" s="53"/>
      <c r="X69" s="53"/>
      <c r="Y69" s="1"/>
      <c r="Z69" s="1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7:46" ht="12.75">
      <c r="G70" s="1"/>
      <c r="H70" s="68"/>
      <c r="I70" s="127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68"/>
      <c r="U70" s="68"/>
      <c r="V70" s="68"/>
      <c r="W70" s="68"/>
      <c r="X70" s="53"/>
      <c r="Y70" s="1"/>
      <c r="Z70" s="1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7:46" ht="12.75">
      <c r="G71" s="1"/>
      <c r="H71" s="68"/>
      <c r="I71" s="127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68"/>
      <c r="U71" s="68"/>
      <c r="V71" s="68"/>
      <c r="W71" s="68"/>
      <c r="X71" s="53"/>
      <c r="Y71" s="1"/>
      <c r="Z71" s="1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7:46" ht="12.75">
      <c r="G72" s="1"/>
      <c r="H72" s="68"/>
      <c r="I72" s="125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68"/>
      <c r="U72" s="68"/>
      <c r="V72" s="68"/>
      <c r="W72" s="68"/>
      <c r="X72" s="53"/>
      <c r="Y72" s="1"/>
      <c r="Z72" s="1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7:46" ht="12.75">
      <c r="G73" s="1"/>
      <c r="H73" s="68"/>
      <c r="I73" s="125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68"/>
      <c r="U73" s="68"/>
      <c r="V73" s="68"/>
      <c r="W73" s="68"/>
      <c r="X73" s="53"/>
      <c r="Y73" s="1"/>
      <c r="Z73" s="1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7:46" ht="12.75">
      <c r="G74" s="1"/>
      <c r="H74" s="68"/>
      <c r="I74" s="125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67"/>
      <c r="U74" s="67"/>
      <c r="V74" s="67"/>
      <c r="W74" s="67"/>
      <c r="X74" s="53"/>
      <c r="Y74" s="1"/>
      <c r="Z74" s="1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7:46" ht="12.75">
      <c r="G75" s="1"/>
      <c r="H75" s="68"/>
      <c r="I75" s="127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68"/>
      <c r="U75" s="53"/>
      <c r="V75" s="53"/>
      <c r="W75" s="53"/>
      <c r="X75" s="53"/>
      <c r="Y75" s="1"/>
      <c r="Z75" s="1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</row>
    <row r="76" spans="7:46" ht="12.75">
      <c r="G76" s="1"/>
      <c r="H76" s="68"/>
      <c r="I76" s="127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68"/>
      <c r="U76" s="53"/>
      <c r="V76" s="53"/>
      <c r="W76" s="53"/>
      <c r="X76" s="53"/>
      <c r="Y76" s="1"/>
      <c r="Z76" s="1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</row>
    <row r="77" spans="7:46" ht="12.75">
      <c r="G77" s="1"/>
      <c r="H77" s="68"/>
      <c r="I77" s="127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68"/>
      <c r="U77" s="53"/>
      <c r="V77" s="53"/>
      <c r="W77" s="53"/>
      <c r="X77" s="53"/>
      <c r="Y77" s="1"/>
      <c r="Z77" s="1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7:46" ht="12.75">
      <c r="G78" s="1"/>
      <c r="H78" s="68"/>
      <c r="I78" s="125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67"/>
      <c r="U78" s="53"/>
      <c r="V78" s="53"/>
      <c r="W78" s="53"/>
      <c r="X78" s="53"/>
      <c r="Y78" s="1"/>
      <c r="Z78" s="1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7:46" ht="12.75">
      <c r="G79" s="1"/>
      <c r="H79" s="68"/>
      <c r="I79" s="127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68"/>
      <c r="U79" s="53"/>
      <c r="V79" s="53"/>
      <c r="W79" s="53"/>
      <c r="X79" s="53"/>
      <c r="Y79" s="1"/>
      <c r="Z79" s="1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</row>
    <row r="80" spans="7:46" ht="12.75">
      <c r="G80" s="1"/>
      <c r="H80" s="79"/>
      <c r="I80" s="128"/>
      <c r="J80" s="1"/>
      <c r="K80" s="1"/>
      <c r="L80" s="1"/>
      <c r="M80" s="1"/>
      <c r="N80" s="1"/>
      <c r="O80" s="1"/>
      <c r="P80" s="1"/>
      <c r="Q80" s="1"/>
      <c r="R80" s="1"/>
      <c r="S80" s="1"/>
      <c r="T80" s="79"/>
      <c r="U80" s="1"/>
      <c r="V80" s="1"/>
      <c r="W80" s="1"/>
      <c r="X80" s="1"/>
      <c r="Y80" s="1"/>
      <c r="Z80" s="1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spans="7:46" ht="12.75">
      <c r="G81" s="1"/>
      <c r="H81" s="79"/>
      <c r="I81" s="128"/>
      <c r="J81" s="1"/>
      <c r="K81" s="1"/>
      <c r="L81" s="1"/>
      <c r="M81" s="1"/>
      <c r="N81" s="1"/>
      <c r="O81" s="1"/>
      <c r="P81" s="1"/>
      <c r="Q81" s="1"/>
      <c r="R81" s="1"/>
      <c r="S81" s="1"/>
      <c r="T81" s="79"/>
      <c r="U81" s="1"/>
      <c r="V81" s="1"/>
      <c r="W81" s="1"/>
      <c r="X81" s="1"/>
      <c r="Y81" s="1"/>
      <c r="Z81" s="1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7:46" ht="12.75">
      <c r="G82" s="1"/>
      <c r="H82" s="79"/>
      <c r="I82" s="128"/>
      <c r="J82" s="1"/>
      <c r="K82" s="1"/>
      <c r="L82" s="1"/>
      <c r="M82" s="1"/>
      <c r="N82" s="1"/>
      <c r="O82" s="1"/>
      <c r="P82" s="1"/>
      <c r="Q82" s="1"/>
      <c r="R82" s="1"/>
      <c r="S82" s="1"/>
      <c r="T82" s="79"/>
      <c r="U82" s="1"/>
      <c r="V82" s="1"/>
      <c r="W82" s="1"/>
      <c r="X82" s="1"/>
      <c r="Y82" s="1"/>
      <c r="Z82" s="1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7:46" ht="12.75">
      <c r="G83" s="1"/>
      <c r="H83" s="79"/>
      <c r="I83" s="128"/>
      <c r="J83" s="1"/>
      <c r="K83" s="1"/>
      <c r="L83" s="1"/>
      <c r="M83" s="1"/>
      <c r="N83" s="1"/>
      <c r="O83" s="1"/>
      <c r="P83" s="1"/>
      <c r="Q83" s="1"/>
      <c r="R83" s="1"/>
      <c r="S83" s="1"/>
      <c r="T83" s="79"/>
      <c r="U83" s="1"/>
      <c r="V83" s="1"/>
      <c r="W83" s="1"/>
      <c r="X83" s="1"/>
      <c r="Y83" s="1"/>
      <c r="Z83" s="1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spans="7:46" ht="12.75">
      <c r="G84" s="1"/>
      <c r="H84" s="79"/>
      <c r="I84" s="128"/>
      <c r="J84" s="1"/>
      <c r="K84" s="1"/>
      <c r="L84" s="1"/>
      <c r="M84" s="1"/>
      <c r="N84" s="1"/>
      <c r="O84" s="1"/>
      <c r="P84" s="1"/>
      <c r="Q84" s="1"/>
      <c r="R84" s="1"/>
      <c r="S84" s="1"/>
      <c r="T84" s="79"/>
      <c r="U84" s="1"/>
      <c r="V84" s="1"/>
      <c r="W84" s="1"/>
      <c r="X84" s="1"/>
      <c r="Y84" s="1"/>
      <c r="Z84" s="1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</row>
    <row r="85" spans="7:46" ht="12.75">
      <c r="G85" s="1"/>
      <c r="H85" s="79"/>
      <c r="I85" s="128"/>
      <c r="J85" s="1"/>
      <c r="K85" s="1"/>
      <c r="L85" s="1"/>
      <c r="M85" s="1"/>
      <c r="N85" s="1"/>
      <c r="O85" s="1"/>
      <c r="P85" s="1"/>
      <c r="Q85" s="1"/>
      <c r="R85" s="1"/>
      <c r="S85" s="1"/>
      <c r="T85" s="79"/>
      <c r="U85" s="1"/>
      <c r="V85" s="1"/>
      <c r="W85" s="1"/>
      <c r="X85" s="1"/>
      <c r="Y85" s="1"/>
      <c r="Z85" s="1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</row>
    <row r="86" spans="7:46" ht="12.75">
      <c r="G86" s="1"/>
      <c r="H86" s="79"/>
      <c r="I86" s="128"/>
      <c r="J86" s="1"/>
      <c r="K86" s="1"/>
      <c r="L86" s="1"/>
      <c r="M86" s="1"/>
      <c r="N86" s="1"/>
      <c r="O86" s="1"/>
      <c r="P86" s="1"/>
      <c r="Q86" s="1"/>
      <c r="R86" s="1"/>
      <c r="S86" s="1"/>
      <c r="T86" s="79"/>
      <c r="U86" s="1"/>
      <c r="V86" s="1"/>
      <c r="W86" s="1"/>
      <c r="X86" s="1"/>
      <c r="Y86" s="1"/>
      <c r="Z86" s="1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</row>
    <row r="87" spans="7:46" ht="12.75">
      <c r="G87" s="1"/>
      <c r="H87" s="7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79"/>
      <c r="U87" s="1"/>
      <c r="V87" s="1"/>
      <c r="W87" s="1"/>
      <c r="X87" s="1"/>
      <c r="Y87" s="1"/>
      <c r="Z87" s="1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</row>
    <row r="88" spans="7:46" ht="12.75">
      <c r="G88" s="1"/>
      <c r="H88" s="79"/>
      <c r="I88" s="128"/>
      <c r="J88" s="1"/>
      <c r="K88" s="1"/>
      <c r="L88" s="1"/>
      <c r="M88" s="1"/>
      <c r="N88" s="1"/>
      <c r="O88" s="1"/>
      <c r="P88" s="1"/>
      <c r="Q88" s="1"/>
      <c r="R88" s="1"/>
      <c r="S88" s="1"/>
      <c r="T88" s="79"/>
      <c r="U88" s="1"/>
      <c r="V88" s="1"/>
      <c r="W88" s="1"/>
      <c r="X88" s="1"/>
      <c r="Y88" s="1"/>
      <c r="Z88" s="1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</row>
    <row r="89" spans="7:46" ht="12.75">
      <c r="G89" s="1"/>
      <c r="H89" s="79"/>
      <c r="I89" s="128"/>
      <c r="J89" s="1"/>
      <c r="K89" s="1"/>
      <c r="L89" s="1"/>
      <c r="M89" s="1"/>
      <c r="N89" s="1"/>
      <c r="O89" s="1"/>
      <c r="P89" s="1"/>
      <c r="Q89" s="1"/>
      <c r="R89" s="1"/>
      <c r="S89" s="1"/>
      <c r="T89" s="79"/>
      <c r="U89" s="1"/>
      <c r="V89" s="1"/>
      <c r="W89" s="1"/>
      <c r="X89" s="1"/>
      <c r="Y89" s="1"/>
      <c r="Z89" s="1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</row>
    <row r="90" spans="7:46" ht="12.75">
      <c r="G90" s="1"/>
      <c r="H90" s="79"/>
      <c r="I90" s="128"/>
      <c r="J90" s="1"/>
      <c r="K90" s="1"/>
      <c r="L90" s="1"/>
      <c r="M90" s="1"/>
      <c r="N90" s="1"/>
      <c r="O90" s="1"/>
      <c r="P90" s="1"/>
      <c r="Q90" s="1"/>
      <c r="R90" s="1"/>
      <c r="S90" s="1"/>
      <c r="T90" s="79"/>
      <c r="U90" s="1"/>
      <c r="V90" s="1"/>
      <c r="W90" s="1"/>
      <c r="X90" s="1"/>
      <c r="Y90" s="1"/>
      <c r="Z90" s="1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</row>
    <row r="91" spans="7:46" ht="12.75">
      <c r="G91" s="1"/>
      <c r="H91" s="79"/>
      <c r="I91" s="128"/>
      <c r="J91" s="1"/>
      <c r="K91" s="1"/>
      <c r="L91" s="1"/>
      <c r="M91" s="1"/>
      <c r="N91" s="1"/>
      <c r="O91" s="1"/>
      <c r="P91" s="1"/>
      <c r="Q91" s="1"/>
      <c r="R91" s="1"/>
      <c r="S91" s="1"/>
      <c r="T91" s="79"/>
      <c r="U91" s="1"/>
      <c r="V91" s="1"/>
      <c r="W91" s="1"/>
      <c r="X91" s="1"/>
      <c r="Y91" s="1"/>
      <c r="Z91" s="1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</row>
    <row r="92" spans="7:46" ht="12.75">
      <c r="G92" s="1"/>
      <c r="H92" s="79"/>
      <c r="I92" s="128"/>
      <c r="J92" s="1"/>
      <c r="K92" s="1"/>
      <c r="L92" s="1"/>
      <c r="M92" s="1"/>
      <c r="N92" s="1"/>
      <c r="O92" s="1"/>
      <c r="P92" s="1"/>
      <c r="Q92" s="1"/>
      <c r="R92" s="1"/>
      <c r="S92" s="1"/>
      <c r="T92" s="79"/>
      <c r="U92" s="1"/>
      <c r="V92" s="1"/>
      <c r="W92" s="1"/>
      <c r="X92" s="1"/>
      <c r="Y92" s="1"/>
      <c r="Z92" s="1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</row>
    <row r="93" spans="7:46" ht="12.75">
      <c r="G93" s="1"/>
      <c r="H93" s="79"/>
      <c r="I93" s="128"/>
      <c r="J93" s="1"/>
      <c r="K93" s="1"/>
      <c r="L93" s="1"/>
      <c r="M93" s="1"/>
      <c r="N93" s="1"/>
      <c r="O93" s="1"/>
      <c r="P93" s="1"/>
      <c r="Q93" s="1"/>
      <c r="R93" s="1"/>
      <c r="S93" s="1"/>
      <c r="T93" s="79"/>
      <c r="U93" s="1"/>
      <c r="V93" s="1"/>
      <c r="W93" s="1"/>
      <c r="X93" s="1"/>
      <c r="Y93" s="1"/>
      <c r="Z93" s="1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</row>
    <row r="94" spans="7:46" ht="12.75">
      <c r="G94" s="1"/>
      <c r="H94" s="79"/>
      <c r="I94" s="128"/>
      <c r="J94" s="1"/>
      <c r="K94" s="1"/>
      <c r="L94" s="1"/>
      <c r="M94" s="1"/>
      <c r="N94" s="1"/>
      <c r="O94" s="1"/>
      <c r="P94" s="1"/>
      <c r="Q94" s="1"/>
      <c r="R94" s="1"/>
      <c r="S94" s="1"/>
      <c r="T94" s="79"/>
      <c r="U94" s="1"/>
      <c r="V94" s="1"/>
      <c r="W94" s="1"/>
      <c r="X94" s="1"/>
      <c r="Y94" s="1"/>
      <c r="Z94" s="1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</row>
    <row r="95" spans="7:46" ht="12.75">
      <c r="G95" s="1"/>
      <c r="H95" s="79"/>
      <c r="I95" s="128"/>
      <c r="J95" s="1"/>
      <c r="K95" s="1"/>
      <c r="L95" s="1"/>
      <c r="M95" s="1"/>
      <c r="N95" s="1"/>
      <c r="O95" s="1"/>
      <c r="P95" s="1"/>
      <c r="Q95" s="1"/>
      <c r="R95" s="1"/>
      <c r="S95" s="1"/>
      <c r="T95" s="79"/>
      <c r="U95" s="1"/>
      <c r="V95" s="1"/>
      <c r="W95" s="1"/>
      <c r="X95" s="1"/>
      <c r="Y95" s="1"/>
      <c r="Z95" s="1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</row>
    <row r="96" spans="7:46" ht="12.75">
      <c r="G96" s="1"/>
      <c r="H96" s="79"/>
      <c r="I96" s="128"/>
      <c r="J96" s="1"/>
      <c r="K96" s="1"/>
      <c r="L96" s="1"/>
      <c r="M96" s="1"/>
      <c r="N96" s="1"/>
      <c r="O96" s="1"/>
      <c r="P96" s="1"/>
      <c r="Q96" s="1"/>
      <c r="R96" s="1"/>
      <c r="S96" s="1"/>
      <c r="T96" s="79"/>
      <c r="U96" s="1"/>
      <c r="V96" s="1"/>
      <c r="W96" s="1"/>
      <c r="X96" s="1"/>
      <c r="Y96" s="1"/>
      <c r="Z96" s="1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</row>
    <row r="97" spans="7:46" ht="12.75">
      <c r="G97" s="1"/>
      <c r="H97" s="79"/>
      <c r="I97" s="128"/>
      <c r="J97" s="1"/>
      <c r="K97" s="1"/>
      <c r="L97" s="1"/>
      <c r="M97" s="1"/>
      <c r="N97" s="1"/>
      <c r="O97" s="1"/>
      <c r="P97" s="1"/>
      <c r="Q97" s="1"/>
      <c r="R97" s="1"/>
      <c r="S97" s="1"/>
      <c r="T97" s="79"/>
      <c r="U97" s="1"/>
      <c r="V97" s="1"/>
      <c r="W97" s="1"/>
      <c r="X97" s="1"/>
      <c r="Y97" s="1"/>
      <c r="Z97" s="1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</row>
    <row r="98" spans="7:46" ht="12.75">
      <c r="G98" s="1"/>
      <c r="H98" s="79"/>
      <c r="I98" s="128"/>
      <c r="J98" s="1"/>
      <c r="K98" s="1"/>
      <c r="L98" s="1"/>
      <c r="M98" s="1"/>
      <c r="N98" s="1"/>
      <c r="O98" s="1"/>
      <c r="P98" s="1"/>
      <c r="Q98" s="1"/>
      <c r="R98" s="1"/>
      <c r="S98" s="1"/>
      <c r="T98" s="79"/>
      <c r="U98" s="1"/>
      <c r="V98" s="1"/>
      <c r="W98" s="1"/>
      <c r="X98" s="1"/>
      <c r="Y98" s="1"/>
      <c r="Z98" s="1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</row>
    <row r="99" spans="7:46" ht="12.75">
      <c r="G99" s="1"/>
      <c r="H99" s="79"/>
      <c r="I99" s="128"/>
      <c r="J99" s="1"/>
      <c r="K99" s="1"/>
      <c r="L99" s="1"/>
      <c r="M99" s="1"/>
      <c r="N99" s="1"/>
      <c r="O99" s="1"/>
      <c r="P99" s="1"/>
      <c r="Q99" s="1"/>
      <c r="R99" s="1"/>
      <c r="S99" s="1"/>
      <c r="T99" s="79"/>
      <c r="U99" s="1"/>
      <c r="V99" s="1"/>
      <c r="W99" s="1"/>
      <c r="X99" s="1"/>
      <c r="Y99" s="1"/>
      <c r="Z99" s="1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</row>
    <row r="100" spans="7:46" ht="12.75">
      <c r="G100" s="1"/>
      <c r="H100" s="79"/>
      <c r="I100" s="1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79"/>
      <c r="U100" s="1"/>
      <c r="V100" s="1"/>
      <c r="W100" s="1"/>
      <c r="X100" s="1"/>
      <c r="Y100" s="1"/>
      <c r="Z100" s="1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</row>
    <row r="101" spans="7:46" ht="12.75">
      <c r="G101" s="1"/>
      <c r="H101" s="79"/>
      <c r="I101" s="1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79"/>
      <c r="U101" s="1"/>
      <c r="V101" s="1"/>
      <c r="W101" s="1"/>
      <c r="X101" s="1"/>
      <c r="Y101" s="1"/>
      <c r="Z101" s="1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</row>
    <row r="102" spans="7:46" ht="12.75">
      <c r="G102" s="1"/>
      <c r="H102" s="79"/>
      <c r="I102" s="1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79"/>
      <c r="U102" s="1"/>
      <c r="V102" s="1"/>
      <c r="W102" s="1"/>
      <c r="X102" s="1"/>
      <c r="Y102" s="1"/>
      <c r="Z102" s="1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</row>
    <row r="103" spans="7:46" ht="12.75">
      <c r="G103" s="1"/>
      <c r="H103" s="79"/>
      <c r="I103" s="1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79"/>
      <c r="U103" s="1"/>
      <c r="V103" s="1"/>
      <c r="W103" s="1"/>
      <c r="X103" s="1"/>
      <c r="Y103" s="1"/>
      <c r="Z103" s="1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</row>
    <row r="104" spans="7:46" ht="12.75">
      <c r="G104" s="1"/>
      <c r="H104" s="79"/>
      <c r="I104" s="1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79"/>
      <c r="U104" s="1"/>
      <c r="V104" s="1"/>
      <c r="W104" s="1"/>
      <c r="X104" s="1"/>
      <c r="Y104" s="1"/>
      <c r="Z104" s="1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</row>
    <row r="105" spans="7:46" ht="12.75">
      <c r="G105" s="1"/>
      <c r="H105" s="79"/>
      <c r="I105" s="1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79"/>
      <c r="U105" s="1"/>
      <c r="V105" s="1"/>
      <c r="W105" s="1"/>
      <c r="X105" s="1"/>
      <c r="Y105" s="1"/>
      <c r="Z105" s="1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</row>
    <row r="106" spans="7:46" ht="12.75">
      <c r="G106" s="1"/>
      <c r="H106" s="79"/>
      <c r="I106" s="1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79"/>
      <c r="U106" s="1"/>
      <c r="V106" s="1"/>
      <c r="W106" s="1"/>
      <c r="X106" s="1"/>
      <c r="Y106" s="1"/>
      <c r="Z106" s="1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</row>
    <row r="107" spans="7:46" ht="12.75">
      <c r="G107" s="1"/>
      <c r="H107" s="79"/>
      <c r="I107" s="1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79"/>
      <c r="U107" s="1"/>
      <c r="V107" s="1"/>
      <c r="W107" s="1"/>
      <c r="X107" s="1"/>
      <c r="Y107" s="1"/>
      <c r="Z107" s="1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</row>
    <row r="108" spans="7:26" ht="12.75">
      <c r="G108" s="1"/>
      <c r="H108" s="79"/>
      <c r="I108" s="1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79"/>
      <c r="U108" s="1"/>
      <c r="V108" s="1"/>
      <c r="W108" s="1"/>
      <c r="X108" s="1"/>
      <c r="Y108" s="1"/>
      <c r="Z108" s="1"/>
    </row>
    <row r="109" spans="7:26" ht="12.75">
      <c r="G109" s="1"/>
      <c r="H109" s="79"/>
      <c r="I109" s="1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79"/>
      <c r="U109" s="1"/>
      <c r="V109" s="1"/>
      <c r="W109" s="1"/>
      <c r="X109" s="1"/>
      <c r="Y109" s="1"/>
      <c r="Z109" s="1"/>
    </row>
    <row r="110" spans="7:26" ht="12.75">
      <c r="G110" s="1"/>
      <c r="H110" s="79"/>
      <c r="I110" s="1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79"/>
      <c r="U110" s="1"/>
      <c r="V110" s="1"/>
      <c r="W110" s="1"/>
      <c r="X110" s="1"/>
      <c r="Y110" s="1"/>
      <c r="Z110" s="1"/>
    </row>
    <row r="111" spans="7:26" ht="12.75">
      <c r="G111" s="1"/>
      <c r="H111" s="79"/>
      <c r="I111" s="1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79"/>
      <c r="U111" s="1"/>
      <c r="V111" s="1"/>
      <c r="W111" s="1"/>
      <c r="X111" s="1"/>
      <c r="Y111" s="1"/>
      <c r="Z111" s="1"/>
    </row>
    <row r="112" spans="7:26" ht="12.75">
      <c r="G112" s="1"/>
      <c r="H112" s="79"/>
      <c r="I112" s="1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79"/>
      <c r="U112" s="1"/>
      <c r="V112" s="1"/>
      <c r="W112" s="1"/>
      <c r="X112" s="1"/>
      <c r="Y112" s="1"/>
      <c r="Z112" s="1"/>
    </row>
    <row r="113" spans="7:26" ht="12.75">
      <c r="G113" s="1"/>
      <c r="H113" s="79"/>
      <c r="I113" s="1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79"/>
      <c r="U113" s="1"/>
      <c r="V113" s="1"/>
      <c r="W113" s="1"/>
      <c r="X113" s="1"/>
      <c r="Y113" s="1"/>
      <c r="Z113" s="1"/>
    </row>
    <row r="114" spans="7:26" ht="12.75">
      <c r="G114" s="1"/>
      <c r="H114" s="79"/>
      <c r="I114" s="1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79"/>
      <c r="U114" s="1"/>
      <c r="V114" s="1"/>
      <c r="W114" s="1"/>
      <c r="X114" s="1"/>
      <c r="Y114" s="1"/>
      <c r="Z114" s="1"/>
    </row>
    <row r="115" spans="7:26" ht="12.75">
      <c r="G115" s="1"/>
      <c r="H115" s="79"/>
      <c r="I115" s="1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79"/>
      <c r="U115" s="1"/>
      <c r="V115" s="1"/>
      <c r="W115" s="1"/>
      <c r="X115" s="1"/>
      <c r="Y115" s="1"/>
      <c r="Z115" s="1"/>
    </row>
    <row r="116" spans="7:26" ht="12.75">
      <c r="G116" s="1"/>
      <c r="H116" s="79"/>
      <c r="I116" s="1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79"/>
      <c r="U116" s="1"/>
      <c r="V116" s="1"/>
      <c r="W116" s="1"/>
      <c r="X116" s="1"/>
      <c r="Y116" s="1"/>
      <c r="Z116" s="1"/>
    </row>
    <row r="117" spans="7:26" ht="12.75">
      <c r="G117" s="1"/>
      <c r="H117" s="79"/>
      <c r="I117" s="1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79"/>
      <c r="U117" s="1"/>
      <c r="V117" s="1"/>
      <c r="W117" s="1"/>
      <c r="X117" s="1"/>
      <c r="Y117" s="1"/>
      <c r="Z117" s="1"/>
    </row>
  </sheetData>
  <sheetProtection/>
  <mergeCells count="6">
    <mergeCell ref="A40:Z40"/>
    <mergeCell ref="A1:Z1"/>
    <mergeCell ref="A2:Z2"/>
    <mergeCell ref="A3:Z3"/>
    <mergeCell ref="A39:Z39"/>
    <mergeCell ref="A38:Z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0" t="s">
        <v>126</v>
      </c>
      <c r="H2" s="50" t="s">
        <v>127</v>
      </c>
    </row>
    <row r="3" spans="1:12" ht="12.75">
      <c r="A3" t="s">
        <v>98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99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100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101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102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103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104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105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106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0" t="s">
        <v>107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0" t="s">
        <v>108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0" t="s">
        <v>109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0" t="s">
        <v>110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0" t="s">
        <v>115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0" t="s">
        <v>111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0" t="s">
        <v>112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0" t="s">
        <v>113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0" t="s">
        <v>114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0" t="s">
        <v>116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0" t="s">
        <v>117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0" t="s">
        <v>118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0" t="s">
        <v>119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0" t="s">
        <v>120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0" t="s">
        <v>121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0" t="s">
        <v>122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0" t="s">
        <v>123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0" t="s">
        <v>124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0" t="s">
        <v>125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0"/>
  <sheetViews>
    <sheetView zoomScaleSheetLayoutView="100" zoomScalePageLayoutView="0" workbookViewId="0" topLeftCell="A1">
      <selection activeCell="Z22" sqref="Z22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8" width="17.8515625" style="0" customWidth="1"/>
    <col min="29" max="29" width="16.140625" style="0" customWidth="1"/>
    <col min="30" max="30" width="16.28125" style="0" hidden="1" customWidth="1"/>
    <col min="31" max="31" width="16.7109375" style="0" customWidth="1"/>
  </cols>
  <sheetData>
    <row r="1" spans="1:31" ht="12.75">
      <c r="A1" s="105"/>
      <c r="B1" s="106"/>
      <c r="C1" s="107" t="s">
        <v>1</v>
      </c>
      <c r="D1" s="108" t="s">
        <v>1</v>
      </c>
      <c r="E1" s="149" t="s">
        <v>0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1"/>
      <c r="AE1" s="109"/>
    </row>
    <row r="2" spans="1:31" ht="12.75">
      <c r="A2" s="110"/>
      <c r="B2" s="2"/>
      <c r="C2" s="44" t="s">
        <v>1</v>
      </c>
      <c r="D2" s="45" t="s">
        <v>1</v>
      </c>
      <c r="E2" s="152" t="s">
        <v>167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4"/>
      <c r="AE2" s="111"/>
    </row>
    <row r="3" spans="1:31" ht="12.75">
      <c r="A3" s="110"/>
      <c r="B3" s="2"/>
      <c r="C3" s="2"/>
      <c r="D3" s="2"/>
      <c r="E3" s="45"/>
      <c r="F3" s="45"/>
      <c r="G3" s="45" t="s">
        <v>1</v>
      </c>
      <c r="H3" s="9" t="s">
        <v>1</v>
      </c>
      <c r="I3" s="46" t="s">
        <v>1</v>
      </c>
      <c r="J3" s="12"/>
      <c r="K3" s="12"/>
      <c r="L3" s="12"/>
      <c r="M3" s="12"/>
      <c r="N3" s="12"/>
      <c r="O3" s="46"/>
      <c r="P3" s="46"/>
      <c r="Q3" s="46"/>
      <c r="R3" s="46"/>
      <c r="S3" s="46"/>
      <c r="T3" s="46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111"/>
    </row>
    <row r="4" spans="1:31" ht="12.75">
      <c r="A4" s="110"/>
      <c r="B4" s="2"/>
      <c r="C4" s="2"/>
      <c r="D4" s="2"/>
      <c r="E4" s="45"/>
      <c r="F4" s="2"/>
      <c r="G4" s="8" t="s">
        <v>1</v>
      </c>
      <c r="H4" s="9" t="s">
        <v>1</v>
      </c>
      <c r="I4" s="47" t="s">
        <v>1</v>
      </c>
      <c r="J4" s="12"/>
      <c r="K4" s="12"/>
      <c r="L4" s="12"/>
      <c r="M4" s="12"/>
      <c r="N4" s="12"/>
      <c r="O4" s="48"/>
      <c r="P4" s="48"/>
      <c r="Q4" s="48"/>
      <c r="R4" s="48"/>
      <c r="S4" s="48"/>
      <c r="T4" s="48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111"/>
    </row>
    <row r="5" spans="1:31" ht="38.25" customHeight="1">
      <c r="A5" s="112"/>
      <c r="B5" s="34"/>
      <c r="C5" s="35"/>
      <c r="D5" s="35"/>
      <c r="E5" s="36" t="s">
        <v>25</v>
      </c>
      <c r="F5" s="37" t="s">
        <v>70</v>
      </c>
      <c r="G5" s="38" t="s">
        <v>2</v>
      </c>
      <c r="H5" s="38" t="s">
        <v>71</v>
      </c>
      <c r="I5" s="39"/>
      <c r="J5" s="21"/>
      <c r="K5" s="39"/>
      <c r="L5" s="39"/>
      <c r="M5" s="39"/>
      <c r="N5" s="39" t="s">
        <v>1</v>
      </c>
      <c r="O5" s="39"/>
      <c r="P5" s="40"/>
      <c r="Q5" s="39"/>
      <c r="R5" s="39"/>
      <c r="S5" s="39"/>
      <c r="T5" s="39"/>
      <c r="U5" s="39" t="s">
        <v>1</v>
      </c>
      <c r="V5" s="39"/>
      <c r="W5" s="41"/>
      <c r="X5" s="42" t="s">
        <v>72</v>
      </c>
      <c r="Y5" s="42" t="s">
        <v>75</v>
      </c>
      <c r="Z5" s="43" t="s">
        <v>35</v>
      </c>
      <c r="AA5" s="43" t="s">
        <v>168</v>
      </c>
      <c r="AB5" s="43" t="s">
        <v>82</v>
      </c>
      <c r="AC5" s="43" t="s">
        <v>162</v>
      </c>
      <c r="AD5" s="43" t="s">
        <v>73</v>
      </c>
      <c r="AE5" s="113" t="s">
        <v>47</v>
      </c>
    </row>
    <row r="6" spans="1:31" ht="38.25" customHeight="1">
      <c r="A6" s="112"/>
      <c r="B6" s="34"/>
      <c r="C6" s="35"/>
      <c r="D6" s="35"/>
      <c r="E6" s="97"/>
      <c r="F6" s="37"/>
      <c r="G6" s="38"/>
      <c r="H6" s="38" t="s">
        <v>1</v>
      </c>
      <c r="I6" s="39"/>
      <c r="J6" s="21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41"/>
      <c r="X6" s="42"/>
      <c r="Y6" s="42"/>
      <c r="Z6" s="43"/>
      <c r="AA6" s="43"/>
      <c r="AB6" s="43"/>
      <c r="AC6" s="43"/>
      <c r="AD6" s="43"/>
      <c r="AE6" s="113"/>
    </row>
    <row r="7" spans="1:31" ht="22.5" customHeight="1">
      <c r="A7" s="55" t="s">
        <v>24</v>
      </c>
      <c r="B7" s="5"/>
      <c r="C7" s="17"/>
      <c r="D7" s="6"/>
      <c r="E7" s="90" t="s">
        <v>149</v>
      </c>
      <c r="F7" s="131">
        <v>1414333482</v>
      </c>
      <c r="G7" s="131">
        <f>1727333482-F7</f>
        <v>313000000</v>
      </c>
      <c r="H7" s="132">
        <f>+F7+G7</f>
        <v>1727333482</v>
      </c>
      <c r="I7" s="133"/>
      <c r="J7" s="134"/>
      <c r="K7" s="133"/>
      <c r="L7" s="133"/>
      <c r="M7" s="133"/>
      <c r="N7" s="133"/>
      <c r="O7" s="133"/>
      <c r="P7" s="135"/>
      <c r="Q7" s="133"/>
      <c r="R7" s="133"/>
      <c r="S7" s="133"/>
      <c r="T7" s="133"/>
      <c r="U7" s="135"/>
      <c r="V7" s="133"/>
      <c r="W7" s="132"/>
      <c r="X7" s="136"/>
      <c r="Y7" s="136">
        <v>3214239602</v>
      </c>
      <c r="Z7" s="98">
        <v>1698582660</v>
      </c>
      <c r="AA7" s="98">
        <f>+Z7-340063293</f>
        <v>1358519367</v>
      </c>
      <c r="AB7" s="98">
        <f>+AA7-209118153</f>
        <v>1149401214</v>
      </c>
      <c r="AC7" s="133">
        <f aca="true" t="shared" si="0" ref="AC7:AC20">+H7-Z7</f>
        <v>28750822</v>
      </c>
      <c r="AD7" s="132">
        <f aca="true" t="shared" si="1" ref="AD7:AD20">+X7/H7*100</f>
        <v>0</v>
      </c>
      <c r="AE7" s="137">
        <f>+Z7/H7*100</f>
        <v>98.33553727177737</v>
      </c>
    </row>
    <row r="8" spans="1:31" ht="22.5" customHeight="1">
      <c r="A8" s="55" t="s">
        <v>24</v>
      </c>
      <c r="B8" s="5"/>
      <c r="C8" s="17"/>
      <c r="D8" s="6"/>
      <c r="E8" s="90" t="s">
        <v>150</v>
      </c>
      <c r="F8" s="131">
        <v>6672762694</v>
      </c>
      <c r="G8" s="131">
        <f>7399918418-F8+50499117</f>
        <v>777654841</v>
      </c>
      <c r="H8" s="132">
        <f aca="true" t="shared" si="2" ref="H8:H20">+F8+G8</f>
        <v>7450417535</v>
      </c>
      <c r="I8" s="133"/>
      <c r="J8" s="134"/>
      <c r="K8" s="133"/>
      <c r="L8" s="133"/>
      <c r="M8" s="133"/>
      <c r="N8" s="133"/>
      <c r="O8" s="133"/>
      <c r="P8" s="135"/>
      <c r="Q8" s="133"/>
      <c r="R8" s="133"/>
      <c r="S8" s="133"/>
      <c r="T8" s="133"/>
      <c r="U8" s="135"/>
      <c r="V8" s="133"/>
      <c r="W8" s="132"/>
      <c r="X8" s="136"/>
      <c r="Y8" s="136">
        <v>4419101489</v>
      </c>
      <c r="Z8" s="98">
        <v>7396818893</v>
      </c>
      <c r="AA8" s="98">
        <f>+Z8-2852658258-1061969</f>
        <v>4543098666</v>
      </c>
      <c r="AB8" s="98">
        <f>+AA8-234424109</f>
        <v>4308674557</v>
      </c>
      <c r="AC8" s="133">
        <f t="shared" si="0"/>
        <v>53598642</v>
      </c>
      <c r="AD8" s="132">
        <f t="shared" si="1"/>
        <v>0</v>
      </c>
      <c r="AE8" s="137">
        <f>+Z8/H8*100</f>
        <v>99.2805954599429</v>
      </c>
    </row>
    <row r="9" spans="1:31" ht="22.5" customHeight="1">
      <c r="A9" s="55" t="s">
        <v>24</v>
      </c>
      <c r="B9" s="5"/>
      <c r="C9" s="17"/>
      <c r="D9" s="6"/>
      <c r="E9" s="90" t="s">
        <v>151</v>
      </c>
      <c r="F9" s="131">
        <v>1036845934</v>
      </c>
      <c r="G9" s="131">
        <f>1133798921-F9</f>
        <v>96952987</v>
      </c>
      <c r="H9" s="132">
        <f t="shared" si="2"/>
        <v>1133798921</v>
      </c>
      <c r="I9" s="133"/>
      <c r="J9" s="134"/>
      <c r="K9" s="133"/>
      <c r="L9" s="133"/>
      <c r="M9" s="133"/>
      <c r="N9" s="133"/>
      <c r="O9" s="133"/>
      <c r="P9" s="135"/>
      <c r="Q9" s="133"/>
      <c r="R9" s="133"/>
      <c r="S9" s="133"/>
      <c r="T9" s="133"/>
      <c r="U9" s="135"/>
      <c r="V9" s="133"/>
      <c r="W9" s="132"/>
      <c r="X9" s="136"/>
      <c r="Y9" s="136">
        <v>1177233207</v>
      </c>
      <c r="Z9" s="98">
        <v>1133752617</v>
      </c>
      <c r="AA9" s="98">
        <f>1070030073*1.004+1</f>
        <v>1074310194.292</v>
      </c>
      <c r="AB9" s="98">
        <f>+AA9</f>
        <v>1074310194.292</v>
      </c>
      <c r="AC9" s="133">
        <f t="shared" si="0"/>
        <v>46304</v>
      </c>
      <c r="AD9" s="132">
        <f t="shared" si="1"/>
        <v>0</v>
      </c>
      <c r="AE9" s="137">
        <f>+Z9/H9*100</f>
        <v>99.99591603068741</v>
      </c>
    </row>
    <row r="10" spans="1:31" ht="22.5" customHeight="1">
      <c r="A10" s="55" t="s">
        <v>24</v>
      </c>
      <c r="B10" s="5"/>
      <c r="C10" s="17"/>
      <c r="D10" s="6"/>
      <c r="E10" s="90" t="s">
        <v>152</v>
      </c>
      <c r="F10" s="131">
        <v>1395195000</v>
      </c>
      <c r="G10" s="131">
        <f>1662195000-F10+9677928</f>
        <v>276677928</v>
      </c>
      <c r="H10" s="132">
        <f t="shared" si="2"/>
        <v>1671872928</v>
      </c>
      <c r="I10" s="133"/>
      <c r="J10" s="134"/>
      <c r="K10" s="133"/>
      <c r="L10" s="133"/>
      <c r="M10" s="133"/>
      <c r="N10" s="133"/>
      <c r="O10" s="133"/>
      <c r="P10" s="135"/>
      <c r="Q10" s="133"/>
      <c r="R10" s="133"/>
      <c r="S10" s="133"/>
      <c r="T10" s="133"/>
      <c r="U10" s="135"/>
      <c r="V10" s="133"/>
      <c r="W10" s="132"/>
      <c r="X10" s="136"/>
      <c r="Y10" s="136">
        <v>105456683</v>
      </c>
      <c r="Z10" s="98">
        <v>1611204408</v>
      </c>
      <c r="AA10" s="98">
        <f>705560832*1.004-300350</f>
        <v>708082725.328</v>
      </c>
      <c r="AB10" s="98">
        <f>+AA10-114934356</f>
        <v>593148369.328</v>
      </c>
      <c r="AC10" s="133">
        <f t="shared" si="0"/>
        <v>60668520</v>
      </c>
      <c r="AD10" s="132">
        <f t="shared" si="1"/>
        <v>0</v>
      </c>
      <c r="AE10" s="137">
        <f>+Z10/H10*100</f>
        <v>96.3712242130402</v>
      </c>
    </row>
    <row r="11" spans="1:31" ht="22.5" customHeight="1">
      <c r="A11" s="55" t="s">
        <v>24</v>
      </c>
      <c r="B11" s="5"/>
      <c r="C11" s="17"/>
      <c r="D11" s="6"/>
      <c r="E11" s="90" t="s">
        <v>153</v>
      </c>
      <c r="F11" s="131">
        <v>2560519571</v>
      </c>
      <c r="G11" s="131">
        <f>2791400876-F11+87850578</f>
        <v>318731883</v>
      </c>
      <c r="H11" s="132">
        <f t="shared" si="2"/>
        <v>2879251454</v>
      </c>
      <c r="I11" s="133"/>
      <c r="J11" s="134"/>
      <c r="K11" s="133"/>
      <c r="L11" s="133"/>
      <c r="M11" s="133"/>
      <c r="N11" s="133"/>
      <c r="O11" s="133"/>
      <c r="P11" s="135"/>
      <c r="Q11" s="133"/>
      <c r="R11" s="133"/>
      <c r="S11" s="133"/>
      <c r="T11" s="133"/>
      <c r="U11" s="135"/>
      <c r="V11" s="133"/>
      <c r="W11" s="132"/>
      <c r="X11" s="136"/>
      <c r="Y11" s="136">
        <v>589361612</v>
      </c>
      <c r="Z11" s="98">
        <v>2840574889</v>
      </c>
      <c r="AA11" s="98">
        <f>1944424688*1.004+879-179833</f>
        <v>1952023432.752</v>
      </c>
      <c r="AB11" s="98">
        <f>+AA11-573966398</f>
        <v>1378057034.752</v>
      </c>
      <c r="AC11" s="133">
        <f t="shared" si="0"/>
        <v>38676565</v>
      </c>
      <c r="AD11" s="132">
        <f t="shared" si="1"/>
        <v>0</v>
      </c>
      <c r="AE11" s="137">
        <f>+Z11/H11*100</f>
        <v>98.65671457953877</v>
      </c>
    </row>
    <row r="12" spans="1:31" ht="43.5" customHeight="1">
      <c r="A12" s="55" t="s">
        <v>24</v>
      </c>
      <c r="B12" s="5"/>
      <c r="C12" s="17"/>
      <c r="D12" s="6"/>
      <c r="E12" s="90" t="s">
        <v>164</v>
      </c>
      <c r="F12" s="131">
        <v>0</v>
      </c>
      <c r="G12" s="131">
        <v>44958551</v>
      </c>
      <c r="H12" s="132">
        <f>+F12+G12</f>
        <v>44958551</v>
      </c>
      <c r="I12" s="133"/>
      <c r="J12" s="134"/>
      <c r="K12" s="133"/>
      <c r="L12" s="133"/>
      <c r="M12" s="133"/>
      <c r="N12" s="133"/>
      <c r="O12" s="133"/>
      <c r="P12" s="135"/>
      <c r="Q12" s="133"/>
      <c r="R12" s="133"/>
      <c r="S12" s="133"/>
      <c r="T12" s="133"/>
      <c r="U12" s="135"/>
      <c r="V12" s="133"/>
      <c r="W12" s="132"/>
      <c r="X12" s="136"/>
      <c r="Y12" s="136"/>
      <c r="Z12" s="146">
        <f>+G12</f>
        <v>44958551</v>
      </c>
      <c r="AA12" s="146">
        <f>+Z12</f>
        <v>44958551</v>
      </c>
      <c r="AB12" s="146">
        <f>+AA12</f>
        <v>44958551</v>
      </c>
      <c r="AC12" s="133">
        <f t="shared" si="0"/>
        <v>0</v>
      </c>
      <c r="AD12" s="132">
        <f t="shared" si="1"/>
        <v>0</v>
      </c>
      <c r="AE12" s="137">
        <v>100</v>
      </c>
    </row>
    <row r="13" spans="1:31" ht="22.5" customHeight="1">
      <c r="A13" s="55" t="s">
        <v>24</v>
      </c>
      <c r="B13" s="5"/>
      <c r="C13" s="17"/>
      <c r="D13" s="6"/>
      <c r="E13" s="90" t="s">
        <v>154</v>
      </c>
      <c r="F13" s="131">
        <v>890452410</v>
      </c>
      <c r="G13" s="131">
        <f>1402452410-F13+154751126</f>
        <v>666751126</v>
      </c>
      <c r="H13" s="132">
        <f t="shared" si="2"/>
        <v>1557203536</v>
      </c>
      <c r="I13" s="133"/>
      <c r="J13" s="134"/>
      <c r="K13" s="133"/>
      <c r="L13" s="133"/>
      <c r="M13" s="133"/>
      <c r="N13" s="133"/>
      <c r="O13" s="133"/>
      <c r="P13" s="135"/>
      <c r="Q13" s="133"/>
      <c r="R13" s="133"/>
      <c r="S13" s="133"/>
      <c r="T13" s="133"/>
      <c r="U13" s="135"/>
      <c r="V13" s="133"/>
      <c r="W13" s="132"/>
      <c r="X13" s="136"/>
      <c r="Y13" s="136">
        <v>4620016737</v>
      </c>
      <c r="Z13" s="146">
        <v>1535442114</v>
      </c>
      <c r="AA13" s="146">
        <f>+Z13-505833344-100-734371</f>
        <v>1028874299</v>
      </c>
      <c r="AB13" s="146">
        <v>328807815</v>
      </c>
      <c r="AC13" s="133">
        <f t="shared" si="0"/>
        <v>21761422</v>
      </c>
      <c r="AD13" s="132">
        <f t="shared" si="1"/>
        <v>0</v>
      </c>
      <c r="AE13" s="137">
        <f aca="true" t="shared" si="3" ref="AE13:AE20">+Z13/H13*100</f>
        <v>98.60253194287635</v>
      </c>
    </row>
    <row r="14" spans="1:31" ht="22.5" customHeight="1">
      <c r="A14" s="55" t="s">
        <v>24</v>
      </c>
      <c r="B14" s="5"/>
      <c r="C14" s="17"/>
      <c r="D14" s="6"/>
      <c r="E14" s="90" t="s">
        <v>155</v>
      </c>
      <c r="F14" s="131">
        <f>500000000+0</f>
        <v>500000000</v>
      </c>
      <c r="G14" s="131">
        <v>50000000</v>
      </c>
      <c r="H14" s="132">
        <f t="shared" si="2"/>
        <v>550000000</v>
      </c>
      <c r="I14" s="133"/>
      <c r="J14" s="134"/>
      <c r="K14" s="133"/>
      <c r="L14" s="133"/>
      <c r="M14" s="133"/>
      <c r="N14" s="133"/>
      <c r="O14" s="133"/>
      <c r="P14" s="135"/>
      <c r="Q14" s="133"/>
      <c r="R14" s="133"/>
      <c r="S14" s="133"/>
      <c r="T14" s="133"/>
      <c r="U14" s="135"/>
      <c r="V14" s="133"/>
      <c r="W14" s="132"/>
      <c r="X14" s="136"/>
      <c r="Y14" s="136">
        <v>850659482</v>
      </c>
      <c r="Z14" s="146">
        <v>545543608</v>
      </c>
      <c r="AA14" s="146">
        <f>227933767*1.004</f>
        <v>228845502.068</v>
      </c>
      <c r="AB14" s="146">
        <f>+AA14-99491527</f>
        <v>129353975.06799999</v>
      </c>
      <c r="AC14" s="133">
        <f t="shared" si="0"/>
        <v>4456392</v>
      </c>
      <c r="AD14" s="132">
        <f t="shared" si="1"/>
        <v>0</v>
      </c>
      <c r="AE14" s="137">
        <f t="shared" si="3"/>
        <v>99.18974690909091</v>
      </c>
    </row>
    <row r="15" spans="1:31" ht="44.25" customHeight="1">
      <c r="A15" s="55" t="s">
        <v>24</v>
      </c>
      <c r="B15" s="5"/>
      <c r="C15" s="17"/>
      <c r="D15" s="6"/>
      <c r="E15" s="90" t="s">
        <v>165</v>
      </c>
      <c r="F15" s="131">
        <v>0</v>
      </c>
      <c r="G15" s="131">
        <v>1285798223</v>
      </c>
      <c r="H15" s="132">
        <f>+F15+G15</f>
        <v>1285798223</v>
      </c>
      <c r="I15" s="133"/>
      <c r="J15" s="134"/>
      <c r="K15" s="133"/>
      <c r="L15" s="133"/>
      <c r="M15" s="133"/>
      <c r="N15" s="133"/>
      <c r="O15" s="133"/>
      <c r="P15" s="135"/>
      <c r="Q15" s="133"/>
      <c r="R15" s="133"/>
      <c r="S15" s="133"/>
      <c r="T15" s="133"/>
      <c r="U15" s="135"/>
      <c r="V15" s="133"/>
      <c r="W15" s="132"/>
      <c r="X15" s="136"/>
      <c r="Y15" s="136"/>
      <c r="Z15" s="146">
        <v>1285798123</v>
      </c>
      <c r="AA15" s="146">
        <f>+Z15</f>
        <v>1285798123</v>
      </c>
      <c r="AB15" s="146">
        <f>+AA15-339451542</f>
        <v>946346581</v>
      </c>
      <c r="AC15" s="133">
        <f t="shared" si="0"/>
        <v>100</v>
      </c>
      <c r="AD15" s="132">
        <f t="shared" si="1"/>
        <v>0</v>
      </c>
      <c r="AE15" s="137">
        <f t="shared" si="3"/>
        <v>99.99999222272996</v>
      </c>
    </row>
    <row r="16" spans="1:31" ht="22.5" customHeight="1">
      <c r="A16" s="55" t="s">
        <v>24</v>
      </c>
      <c r="B16" s="5"/>
      <c r="C16" s="17"/>
      <c r="D16" s="6"/>
      <c r="E16" s="90" t="s">
        <v>156</v>
      </c>
      <c r="F16" s="131">
        <v>1617130415</v>
      </c>
      <c r="G16" s="131">
        <f>1768739350-F16</f>
        <v>151608935</v>
      </c>
      <c r="H16" s="132">
        <f t="shared" si="2"/>
        <v>1768739350</v>
      </c>
      <c r="I16" s="133"/>
      <c r="J16" s="134"/>
      <c r="K16" s="133"/>
      <c r="L16" s="133"/>
      <c r="M16" s="133"/>
      <c r="N16" s="133"/>
      <c r="O16" s="133"/>
      <c r="P16" s="135"/>
      <c r="Q16" s="133"/>
      <c r="R16" s="133"/>
      <c r="S16" s="133"/>
      <c r="T16" s="133"/>
      <c r="U16" s="135"/>
      <c r="V16" s="133"/>
      <c r="W16" s="132"/>
      <c r="X16" s="136"/>
      <c r="Y16" s="136">
        <v>169389594</v>
      </c>
      <c r="Z16" s="146">
        <v>1755850233</v>
      </c>
      <c r="AA16" s="147">
        <f>+Z16-372390434</f>
        <v>1383459799</v>
      </c>
      <c r="AB16" s="147">
        <v>1197292735</v>
      </c>
      <c r="AC16" s="133">
        <f t="shared" si="0"/>
        <v>12889117</v>
      </c>
      <c r="AD16" s="132">
        <f t="shared" si="1"/>
        <v>0</v>
      </c>
      <c r="AE16" s="137">
        <f t="shared" si="3"/>
        <v>99.27128228362196</v>
      </c>
    </row>
    <row r="17" spans="1:31" ht="22.5" customHeight="1">
      <c r="A17" s="55" t="s">
        <v>24</v>
      </c>
      <c r="B17" s="5"/>
      <c r="C17" s="17"/>
      <c r="D17" s="6"/>
      <c r="E17" s="90" t="s">
        <v>157</v>
      </c>
      <c r="F17" s="131">
        <v>356250000</v>
      </c>
      <c r="G17" s="131">
        <v>200000000</v>
      </c>
      <c r="H17" s="132">
        <f t="shared" si="2"/>
        <v>556250000</v>
      </c>
      <c r="I17" s="133"/>
      <c r="J17" s="134"/>
      <c r="K17" s="133"/>
      <c r="L17" s="133"/>
      <c r="M17" s="133"/>
      <c r="N17" s="133"/>
      <c r="O17" s="133"/>
      <c r="P17" s="135"/>
      <c r="Q17" s="133"/>
      <c r="R17" s="133"/>
      <c r="S17" s="133"/>
      <c r="T17" s="133"/>
      <c r="U17" s="135"/>
      <c r="V17" s="133"/>
      <c r="W17" s="132"/>
      <c r="X17" s="136"/>
      <c r="Y17" s="136">
        <v>218654899</v>
      </c>
      <c r="Z17" s="98">
        <v>498334491</v>
      </c>
      <c r="AA17" s="98">
        <f>+Z17-41147846-2632</f>
        <v>457184013</v>
      </c>
      <c r="AB17" s="98">
        <f>300173600+8117489</f>
        <v>308291089</v>
      </c>
      <c r="AC17" s="133">
        <f t="shared" si="0"/>
        <v>57915509</v>
      </c>
      <c r="AD17" s="132">
        <f t="shared" si="1"/>
        <v>0</v>
      </c>
      <c r="AE17" s="137">
        <f t="shared" si="3"/>
        <v>89.5882231011236</v>
      </c>
    </row>
    <row r="18" spans="1:31" ht="22.5" customHeight="1">
      <c r="A18" s="55" t="s">
        <v>24</v>
      </c>
      <c r="B18" s="5"/>
      <c r="C18" s="17"/>
      <c r="D18" s="6"/>
      <c r="E18" s="90" t="s">
        <v>158</v>
      </c>
      <c r="F18" s="131">
        <v>1900000000</v>
      </c>
      <c r="G18" s="131">
        <f>5067457658-F18</f>
        <v>3167457658</v>
      </c>
      <c r="H18" s="132">
        <f t="shared" si="2"/>
        <v>5067457658</v>
      </c>
      <c r="I18" s="133"/>
      <c r="J18" s="134"/>
      <c r="K18" s="133"/>
      <c r="L18" s="133"/>
      <c r="M18" s="133"/>
      <c r="N18" s="133"/>
      <c r="O18" s="133"/>
      <c r="P18" s="135"/>
      <c r="Q18" s="133"/>
      <c r="R18" s="133"/>
      <c r="S18" s="133"/>
      <c r="T18" s="133"/>
      <c r="U18" s="135"/>
      <c r="V18" s="133"/>
      <c r="W18" s="132"/>
      <c r="X18" s="136"/>
      <c r="Y18" s="136">
        <v>1180795963</v>
      </c>
      <c r="Z18" s="98">
        <v>5067352577</v>
      </c>
      <c r="AA18" s="98">
        <f>299866681*1.004-3</f>
        <v>301066144.724</v>
      </c>
      <c r="AB18" s="98">
        <v>291530738</v>
      </c>
      <c r="AC18" s="133">
        <f t="shared" si="0"/>
        <v>105081</v>
      </c>
      <c r="AD18" s="132">
        <f t="shared" si="1"/>
        <v>0</v>
      </c>
      <c r="AE18" s="137">
        <f t="shared" si="3"/>
        <v>99.99792635662513</v>
      </c>
    </row>
    <row r="19" spans="1:31" ht="22.5" customHeight="1">
      <c r="A19" s="55" t="s">
        <v>24</v>
      </c>
      <c r="B19" s="5"/>
      <c r="C19" s="17"/>
      <c r="D19" s="6"/>
      <c r="E19" s="90" t="s">
        <v>159</v>
      </c>
      <c r="F19" s="131">
        <f>574484846</f>
        <v>574484846</v>
      </c>
      <c r="G19" s="131">
        <f>846724804-F19-1</f>
        <v>272239957</v>
      </c>
      <c r="H19" s="132">
        <f t="shared" si="2"/>
        <v>846724803</v>
      </c>
      <c r="I19" s="133"/>
      <c r="J19" s="134"/>
      <c r="K19" s="133"/>
      <c r="L19" s="133"/>
      <c r="M19" s="133"/>
      <c r="N19" s="133"/>
      <c r="O19" s="133"/>
      <c r="P19" s="135"/>
      <c r="Q19" s="133"/>
      <c r="R19" s="133"/>
      <c r="S19" s="133"/>
      <c r="T19" s="133"/>
      <c r="U19" s="135"/>
      <c r="V19" s="133"/>
      <c r="W19" s="132"/>
      <c r="X19" s="136"/>
      <c r="Y19" s="136"/>
      <c r="Z19" s="98">
        <v>840712669</v>
      </c>
      <c r="AA19" s="98">
        <f>+Z19-168507182-13324</f>
        <v>672192163</v>
      </c>
      <c r="AB19" s="98">
        <f>603116055+8022635</f>
        <v>611138690</v>
      </c>
      <c r="AC19" s="133">
        <f t="shared" si="0"/>
        <v>6012134</v>
      </c>
      <c r="AD19" s="132">
        <f t="shared" si="1"/>
        <v>0</v>
      </c>
      <c r="AE19" s="137">
        <f t="shared" si="3"/>
        <v>99.28995418833857</v>
      </c>
    </row>
    <row r="20" spans="1:31" ht="22.5" customHeight="1">
      <c r="A20" s="55" t="s">
        <v>24</v>
      </c>
      <c r="B20" s="5"/>
      <c r="C20" s="17"/>
      <c r="D20" s="6"/>
      <c r="E20" s="90" t="s">
        <v>160</v>
      </c>
      <c r="F20" s="131">
        <v>1500000000</v>
      </c>
      <c r="G20" s="131">
        <v>175000000</v>
      </c>
      <c r="H20" s="132">
        <f t="shared" si="2"/>
        <v>1675000000</v>
      </c>
      <c r="I20" s="138">
        <f aca="true" t="shared" si="4" ref="I20:Y20">SUM(I7:I19)</f>
        <v>0</v>
      </c>
      <c r="J20" s="138">
        <f t="shared" si="4"/>
        <v>0</v>
      </c>
      <c r="K20" s="138">
        <f t="shared" si="4"/>
        <v>0</v>
      </c>
      <c r="L20" s="138">
        <f t="shared" si="4"/>
        <v>0</v>
      </c>
      <c r="M20" s="138">
        <f t="shared" si="4"/>
        <v>0</v>
      </c>
      <c r="N20" s="138">
        <f t="shared" si="4"/>
        <v>0</v>
      </c>
      <c r="O20" s="138">
        <f t="shared" si="4"/>
        <v>0</v>
      </c>
      <c r="P20" s="138">
        <f t="shared" si="4"/>
        <v>0</v>
      </c>
      <c r="Q20" s="138">
        <f t="shared" si="4"/>
        <v>0</v>
      </c>
      <c r="R20" s="138">
        <f t="shared" si="4"/>
        <v>0</v>
      </c>
      <c r="S20" s="138">
        <f t="shared" si="4"/>
        <v>0</v>
      </c>
      <c r="T20" s="138">
        <f t="shared" si="4"/>
        <v>0</v>
      </c>
      <c r="U20" s="138">
        <f t="shared" si="4"/>
        <v>0</v>
      </c>
      <c r="V20" s="138">
        <f t="shared" si="4"/>
        <v>0</v>
      </c>
      <c r="W20" s="138">
        <f t="shared" si="4"/>
        <v>0</v>
      </c>
      <c r="X20" s="138">
        <f t="shared" si="4"/>
        <v>0</v>
      </c>
      <c r="Y20" s="138">
        <f t="shared" si="4"/>
        <v>16544909268</v>
      </c>
      <c r="Z20" s="98">
        <v>1453355759</v>
      </c>
      <c r="AA20" s="98">
        <f>1233592756*1.004+1-74961</f>
        <v>1238452167.024</v>
      </c>
      <c r="AB20" s="98">
        <f>1035851701+7644884</f>
        <v>1043496585</v>
      </c>
      <c r="AC20" s="133">
        <f t="shared" si="0"/>
        <v>221644241</v>
      </c>
      <c r="AD20" s="132">
        <f t="shared" si="1"/>
        <v>0</v>
      </c>
      <c r="AE20" s="137">
        <f t="shared" si="3"/>
        <v>86.767508</v>
      </c>
    </row>
    <row r="21" spans="1:31" ht="22.5" customHeight="1">
      <c r="A21" s="55" t="s">
        <v>1</v>
      </c>
      <c r="B21" s="5"/>
      <c r="C21" s="17"/>
      <c r="D21" s="6"/>
      <c r="E21" s="56"/>
      <c r="F21" s="138"/>
      <c r="G21" s="139" t="s">
        <v>1</v>
      </c>
      <c r="H21" s="132" t="s">
        <v>1</v>
      </c>
      <c r="I21" s="133"/>
      <c r="J21" s="134"/>
      <c r="K21" s="133"/>
      <c r="L21" s="133"/>
      <c r="M21" s="133"/>
      <c r="N21" s="133"/>
      <c r="O21" s="133"/>
      <c r="P21" s="135"/>
      <c r="Q21" s="133"/>
      <c r="R21" s="133"/>
      <c r="S21" s="133"/>
      <c r="T21" s="133"/>
      <c r="U21" s="133"/>
      <c r="V21" s="133"/>
      <c r="W21" s="132"/>
      <c r="X21" s="140"/>
      <c r="Y21" s="140"/>
      <c r="Z21" s="140"/>
      <c r="AA21" s="140"/>
      <c r="AB21" s="140"/>
      <c r="AC21" s="133" t="s">
        <v>1</v>
      </c>
      <c r="AD21" s="141" t="s">
        <v>1</v>
      </c>
      <c r="AE21" s="137" t="s">
        <v>1</v>
      </c>
    </row>
    <row r="22" spans="1:31" ht="22.5" customHeight="1" thickBot="1">
      <c r="A22" s="57"/>
      <c r="B22" s="58"/>
      <c r="C22" s="59"/>
      <c r="D22" s="60"/>
      <c r="E22" s="61" t="s">
        <v>69</v>
      </c>
      <c r="F22" s="142">
        <f>SUM(F7:F20)+1</f>
        <v>20417974353</v>
      </c>
      <c r="G22" s="142">
        <f>SUM(G7:G20)</f>
        <v>7796832089</v>
      </c>
      <c r="H22" s="142">
        <f>SUM(H7:H20)</f>
        <v>28214806441</v>
      </c>
      <c r="I22" s="142" t="e">
        <f>+I20+#REF!</f>
        <v>#REF!</v>
      </c>
      <c r="J22" s="142" t="e">
        <f>+J20+#REF!</f>
        <v>#REF!</v>
      </c>
      <c r="K22" s="142" t="e">
        <f>+K20+#REF!</f>
        <v>#REF!</v>
      </c>
      <c r="L22" s="142" t="e">
        <f>+L20+#REF!</f>
        <v>#REF!</v>
      </c>
      <c r="M22" s="142" t="e">
        <f>+M20+#REF!</f>
        <v>#REF!</v>
      </c>
      <c r="N22" s="142" t="e">
        <f>+N20+#REF!</f>
        <v>#REF!</v>
      </c>
      <c r="O22" s="142" t="e">
        <f>+O20+#REF!</f>
        <v>#REF!</v>
      </c>
      <c r="P22" s="142" t="e">
        <f>+P20+#REF!</f>
        <v>#REF!</v>
      </c>
      <c r="Q22" s="142" t="e">
        <f>+Q20+#REF!</f>
        <v>#REF!</v>
      </c>
      <c r="R22" s="142" t="e">
        <f>+R20+#REF!</f>
        <v>#REF!</v>
      </c>
      <c r="S22" s="142" t="e">
        <f>+S20+#REF!</f>
        <v>#REF!</v>
      </c>
      <c r="T22" s="142" t="e">
        <f>+T20+#REF!</f>
        <v>#REF!</v>
      </c>
      <c r="U22" s="142" t="e">
        <f>+U20+#REF!</f>
        <v>#REF!</v>
      </c>
      <c r="V22" s="142" t="e">
        <f>+V20+#REF!</f>
        <v>#REF!</v>
      </c>
      <c r="W22" s="142" t="e">
        <f>+W20+#REF!</f>
        <v>#REF!</v>
      </c>
      <c r="X22" s="142" t="e">
        <f>+X20+#REF!</f>
        <v>#REF!</v>
      </c>
      <c r="Y22" s="142" t="e">
        <f>+Y20+#REF!</f>
        <v>#REF!</v>
      </c>
      <c r="Z22" s="142">
        <f>SUM(Z7:Z20)</f>
        <v>27708281592</v>
      </c>
      <c r="AA22" s="142">
        <f>SUM(AA7:AA20)</f>
        <v>16276865147.188002</v>
      </c>
      <c r="AB22" s="142">
        <f>SUM(AB7:AB20)</f>
        <v>13404808128.44</v>
      </c>
      <c r="AC22" s="143">
        <f>+H22-Z22</f>
        <v>506524849</v>
      </c>
      <c r="AD22" s="144" t="e">
        <f>+X22/H22*100</f>
        <v>#REF!</v>
      </c>
      <c r="AE22" s="145">
        <f>+Z22/H22*100</f>
        <v>98.2047551874609</v>
      </c>
    </row>
    <row r="23" spans="6:31" ht="12.75">
      <c r="F23" s="32" t="s">
        <v>1</v>
      </c>
      <c r="G23" s="32"/>
      <c r="H23" s="7"/>
      <c r="Z23" s="32" t="s">
        <v>1</v>
      </c>
      <c r="AA23" s="32" t="s">
        <v>1</v>
      </c>
      <c r="AB23" s="32" t="s">
        <v>1</v>
      </c>
      <c r="AC23" s="32" t="s">
        <v>1</v>
      </c>
      <c r="AD23" s="49"/>
      <c r="AE23" s="49" t="s">
        <v>1</v>
      </c>
    </row>
    <row r="24" spans="26:31" ht="12.75">
      <c r="Z24" s="23"/>
      <c r="AA24" s="23"/>
      <c r="AB24" s="23"/>
      <c r="AC24" s="23"/>
      <c r="AD24" s="23"/>
      <c r="AE24" s="23"/>
    </row>
    <row r="25" spans="26:31" ht="12.75">
      <c r="Z25" s="23"/>
      <c r="AA25" s="23"/>
      <c r="AB25" s="23"/>
      <c r="AC25" s="23"/>
      <c r="AD25" s="23"/>
      <c r="AE25" s="23"/>
    </row>
    <row r="26" spans="26:31" ht="12.75">
      <c r="Z26" s="23"/>
      <c r="AA26" s="23"/>
      <c r="AB26" s="23"/>
      <c r="AC26" s="23"/>
      <c r="AD26" s="23"/>
      <c r="AE26" s="23"/>
    </row>
    <row r="27" spans="26:31" ht="12.75">
      <c r="Z27" s="23"/>
      <c r="AA27" s="23"/>
      <c r="AB27" s="23"/>
      <c r="AC27" s="23"/>
      <c r="AD27" s="23"/>
      <c r="AE27" s="23"/>
    </row>
    <row r="28" spans="26:31" ht="12.75">
      <c r="Z28" s="23"/>
      <c r="AA28" s="23"/>
      <c r="AB28" s="23"/>
      <c r="AC28" s="23"/>
      <c r="AD28" s="23"/>
      <c r="AE28" s="23"/>
    </row>
    <row r="29" spans="26:31" ht="12.75">
      <c r="Z29" s="23"/>
      <c r="AA29" s="23"/>
      <c r="AB29" s="23"/>
      <c r="AC29" s="23"/>
      <c r="AD29" s="23"/>
      <c r="AE29" s="23"/>
    </row>
    <row r="30" spans="26:31" ht="12.75">
      <c r="Z30" s="23"/>
      <c r="AA30" s="23"/>
      <c r="AB30" s="23"/>
      <c r="AC30" s="23"/>
      <c r="AD30" s="23"/>
      <c r="AE30" s="23"/>
    </row>
    <row r="31" spans="26:31" ht="12.75">
      <c r="Z31" s="23"/>
      <c r="AA31" s="23"/>
      <c r="AB31" s="23"/>
      <c r="AC31" s="23"/>
      <c r="AD31" s="23"/>
      <c r="AE31" s="23"/>
    </row>
    <row r="32" spans="26:31" ht="12.75">
      <c r="Z32" s="23"/>
      <c r="AA32" s="23"/>
      <c r="AB32" s="23"/>
      <c r="AC32" s="23"/>
      <c r="AD32" s="23"/>
      <c r="AE32" s="23"/>
    </row>
    <row r="33" spans="26:31" ht="12.75">
      <c r="Z33" s="23"/>
      <c r="AA33" s="23"/>
      <c r="AB33" s="23"/>
      <c r="AC33" s="23"/>
      <c r="AD33" s="23"/>
      <c r="AE33" s="23"/>
    </row>
    <row r="34" spans="26:31" ht="12.75">
      <c r="Z34" s="23"/>
      <c r="AA34" s="23"/>
      <c r="AB34" s="23"/>
      <c r="AC34" s="23"/>
      <c r="AD34" s="23"/>
      <c r="AE34" s="23"/>
    </row>
    <row r="35" spans="26:31" ht="12.75">
      <c r="Z35" s="23"/>
      <c r="AA35" s="23"/>
      <c r="AB35" s="23"/>
      <c r="AC35" s="23"/>
      <c r="AD35" s="23"/>
      <c r="AE35" s="23"/>
    </row>
    <row r="36" spans="26:31" ht="12.75">
      <c r="Z36" s="23"/>
      <c r="AA36" s="23"/>
      <c r="AB36" s="23"/>
      <c r="AC36" s="23"/>
      <c r="AD36" s="23"/>
      <c r="AE36" s="23"/>
    </row>
    <row r="37" spans="26:31" ht="12.75">
      <c r="Z37" s="23"/>
      <c r="AA37" s="23"/>
      <c r="AB37" s="23"/>
      <c r="AC37" s="23"/>
      <c r="AD37" s="23"/>
      <c r="AE37" s="23"/>
    </row>
    <row r="38" spans="26:31" ht="12.75">
      <c r="Z38" s="23"/>
      <c r="AA38" s="23"/>
      <c r="AB38" s="23"/>
      <c r="AC38" s="23"/>
      <c r="AD38" s="23"/>
      <c r="AE38" s="23"/>
    </row>
    <row r="39" spans="26:31" ht="12.75">
      <c r="Z39" s="23"/>
      <c r="AA39" s="23"/>
      <c r="AB39" s="23"/>
      <c r="AC39" s="23"/>
      <c r="AD39" s="23"/>
      <c r="AE39" s="23"/>
    </row>
    <row r="40" spans="26:31" ht="12.75">
      <c r="Z40" s="23"/>
      <c r="AA40" s="23"/>
      <c r="AB40" s="23"/>
      <c r="AC40" s="23"/>
      <c r="AD40" s="23"/>
      <c r="AE40" s="23"/>
    </row>
    <row r="41" spans="26:31" ht="12.75">
      <c r="Z41" s="23"/>
      <c r="AA41" s="23"/>
      <c r="AB41" s="23"/>
      <c r="AC41" s="23"/>
      <c r="AD41" s="23"/>
      <c r="AE41" s="23"/>
    </row>
    <row r="42" spans="26:31" ht="12.75">
      <c r="Z42" s="23"/>
      <c r="AA42" s="23"/>
      <c r="AB42" s="23"/>
      <c r="AC42" s="23"/>
      <c r="AD42" s="23"/>
      <c r="AE42" s="23"/>
    </row>
    <row r="43" spans="26:31" ht="12.75">
      <c r="Z43" s="23"/>
      <c r="AA43" s="23"/>
      <c r="AB43" s="23"/>
      <c r="AC43" s="23"/>
      <c r="AD43" s="23"/>
      <c r="AE43" s="23"/>
    </row>
    <row r="44" spans="26:31" ht="12.75">
      <c r="Z44" s="23"/>
      <c r="AA44" s="23"/>
      <c r="AB44" s="23"/>
      <c r="AC44" s="23"/>
      <c r="AD44" s="23"/>
      <c r="AE44" s="23"/>
    </row>
    <row r="45" spans="26:31" ht="12.75">
      <c r="Z45" s="23"/>
      <c r="AA45" s="23"/>
      <c r="AB45" s="23"/>
      <c r="AC45" s="23"/>
      <c r="AD45" s="23"/>
      <c r="AE45" s="23"/>
    </row>
    <row r="46" spans="26:31" ht="12.75">
      <c r="Z46" s="23"/>
      <c r="AA46" s="23"/>
      <c r="AB46" s="23"/>
      <c r="AC46" s="23"/>
      <c r="AD46" s="23"/>
      <c r="AE46" s="23"/>
    </row>
    <row r="47" spans="26:31" ht="12.75">
      <c r="Z47" s="23"/>
      <c r="AA47" s="23"/>
      <c r="AB47" s="23"/>
      <c r="AC47" s="23"/>
      <c r="AD47" s="23"/>
      <c r="AE47" s="23"/>
    </row>
    <row r="48" spans="26:31" ht="12.75">
      <c r="Z48" s="23"/>
      <c r="AA48" s="23"/>
      <c r="AB48" s="23"/>
      <c r="AC48" s="23"/>
      <c r="AD48" s="23"/>
      <c r="AE48" s="23"/>
    </row>
    <row r="49" spans="26:31" ht="12.75">
      <c r="Z49" s="23"/>
      <c r="AA49" s="23"/>
      <c r="AB49" s="23"/>
      <c r="AC49" s="23"/>
      <c r="AD49" s="23"/>
      <c r="AE49" s="23"/>
    </row>
    <row r="50" spans="26:31" ht="12.75">
      <c r="Z50" s="23"/>
      <c r="AA50" s="23"/>
      <c r="AB50" s="23"/>
      <c r="AC50" s="23"/>
      <c r="AD50" s="23"/>
      <c r="AE50" s="23"/>
    </row>
    <row r="51" spans="26:31" ht="12.75">
      <c r="Z51" s="23"/>
      <c r="AA51" s="23"/>
      <c r="AB51" s="23"/>
      <c r="AC51" s="23"/>
      <c r="AD51" s="23"/>
      <c r="AE51" s="23"/>
    </row>
    <row r="52" spans="26:31" ht="12.75">
      <c r="Z52" s="23"/>
      <c r="AA52" s="23"/>
      <c r="AB52" s="23"/>
      <c r="AC52" s="23"/>
      <c r="AD52" s="23"/>
      <c r="AE52" s="23"/>
    </row>
    <row r="53" spans="26:31" ht="12.75">
      <c r="Z53" s="23"/>
      <c r="AA53" s="23"/>
      <c r="AB53" s="23"/>
      <c r="AC53" s="23"/>
      <c r="AD53" s="23"/>
      <c r="AE53" s="23"/>
    </row>
    <row r="54" spans="26:31" ht="12.75">
      <c r="Z54" s="23"/>
      <c r="AA54" s="23"/>
      <c r="AB54" s="23"/>
      <c r="AC54" s="23"/>
      <c r="AD54" s="23"/>
      <c r="AE54" s="23"/>
    </row>
    <row r="55" spans="26:31" ht="12.75">
      <c r="Z55" s="23"/>
      <c r="AA55" s="23"/>
      <c r="AB55" s="23"/>
      <c r="AC55" s="23"/>
      <c r="AD55" s="23"/>
      <c r="AE55" s="23"/>
    </row>
    <row r="56" spans="26:31" ht="12.75">
      <c r="Z56" s="23"/>
      <c r="AA56" s="23"/>
      <c r="AB56" s="23"/>
      <c r="AC56" s="23"/>
      <c r="AD56" s="23"/>
      <c r="AE56" s="23"/>
    </row>
    <row r="57" spans="26:31" ht="12.75">
      <c r="Z57" s="23"/>
      <c r="AA57" s="23"/>
      <c r="AB57" s="23"/>
      <c r="AC57" s="23"/>
      <c r="AD57" s="23"/>
      <c r="AE57" s="23"/>
    </row>
    <row r="58" spans="26:31" ht="12.75">
      <c r="Z58" s="23"/>
      <c r="AA58" s="23"/>
      <c r="AB58" s="23"/>
      <c r="AC58" s="23"/>
      <c r="AD58" s="23"/>
      <c r="AE58" s="23"/>
    </row>
    <row r="59" spans="26:31" ht="12.75">
      <c r="Z59" s="23"/>
      <c r="AA59" s="23"/>
      <c r="AB59" s="23"/>
      <c r="AC59" s="23"/>
      <c r="AD59" s="23"/>
      <c r="AE59" s="23"/>
    </row>
    <row r="60" spans="26:31" ht="12.75">
      <c r="Z60" s="23"/>
      <c r="AA60" s="23"/>
      <c r="AB60" s="23"/>
      <c r="AC60" s="23"/>
      <c r="AD60" s="23"/>
      <c r="AE60" s="23"/>
    </row>
    <row r="61" spans="26:31" ht="12.75">
      <c r="Z61" s="23"/>
      <c r="AA61" s="23"/>
      <c r="AB61" s="23"/>
      <c r="AC61" s="23"/>
      <c r="AD61" s="23"/>
      <c r="AE61" s="23"/>
    </row>
    <row r="62" spans="26:31" ht="12.75">
      <c r="Z62" s="23"/>
      <c r="AA62" s="23"/>
      <c r="AB62" s="23"/>
      <c r="AC62" s="23"/>
      <c r="AD62" s="23"/>
      <c r="AE62" s="23"/>
    </row>
    <row r="63" spans="26:31" ht="12.75">
      <c r="Z63" s="23"/>
      <c r="AA63" s="23"/>
      <c r="AB63" s="23"/>
      <c r="AC63" s="23"/>
      <c r="AD63" s="23"/>
      <c r="AE63" s="23"/>
    </row>
    <row r="64" spans="26:31" ht="12.75">
      <c r="Z64" s="23"/>
      <c r="AA64" s="23"/>
      <c r="AB64" s="23"/>
      <c r="AC64" s="23"/>
      <c r="AD64" s="23"/>
      <c r="AE64" s="23"/>
    </row>
    <row r="65" spans="26:31" ht="12.75">
      <c r="Z65" s="23"/>
      <c r="AA65" s="23"/>
      <c r="AB65" s="23"/>
      <c r="AC65" s="23"/>
      <c r="AD65" s="23"/>
      <c r="AE65" s="23"/>
    </row>
    <row r="66" spans="26:31" ht="12.75">
      <c r="Z66" s="23"/>
      <c r="AA66" s="23"/>
      <c r="AB66" s="23"/>
      <c r="AC66" s="23"/>
      <c r="AD66" s="23"/>
      <c r="AE66" s="23"/>
    </row>
    <row r="67" spans="26:31" ht="12.75">
      <c r="Z67" s="23"/>
      <c r="AA67" s="23"/>
      <c r="AB67" s="23"/>
      <c r="AC67" s="23"/>
      <c r="AD67" s="23"/>
      <c r="AE67" s="23"/>
    </row>
    <row r="68" spans="26:31" ht="12.75">
      <c r="Z68" s="23"/>
      <c r="AA68" s="23"/>
      <c r="AB68" s="23"/>
      <c r="AC68" s="23"/>
      <c r="AD68" s="23"/>
      <c r="AE68" s="23"/>
    </row>
    <row r="69" spans="26:31" ht="12.75">
      <c r="Z69" s="23"/>
      <c r="AA69" s="23"/>
      <c r="AB69" s="23"/>
      <c r="AC69" s="23"/>
      <c r="AD69" s="23"/>
      <c r="AE69" s="23"/>
    </row>
    <row r="70" spans="26:31" ht="12.75">
      <c r="Z70" s="23"/>
      <c r="AA70" s="23"/>
      <c r="AB70" s="23"/>
      <c r="AC70" s="23"/>
      <c r="AD70" s="23"/>
      <c r="AE70" s="23"/>
    </row>
    <row r="71" spans="26:31" ht="12.75">
      <c r="Z71" s="23"/>
      <c r="AA71" s="23"/>
      <c r="AB71" s="23"/>
      <c r="AC71" s="23"/>
      <c r="AD71" s="23"/>
      <c r="AE71" s="23"/>
    </row>
    <row r="72" spans="26:31" ht="12.75">
      <c r="Z72" s="23"/>
      <c r="AA72" s="23"/>
      <c r="AB72" s="23"/>
      <c r="AC72" s="23"/>
      <c r="AD72" s="23"/>
      <c r="AE72" s="23"/>
    </row>
    <row r="73" spans="26:31" ht="12.75">
      <c r="Z73" s="23"/>
      <c r="AA73" s="23"/>
      <c r="AB73" s="23"/>
      <c r="AC73" s="23"/>
      <c r="AD73" s="23"/>
      <c r="AE73" s="23"/>
    </row>
    <row r="74" spans="26:31" ht="12.75">
      <c r="Z74" s="23"/>
      <c r="AA74" s="23"/>
      <c r="AB74" s="23"/>
      <c r="AC74" s="23"/>
      <c r="AD74" s="23"/>
      <c r="AE74" s="23"/>
    </row>
    <row r="75" spans="26:31" ht="12.75">
      <c r="Z75" s="23"/>
      <c r="AA75" s="23"/>
      <c r="AB75" s="23"/>
      <c r="AC75" s="23"/>
      <c r="AD75" s="23"/>
      <c r="AE75" s="23"/>
    </row>
    <row r="76" spans="26:31" ht="12.75">
      <c r="Z76" s="23"/>
      <c r="AA76" s="23"/>
      <c r="AB76" s="23"/>
      <c r="AC76" s="23"/>
      <c r="AD76" s="23"/>
      <c r="AE76" s="23"/>
    </row>
    <row r="77" spans="26:31" ht="12.75">
      <c r="Z77" s="23"/>
      <c r="AA77" s="23"/>
      <c r="AB77" s="23"/>
      <c r="AC77" s="23"/>
      <c r="AD77" s="23"/>
      <c r="AE77" s="23"/>
    </row>
    <row r="78" spans="26:31" ht="12.75">
      <c r="Z78" s="23"/>
      <c r="AA78" s="23"/>
      <c r="AB78" s="23"/>
      <c r="AC78" s="23"/>
      <c r="AD78" s="23"/>
      <c r="AE78" s="23"/>
    </row>
    <row r="79" spans="26:31" ht="12.75">
      <c r="Z79" s="23"/>
      <c r="AA79" s="23"/>
      <c r="AB79" s="23"/>
      <c r="AC79" s="23"/>
      <c r="AD79" s="23"/>
      <c r="AE79" s="23"/>
    </row>
    <row r="80" spans="26:31" ht="12.75">
      <c r="Z80" s="23"/>
      <c r="AA80" s="23"/>
      <c r="AB80" s="23"/>
      <c r="AC80" s="23"/>
      <c r="AD80" s="23"/>
      <c r="AE80" s="23"/>
    </row>
    <row r="81" spans="26:31" ht="12.75">
      <c r="Z81" s="23"/>
      <c r="AA81" s="23"/>
      <c r="AB81" s="23"/>
      <c r="AC81" s="23"/>
      <c r="AD81" s="23"/>
      <c r="AE81" s="23"/>
    </row>
    <row r="82" spans="26:31" ht="12.75">
      <c r="Z82" s="23"/>
      <c r="AA82" s="23"/>
      <c r="AB82" s="23"/>
      <c r="AC82" s="23"/>
      <c r="AD82" s="23"/>
      <c r="AE82" s="23"/>
    </row>
    <row r="83" spans="26:31" ht="12.75">
      <c r="Z83" s="23"/>
      <c r="AA83" s="23"/>
      <c r="AB83" s="23"/>
      <c r="AC83" s="23"/>
      <c r="AD83" s="23"/>
      <c r="AE83" s="23"/>
    </row>
    <row r="84" spans="26:31" ht="12.75">
      <c r="Z84" s="23"/>
      <c r="AA84" s="23"/>
      <c r="AB84" s="23"/>
      <c r="AC84" s="23"/>
      <c r="AD84" s="23"/>
      <c r="AE84" s="23"/>
    </row>
    <row r="85" spans="26:31" ht="12.75">
      <c r="Z85" s="23"/>
      <c r="AA85" s="23"/>
      <c r="AB85" s="23"/>
      <c r="AC85" s="23"/>
      <c r="AD85" s="23"/>
      <c r="AE85" s="23"/>
    </row>
    <row r="86" spans="26:31" ht="12.75">
      <c r="Z86" s="23"/>
      <c r="AA86" s="23"/>
      <c r="AB86" s="23"/>
      <c r="AC86" s="23"/>
      <c r="AD86" s="23"/>
      <c r="AE86" s="23"/>
    </row>
    <row r="87" spans="26:31" ht="12.75">
      <c r="Z87" s="23"/>
      <c r="AA87" s="23"/>
      <c r="AB87" s="23"/>
      <c r="AC87" s="23"/>
      <c r="AD87" s="23"/>
      <c r="AE87" s="23"/>
    </row>
    <row r="88" spans="26:31" ht="12.75">
      <c r="Z88" s="23"/>
      <c r="AA88" s="23"/>
      <c r="AB88" s="23"/>
      <c r="AC88" s="23"/>
      <c r="AD88" s="23"/>
      <c r="AE88" s="23"/>
    </row>
    <row r="89" spans="26:31" ht="12.75">
      <c r="Z89" s="23"/>
      <c r="AA89" s="23"/>
      <c r="AB89" s="23"/>
      <c r="AC89" s="23"/>
      <c r="AD89" s="23"/>
      <c r="AE89" s="23"/>
    </row>
    <row r="90" spans="26:31" ht="12.75">
      <c r="Z90" s="23"/>
      <c r="AA90" s="23"/>
      <c r="AB90" s="23"/>
      <c r="AC90" s="23"/>
      <c r="AD90" s="23"/>
      <c r="AE90" s="23"/>
    </row>
    <row r="91" spans="26:31" ht="12.75">
      <c r="Z91" s="23"/>
      <c r="AA91" s="23"/>
      <c r="AB91" s="23"/>
      <c r="AC91" s="23"/>
      <c r="AD91" s="23"/>
      <c r="AE91" s="23"/>
    </row>
    <row r="92" spans="26:31" ht="12.75">
      <c r="Z92" s="23"/>
      <c r="AA92" s="23"/>
      <c r="AB92" s="23"/>
      <c r="AC92" s="23"/>
      <c r="AD92" s="23"/>
      <c r="AE92" s="23"/>
    </row>
    <row r="93" spans="26:31" ht="12.75">
      <c r="Z93" s="23"/>
      <c r="AA93" s="23"/>
      <c r="AB93" s="23"/>
      <c r="AC93" s="23"/>
      <c r="AD93" s="23"/>
      <c r="AE93" s="23"/>
    </row>
    <row r="94" spans="26:31" ht="12.75">
      <c r="Z94" s="23"/>
      <c r="AA94" s="23"/>
      <c r="AB94" s="23"/>
      <c r="AC94" s="23"/>
      <c r="AD94" s="23"/>
      <c r="AE94" s="23"/>
    </row>
    <row r="95" spans="26:31" ht="12.75">
      <c r="Z95" s="23"/>
      <c r="AA95" s="23"/>
      <c r="AB95" s="23"/>
      <c r="AC95" s="23"/>
      <c r="AD95" s="23"/>
      <c r="AE95" s="23"/>
    </row>
    <row r="96" spans="26:31" ht="12.75">
      <c r="Z96" s="23"/>
      <c r="AA96" s="23"/>
      <c r="AB96" s="23"/>
      <c r="AC96" s="23"/>
      <c r="AD96" s="23"/>
      <c r="AE96" s="23"/>
    </row>
    <row r="97" spans="26:31" ht="12.75">
      <c r="Z97" s="23"/>
      <c r="AA97" s="23"/>
      <c r="AB97" s="23"/>
      <c r="AC97" s="23"/>
      <c r="AD97" s="23"/>
      <c r="AE97" s="23"/>
    </row>
    <row r="98" spans="26:31" ht="12.75">
      <c r="Z98" s="23"/>
      <c r="AA98" s="23"/>
      <c r="AB98" s="23"/>
      <c r="AC98" s="23"/>
      <c r="AD98" s="23"/>
      <c r="AE98" s="23"/>
    </row>
    <row r="99" spans="26:31" ht="12.75">
      <c r="Z99" s="23"/>
      <c r="AA99" s="23"/>
      <c r="AB99" s="23"/>
      <c r="AC99" s="23"/>
      <c r="AD99" s="23"/>
      <c r="AE99" s="23"/>
    </row>
    <row r="100" spans="26:31" ht="12.75">
      <c r="Z100" s="23"/>
      <c r="AA100" s="23"/>
      <c r="AB100" s="23"/>
      <c r="AC100" s="23"/>
      <c r="AD100" s="23"/>
      <c r="AE100" s="23"/>
    </row>
    <row r="101" spans="26:31" ht="12.75">
      <c r="Z101" s="23"/>
      <c r="AA101" s="23"/>
      <c r="AB101" s="23"/>
      <c r="AC101" s="23"/>
      <c r="AD101" s="23"/>
      <c r="AE101" s="23"/>
    </row>
    <row r="102" spans="26:31" ht="12.75">
      <c r="Z102" s="23"/>
      <c r="AA102" s="23"/>
      <c r="AB102" s="23"/>
      <c r="AC102" s="23"/>
      <c r="AD102" s="23"/>
      <c r="AE102" s="23"/>
    </row>
    <row r="103" spans="26:31" ht="12.75">
      <c r="Z103" s="23"/>
      <c r="AA103" s="23"/>
      <c r="AB103" s="23"/>
      <c r="AC103" s="23"/>
      <c r="AD103" s="23"/>
      <c r="AE103" s="23"/>
    </row>
    <row r="104" spans="26:31" ht="12.75">
      <c r="Z104" s="23"/>
      <c r="AA104" s="23"/>
      <c r="AB104" s="23"/>
      <c r="AC104" s="23"/>
      <c r="AD104" s="23"/>
      <c r="AE104" s="23"/>
    </row>
    <row r="105" spans="26:31" ht="12.75">
      <c r="Z105" s="23"/>
      <c r="AA105" s="23"/>
      <c r="AB105" s="23"/>
      <c r="AC105" s="23"/>
      <c r="AD105" s="23"/>
      <c r="AE105" s="23"/>
    </row>
    <row r="106" spans="26:31" ht="12.75">
      <c r="Z106" s="23"/>
      <c r="AA106" s="23"/>
      <c r="AB106" s="23"/>
      <c r="AC106" s="23"/>
      <c r="AD106" s="23"/>
      <c r="AE106" s="23"/>
    </row>
    <row r="107" spans="26:31" ht="12.75">
      <c r="Z107" s="23"/>
      <c r="AA107" s="23"/>
      <c r="AB107" s="23"/>
      <c r="AC107" s="23"/>
      <c r="AD107" s="23"/>
      <c r="AE107" s="23"/>
    </row>
    <row r="108" spans="26:31" ht="12.75">
      <c r="Z108" s="23"/>
      <c r="AA108" s="23"/>
      <c r="AB108" s="23"/>
      <c r="AC108" s="23"/>
      <c r="AD108" s="23"/>
      <c r="AE108" s="23"/>
    </row>
    <row r="109" spans="26:31" ht="12.75">
      <c r="Z109" s="23"/>
      <c r="AA109" s="23"/>
      <c r="AB109" s="23"/>
      <c r="AC109" s="23"/>
      <c r="AD109" s="23"/>
      <c r="AE109" s="23"/>
    </row>
    <row r="110" spans="26:31" ht="12.75">
      <c r="Z110" s="23"/>
      <c r="AA110" s="23"/>
      <c r="AB110" s="23"/>
      <c r="AC110" s="23"/>
      <c r="AD110" s="23"/>
      <c r="AE110" s="23"/>
    </row>
    <row r="111" spans="26:31" ht="12.75">
      <c r="Z111" s="23"/>
      <c r="AA111" s="23"/>
      <c r="AB111" s="23"/>
      <c r="AC111" s="23"/>
      <c r="AD111" s="23"/>
      <c r="AE111" s="23"/>
    </row>
    <row r="112" spans="26:31" ht="12.75">
      <c r="Z112" s="23"/>
      <c r="AA112" s="23"/>
      <c r="AB112" s="23"/>
      <c r="AC112" s="23"/>
      <c r="AD112" s="23"/>
      <c r="AE112" s="23"/>
    </row>
    <row r="113" spans="26:31" ht="12.75">
      <c r="Z113" s="23"/>
      <c r="AA113" s="23"/>
      <c r="AB113" s="23"/>
      <c r="AC113" s="23"/>
      <c r="AD113" s="23"/>
      <c r="AE113" s="23"/>
    </row>
    <row r="114" spans="26:31" ht="12.75">
      <c r="Z114" s="23"/>
      <c r="AA114" s="23"/>
      <c r="AB114" s="23"/>
      <c r="AC114" s="23"/>
      <c r="AD114" s="23"/>
      <c r="AE114" s="23"/>
    </row>
    <row r="115" spans="26:31" ht="12.75">
      <c r="Z115" s="23"/>
      <c r="AA115" s="23"/>
      <c r="AB115" s="23"/>
      <c r="AC115" s="23"/>
      <c r="AD115" s="23"/>
      <c r="AE115" s="23"/>
    </row>
    <row r="116" spans="26:31" ht="12.75">
      <c r="Z116" s="23"/>
      <c r="AA116" s="23"/>
      <c r="AB116" s="23"/>
      <c r="AC116" s="23"/>
      <c r="AD116" s="23"/>
      <c r="AE116" s="23"/>
    </row>
    <row r="117" spans="26:31" ht="12.75">
      <c r="Z117" s="23"/>
      <c r="AA117" s="23"/>
      <c r="AB117" s="23"/>
      <c r="AC117" s="23"/>
      <c r="AD117" s="23"/>
      <c r="AE117" s="23"/>
    </row>
    <row r="118" spans="26:31" ht="12.75">
      <c r="Z118" s="23"/>
      <c r="AA118" s="23"/>
      <c r="AB118" s="23"/>
      <c r="AC118" s="23"/>
      <c r="AD118" s="23"/>
      <c r="AE118" s="23"/>
    </row>
    <row r="119" spans="26:31" ht="12.75">
      <c r="Z119" s="23"/>
      <c r="AA119" s="23"/>
      <c r="AB119" s="23"/>
      <c r="AC119" s="23"/>
      <c r="AD119" s="23"/>
      <c r="AE119" s="23"/>
    </row>
    <row r="120" spans="26:31" ht="12.75">
      <c r="Z120" s="23"/>
      <c r="AA120" s="23"/>
      <c r="AB120" s="23"/>
      <c r="AC120" s="23"/>
      <c r="AD120" s="23"/>
      <c r="AE120" s="23"/>
    </row>
    <row r="121" spans="26:31" ht="12.75">
      <c r="Z121" s="23"/>
      <c r="AA121" s="23"/>
      <c r="AB121" s="23"/>
      <c r="AC121" s="23"/>
      <c r="AD121" s="23"/>
      <c r="AE121" s="23"/>
    </row>
    <row r="122" spans="26:31" ht="12.75">
      <c r="Z122" s="23"/>
      <c r="AA122" s="23"/>
      <c r="AB122" s="23"/>
      <c r="AC122" s="23"/>
      <c r="AD122" s="23"/>
      <c r="AE122" s="23"/>
    </row>
    <row r="123" spans="26:31" ht="12.75">
      <c r="Z123" s="23"/>
      <c r="AA123" s="23"/>
      <c r="AB123" s="23"/>
      <c r="AC123" s="23"/>
      <c r="AD123" s="23"/>
      <c r="AE123" s="23"/>
    </row>
    <row r="124" spans="26:31" ht="12.75">
      <c r="Z124" s="23"/>
      <c r="AA124" s="23"/>
      <c r="AB124" s="23"/>
      <c r="AC124" s="23"/>
      <c r="AD124" s="23"/>
      <c r="AE124" s="23"/>
    </row>
    <row r="125" spans="26:31" ht="12.75">
      <c r="Z125" s="23"/>
      <c r="AA125" s="23"/>
      <c r="AB125" s="23"/>
      <c r="AC125" s="23"/>
      <c r="AD125" s="23"/>
      <c r="AE125" s="23"/>
    </row>
    <row r="126" spans="26:31" ht="12.75">
      <c r="Z126" s="23"/>
      <c r="AA126" s="23"/>
      <c r="AB126" s="23"/>
      <c r="AC126" s="23"/>
      <c r="AD126" s="23"/>
      <c r="AE126" s="23"/>
    </row>
    <row r="127" spans="26:31" ht="12.75">
      <c r="Z127" s="23"/>
      <c r="AA127" s="23"/>
      <c r="AB127" s="23"/>
      <c r="AC127" s="23"/>
      <c r="AD127" s="23"/>
      <c r="AE127" s="23"/>
    </row>
    <row r="128" spans="26:31" ht="12.75">
      <c r="Z128" s="23"/>
      <c r="AA128" s="23"/>
      <c r="AB128" s="23"/>
      <c r="AC128" s="23"/>
      <c r="AD128" s="23"/>
      <c r="AE128" s="23"/>
    </row>
    <row r="129" spans="26:31" ht="12.75">
      <c r="Z129" s="23"/>
      <c r="AA129" s="23"/>
      <c r="AB129" s="23"/>
      <c r="AC129" s="23"/>
      <c r="AD129" s="23"/>
      <c r="AE129" s="23"/>
    </row>
    <row r="130" spans="26:31" ht="12.75">
      <c r="Z130" s="23"/>
      <c r="AA130" s="23"/>
      <c r="AB130" s="23"/>
      <c r="AC130" s="23"/>
      <c r="AD130" s="23"/>
      <c r="AE130" s="23"/>
    </row>
    <row r="131" spans="26:31" ht="12.75">
      <c r="Z131" s="23"/>
      <c r="AA131" s="23"/>
      <c r="AB131" s="23"/>
      <c r="AC131" s="23"/>
      <c r="AD131" s="23"/>
      <c r="AE131" s="23"/>
    </row>
    <row r="132" spans="26:31" ht="12.75">
      <c r="Z132" s="23"/>
      <c r="AA132" s="23"/>
      <c r="AB132" s="23"/>
      <c r="AC132" s="23"/>
      <c r="AD132" s="23"/>
      <c r="AE132" s="23"/>
    </row>
    <row r="133" spans="26:31" ht="12.75">
      <c r="Z133" s="23"/>
      <c r="AA133" s="23"/>
      <c r="AB133" s="23"/>
      <c r="AC133" s="23"/>
      <c r="AD133" s="23"/>
      <c r="AE133" s="23"/>
    </row>
    <row r="134" spans="26:31" ht="12.75">
      <c r="Z134" s="23"/>
      <c r="AA134" s="23"/>
      <c r="AB134" s="23"/>
      <c r="AC134" s="23"/>
      <c r="AD134" s="23"/>
      <c r="AE134" s="23"/>
    </row>
    <row r="135" spans="26:31" ht="12.75">
      <c r="Z135" s="23"/>
      <c r="AA135" s="23"/>
      <c r="AB135" s="23"/>
      <c r="AC135" s="23"/>
      <c r="AD135" s="23"/>
      <c r="AE135" s="23"/>
    </row>
    <row r="136" spans="26:31" ht="12.75">
      <c r="Z136" s="23"/>
      <c r="AA136" s="23"/>
      <c r="AB136" s="23"/>
      <c r="AC136" s="23"/>
      <c r="AD136" s="23"/>
      <c r="AE136" s="23"/>
    </row>
    <row r="137" spans="26:31" ht="12.75">
      <c r="Z137" s="23"/>
      <c r="AA137" s="23"/>
      <c r="AB137" s="23"/>
      <c r="AC137" s="23"/>
      <c r="AD137" s="23"/>
      <c r="AE137" s="23"/>
    </row>
    <row r="138" spans="26:31" ht="12.75">
      <c r="Z138" s="23"/>
      <c r="AA138" s="23"/>
      <c r="AB138" s="23"/>
      <c r="AC138" s="23"/>
      <c r="AD138" s="23"/>
      <c r="AE138" s="23"/>
    </row>
    <row r="139" spans="26:31" ht="12.75">
      <c r="Z139" s="23"/>
      <c r="AA139" s="23"/>
      <c r="AB139" s="23"/>
      <c r="AC139" s="23"/>
      <c r="AD139" s="23"/>
      <c r="AE139" s="23"/>
    </row>
    <row r="140" spans="26:31" ht="12.75">
      <c r="Z140" s="23"/>
      <c r="AA140" s="23"/>
      <c r="AB140" s="23"/>
      <c r="AC140" s="23"/>
      <c r="AD140" s="23"/>
      <c r="AE140" s="23"/>
    </row>
    <row r="141" spans="26:31" ht="12.75">
      <c r="Z141" s="23"/>
      <c r="AA141" s="23"/>
      <c r="AB141" s="23"/>
      <c r="AC141" s="23"/>
      <c r="AD141" s="23"/>
      <c r="AE141" s="23"/>
    </row>
    <row r="142" spans="26:31" ht="12.75">
      <c r="Z142" s="23"/>
      <c r="AA142" s="23"/>
      <c r="AB142" s="23"/>
      <c r="AC142" s="23"/>
      <c r="AD142" s="23"/>
      <c r="AE142" s="23"/>
    </row>
    <row r="143" spans="26:31" ht="12.75">
      <c r="Z143" s="23"/>
      <c r="AA143" s="23"/>
      <c r="AB143" s="23"/>
      <c r="AC143" s="23"/>
      <c r="AD143" s="23"/>
      <c r="AE143" s="23"/>
    </row>
    <row r="144" spans="26:31" ht="12.75">
      <c r="Z144" s="23"/>
      <c r="AA144" s="23"/>
      <c r="AB144" s="23"/>
      <c r="AC144" s="23"/>
      <c r="AD144" s="23"/>
      <c r="AE144" s="23"/>
    </row>
    <row r="145" spans="26:31" ht="12.75">
      <c r="Z145" s="23"/>
      <c r="AA145" s="23"/>
      <c r="AB145" s="23"/>
      <c r="AC145" s="23"/>
      <c r="AD145" s="23"/>
      <c r="AE145" s="23"/>
    </row>
    <row r="146" spans="26:31" ht="12.75">
      <c r="Z146" s="23"/>
      <c r="AA146" s="23"/>
      <c r="AB146" s="23"/>
      <c r="AC146" s="23"/>
      <c r="AD146" s="23"/>
      <c r="AE146" s="23"/>
    </row>
    <row r="147" spans="26:31" ht="12.75">
      <c r="Z147" s="23"/>
      <c r="AA147" s="23"/>
      <c r="AB147" s="23"/>
      <c r="AC147" s="23"/>
      <c r="AD147" s="23"/>
      <c r="AE147" s="23"/>
    </row>
    <row r="148" spans="26:31" ht="12.75">
      <c r="Z148" s="23"/>
      <c r="AA148" s="23"/>
      <c r="AB148" s="23"/>
      <c r="AC148" s="23"/>
      <c r="AD148" s="23"/>
      <c r="AE148" s="23"/>
    </row>
    <row r="149" spans="26:31" ht="12.75">
      <c r="Z149" s="23"/>
      <c r="AA149" s="23"/>
      <c r="AB149" s="23"/>
      <c r="AC149" s="23"/>
      <c r="AD149" s="23"/>
      <c r="AE149" s="23"/>
    </row>
    <row r="150" spans="26:31" ht="12.75">
      <c r="Z150" s="23"/>
      <c r="AA150" s="23"/>
      <c r="AB150" s="23"/>
      <c r="AC150" s="23"/>
      <c r="AD150" s="23"/>
      <c r="AE150" s="23"/>
    </row>
  </sheetData>
  <sheetProtection/>
  <mergeCells count="2">
    <mergeCell ref="E1:AD1"/>
    <mergeCell ref="E2:AD2"/>
  </mergeCells>
  <printOptions/>
  <pageMargins left="0.7874015748031497" right="0.7480314960629921" top="0.984251968503937" bottom="0.984251968503937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4"/>
      <c r="B3" s="12"/>
      <c r="C3" s="12"/>
      <c r="D3" s="12"/>
      <c r="E3" s="12"/>
      <c r="F3" s="27" t="s">
        <v>128</v>
      </c>
      <c r="G3" s="27" t="s">
        <v>129</v>
      </c>
      <c r="H3" s="27" t="str">
        <f>+G3</f>
        <v>CONTRACREDITO</v>
      </c>
      <c r="I3" s="27" t="str">
        <f>+H3</f>
        <v>CONTRACREDITO</v>
      </c>
      <c r="J3" s="27" t="s">
        <v>130</v>
      </c>
      <c r="K3" s="27" t="str">
        <f>+J3</f>
        <v>ADICIONES</v>
      </c>
      <c r="L3" s="27" t="s">
        <v>131</v>
      </c>
      <c r="M3" s="12" t="str">
        <f>+L3</f>
        <v>CREDITOS</v>
      </c>
      <c r="N3" s="12" t="str">
        <f>+M3</f>
        <v>CREDITOS</v>
      </c>
      <c r="O3" s="87" t="s">
        <v>71</v>
      </c>
      <c r="R3" t="s">
        <v>134</v>
      </c>
      <c r="S3" t="s">
        <v>130</v>
      </c>
      <c r="T3" t="s">
        <v>131</v>
      </c>
      <c r="U3" t="s">
        <v>135</v>
      </c>
      <c r="V3" t="s">
        <v>69</v>
      </c>
      <c r="W3" s="50" t="s">
        <v>148</v>
      </c>
    </row>
    <row r="4" spans="1:23" ht="63.75">
      <c r="A4" s="85" t="s">
        <v>24</v>
      </c>
      <c r="B4" s="80" t="s">
        <v>41</v>
      </c>
      <c r="C4" s="81">
        <v>900</v>
      </c>
      <c r="D4" s="82">
        <v>1</v>
      </c>
      <c r="E4" s="83" t="s">
        <v>55</v>
      </c>
      <c r="F4" s="74">
        <f>1350000000</f>
        <v>1350000000</v>
      </c>
      <c r="G4" s="94">
        <v>-2572702</v>
      </c>
      <c r="H4" s="95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132</v>
      </c>
      <c r="Q4" t="s">
        <v>133</v>
      </c>
      <c r="R4" s="23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3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85" t="s">
        <v>24</v>
      </c>
      <c r="B5" s="80" t="s">
        <v>41</v>
      </c>
      <c r="C5" s="81">
        <f>+C4</f>
        <v>900</v>
      </c>
      <c r="D5" s="82">
        <v>2</v>
      </c>
      <c r="E5" s="83" t="s">
        <v>56</v>
      </c>
      <c r="F5" s="52">
        <f>350000000</f>
        <v>350000000</v>
      </c>
      <c r="G5" s="96">
        <v>-23894914</v>
      </c>
      <c r="H5" s="93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136</v>
      </c>
      <c r="Q5" t="s">
        <v>137</v>
      </c>
      <c r="R5" s="23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3">
        <f t="shared" si="1"/>
        <v>2184254031</v>
      </c>
      <c r="W5" s="1">
        <f>408966674+156891409+198574475+223543821+1135936327</f>
        <v>2123912706</v>
      </c>
    </row>
    <row r="6" spans="1:23" ht="42.75">
      <c r="A6" s="85" t="s">
        <v>24</v>
      </c>
      <c r="B6" s="80" t="s">
        <v>41</v>
      </c>
      <c r="C6" s="81">
        <v>900</v>
      </c>
      <c r="D6" s="82">
        <v>3</v>
      </c>
      <c r="E6" s="83" t="s">
        <v>68</v>
      </c>
      <c r="F6" s="52">
        <v>300000000</v>
      </c>
      <c r="G6" s="96">
        <v>0</v>
      </c>
      <c r="H6" s="93">
        <v>-600906843</v>
      </c>
      <c r="I6" s="15">
        <v>-518682</v>
      </c>
      <c r="J6" s="91">
        <v>500000000</v>
      </c>
      <c r="K6" s="15"/>
      <c r="L6" s="15"/>
      <c r="M6" s="15"/>
      <c r="N6" s="15"/>
      <c r="O6" s="15">
        <f t="shared" si="0"/>
        <v>198574475</v>
      </c>
      <c r="P6" t="s">
        <v>138</v>
      </c>
      <c r="Q6" t="s">
        <v>139</v>
      </c>
      <c r="R6" s="23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3">
        <f t="shared" si="1"/>
        <v>1877233369</v>
      </c>
      <c r="W6" s="1">
        <v>1877233207</v>
      </c>
    </row>
    <row r="7" spans="1:23" ht="32.25">
      <c r="A7" s="85" t="s">
        <v>24</v>
      </c>
      <c r="B7" s="80" t="s">
        <v>42</v>
      </c>
      <c r="C7" s="81">
        <v>900</v>
      </c>
      <c r="D7" s="82">
        <v>1</v>
      </c>
      <c r="E7" s="83" t="s">
        <v>57</v>
      </c>
      <c r="F7" s="52">
        <v>3677074400</v>
      </c>
      <c r="G7" s="51">
        <v>0</v>
      </c>
      <c r="H7" s="93">
        <v>-4595103399</v>
      </c>
      <c r="I7" s="15"/>
      <c r="J7" s="91">
        <v>918028999</v>
      </c>
      <c r="K7" s="15"/>
      <c r="L7" s="15"/>
      <c r="M7" s="15"/>
      <c r="N7" s="15"/>
      <c r="O7" s="15">
        <f t="shared" si="0"/>
        <v>0</v>
      </c>
      <c r="P7" t="s">
        <v>140</v>
      </c>
      <c r="Q7" t="s">
        <v>141</v>
      </c>
      <c r="R7" s="23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3">
        <f t="shared" si="1"/>
        <v>2562562737</v>
      </c>
      <c r="W7" s="1">
        <f>319998529+2173142971</f>
        <v>2493141500</v>
      </c>
    </row>
    <row r="8" spans="1:23" ht="32.25">
      <c r="A8" s="85" t="s">
        <v>24</v>
      </c>
      <c r="B8" s="80" t="s">
        <v>42</v>
      </c>
      <c r="C8" s="81">
        <v>900</v>
      </c>
      <c r="D8" s="82">
        <v>2</v>
      </c>
      <c r="E8" s="83" t="s">
        <v>58</v>
      </c>
      <c r="F8" s="52">
        <v>1199818416</v>
      </c>
      <c r="G8" s="52">
        <v>0</v>
      </c>
      <c r="H8" s="93">
        <v>-2566309866</v>
      </c>
      <c r="I8" s="15"/>
      <c r="J8" s="91">
        <v>1393598524</v>
      </c>
      <c r="K8" s="15"/>
      <c r="L8" s="15"/>
      <c r="M8" s="15"/>
      <c r="N8" s="15"/>
      <c r="O8" s="15">
        <f t="shared" si="0"/>
        <v>27107074</v>
      </c>
      <c r="P8" t="s">
        <v>142</v>
      </c>
      <c r="Q8" t="s">
        <v>143</v>
      </c>
      <c r="R8" s="23">
        <f>+F15</f>
        <v>700000000</v>
      </c>
      <c r="S8" s="1">
        <f>+J15</f>
        <v>900000000</v>
      </c>
      <c r="T8" s="1">
        <f>+L32</f>
        <v>1445581568</v>
      </c>
      <c r="U8" s="23">
        <f>+G15</f>
        <v>-1435581568</v>
      </c>
      <c r="V8" s="23">
        <f t="shared" si="1"/>
        <v>1610000000</v>
      </c>
      <c r="W8" s="1">
        <f>164418432+1398378737</f>
        <v>1562797169</v>
      </c>
    </row>
    <row r="9" spans="1:23" ht="42.75">
      <c r="A9" s="85" t="s">
        <v>24</v>
      </c>
      <c r="B9" s="80" t="s">
        <v>42</v>
      </c>
      <c r="C9" s="81">
        <v>900</v>
      </c>
      <c r="D9" s="82">
        <v>3</v>
      </c>
      <c r="E9" s="83" t="s">
        <v>59</v>
      </c>
      <c r="F9" s="52">
        <v>1528730952</v>
      </c>
      <c r="G9" s="52">
        <v>0</v>
      </c>
      <c r="H9" s="93">
        <v>-2648057344</v>
      </c>
      <c r="I9" s="15"/>
      <c r="J9" s="91">
        <v>1553352672</v>
      </c>
      <c r="K9" s="15"/>
      <c r="L9" s="15"/>
      <c r="M9" s="15"/>
      <c r="N9" s="15"/>
      <c r="O9" s="15">
        <f t="shared" si="0"/>
        <v>434026280</v>
      </c>
      <c r="P9" t="s">
        <v>144</v>
      </c>
      <c r="Q9" t="s">
        <v>145</v>
      </c>
      <c r="R9" s="23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3">
        <f t="shared" si="1"/>
        <v>432039134</v>
      </c>
      <c r="W9" s="1">
        <f>63924612+321140379</f>
        <v>385064991</v>
      </c>
    </row>
    <row r="10" spans="1:23" ht="42.75">
      <c r="A10" s="85" t="s">
        <v>24</v>
      </c>
      <c r="B10" s="80" t="s">
        <v>42</v>
      </c>
      <c r="C10" s="81">
        <v>900</v>
      </c>
      <c r="D10" s="82">
        <v>4</v>
      </c>
      <c r="E10" s="83" t="s">
        <v>60</v>
      </c>
      <c r="F10" s="52">
        <v>1073210483</v>
      </c>
      <c r="G10" s="52">
        <v>0</v>
      </c>
      <c r="H10" s="93">
        <v>-1877233369</v>
      </c>
      <c r="I10" s="15"/>
      <c r="J10" s="91">
        <v>804022886</v>
      </c>
      <c r="K10" s="15"/>
      <c r="L10" s="15"/>
      <c r="M10" s="15"/>
      <c r="N10" s="15"/>
      <c r="O10" s="15">
        <f t="shared" si="0"/>
        <v>0</v>
      </c>
      <c r="P10" t="s">
        <v>146</v>
      </c>
      <c r="Q10" t="s">
        <v>98</v>
      </c>
      <c r="R10" s="23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3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85" t="s">
        <v>24</v>
      </c>
      <c r="B11" s="80" t="s">
        <v>43</v>
      </c>
      <c r="C11" s="81">
        <v>900</v>
      </c>
      <c r="D11" s="82">
        <v>1</v>
      </c>
      <c r="E11" s="83" t="s">
        <v>61</v>
      </c>
      <c r="F11" s="52">
        <v>289000000</v>
      </c>
      <c r="G11" s="96">
        <v>-320465303</v>
      </c>
      <c r="H11" s="93">
        <v>-4610085</v>
      </c>
      <c r="I11" s="15"/>
      <c r="J11" s="91">
        <v>100000000</v>
      </c>
      <c r="K11" s="15"/>
      <c r="L11" s="15"/>
      <c r="M11" s="15"/>
      <c r="N11" s="15"/>
      <c r="O11" s="15">
        <f t="shared" si="0"/>
        <v>63924612</v>
      </c>
      <c r="Q11" t="s">
        <v>147</v>
      </c>
      <c r="R11" s="23">
        <f>SUM(R4:R10)</f>
        <v>17250332312</v>
      </c>
      <c r="S11" s="23">
        <f>SUM(S4:S10)</f>
        <v>14633268424</v>
      </c>
      <c r="T11" s="23">
        <f>SUM(T4:T10)</f>
        <v>25367251582</v>
      </c>
      <c r="U11" s="23">
        <f>SUM(U4:U10)</f>
        <v>-25367251582</v>
      </c>
      <c r="V11" s="23">
        <f t="shared" si="1"/>
        <v>31883600736</v>
      </c>
      <c r="W11" s="23">
        <f>SUM(W4:W10)</f>
        <v>31023133223</v>
      </c>
    </row>
    <row r="12" spans="1:23" ht="21.75">
      <c r="A12" s="85" t="s">
        <v>24</v>
      </c>
      <c r="B12" s="80" t="s">
        <v>43</v>
      </c>
      <c r="C12" s="81">
        <v>900</v>
      </c>
      <c r="D12" s="82">
        <v>2</v>
      </c>
      <c r="E12" s="83" t="s">
        <v>62</v>
      </c>
      <c r="F12" s="52">
        <v>1000000000</v>
      </c>
      <c r="G12" s="52">
        <v>-1948357768</v>
      </c>
      <c r="H12" s="75">
        <v>-2855109</v>
      </c>
      <c r="I12" s="15"/>
      <c r="J12" s="91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3"/>
      <c r="V12" s="23"/>
      <c r="W12" s="7" t="s">
        <v>1</v>
      </c>
    </row>
    <row r="13" spans="1:23" ht="32.25">
      <c r="A13" s="85" t="s">
        <v>24</v>
      </c>
      <c r="B13" s="80" t="s">
        <v>44</v>
      </c>
      <c r="C13" s="81">
        <v>900</v>
      </c>
      <c r="D13" s="82">
        <v>1</v>
      </c>
      <c r="E13" s="83" t="s">
        <v>63</v>
      </c>
      <c r="F13" s="52">
        <v>2132498061</v>
      </c>
      <c r="G13" s="52">
        <v>-1310392615</v>
      </c>
      <c r="H13" s="75">
        <v>-5190697</v>
      </c>
      <c r="I13" s="15"/>
      <c r="J13" s="91">
        <v>300000000</v>
      </c>
      <c r="K13" s="15"/>
      <c r="L13" s="15"/>
      <c r="M13" s="15"/>
      <c r="N13" s="15"/>
      <c r="O13" s="15">
        <f t="shared" si="0"/>
        <v>1116914749</v>
      </c>
      <c r="T13" s="23"/>
      <c r="V13" s="23"/>
      <c r="W13" s="1" t="e">
        <f>+W12-W11</f>
        <v>#VALUE!</v>
      </c>
    </row>
    <row r="14" spans="1:23" ht="53.25">
      <c r="A14" s="85" t="s">
        <v>24</v>
      </c>
      <c r="B14" s="80" t="s">
        <v>44</v>
      </c>
      <c r="C14" s="81">
        <v>900</v>
      </c>
      <c r="D14" s="82">
        <v>2</v>
      </c>
      <c r="E14" s="83" t="s">
        <v>64</v>
      </c>
      <c r="F14" s="52">
        <v>520000000</v>
      </c>
      <c r="G14" s="96">
        <v>-2114195091</v>
      </c>
      <c r="H14" s="93">
        <v>-469117</v>
      </c>
      <c r="I14" s="15"/>
      <c r="J14" s="91">
        <v>1914662737</v>
      </c>
      <c r="K14" s="15"/>
      <c r="L14" s="15"/>
      <c r="M14" s="15"/>
      <c r="N14" s="15"/>
      <c r="O14" s="15">
        <f t="shared" si="0"/>
        <v>319998529</v>
      </c>
      <c r="V14" s="23"/>
      <c r="W14" s="1"/>
    </row>
    <row r="15" spans="1:23" ht="42.75">
      <c r="A15" s="85" t="s">
        <v>24</v>
      </c>
      <c r="B15" s="80" t="s">
        <v>45</v>
      </c>
      <c r="C15" s="81">
        <v>900</v>
      </c>
      <c r="D15" s="82">
        <v>1</v>
      </c>
      <c r="E15" s="83" t="s">
        <v>65</v>
      </c>
      <c r="F15" s="52">
        <v>700000000</v>
      </c>
      <c r="G15" s="96">
        <v>-1435581568</v>
      </c>
      <c r="H15" s="75">
        <v>0</v>
      </c>
      <c r="I15" s="15"/>
      <c r="J15" s="91">
        <v>900000000</v>
      </c>
      <c r="K15" s="15"/>
      <c r="L15" s="15"/>
      <c r="M15" s="15"/>
      <c r="N15" s="15"/>
      <c r="O15" s="15">
        <f t="shared" si="0"/>
        <v>164418432</v>
      </c>
      <c r="V15" s="23"/>
      <c r="W15" s="1"/>
    </row>
    <row r="16" spans="1:23" ht="53.25">
      <c r="A16" s="85" t="s">
        <v>24</v>
      </c>
      <c r="B16" s="80" t="s">
        <v>46</v>
      </c>
      <c r="C16" s="81">
        <v>900</v>
      </c>
      <c r="D16" s="82">
        <v>1</v>
      </c>
      <c r="E16" s="84" t="s">
        <v>66</v>
      </c>
      <c r="F16" s="52">
        <f>+'[1]Gastos 2016'!$B$16</f>
        <v>250000000</v>
      </c>
      <c r="G16" s="52">
        <v>-573306</v>
      </c>
      <c r="H16" s="75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3"/>
      <c r="W16" s="1"/>
    </row>
    <row r="17" spans="1:23" ht="32.25">
      <c r="A17" s="85" t="s">
        <v>24</v>
      </c>
      <c r="B17" s="80" t="s">
        <v>46</v>
      </c>
      <c r="C17" s="81">
        <v>900</v>
      </c>
      <c r="D17" s="82">
        <v>2</v>
      </c>
      <c r="E17" s="84" t="s">
        <v>67</v>
      </c>
      <c r="F17" s="52">
        <v>200000000</v>
      </c>
      <c r="G17" s="52">
        <v>-3856237256</v>
      </c>
      <c r="H17" s="75">
        <v>-1050578</v>
      </c>
      <c r="I17" s="15"/>
      <c r="J17" s="91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3"/>
      <c r="W17" s="1"/>
    </row>
    <row r="18" spans="1:23" ht="21.75">
      <c r="A18" s="85"/>
      <c r="B18" s="80"/>
      <c r="C18" s="81"/>
      <c r="D18" s="82"/>
      <c r="E18" s="84" t="s">
        <v>97</v>
      </c>
      <c r="F18" s="52">
        <f aca="true" t="shared" si="2" ref="F18:O18">SUM(F4:F17)</f>
        <v>14570332312</v>
      </c>
      <c r="G18" s="52">
        <f t="shared" si="2"/>
        <v>-11012270523</v>
      </c>
      <c r="H18" s="52">
        <f t="shared" si="2"/>
        <v>-13532513454</v>
      </c>
      <c r="I18" s="52">
        <f t="shared" si="2"/>
        <v>-518682</v>
      </c>
      <c r="J18" s="52">
        <f t="shared" si="2"/>
        <v>13112240595</v>
      </c>
      <c r="K18" s="52">
        <f t="shared" si="2"/>
        <v>771935666</v>
      </c>
      <c r="L18" s="52">
        <f t="shared" si="2"/>
        <v>0</v>
      </c>
      <c r="M18" s="52">
        <f t="shared" si="2"/>
        <v>0</v>
      </c>
      <c r="N18" s="52">
        <f t="shared" si="2"/>
        <v>0</v>
      </c>
      <c r="O18" s="52">
        <f t="shared" si="2"/>
        <v>3909205914</v>
      </c>
      <c r="V18" s="23"/>
      <c r="W18" s="1"/>
    </row>
    <row r="19" spans="1:23" ht="12.75">
      <c r="A19" s="85"/>
      <c r="B19" s="80"/>
      <c r="C19" s="81"/>
      <c r="D19" s="82"/>
      <c r="E19" s="84"/>
      <c r="F19" s="52"/>
      <c r="G19" s="52"/>
      <c r="H19" s="22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3"/>
      <c r="W19" s="1"/>
    </row>
    <row r="20" spans="1:22" ht="22.5">
      <c r="A20" s="85"/>
      <c r="B20" s="80"/>
      <c r="C20" s="81"/>
      <c r="D20" s="82"/>
      <c r="E20" s="88" t="s">
        <v>93</v>
      </c>
      <c r="F20" s="89" t="s">
        <v>1</v>
      </c>
      <c r="G20" s="89" t="s">
        <v>1</v>
      </c>
      <c r="H20" s="89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3"/>
    </row>
    <row r="21" spans="1:15" ht="33.75">
      <c r="A21" s="85" t="s">
        <v>24</v>
      </c>
      <c r="B21" s="80" t="s">
        <v>41</v>
      </c>
      <c r="C21" s="81">
        <v>1</v>
      </c>
      <c r="D21" s="82"/>
      <c r="E21" s="90" t="s">
        <v>83</v>
      </c>
      <c r="F21" s="52">
        <v>0</v>
      </c>
      <c r="G21" s="52">
        <v>0</v>
      </c>
      <c r="H21" s="22">
        <v>0</v>
      </c>
      <c r="I21" s="15">
        <v>-452579556</v>
      </c>
      <c r="J21" s="15"/>
      <c r="K21" s="15"/>
      <c r="L21" s="91">
        <v>4670486343</v>
      </c>
      <c r="M21" s="91">
        <v>350000000</v>
      </c>
      <c r="N21" s="15"/>
      <c r="O21" s="15">
        <f t="shared" si="3"/>
        <v>4567906787</v>
      </c>
    </row>
    <row r="22" spans="1:15" ht="22.5">
      <c r="A22" s="85" t="s">
        <v>24</v>
      </c>
      <c r="B22" s="80" t="s">
        <v>41</v>
      </c>
      <c r="C22" s="81">
        <v>2</v>
      </c>
      <c r="D22" s="82"/>
      <c r="E22" s="90" t="s">
        <v>84</v>
      </c>
      <c r="F22" s="52">
        <v>0</v>
      </c>
      <c r="G22" s="52">
        <v>0</v>
      </c>
      <c r="H22" s="22">
        <v>0</v>
      </c>
      <c r="I22" s="15"/>
      <c r="J22" s="15"/>
      <c r="K22" s="15"/>
      <c r="L22" s="91">
        <v>5138984266</v>
      </c>
      <c r="M22" s="91">
        <v>39000000</v>
      </c>
      <c r="N22" s="15"/>
      <c r="O22" s="15">
        <f t="shared" si="3"/>
        <v>5177984266</v>
      </c>
    </row>
    <row r="23" spans="1:15" ht="22.5">
      <c r="A23" s="85" t="s">
        <v>24</v>
      </c>
      <c r="B23" s="80" t="s">
        <v>41</v>
      </c>
      <c r="C23" s="81">
        <v>3</v>
      </c>
      <c r="D23" s="82"/>
      <c r="E23" s="90" t="s">
        <v>85</v>
      </c>
      <c r="F23" s="52">
        <v>0</v>
      </c>
      <c r="G23" s="52">
        <v>0</v>
      </c>
      <c r="H23" s="22">
        <v>0</v>
      </c>
      <c r="I23" s="15"/>
      <c r="J23" s="15"/>
      <c r="K23" s="15"/>
      <c r="L23" s="91">
        <v>1877233369</v>
      </c>
      <c r="M23" s="15"/>
      <c r="N23" s="15"/>
      <c r="O23" s="15">
        <f t="shared" si="3"/>
        <v>1877233369</v>
      </c>
    </row>
    <row r="24" spans="1:15" ht="45">
      <c r="A24" s="85" t="s">
        <v>24</v>
      </c>
      <c r="B24" s="80" t="s">
        <v>42</v>
      </c>
      <c r="C24" s="81">
        <v>1</v>
      </c>
      <c r="D24" s="82"/>
      <c r="E24" s="90" t="s">
        <v>86</v>
      </c>
      <c r="F24" s="52">
        <v>0</v>
      </c>
      <c r="G24" s="52">
        <v>0</v>
      </c>
      <c r="H24" s="22">
        <v>0</v>
      </c>
      <c r="I24" s="15">
        <v>0</v>
      </c>
      <c r="J24" s="15"/>
      <c r="K24" s="15"/>
      <c r="L24" s="91">
        <v>97010786</v>
      </c>
      <c r="M24" s="91">
        <v>128863196</v>
      </c>
      <c r="N24" s="91">
        <v>2572702</v>
      </c>
      <c r="O24" s="15">
        <f t="shared" si="3"/>
        <v>228446684</v>
      </c>
    </row>
    <row r="25" spans="1:15" ht="56.25">
      <c r="A25" s="85" t="s">
        <v>24</v>
      </c>
      <c r="B25" s="80" t="s">
        <v>42</v>
      </c>
      <c r="C25" s="81">
        <v>2</v>
      </c>
      <c r="D25" s="82"/>
      <c r="E25" s="90" t="s">
        <v>87</v>
      </c>
      <c r="F25" s="52">
        <v>0</v>
      </c>
      <c r="G25" s="52">
        <v>0</v>
      </c>
      <c r="H25" s="22">
        <v>0</v>
      </c>
      <c r="I25" s="15">
        <v>0</v>
      </c>
      <c r="J25" s="15"/>
      <c r="K25" s="15"/>
      <c r="L25" s="91">
        <v>960739105</v>
      </c>
      <c r="M25" s="91">
        <v>188668770</v>
      </c>
      <c r="N25" s="91">
        <v>23894914</v>
      </c>
      <c r="O25" s="15">
        <f t="shared" si="3"/>
        <v>1173302789</v>
      </c>
    </row>
    <row r="26" spans="1:15" ht="22.5">
      <c r="A26" s="85" t="s">
        <v>24</v>
      </c>
      <c r="B26" s="80" t="s">
        <v>43</v>
      </c>
      <c r="C26" s="81">
        <v>1</v>
      </c>
      <c r="D26" s="82"/>
      <c r="E26" s="90" t="s">
        <v>88</v>
      </c>
      <c r="F26" s="52">
        <v>0</v>
      </c>
      <c r="G26" s="77">
        <v>0</v>
      </c>
      <c r="H26" s="22">
        <v>0</v>
      </c>
      <c r="I26" s="15"/>
      <c r="J26" s="91">
        <v>749092163</v>
      </c>
      <c r="K26" s="15"/>
      <c r="L26" s="91">
        <v>4539266111</v>
      </c>
      <c r="M26" s="91">
        <v>2142566</v>
      </c>
      <c r="N26" s="91">
        <v>19369367</v>
      </c>
      <c r="O26" s="15">
        <f t="shared" si="3"/>
        <v>5309870207</v>
      </c>
    </row>
    <row r="27" spans="1:15" ht="33.75">
      <c r="A27" s="85" t="s">
        <v>24</v>
      </c>
      <c r="B27" s="80" t="s">
        <v>43</v>
      </c>
      <c r="C27" s="81">
        <v>2</v>
      </c>
      <c r="D27" s="82"/>
      <c r="E27" s="90" t="s">
        <v>89</v>
      </c>
      <c r="F27" s="52">
        <v>0</v>
      </c>
      <c r="G27" s="52">
        <v>-19369367</v>
      </c>
      <c r="H27" s="22">
        <v>0</v>
      </c>
      <c r="I27" s="15"/>
      <c r="J27" s="15"/>
      <c r="K27" s="15"/>
      <c r="L27" s="91">
        <v>166163600</v>
      </c>
      <c r="M27" s="91"/>
      <c r="N27" s="91"/>
      <c r="O27" s="15">
        <f t="shared" si="3"/>
        <v>146794233</v>
      </c>
    </row>
    <row r="28" spans="1:15" ht="22.5">
      <c r="A28" s="85" t="s">
        <v>24</v>
      </c>
      <c r="B28" s="80" t="s">
        <v>44</v>
      </c>
      <c r="C28" s="81">
        <v>1</v>
      </c>
      <c r="D28" s="82"/>
      <c r="E28" s="90" t="s">
        <v>90</v>
      </c>
      <c r="F28" s="52">
        <v>0</v>
      </c>
      <c r="G28" s="52">
        <v>0</v>
      </c>
      <c r="H28" s="22">
        <f>+F28+G28</f>
        <v>0</v>
      </c>
      <c r="I28" s="15"/>
      <c r="J28" s="15"/>
      <c r="K28" s="15"/>
      <c r="L28" s="91">
        <v>5190697</v>
      </c>
      <c r="M28" s="91">
        <v>963947415</v>
      </c>
      <c r="N28" s="91"/>
      <c r="O28" s="15">
        <f t="shared" si="3"/>
        <v>969138112</v>
      </c>
    </row>
    <row r="29" spans="1:15" ht="22.5">
      <c r="A29" s="85" t="s">
        <v>24</v>
      </c>
      <c r="B29" s="80" t="s">
        <v>45</v>
      </c>
      <c r="C29" s="81">
        <v>1</v>
      </c>
      <c r="D29" s="82"/>
      <c r="E29" s="90" t="s">
        <v>91</v>
      </c>
      <c r="F29" s="52">
        <v>0</v>
      </c>
      <c r="G29" s="52">
        <v>0</v>
      </c>
      <c r="H29" s="22">
        <v>0</v>
      </c>
      <c r="I29" s="15"/>
      <c r="J29" s="15"/>
      <c r="K29" s="15"/>
      <c r="L29" s="91">
        <v>4610085</v>
      </c>
      <c r="M29" s="91">
        <v>363504437</v>
      </c>
      <c r="N29" s="15"/>
      <c r="O29" s="15">
        <f t="shared" si="3"/>
        <v>368114522</v>
      </c>
    </row>
    <row r="30" spans="1:15" ht="22.5">
      <c r="A30" s="85" t="s">
        <v>24</v>
      </c>
      <c r="B30" s="80" t="s">
        <v>45</v>
      </c>
      <c r="C30" s="81">
        <v>2</v>
      </c>
      <c r="D30" s="82"/>
      <c r="E30" s="90" t="s">
        <v>95</v>
      </c>
      <c r="F30" s="52">
        <v>0</v>
      </c>
      <c r="G30" s="52">
        <v>-350000000</v>
      </c>
      <c r="H30" s="22">
        <v>0</v>
      </c>
      <c r="I30" s="15"/>
      <c r="J30" s="15"/>
      <c r="K30" s="15"/>
      <c r="L30" s="91">
        <v>2134602968</v>
      </c>
      <c r="M30" s="91">
        <v>2855109</v>
      </c>
      <c r="N30" s="15"/>
      <c r="O30" s="15">
        <f t="shared" si="3"/>
        <v>1787458077</v>
      </c>
    </row>
    <row r="31" spans="1:15" ht="22.5">
      <c r="A31" s="85" t="s">
        <v>24</v>
      </c>
      <c r="B31" s="80" t="s">
        <v>46</v>
      </c>
      <c r="C31" s="81">
        <v>1</v>
      </c>
      <c r="D31" s="82"/>
      <c r="E31" s="90" t="s">
        <v>92</v>
      </c>
      <c r="F31" s="52">
        <v>0</v>
      </c>
      <c r="G31" s="52">
        <v>0</v>
      </c>
      <c r="H31" s="22">
        <v>0</v>
      </c>
      <c r="I31" s="15"/>
      <c r="J31" s="15"/>
      <c r="K31" s="15"/>
      <c r="L31" s="92">
        <v>469117</v>
      </c>
      <c r="M31" s="91">
        <v>127900000</v>
      </c>
      <c r="N31" s="91">
        <v>2114195091</v>
      </c>
      <c r="O31" s="15">
        <f t="shared" si="3"/>
        <v>2242564208</v>
      </c>
    </row>
    <row r="32" spans="1:15" ht="22.5">
      <c r="A32" s="85" t="s">
        <v>24</v>
      </c>
      <c r="B32" s="80" t="s">
        <v>46</v>
      </c>
      <c r="C32" s="81">
        <v>2</v>
      </c>
      <c r="D32" s="82"/>
      <c r="E32" s="90" t="s">
        <v>94</v>
      </c>
      <c r="F32" s="52">
        <v>0</v>
      </c>
      <c r="G32" s="52">
        <v>0</v>
      </c>
      <c r="H32" s="22">
        <v>0</v>
      </c>
      <c r="I32" s="15"/>
      <c r="J32" s="15"/>
      <c r="K32" s="15"/>
      <c r="L32" s="91">
        <v>1445581568</v>
      </c>
      <c r="M32" s="15"/>
      <c r="N32" s="15"/>
      <c r="O32" s="15">
        <f t="shared" si="3"/>
        <v>1445581568</v>
      </c>
    </row>
    <row r="33" spans="1:15" ht="12.75">
      <c r="A33" s="85"/>
      <c r="B33" s="80"/>
      <c r="C33" s="81"/>
      <c r="D33" s="82"/>
      <c r="E33" s="84"/>
      <c r="F33" s="52"/>
      <c r="G33" s="52"/>
      <c r="H33" s="22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85"/>
      <c r="B34" s="80"/>
      <c r="C34" s="81"/>
      <c r="D34" s="82"/>
      <c r="E34" s="84" t="s">
        <v>96</v>
      </c>
      <c r="F34" s="52">
        <f>SUM(F21:F33)</f>
        <v>0</v>
      </c>
      <c r="G34" s="52">
        <f aca="true" t="shared" si="4" ref="G34:O34">SUM(G21:G33)</f>
        <v>-369369367</v>
      </c>
      <c r="H34" s="52">
        <f t="shared" si="4"/>
        <v>0</v>
      </c>
      <c r="I34" s="52">
        <f t="shared" si="4"/>
        <v>-452579556</v>
      </c>
      <c r="J34" s="52">
        <f t="shared" si="4"/>
        <v>749092163</v>
      </c>
      <c r="K34" s="52">
        <f t="shared" si="4"/>
        <v>0</v>
      </c>
      <c r="L34" s="52">
        <f t="shared" si="4"/>
        <v>21040338015</v>
      </c>
      <c r="M34" s="52">
        <f t="shared" si="4"/>
        <v>2166881493</v>
      </c>
      <c r="N34" s="52">
        <f t="shared" si="4"/>
        <v>2160032074</v>
      </c>
      <c r="O34" s="52">
        <f t="shared" si="4"/>
        <v>25294394822</v>
      </c>
    </row>
    <row r="35" spans="1:15" ht="12.75">
      <c r="A35" s="85" t="s">
        <v>1</v>
      </c>
      <c r="B35" s="80"/>
      <c r="C35" s="81"/>
      <c r="D35" s="82"/>
      <c r="E35" s="56"/>
      <c r="F35" s="52"/>
      <c r="G35" s="52" t="s">
        <v>1</v>
      </c>
      <c r="H35" s="22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86"/>
      <c r="B36" s="80"/>
      <c r="C36" s="81"/>
      <c r="D36" s="82"/>
      <c r="E36" s="56" t="s">
        <v>69</v>
      </c>
      <c r="F36" s="52">
        <f>+F18+F34</f>
        <v>14570332312</v>
      </c>
      <c r="G36" s="52">
        <f aca="true" t="shared" si="5" ref="G36:O36">+G18+G34</f>
        <v>-11381639890</v>
      </c>
      <c r="H36" s="52">
        <f t="shared" si="5"/>
        <v>-13532513454</v>
      </c>
      <c r="I36" s="52">
        <f t="shared" si="5"/>
        <v>-453098238</v>
      </c>
      <c r="J36" s="52">
        <f t="shared" si="5"/>
        <v>13861332758</v>
      </c>
      <c r="K36" s="52">
        <f t="shared" si="5"/>
        <v>771935666</v>
      </c>
      <c r="L36" s="52">
        <f t="shared" si="5"/>
        <v>21040338015</v>
      </c>
      <c r="M36" s="52">
        <f t="shared" si="5"/>
        <v>2166881493</v>
      </c>
      <c r="N36" s="52">
        <f t="shared" si="5"/>
        <v>2160032074</v>
      </c>
      <c r="O36" s="52">
        <f t="shared" si="5"/>
        <v>29203600736</v>
      </c>
    </row>
    <row r="37" spans="1:15" ht="12.75">
      <c r="A37" s="54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2020-01-31T12:55:49Z</cp:lastPrinted>
  <dcterms:created xsi:type="dcterms:W3CDTF">2007-01-13T18:42:48Z</dcterms:created>
  <dcterms:modified xsi:type="dcterms:W3CDTF">2020-02-22T19:45:49Z</dcterms:modified>
  <cp:category/>
  <cp:version/>
  <cp:contentType/>
  <cp:contentStatus/>
</cp:coreProperties>
</file>