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2017\ejeuciones\junio\"/>
    </mc:Choice>
  </mc:AlternateContent>
  <bookViews>
    <workbookView xWindow="0" yWindow="0" windowWidth="24000" windowHeight="9135"/>
  </bookViews>
  <sheets>
    <sheet name="Hoja1" sheetId="1" r:id="rId1"/>
    <sheet name="Hoja2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8" i="1"/>
  <c r="G27" i="1"/>
  <c r="G15" i="1"/>
  <c r="G14" i="1"/>
  <c r="G20" i="1"/>
  <c r="G23" i="1"/>
  <c r="G195" i="1"/>
  <c r="G31" i="1"/>
  <c r="F21" i="1" l="1"/>
  <c r="G13" i="1" l="1"/>
  <c r="K178" i="1" l="1"/>
  <c r="G176" i="1"/>
  <c r="F180" i="1"/>
  <c r="F183" i="1" s="1"/>
  <c r="F176" i="1"/>
  <c r="F177" i="1" s="1"/>
  <c r="K176" i="1" l="1"/>
  <c r="F182" i="1"/>
  <c r="F184" i="1" s="1"/>
  <c r="K43" i="1" l="1"/>
  <c r="J34" i="1" l="1"/>
  <c r="G36" i="1"/>
  <c r="E39" i="1" l="1"/>
  <c r="E38" i="1"/>
  <c r="E37" i="1"/>
  <c r="E36" i="1"/>
  <c r="G25" i="1" l="1"/>
  <c r="B5" i="2" l="1"/>
  <c r="A3" i="2"/>
  <c r="A2" i="2"/>
  <c r="A1" i="2"/>
  <c r="A4" i="2" l="1"/>
  <c r="A5" i="2" s="1"/>
  <c r="F24" i="1" l="1"/>
  <c r="F16" i="1"/>
  <c r="J16" i="1" s="1"/>
  <c r="F30" i="1"/>
  <c r="J30" i="1" s="1"/>
  <c r="F29" i="1"/>
  <c r="F27" i="1"/>
  <c r="J27" i="1" s="1"/>
  <c r="F26" i="1"/>
  <c r="J26" i="1" s="1"/>
  <c r="F23" i="1"/>
  <c r="J23" i="1" s="1"/>
  <c r="F20" i="1"/>
  <c r="J20" i="1" s="1"/>
  <c r="F15" i="1"/>
  <c r="J15" i="1" s="1"/>
  <c r="F14" i="1"/>
  <c r="J14" i="1" s="1"/>
  <c r="F10" i="1"/>
  <c r="J10" i="1" s="1"/>
  <c r="G9" i="1"/>
  <c r="G8" i="1" s="1"/>
  <c r="E25" i="1"/>
  <c r="E22" i="1" s="1"/>
  <c r="E13" i="1"/>
  <c r="E12" i="1" s="1"/>
  <c r="E9" i="1"/>
  <c r="E8" i="1" s="1"/>
  <c r="F31" i="1"/>
  <c r="C31" i="1"/>
  <c r="B31" i="1"/>
  <c r="F28" i="1"/>
  <c r="J28" i="1" s="1"/>
  <c r="C27" i="1"/>
  <c r="C26" i="1"/>
  <c r="B25" i="1"/>
  <c r="B22" i="1" s="1"/>
  <c r="C21" i="1"/>
  <c r="B21" i="1"/>
  <c r="C20" i="1"/>
  <c r="F19" i="1"/>
  <c r="J19" i="1" s="1"/>
  <c r="C19" i="1"/>
  <c r="F18" i="1"/>
  <c r="J18" i="1" s="1"/>
  <c r="C17" i="1"/>
  <c r="F17" i="1" s="1"/>
  <c r="J17" i="1" s="1"/>
  <c r="C15" i="1"/>
  <c r="C14" i="1"/>
  <c r="B13" i="1"/>
  <c r="F11" i="1"/>
  <c r="J11" i="1" s="1"/>
  <c r="D9" i="1"/>
  <c r="D8" i="1" s="1"/>
  <c r="C9" i="1"/>
  <c r="B9" i="1"/>
  <c r="E7" i="1" l="1"/>
  <c r="E6" i="1" s="1"/>
  <c r="E32" i="1" s="1"/>
  <c r="I18" i="1"/>
  <c r="K177" i="1"/>
  <c r="J31" i="1"/>
  <c r="I29" i="1"/>
  <c r="J29" i="1"/>
  <c r="H20" i="1"/>
  <c r="K20" i="1"/>
  <c r="I23" i="1"/>
  <c r="K23" i="1"/>
  <c r="H26" i="1"/>
  <c r="K26" i="1"/>
  <c r="H18" i="1"/>
  <c r="K18" i="1"/>
  <c r="E35" i="1"/>
  <c r="D39" i="1"/>
  <c r="F39" i="1" s="1"/>
  <c r="K29" i="1"/>
  <c r="I11" i="1"/>
  <c r="K11" i="1"/>
  <c r="I14" i="1"/>
  <c r="G40" i="1"/>
  <c r="D36" i="1"/>
  <c r="F36" i="1" s="1"/>
  <c r="K14" i="1"/>
  <c r="H29" i="1"/>
  <c r="I31" i="1"/>
  <c r="K31" i="1"/>
  <c r="I15" i="1"/>
  <c r="D37" i="1"/>
  <c r="F37" i="1" s="1"/>
  <c r="K15" i="1"/>
  <c r="H17" i="1"/>
  <c r="J35" i="1"/>
  <c r="K17" i="1"/>
  <c r="K16" i="1"/>
  <c r="I27" i="1"/>
  <c r="K27" i="1"/>
  <c r="H28" i="1"/>
  <c r="K28" i="1"/>
  <c r="H10" i="1"/>
  <c r="K10" i="1"/>
  <c r="I30" i="1"/>
  <c r="K30" i="1"/>
  <c r="D38" i="1"/>
  <c r="F38" i="1" s="1"/>
  <c r="H19" i="1"/>
  <c r="K19" i="1"/>
  <c r="I17" i="1"/>
  <c r="H11" i="1"/>
  <c r="I19" i="1"/>
  <c r="I20" i="1"/>
  <c r="I26" i="1"/>
  <c r="I28" i="1"/>
  <c r="I16" i="1"/>
  <c r="H16" i="1"/>
  <c r="H14" i="1"/>
  <c r="H23" i="1"/>
  <c r="I10" i="1"/>
  <c r="H15" i="1"/>
  <c r="H30" i="1"/>
  <c r="H27" i="1"/>
  <c r="H31" i="1"/>
  <c r="F9" i="1"/>
  <c r="F8" i="1" s="1"/>
  <c r="K8" i="1" s="1"/>
  <c r="C13" i="1"/>
  <c r="D25" i="1"/>
  <c r="C25" i="1"/>
  <c r="C22" i="1" s="1"/>
  <c r="B32" i="1"/>
  <c r="D13" i="1"/>
  <c r="D12" i="1" s="1"/>
  <c r="D7" i="1" s="1"/>
  <c r="G22" i="1" l="1"/>
  <c r="K9" i="1"/>
  <c r="J9" i="1"/>
  <c r="J8" i="1" s="1"/>
  <c r="D22" i="1"/>
  <c r="D6" i="1" s="1"/>
  <c r="D32" i="1" s="1"/>
  <c r="K24" i="1"/>
  <c r="J24" i="1"/>
  <c r="I9" i="1"/>
  <c r="H9" i="1"/>
  <c r="D35" i="1"/>
  <c r="F35" i="1" s="1"/>
  <c r="F25" i="1"/>
  <c r="J25" i="1" s="1"/>
  <c r="C32" i="1"/>
  <c r="F13" i="1"/>
  <c r="J13" i="1" l="1"/>
  <c r="F12" i="1"/>
  <c r="F7" i="1" s="1"/>
  <c r="F22" i="1"/>
  <c r="J22" i="1" s="1"/>
  <c r="K13" i="1"/>
  <c r="K25" i="1"/>
  <c r="I25" i="1"/>
  <c r="H25" i="1"/>
  <c r="I13" i="1"/>
  <c r="H13" i="1"/>
  <c r="E175" i="1"/>
  <c r="F6" i="1" l="1"/>
  <c r="K22" i="1"/>
  <c r="H22" i="1"/>
  <c r="I22" i="1"/>
  <c r="F32" i="1" l="1"/>
  <c r="F33" i="1" l="1"/>
  <c r="G38" i="1" s="1"/>
  <c r="G39" i="1" s="1"/>
  <c r="G41" i="1" s="1"/>
  <c r="J41" i="1" s="1"/>
  <c r="K21" i="1" l="1"/>
  <c r="J21" i="1"/>
  <c r="J12" i="1" s="1"/>
  <c r="H21" i="1"/>
  <c r="H12" i="1" s="1"/>
  <c r="I21" i="1"/>
  <c r="I12" i="1" s="1"/>
  <c r="G12" i="1"/>
  <c r="G7" i="1" s="1"/>
  <c r="J7" i="1" l="1"/>
  <c r="G6" i="1"/>
  <c r="J6" i="1" s="1"/>
  <c r="K7" i="1"/>
  <c r="K12" i="1"/>
  <c r="G32" i="1" l="1"/>
  <c r="G196" i="1" s="1"/>
  <c r="K6" i="1"/>
  <c r="H32" i="1" l="1"/>
  <c r="J32" i="1"/>
  <c r="K32" i="1"/>
  <c r="G178" i="1"/>
  <c r="G179" i="1" s="1"/>
  <c r="I32" i="1"/>
  <c r="G33" i="1"/>
  <c r="G34" i="1" s="1"/>
</calcChain>
</file>

<file path=xl/sharedStrings.xml><?xml version="1.0" encoding="utf-8"?>
<sst xmlns="http://schemas.openxmlformats.org/spreadsheetml/2006/main" count="66" uniqueCount="46">
  <si>
    <t>CORPORACION AUTONOMA REGIONAL DEL ALTO MAGDALENA CAM</t>
  </si>
  <si>
    <t xml:space="preserve"> </t>
  </si>
  <si>
    <t>CONCEPTO</t>
  </si>
  <si>
    <t>VALOR PRESUPUESTADO</t>
  </si>
  <si>
    <t>EJECUCION  NOVIEMBRE 15</t>
  </si>
  <si>
    <t>PORCENTAJE SOBRETASA IMPREDIAL</t>
  </si>
  <si>
    <t>NEIVA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</si>
  <si>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</si>
  <si>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</si>
  <si>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</si>
  <si>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</si>
  <si>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</si>
  <si>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</si>
  <si>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</si>
  <si>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</si>
  <si>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</si>
  <si>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</si>
  <si>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</si>
  <si>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</si>
  <si>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</si>
  <si>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>INGRESOS NACION</t>
  </si>
  <si>
    <t>PRESUPUESTO INICIAL</t>
  </si>
  <si>
    <t>MODIFICACIONES</t>
  </si>
  <si>
    <t>PRESUPUESTO DEFINITIVO</t>
  </si>
  <si>
    <t>RECAUDOS</t>
  </si>
  <si>
    <t>SALDO POR RECAUDAR</t>
  </si>
  <si>
    <t>% DE RECAUDO</t>
  </si>
  <si>
    <t>EXC EDENTES FINANCIEROS</t>
  </si>
  <si>
    <t>% DE EJECUCION</t>
  </si>
  <si>
    <t>predial</t>
  </si>
  <si>
    <t>aguas</t>
  </si>
  <si>
    <t>tr</t>
  </si>
  <si>
    <t>tse</t>
  </si>
  <si>
    <t>multas</t>
  </si>
  <si>
    <t>%</t>
  </si>
  <si>
    <t>RENTA</t>
  </si>
  <si>
    <t>PRESUPUESTADO</t>
  </si>
  <si>
    <t>EJECUTADO</t>
  </si>
  <si>
    <t>MUNICIPIOS</t>
  </si>
  <si>
    <t>INGRESOS PROPIOS</t>
  </si>
  <si>
    <t>INGRESOS CORRIENTES</t>
  </si>
  <si>
    <t>TRIBUTARIOS</t>
  </si>
  <si>
    <t>NO TRIBUTARIOS</t>
  </si>
  <si>
    <t>TOTAL PRESUPUESTO 2015</t>
  </si>
  <si>
    <t xml:space="preserve">  </t>
  </si>
  <si>
    <t>EJECUCION PRESUPUESTAL  DE INGRESOS A JUNIO 30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</si>
</sst>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3" fillId="0" borderId="2" xfId="0" applyNumberFormat="1" applyFont="1" applyFill="1" applyBorder="1"/>
    <xf numFmtId="3" fontId="2" fillId="0" borderId="4" xfId="0" applyNumberFormat="1" applyFont="1" applyFill="1" applyBorder="1" applyAlignment="1">
      <alignment wrapText="1"/>
    </xf>
    <xf numFmtId="3" fontId="0" fillId="0" borderId="0" xfId="0" applyNumberFormat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5" fillId="0" borderId="4" xfId="0" applyNumberFormat="1" applyFont="1" applyFill="1" applyBorder="1"/>
    <xf numFmtId="3" fontId="6" fillId="0" borderId="4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" fontId="0" fillId="0" borderId="0" xfId="0" applyNumberFormat="1" applyProtection="1"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4" fontId="0" fillId="0" borderId="4" xfId="0" applyNumberFormat="1" applyFill="1" applyBorder="1" applyProtection="1">
      <protection locked="0"/>
    </xf>
    <xf numFmtId="0" fontId="0" fillId="0" borderId="4" xfId="0" applyFill="1" applyBorder="1"/>
    <xf numFmtId="3" fontId="1" fillId="0" borderId="4" xfId="0" applyNumberFormat="1" applyFont="1" applyFill="1" applyBorder="1"/>
    <xf numFmtId="4" fontId="1" fillId="0" borderId="5" xfId="0" applyNumberFormat="1" applyFont="1" applyFill="1" applyBorder="1"/>
    <xf numFmtId="3" fontId="1" fillId="0" borderId="5" xfId="0" applyNumberFormat="1" applyFont="1" applyFill="1" applyBorder="1"/>
    <xf numFmtId="3" fontId="0" fillId="0" borderId="4" xfId="0" applyNumberFormat="1" applyFill="1" applyBorder="1"/>
    <xf numFmtId="4" fontId="0" fillId="0" borderId="5" xfId="0" applyNumberFormat="1" applyFill="1" applyBorder="1"/>
    <xf numFmtId="3" fontId="1" fillId="0" borderId="2" xfId="0" applyNumberFormat="1" applyFont="1" applyFill="1" applyBorder="1"/>
    <xf numFmtId="4" fontId="1" fillId="0" borderId="6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 applyProtection="1">
      <protection locked="0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" fontId="0" fillId="0" borderId="4" xfId="0" applyNumberFormat="1" applyFill="1" applyBorder="1"/>
    <xf numFmtId="4" fontId="0" fillId="0" borderId="0" xfId="0" applyNumberFormat="1" applyFill="1"/>
    <xf numFmtId="0" fontId="1" fillId="0" borderId="4" xfId="0" applyFont="1" applyFill="1" applyBorder="1"/>
    <xf numFmtId="0" fontId="1" fillId="0" borderId="5" xfId="0" applyFont="1" applyFill="1" applyBorder="1"/>
    <xf numFmtId="4" fontId="1" fillId="0" borderId="4" xfId="0" applyNumberFormat="1" applyFont="1" applyFill="1" applyBorder="1" applyProtection="1">
      <protection locked="0"/>
    </xf>
    <xf numFmtId="0" fontId="1" fillId="0" borderId="0" xfId="0" applyFont="1"/>
    <xf numFmtId="4" fontId="0" fillId="0" borderId="0" xfId="0" applyNumberFormat="1"/>
    <xf numFmtId="3" fontId="0" fillId="2" borderId="0" xfId="0" applyNumberForma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barrera\Documents\presupuesto2013\ejecuciones\ejeucioningresosseptiembre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barrera.CAM\Documents\presupuesto2014\EJECUCIONES\EJECUCION%20PRESUPUESTALDEINGRESOSAjuni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0">
          <cell r="C40">
            <v>1637500000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0">
          <cell r="G30">
            <v>51846650.5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topLeftCell="A31" workbookViewId="0">
      <selection activeCell="G195" sqref="G195"/>
    </sheetView>
  </sheetViews>
  <sheetFormatPr baseColWidth="10" defaultRowHeight="15" x14ac:dyDescent="0.25"/>
  <cols>
    <col min="1" max="1" width="42.42578125" customWidth="1"/>
    <col min="2" max="2" width="20.5703125" hidden="1" customWidth="1"/>
    <col min="3" max="3" width="0" hidden="1" customWidth="1"/>
    <col min="4" max="4" width="19.28515625" customWidth="1"/>
    <col min="5" max="5" width="19.5703125" customWidth="1"/>
    <col min="6" max="6" width="22.85546875" customWidth="1"/>
    <col min="7" max="7" width="20.140625" customWidth="1"/>
    <col min="8" max="8" width="20.28515625" hidden="1" customWidth="1"/>
    <col min="9" max="9" width="0" hidden="1" customWidth="1"/>
    <col min="10" max="10" width="18.140625" customWidth="1"/>
    <col min="11" max="11" width="17.140625" style="17" customWidth="1"/>
    <col min="12" max="12" width="13.42578125" bestFit="1" customWidth="1"/>
  </cols>
  <sheetData>
    <row r="1" spans="1:12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2" x14ac:dyDescent="0.25">
      <c r="A2" s="44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20"/>
      <c r="K3" s="21"/>
    </row>
    <row r="4" spans="1:12" x14ac:dyDescent="0.25">
      <c r="A4" s="19"/>
      <c r="B4" s="10"/>
      <c r="C4" s="20" t="s">
        <v>1</v>
      </c>
      <c r="D4" s="20"/>
      <c r="E4" s="22"/>
      <c r="F4" s="22"/>
      <c r="G4" s="22"/>
      <c r="H4" s="22"/>
      <c r="I4" s="22"/>
      <c r="J4" s="22"/>
      <c r="K4" s="21"/>
    </row>
    <row r="5" spans="1:12" ht="60" x14ac:dyDescent="0.25">
      <c r="A5" s="12" t="s">
        <v>2</v>
      </c>
      <c r="B5" s="10" t="s">
        <v>3</v>
      </c>
      <c r="C5" s="11" t="s">
        <v>4</v>
      </c>
      <c r="D5" s="11" t="s">
        <v>21</v>
      </c>
      <c r="E5" s="11" t="s">
        <v>22</v>
      </c>
      <c r="F5" s="11" t="s">
        <v>23</v>
      </c>
      <c r="G5" s="11" t="s">
        <v>24</v>
      </c>
      <c r="H5" s="11" t="s">
        <v>25</v>
      </c>
      <c r="I5" s="16" t="s">
        <v>26</v>
      </c>
      <c r="J5" s="16" t="s">
        <v>25</v>
      </c>
      <c r="K5" s="18" t="s">
        <v>28</v>
      </c>
    </row>
    <row r="6" spans="1:12" x14ac:dyDescent="0.25">
      <c r="A6" s="3" t="s">
        <v>39</v>
      </c>
      <c r="B6" s="6"/>
      <c r="C6" s="2" t="s">
        <v>1</v>
      </c>
      <c r="D6" s="8">
        <f>+D7+D22</f>
        <v>23537443205</v>
      </c>
      <c r="E6" s="8">
        <f>+E7+E22</f>
        <v>7783475405</v>
      </c>
      <c r="F6" s="8">
        <f>+F7+F22</f>
        <v>31320918610</v>
      </c>
      <c r="G6" s="8">
        <f>+G7+G22</f>
        <v>20563301819</v>
      </c>
      <c r="H6" s="37"/>
      <c r="I6" s="38"/>
      <c r="J6" s="25">
        <f>+F6-G6</f>
        <v>10757616791</v>
      </c>
      <c r="K6" s="39">
        <f>+G6/F6*100</f>
        <v>65.653571898860733</v>
      </c>
    </row>
    <row r="7" spans="1:12" x14ac:dyDescent="0.25">
      <c r="A7" s="3" t="s">
        <v>40</v>
      </c>
      <c r="B7" s="6"/>
      <c r="C7" s="2"/>
      <c r="D7" s="8">
        <f>+D8+D12</f>
        <v>19011592341</v>
      </c>
      <c r="E7" s="8">
        <f>+E8+E12</f>
        <v>0</v>
      </c>
      <c r="F7" s="8">
        <f>+F8+F12</f>
        <v>19011592341</v>
      </c>
      <c r="G7" s="8">
        <f>+G8+G12</f>
        <v>8675071496</v>
      </c>
      <c r="H7" s="37"/>
      <c r="I7" s="38"/>
      <c r="J7" s="25">
        <f>+F7-G7</f>
        <v>10336520845</v>
      </c>
      <c r="K7" s="39">
        <f>+G7/F7*100</f>
        <v>45.630430846613109</v>
      </c>
    </row>
    <row r="8" spans="1:12" x14ac:dyDescent="0.25">
      <c r="A8" s="3" t="s">
        <v>41</v>
      </c>
      <c r="B8" s="6"/>
      <c r="C8" s="2"/>
      <c r="D8" s="8">
        <f>+D9</f>
        <v>8557612194</v>
      </c>
      <c r="E8" s="23">
        <f>+E9</f>
        <v>0</v>
      </c>
      <c r="F8" s="23">
        <f>+F9</f>
        <v>8557612194</v>
      </c>
      <c r="G8" s="23">
        <f>+G9</f>
        <v>5881774281</v>
      </c>
      <c r="H8" s="37"/>
      <c r="I8" s="38"/>
      <c r="J8" s="25">
        <f>+J9</f>
        <v>2675837913</v>
      </c>
      <c r="K8" s="21">
        <f>+G8/F8*100</f>
        <v>68.731488967493632</v>
      </c>
      <c r="L8" s="40"/>
    </row>
    <row r="9" spans="1:12" x14ac:dyDescent="0.25">
      <c r="A9" s="3" t="s">
        <v>5</v>
      </c>
      <c r="B9" s="8">
        <f>+B10+B11</f>
        <v>3990720028</v>
      </c>
      <c r="C9" s="8">
        <f>+C10+C11</f>
        <v>5773324426</v>
      </c>
      <c r="D9" s="8">
        <f>+D10+D11</f>
        <v>8557612194</v>
      </c>
      <c r="E9" s="8">
        <f>+E10+E11</f>
        <v>0</v>
      </c>
      <c r="F9" s="8">
        <f>+D9+E9</f>
        <v>8557612194</v>
      </c>
      <c r="G9" s="8">
        <f>+G10+G11</f>
        <v>5881774281</v>
      </c>
      <c r="H9" s="23">
        <f>+F9-G9</f>
        <v>2675837913</v>
      </c>
      <c r="I9" s="24">
        <f>+G9/F9*100</f>
        <v>68.731488967493632</v>
      </c>
      <c r="J9" s="25">
        <f>+F9-G9</f>
        <v>2675837913</v>
      </c>
      <c r="K9" s="21">
        <f>+G9/F9*100</f>
        <v>68.731488967493632</v>
      </c>
    </row>
    <row r="10" spans="1:12" x14ac:dyDescent="0.25">
      <c r="A10" s="1" t="s">
        <v>6</v>
      </c>
      <c r="B10" s="2">
        <v>2554571331</v>
      </c>
      <c r="C10" s="2">
        <v>3982615749</v>
      </c>
      <c r="D10" s="2">
        <v>5965625000</v>
      </c>
      <c r="E10" s="2">
        <v>0</v>
      </c>
      <c r="F10" s="2">
        <f t="shared" ref="F10:F31" si="0">+D10+E10</f>
        <v>5965625000</v>
      </c>
      <c r="G10" s="14">
        <v>3958350960</v>
      </c>
      <c r="H10" s="26">
        <f t="shared" ref="H10:H32" si="1">+F10-G10</f>
        <v>2007274040</v>
      </c>
      <c r="I10" s="27">
        <f t="shared" ref="I10:I32" si="2">+G10/F10*100</f>
        <v>66.352661456259824</v>
      </c>
      <c r="J10" s="25">
        <f t="shared" ref="J10:J32" si="3">+F10-G10</f>
        <v>2007274040</v>
      </c>
      <c r="K10" s="21">
        <f t="shared" ref="K10:K30" si="4">+G10/F10*100</f>
        <v>66.352661456259824</v>
      </c>
    </row>
    <row r="11" spans="1:12" x14ac:dyDescent="0.25">
      <c r="A11" s="1" t="s">
        <v>38</v>
      </c>
      <c r="B11" s="2">
        <v>1436148697</v>
      </c>
      <c r="C11" s="2">
        <v>1790708677</v>
      </c>
      <c r="D11" s="2">
        <v>2591987194</v>
      </c>
      <c r="E11" s="2">
        <v>0</v>
      </c>
      <c r="F11" s="2">
        <f t="shared" si="0"/>
        <v>2591987194</v>
      </c>
      <c r="G11" s="14">
        <v>1923423321</v>
      </c>
      <c r="H11" s="26">
        <f t="shared" si="1"/>
        <v>668563873</v>
      </c>
      <c r="I11" s="27">
        <f t="shared" si="2"/>
        <v>74.206513267210227</v>
      </c>
      <c r="J11" s="25">
        <f t="shared" si="3"/>
        <v>668563873</v>
      </c>
      <c r="K11" s="21">
        <f t="shared" si="4"/>
        <v>74.206513267210227</v>
      </c>
    </row>
    <row r="12" spans="1:12" x14ac:dyDescent="0.25">
      <c r="A12" s="3" t="s">
        <v>42</v>
      </c>
      <c r="B12" s="8"/>
      <c r="C12" s="8"/>
      <c r="D12" s="8">
        <f>+D13+D19+D20+D21</f>
        <v>10453980147</v>
      </c>
      <c r="E12" s="8">
        <f t="shared" ref="E12:J12" si="5">+E13+E19+E20+E21</f>
        <v>0</v>
      </c>
      <c r="F12" s="8">
        <f t="shared" si="5"/>
        <v>10453980147</v>
      </c>
      <c r="G12" s="8">
        <f t="shared" si="5"/>
        <v>2793297215</v>
      </c>
      <c r="H12" s="8">
        <f t="shared" si="5"/>
        <v>7660682932</v>
      </c>
      <c r="I12" s="8" t="e">
        <f t="shared" si="5"/>
        <v>#DIV/0!</v>
      </c>
      <c r="J12" s="8">
        <f t="shared" si="5"/>
        <v>7660682932</v>
      </c>
      <c r="K12" s="8">
        <f>+G12/D12*100</f>
        <v>26.719939924523374</v>
      </c>
    </row>
    <row r="13" spans="1:12" x14ac:dyDescent="0.25">
      <c r="A13" s="3" t="s">
        <v>7</v>
      </c>
      <c r="B13" s="8">
        <f t="shared" ref="B13:D13" si="6">SUM(B14:B18)</f>
        <v>4083130951</v>
      </c>
      <c r="C13" s="8">
        <f t="shared" si="6"/>
        <v>2572031685</v>
      </c>
      <c r="D13" s="8">
        <f t="shared" si="6"/>
        <v>3923275206</v>
      </c>
      <c r="E13" s="8">
        <f t="shared" ref="E13" si="7">SUM(E14:E18)</f>
        <v>0</v>
      </c>
      <c r="F13" s="8">
        <f t="shared" si="0"/>
        <v>3923275206</v>
      </c>
      <c r="G13" s="15">
        <f>SUM(G14:G18)-1</f>
        <v>1148474116</v>
      </c>
      <c r="H13" s="23">
        <f t="shared" si="1"/>
        <v>2774801090</v>
      </c>
      <c r="I13" s="24">
        <f t="shared" si="2"/>
        <v>29.273350853480757</v>
      </c>
      <c r="J13" s="25">
        <f t="shared" si="3"/>
        <v>2774801090</v>
      </c>
      <c r="K13" s="21">
        <f t="shared" si="4"/>
        <v>29.273350853480757</v>
      </c>
    </row>
    <row r="14" spans="1:12" x14ac:dyDescent="0.25">
      <c r="A14" s="1" t="s">
        <v>8</v>
      </c>
      <c r="B14" s="2">
        <v>1482000000</v>
      </c>
      <c r="C14" s="2">
        <f>540317343+300000000</f>
        <v>840317343</v>
      </c>
      <c r="D14" s="2">
        <v>1237800348</v>
      </c>
      <c r="E14" s="2">
        <v>0</v>
      </c>
      <c r="F14" s="2">
        <f t="shared" si="0"/>
        <v>1237800348</v>
      </c>
      <c r="G14" s="14">
        <f>201080183-72000</f>
        <v>201008183</v>
      </c>
      <c r="H14" s="26">
        <f t="shared" si="1"/>
        <v>1036792165</v>
      </c>
      <c r="I14" s="27">
        <f t="shared" si="2"/>
        <v>16.239144166083236</v>
      </c>
      <c r="J14" s="25">
        <f t="shared" si="3"/>
        <v>1036792165</v>
      </c>
      <c r="K14" s="21">
        <f t="shared" si="4"/>
        <v>16.239144166083236</v>
      </c>
    </row>
    <row r="15" spans="1:12" ht="29.25" x14ac:dyDescent="0.25">
      <c r="A15" s="1" t="s">
        <v>9</v>
      </c>
      <c r="B15" s="2">
        <v>1607000000</v>
      </c>
      <c r="C15" s="2">
        <f>934639741+300000000</f>
        <v>1234639741</v>
      </c>
      <c r="D15" s="2">
        <v>989495721</v>
      </c>
      <c r="E15" s="2">
        <v>0</v>
      </c>
      <c r="F15" s="2">
        <f t="shared" si="0"/>
        <v>989495721</v>
      </c>
      <c r="G15" s="14">
        <f>322046227-361101-217530</f>
        <v>321467596</v>
      </c>
      <c r="H15" s="26">
        <f t="shared" si="1"/>
        <v>668028125</v>
      </c>
      <c r="I15" s="27">
        <f t="shared" si="2"/>
        <v>32.48802285624032</v>
      </c>
      <c r="J15" s="25">
        <f t="shared" si="3"/>
        <v>668028125</v>
      </c>
      <c r="K15" s="21">
        <f t="shared" si="4"/>
        <v>32.48802285624032</v>
      </c>
      <c r="L15" s="42" t="s">
        <v>1</v>
      </c>
    </row>
    <row r="16" spans="1:12" x14ac:dyDescent="0.25">
      <c r="A16" s="1" t="s">
        <v>10</v>
      </c>
      <c r="B16" s="2">
        <v>600000000</v>
      </c>
      <c r="C16" s="2">
        <v>153157235</v>
      </c>
      <c r="D16" s="2">
        <v>338558803</v>
      </c>
      <c r="E16" s="2">
        <v>0</v>
      </c>
      <c r="F16" s="2">
        <f>+D16+E16</f>
        <v>338558803</v>
      </c>
      <c r="G16" s="14">
        <v>95460308</v>
      </c>
      <c r="H16" s="26">
        <f t="shared" si="1"/>
        <v>243098495</v>
      </c>
      <c r="I16" s="27">
        <f t="shared" si="2"/>
        <v>28.196079131340738</v>
      </c>
      <c r="J16" s="25">
        <f t="shared" si="3"/>
        <v>243098495</v>
      </c>
      <c r="K16" s="21">
        <f t="shared" si="4"/>
        <v>28.196079131340738</v>
      </c>
    </row>
    <row r="17" spans="1:12" x14ac:dyDescent="0.25">
      <c r="A17" s="1" t="s">
        <v>11</v>
      </c>
      <c r="B17" s="2">
        <v>42000000</v>
      </c>
      <c r="C17" s="2">
        <f>7081824+62162613</f>
        <v>69244437</v>
      </c>
      <c r="D17" s="2">
        <v>507495478</v>
      </c>
      <c r="E17" s="2">
        <v>0</v>
      </c>
      <c r="F17" s="2">
        <f t="shared" si="0"/>
        <v>507495478</v>
      </c>
      <c r="G17" s="14">
        <v>102754447</v>
      </c>
      <c r="H17" s="26">
        <f t="shared" si="1"/>
        <v>404741031</v>
      </c>
      <c r="I17" s="27">
        <f t="shared" si="2"/>
        <v>20.247362085854881</v>
      </c>
      <c r="J17" s="25">
        <f t="shared" si="3"/>
        <v>404741031</v>
      </c>
      <c r="K17" s="21">
        <f t="shared" si="4"/>
        <v>20.247362085854881</v>
      </c>
    </row>
    <row r="18" spans="1:12" x14ac:dyDescent="0.25">
      <c r="A18" s="1" t="s">
        <v>12</v>
      </c>
      <c r="B18" s="2">
        <v>352130951</v>
      </c>
      <c r="C18" s="2">
        <v>274672929</v>
      </c>
      <c r="D18" s="2">
        <v>849924856</v>
      </c>
      <c r="E18" s="2">
        <v>0</v>
      </c>
      <c r="F18" s="2">
        <f t="shared" si="0"/>
        <v>849924856</v>
      </c>
      <c r="G18" s="14">
        <v>427783583</v>
      </c>
      <c r="H18" s="26">
        <f t="shared" si="1"/>
        <v>422141273</v>
      </c>
      <c r="I18" s="27">
        <f t="shared" si="2"/>
        <v>50.331929932403341</v>
      </c>
      <c r="J18" s="25">
        <f t="shared" si="3"/>
        <v>422141273</v>
      </c>
      <c r="K18" s="21">
        <f t="shared" si="4"/>
        <v>50.331929932403341</v>
      </c>
    </row>
    <row r="19" spans="1:12" ht="30" x14ac:dyDescent="0.25">
      <c r="A19" s="3" t="s">
        <v>13</v>
      </c>
      <c r="B19" s="8">
        <v>3559746688</v>
      </c>
      <c r="C19" s="8">
        <f>2340876848+405356184</f>
        <v>2746233032</v>
      </c>
      <c r="D19" s="8">
        <v>6468644284</v>
      </c>
      <c r="E19" s="8">
        <v>0</v>
      </c>
      <c r="F19" s="8">
        <f t="shared" si="0"/>
        <v>6468644284</v>
      </c>
      <c r="G19" s="15">
        <f>1655589001-47502394</f>
        <v>1608086607</v>
      </c>
      <c r="H19" s="23">
        <f t="shared" si="1"/>
        <v>4860557677</v>
      </c>
      <c r="I19" s="24">
        <f t="shared" si="2"/>
        <v>24.859716138319037</v>
      </c>
      <c r="J19" s="25">
        <f t="shared" si="3"/>
        <v>4860557677</v>
      </c>
      <c r="K19" s="21">
        <f t="shared" si="4"/>
        <v>24.859716138319037</v>
      </c>
    </row>
    <row r="20" spans="1:12" x14ac:dyDescent="0.25">
      <c r="A20" s="3" t="s">
        <v>14</v>
      </c>
      <c r="B20" s="8">
        <v>56238000</v>
      </c>
      <c r="C20" s="8">
        <f>28453518*1.004</f>
        <v>28567332.072000001</v>
      </c>
      <c r="D20" s="8">
        <v>62060657</v>
      </c>
      <c r="E20" s="8">
        <v>0</v>
      </c>
      <c r="F20" s="8">
        <f t="shared" si="0"/>
        <v>62060657</v>
      </c>
      <c r="G20" s="15">
        <f>27709359+3661046+72000</f>
        <v>31442405</v>
      </c>
      <c r="H20" s="23">
        <f t="shared" si="1"/>
        <v>30618252</v>
      </c>
      <c r="I20" s="24">
        <f t="shared" si="2"/>
        <v>50.663989909098127</v>
      </c>
      <c r="J20" s="25">
        <f t="shared" si="3"/>
        <v>30618252</v>
      </c>
      <c r="K20" s="21">
        <f t="shared" si="4"/>
        <v>50.663989909098127</v>
      </c>
    </row>
    <row r="21" spans="1:12" x14ac:dyDescent="0.25">
      <c r="A21" s="3" t="s">
        <v>15</v>
      </c>
      <c r="B21" s="2" t="e">
        <f>+#REF!+#REF!</f>
        <v>#REF!</v>
      </c>
      <c r="C21" s="2" t="e">
        <f>+#REF!+#REF!</f>
        <v>#REF!</v>
      </c>
      <c r="D21" s="2">
        <v>0</v>
      </c>
      <c r="E21" s="8">
        <v>0</v>
      </c>
      <c r="F21" s="8">
        <f>+D21+E21</f>
        <v>0</v>
      </c>
      <c r="G21" s="8">
        <v>5294087</v>
      </c>
      <c r="H21" s="26">
        <f t="shared" si="1"/>
        <v>-5294087</v>
      </c>
      <c r="I21" s="27" t="e">
        <f t="shared" si="2"/>
        <v>#DIV/0!</v>
      </c>
      <c r="J21" s="25">
        <f t="shared" si="3"/>
        <v>-5294087</v>
      </c>
      <c r="K21" s="21" t="e">
        <f t="shared" si="4"/>
        <v>#DIV/0!</v>
      </c>
      <c r="L21" s="7" t="s">
        <v>1</v>
      </c>
    </row>
    <row r="22" spans="1:12" x14ac:dyDescent="0.25">
      <c r="A22" s="3" t="s">
        <v>16</v>
      </c>
      <c r="B22" s="8">
        <f>+B23+B25</f>
        <v>3621351324</v>
      </c>
      <c r="C22" s="8">
        <f>+C23+C25</f>
        <v>3226173481</v>
      </c>
      <c r="D22" s="8">
        <f>+D23+D25+D24</f>
        <v>4525850864</v>
      </c>
      <c r="E22" s="8">
        <f>+E23+E25+E24</f>
        <v>7783475405</v>
      </c>
      <c r="F22" s="8">
        <f t="shared" si="0"/>
        <v>12309326269</v>
      </c>
      <c r="G22" s="8">
        <f>+G23+G25+G24</f>
        <v>11888230323</v>
      </c>
      <c r="H22" s="23">
        <f t="shared" si="1"/>
        <v>421095946</v>
      </c>
      <c r="I22" s="24">
        <f t="shared" si="2"/>
        <v>96.57904960192262</v>
      </c>
      <c r="J22" s="25">
        <f t="shared" si="3"/>
        <v>421095946</v>
      </c>
      <c r="K22" s="21">
        <f t="shared" si="4"/>
        <v>96.57904960192262</v>
      </c>
      <c r="L22" s="7" t="s">
        <v>1</v>
      </c>
    </row>
    <row r="23" spans="1:12" x14ac:dyDescent="0.25">
      <c r="A23" s="1" t="s">
        <v>17</v>
      </c>
      <c r="B23" s="2">
        <v>186018000</v>
      </c>
      <c r="C23" s="2">
        <v>483000000</v>
      </c>
      <c r="D23" s="2">
        <v>566354371</v>
      </c>
      <c r="E23" s="2">
        <v>0</v>
      </c>
      <c r="F23" s="2">
        <f t="shared" si="0"/>
        <v>566354371</v>
      </c>
      <c r="G23" s="14">
        <f>408660924-231385+1</f>
        <v>408429540</v>
      </c>
      <c r="H23" s="26">
        <f t="shared" si="1"/>
        <v>157924831</v>
      </c>
      <c r="I23" s="27">
        <f t="shared" si="2"/>
        <v>72.115544774351179</v>
      </c>
      <c r="J23" s="25">
        <f t="shared" si="3"/>
        <v>157924831</v>
      </c>
      <c r="K23" s="21">
        <f t="shared" si="4"/>
        <v>72.115544774351179</v>
      </c>
    </row>
    <row r="24" spans="1:12" x14ac:dyDescent="0.25">
      <c r="A24" s="1" t="s">
        <v>27</v>
      </c>
      <c r="B24" s="2"/>
      <c r="C24" s="2"/>
      <c r="D24" s="2"/>
      <c r="E24" s="2">
        <v>7783475405</v>
      </c>
      <c r="F24" s="2">
        <f t="shared" ref="F24" si="8">+E24</f>
        <v>7783475405</v>
      </c>
      <c r="G24" s="14">
        <v>7783475405</v>
      </c>
      <c r="H24" s="26"/>
      <c r="I24" s="27"/>
      <c r="J24" s="25">
        <f t="shared" si="3"/>
        <v>0</v>
      </c>
      <c r="K24" s="21">
        <f t="shared" si="4"/>
        <v>100</v>
      </c>
    </row>
    <row r="25" spans="1:12" x14ac:dyDescent="0.25">
      <c r="A25" s="3" t="s">
        <v>18</v>
      </c>
      <c r="B25" s="2">
        <f>+B26+B27+B28+B29+B30</f>
        <v>3435333324</v>
      </c>
      <c r="C25" s="2">
        <f>+C26+C27+C28+C29+C30</f>
        <v>2743173481</v>
      </c>
      <c r="D25" s="8">
        <f>SUM(D26:D30)</f>
        <v>3959496493</v>
      </c>
      <c r="E25" s="8">
        <f>SUM(E26:E30)</f>
        <v>0</v>
      </c>
      <c r="F25" s="8">
        <f t="shared" si="0"/>
        <v>3959496493</v>
      </c>
      <c r="G25" s="8">
        <f>SUM(G26:G30)</f>
        <v>3696325378</v>
      </c>
      <c r="H25" s="26">
        <f t="shared" si="1"/>
        <v>263171115</v>
      </c>
      <c r="I25" s="27">
        <f t="shared" si="2"/>
        <v>93.353419671787535</v>
      </c>
      <c r="J25" s="25">
        <f t="shared" si="3"/>
        <v>263171115</v>
      </c>
      <c r="K25" s="21">
        <f t="shared" si="4"/>
        <v>93.353419671787535</v>
      </c>
    </row>
    <row r="26" spans="1:12" x14ac:dyDescent="0.25">
      <c r="A26" s="1" t="s">
        <v>19</v>
      </c>
      <c r="B26" s="2">
        <v>594000000</v>
      </c>
      <c r="C26" s="2">
        <f>438940542+50000000</f>
        <v>488940542</v>
      </c>
      <c r="D26" s="2">
        <v>733338595</v>
      </c>
      <c r="E26" s="2">
        <v>0</v>
      </c>
      <c r="F26" s="2">
        <f t="shared" si="0"/>
        <v>733338595</v>
      </c>
      <c r="G26" s="14">
        <v>608322401</v>
      </c>
      <c r="H26" s="26">
        <f t="shared" si="1"/>
        <v>125016194</v>
      </c>
      <c r="I26" s="27">
        <f t="shared" si="2"/>
        <v>82.952459497921282</v>
      </c>
      <c r="J26" s="25">
        <f t="shared" si="3"/>
        <v>125016194</v>
      </c>
      <c r="K26" s="21">
        <f t="shared" si="4"/>
        <v>82.952459497921282</v>
      </c>
    </row>
    <row r="27" spans="1:12" ht="29.25" x14ac:dyDescent="0.25">
      <c r="A27" s="1" t="s">
        <v>9</v>
      </c>
      <c r="B27" s="2">
        <v>1015350000</v>
      </c>
      <c r="C27" s="2">
        <f>200328232+500000000</f>
        <v>700328232</v>
      </c>
      <c r="D27" s="2">
        <v>456880762</v>
      </c>
      <c r="E27" s="2">
        <v>0</v>
      </c>
      <c r="F27" s="2">
        <f t="shared" si="0"/>
        <v>456880762</v>
      </c>
      <c r="G27" s="14">
        <f>56036657+361101+217530</f>
        <v>56615288</v>
      </c>
      <c r="H27" s="26">
        <f t="shared" si="1"/>
        <v>400265474</v>
      </c>
      <c r="I27" s="27">
        <f t="shared" si="2"/>
        <v>12.391698821409337</v>
      </c>
      <c r="J27" s="25">
        <f t="shared" si="3"/>
        <v>400265474</v>
      </c>
      <c r="K27" s="21">
        <f t="shared" si="4"/>
        <v>12.391698821409337</v>
      </c>
    </row>
    <row r="28" spans="1:12" ht="29.25" x14ac:dyDescent="0.25">
      <c r="A28" s="1" t="s">
        <v>13</v>
      </c>
      <c r="B28" s="2">
        <v>1186582000</v>
      </c>
      <c r="C28" s="2">
        <v>751381744</v>
      </c>
      <c r="D28" s="2">
        <v>1596708713</v>
      </c>
      <c r="E28" s="2">
        <v>0</v>
      </c>
      <c r="F28" s="2">
        <f t="shared" si="0"/>
        <v>1596708713</v>
      </c>
      <c r="G28" s="14">
        <f>1385921889+47502394</f>
        <v>1433424283</v>
      </c>
      <c r="H28" s="26">
        <f t="shared" si="1"/>
        <v>163284430</v>
      </c>
      <c r="I28" s="27">
        <f t="shared" si="2"/>
        <v>89.773687043192069</v>
      </c>
      <c r="J28" s="25">
        <f t="shared" si="3"/>
        <v>163284430</v>
      </c>
      <c r="K28" s="21">
        <f t="shared" si="4"/>
        <v>89.773687043192069</v>
      </c>
    </row>
    <row r="29" spans="1:12" x14ac:dyDescent="0.25">
      <c r="A29" s="1" t="s">
        <v>10</v>
      </c>
      <c r="B29" s="2">
        <v>200000000</v>
      </c>
      <c r="C29" s="2">
        <v>121750963</v>
      </c>
      <c r="D29" s="2">
        <v>411117218</v>
      </c>
      <c r="E29" s="2">
        <v>0</v>
      </c>
      <c r="F29" s="2">
        <f t="shared" si="0"/>
        <v>411117218</v>
      </c>
      <c r="G29" s="14">
        <v>892051860</v>
      </c>
      <c r="H29" s="26">
        <f t="shared" si="1"/>
        <v>-480934642</v>
      </c>
      <c r="I29" s="27">
        <f t="shared" si="2"/>
        <v>216.9823643825105</v>
      </c>
      <c r="J29" s="25">
        <f t="shared" si="3"/>
        <v>-480934642</v>
      </c>
      <c r="K29" s="21">
        <f t="shared" si="4"/>
        <v>216.9823643825105</v>
      </c>
    </row>
    <row r="30" spans="1:12" x14ac:dyDescent="0.25">
      <c r="A30" s="1" t="s">
        <v>5</v>
      </c>
      <c r="B30" s="2">
        <v>439401324</v>
      </c>
      <c r="C30" s="2">
        <v>680772000</v>
      </c>
      <c r="D30" s="2">
        <v>761451205</v>
      </c>
      <c r="E30" s="2">
        <v>0</v>
      </c>
      <c r="F30" s="2">
        <f t="shared" si="0"/>
        <v>761451205</v>
      </c>
      <c r="G30" s="14">
        <v>705911546</v>
      </c>
      <c r="H30" s="26">
        <f t="shared" si="1"/>
        <v>55539659</v>
      </c>
      <c r="I30" s="27">
        <f t="shared" si="2"/>
        <v>92.706077732190337</v>
      </c>
      <c r="J30" s="25">
        <f t="shared" si="3"/>
        <v>55539659</v>
      </c>
      <c r="K30" s="21">
        <f t="shared" si="4"/>
        <v>92.706077732190337</v>
      </c>
    </row>
    <row r="31" spans="1:12" x14ac:dyDescent="0.25">
      <c r="A31" s="3" t="s">
        <v>20</v>
      </c>
      <c r="B31" s="2">
        <f>+[1]Hoja2!$C$40</f>
        <v>1637500000</v>
      </c>
      <c r="C31" s="2">
        <f>+[1]Hoja2!$C$40</f>
        <v>1637500000</v>
      </c>
      <c r="D31" s="8">
        <v>5125805000</v>
      </c>
      <c r="E31" s="8">
        <v>0</v>
      </c>
      <c r="F31" s="8">
        <f t="shared" si="0"/>
        <v>5125805000</v>
      </c>
      <c r="G31" s="15">
        <f>100146924+570737530</f>
        <v>670884454</v>
      </c>
      <c r="H31" s="23">
        <f t="shared" si="1"/>
        <v>4454920546</v>
      </c>
      <c r="I31" s="24">
        <f t="shared" si="2"/>
        <v>13.088372538557358</v>
      </c>
      <c r="J31" s="25">
        <f t="shared" si="3"/>
        <v>4454920546</v>
      </c>
      <c r="K31" s="21">
        <f>+G31/F31*100</f>
        <v>13.088372538557358</v>
      </c>
    </row>
    <row r="32" spans="1:12" ht="15.75" thickBot="1" x14ac:dyDescent="0.3">
      <c r="A32" s="4" t="s">
        <v>43</v>
      </c>
      <c r="B32" s="5" t="e">
        <f>+#REF!+B31</f>
        <v>#REF!</v>
      </c>
      <c r="C32" s="5" t="e">
        <f>+#REF!+C31</f>
        <v>#REF!</v>
      </c>
      <c r="D32" s="9">
        <f>+D6+D31</f>
        <v>28663248205</v>
      </c>
      <c r="E32" s="9">
        <f>+E6+E31</f>
        <v>7783475405</v>
      </c>
      <c r="F32" s="9">
        <f>+F6+F31</f>
        <v>36446723610</v>
      </c>
      <c r="G32" s="9">
        <f>+G6+G31</f>
        <v>21234186273</v>
      </c>
      <c r="H32" s="28">
        <f t="shared" si="1"/>
        <v>15212537337</v>
      </c>
      <c r="I32" s="29">
        <f t="shared" si="2"/>
        <v>58.260891980901988</v>
      </c>
      <c r="J32" s="25">
        <f t="shared" si="3"/>
        <v>15212537337</v>
      </c>
      <c r="K32" s="21">
        <f>+G32/F32*100</f>
        <v>58.260891980901988</v>
      </c>
    </row>
    <row r="33" spans="1:11" hidden="1" x14ac:dyDescent="0.25">
      <c r="A33" s="30"/>
      <c r="B33" s="30"/>
      <c r="C33" s="30"/>
      <c r="D33" s="30"/>
      <c r="E33" s="30"/>
      <c r="F33" s="31">
        <f>+F32-F24-F21-1900000000</f>
        <v>26763248205</v>
      </c>
      <c r="G33" s="31">
        <f>+G32-G24-G21-1155869513</f>
        <v>12289547268</v>
      </c>
      <c r="H33" s="30"/>
      <c r="I33" s="30"/>
      <c r="J33" s="30"/>
      <c r="K33" s="32"/>
    </row>
    <row r="34" spans="1:11" hidden="1" x14ac:dyDescent="0.25">
      <c r="A34" s="19" t="s">
        <v>35</v>
      </c>
      <c r="B34" s="22"/>
      <c r="C34" s="22"/>
      <c r="D34" s="33" t="s">
        <v>36</v>
      </c>
      <c r="E34" s="33" t="s">
        <v>37</v>
      </c>
      <c r="F34" s="34" t="s">
        <v>34</v>
      </c>
      <c r="G34" s="31">
        <f>+G33/F33*100</f>
        <v>45.919490690610658</v>
      </c>
      <c r="H34" s="30"/>
      <c r="I34" s="30"/>
      <c r="J34" s="31">
        <f>+G17-1155869513</f>
        <v>-1053115066</v>
      </c>
      <c r="K34" s="32"/>
    </row>
    <row r="35" spans="1:11" hidden="1" x14ac:dyDescent="0.25">
      <c r="A35" s="22" t="s">
        <v>29</v>
      </c>
      <c r="B35" s="22"/>
      <c r="C35" s="22"/>
      <c r="D35" s="26">
        <f>+F9+F30</f>
        <v>9319063399</v>
      </c>
      <c r="E35" s="26">
        <f>+G9+G30</f>
        <v>6587685827</v>
      </c>
      <c r="F35" s="35">
        <f>+E35/D35*100</f>
        <v>70.690428264571139</v>
      </c>
      <c r="G35" s="31">
        <v>8.3333333333333339</v>
      </c>
      <c r="H35" s="30"/>
      <c r="I35" s="30"/>
      <c r="J35" s="30">
        <f>+J34/F17*100</f>
        <v>-207.51220683783117</v>
      </c>
      <c r="K35" s="32"/>
    </row>
    <row r="36" spans="1:11" hidden="1" x14ac:dyDescent="0.25">
      <c r="A36" s="22" t="s">
        <v>30</v>
      </c>
      <c r="B36" s="22"/>
      <c r="C36" s="22"/>
      <c r="D36" s="26">
        <f>+F14+F26</f>
        <v>1971138943</v>
      </c>
      <c r="E36" s="26">
        <f>+G14+G26</f>
        <v>809330584</v>
      </c>
      <c r="F36" s="35">
        <f t="shared" ref="F36:F39" si="9">+E36/D36*100</f>
        <v>41.059032742168291</v>
      </c>
      <c r="G36" s="31">
        <f>+G35*9</f>
        <v>75</v>
      </c>
      <c r="H36" s="30"/>
      <c r="I36" s="30"/>
      <c r="J36" s="30"/>
      <c r="K36" s="32"/>
    </row>
    <row r="37" spans="1:11" hidden="1" x14ac:dyDescent="0.25">
      <c r="A37" s="22" t="s">
        <v>31</v>
      </c>
      <c r="B37" s="22"/>
      <c r="C37" s="22"/>
      <c r="D37" s="26">
        <f>+F15+F27</f>
        <v>1446376483</v>
      </c>
      <c r="E37" s="26">
        <f>+G15+G27</f>
        <v>378082884</v>
      </c>
      <c r="F37" s="35">
        <f t="shared" si="9"/>
        <v>26.140004932588496</v>
      </c>
      <c r="G37" s="31" t="s">
        <v>1</v>
      </c>
      <c r="H37" s="30"/>
      <c r="I37" s="30"/>
      <c r="J37" s="30"/>
      <c r="K37" s="32"/>
    </row>
    <row r="38" spans="1:11" hidden="1" x14ac:dyDescent="0.25">
      <c r="A38" s="22" t="s">
        <v>32</v>
      </c>
      <c r="B38" s="22"/>
      <c r="C38" s="22"/>
      <c r="D38" s="26">
        <f>+F19+F28</f>
        <v>8065352997</v>
      </c>
      <c r="E38" s="26">
        <f>+G19+G28</f>
        <v>3041510890</v>
      </c>
      <c r="F38" s="35">
        <f t="shared" si="9"/>
        <v>37.710821722636624</v>
      </c>
      <c r="G38" s="31">
        <f>+F33-F14</f>
        <v>25525447857</v>
      </c>
      <c r="H38" s="30"/>
      <c r="I38" s="30"/>
      <c r="J38" s="30"/>
      <c r="K38" s="32"/>
    </row>
    <row r="39" spans="1:11" hidden="1" x14ac:dyDescent="0.25">
      <c r="A39" s="22" t="s">
        <v>33</v>
      </c>
      <c r="B39" s="22"/>
      <c r="C39" s="22"/>
      <c r="D39" s="26">
        <f>+F29+F16</f>
        <v>749676021</v>
      </c>
      <c r="E39" s="26">
        <f>+G16+G29</f>
        <v>987512168</v>
      </c>
      <c r="F39" s="35">
        <f t="shared" si="9"/>
        <v>131.72519066072675</v>
      </c>
      <c r="G39" s="31">
        <f>+G38/12*9</f>
        <v>19144085892.75</v>
      </c>
      <c r="H39" s="30"/>
      <c r="I39" s="30"/>
      <c r="J39" s="30"/>
      <c r="K39" s="32"/>
    </row>
    <row r="40" spans="1:11" hidden="1" x14ac:dyDescent="0.25">
      <c r="A40" s="30"/>
      <c r="B40" s="30"/>
      <c r="C40" s="30"/>
      <c r="D40" s="30"/>
      <c r="E40" s="30"/>
      <c r="F40" s="36"/>
      <c r="G40" s="31">
        <f>+F14/3*2</f>
        <v>825200232</v>
      </c>
      <c r="H40" s="30"/>
      <c r="I40" s="30"/>
      <c r="J40" s="30"/>
      <c r="K40" s="32"/>
    </row>
    <row r="41" spans="1:11" hidden="1" x14ac:dyDescent="0.25">
      <c r="A41" s="30"/>
      <c r="B41" s="30"/>
      <c r="C41" s="30"/>
      <c r="D41" s="30"/>
      <c r="E41" s="30"/>
      <c r="F41" s="30"/>
      <c r="G41" s="31">
        <f>+G39+G40</f>
        <v>19969286124.75</v>
      </c>
      <c r="H41" s="30"/>
      <c r="I41" s="30"/>
      <c r="J41" s="30">
        <f>+G41/F33*100</f>
        <v>74.614583296429885</v>
      </c>
      <c r="K41" s="32"/>
    </row>
    <row r="42" spans="1:11" hidden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2"/>
    </row>
    <row r="43" spans="1:11" hidden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2">
        <f>75-81.34</f>
        <v>-6.3400000000000034</v>
      </c>
    </row>
    <row r="44" spans="1:11" hidden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2"/>
    </row>
    <row r="45" spans="1:11" hidden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2"/>
    </row>
    <row r="46" spans="1:11" hidden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2"/>
    </row>
    <row r="47" spans="1:11" hidden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2"/>
    </row>
    <row r="48" spans="1:11" hidden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2"/>
    </row>
    <row r="49" spans="1:11" hidden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2"/>
    </row>
    <row r="50" spans="1:11" hidden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2"/>
    </row>
    <row r="51" spans="1:11" hidden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2"/>
    </row>
    <row r="52" spans="1:11" hidden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2"/>
    </row>
    <row r="53" spans="1:11" hidden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2"/>
    </row>
    <row r="54" spans="1:11" hidden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2"/>
    </row>
    <row r="55" spans="1:11" hidden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2"/>
    </row>
    <row r="56" spans="1:11" hidden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2"/>
    </row>
    <row r="57" spans="1:11" hidden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2"/>
    </row>
    <row r="58" spans="1:11" hidden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2"/>
    </row>
    <row r="59" spans="1:11" hidden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2"/>
    </row>
    <row r="60" spans="1:11" hidden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2"/>
    </row>
    <row r="61" spans="1:11" hidden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2"/>
    </row>
    <row r="62" spans="1:11" hidden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2"/>
    </row>
    <row r="63" spans="1:11" hidden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2"/>
    </row>
    <row r="64" spans="1:11" hidden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2"/>
    </row>
    <row r="65" spans="1:11" hidden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2"/>
    </row>
    <row r="66" spans="1:11" hidden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2"/>
    </row>
    <row r="67" spans="1:11" hidden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2"/>
    </row>
    <row r="68" spans="1:11" hidden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2"/>
    </row>
    <row r="69" spans="1:11" hidden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2"/>
    </row>
    <row r="70" spans="1:11" hidden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2"/>
    </row>
    <row r="71" spans="1:11" hidden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2"/>
    </row>
    <row r="72" spans="1:11" hidden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2"/>
    </row>
    <row r="73" spans="1:11" hidden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2"/>
    </row>
    <row r="74" spans="1:11" hidden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2"/>
    </row>
    <row r="75" spans="1:11" hidden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2"/>
    </row>
    <row r="76" spans="1:11" hidden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2"/>
    </row>
    <row r="77" spans="1:11" hidden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2"/>
    </row>
    <row r="78" spans="1:11" hidden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2"/>
    </row>
    <row r="79" spans="1:11" hidden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2"/>
    </row>
    <row r="80" spans="1:11" hidden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2"/>
    </row>
    <row r="81" spans="1:11" hidden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2"/>
    </row>
    <row r="82" spans="1:11" hidden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2"/>
    </row>
    <row r="83" spans="1:11" hidden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2"/>
    </row>
    <row r="84" spans="1:11" hidden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2"/>
    </row>
    <row r="85" spans="1:11" hidden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2"/>
    </row>
    <row r="86" spans="1:11" hidden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2"/>
    </row>
    <row r="87" spans="1:11" hidden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2"/>
    </row>
    <row r="88" spans="1:11" hidden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2"/>
    </row>
    <row r="89" spans="1:11" hidden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2"/>
    </row>
    <row r="90" spans="1:11" hidden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2"/>
    </row>
    <row r="91" spans="1:11" hidden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2"/>
    </row>
    <row r="92" spans="1:11" hidden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2"/>
    </row>
    <row r="93" spans="1:11" hidden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2"/>
    </row>
    <row r="94" spans="1:11" hidden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2"/>
    </row>
    <row r="95" spans="1:11" hidden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2"/>
    </row>
    <row r="96" spans="1:11" hidden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2"/>
    </row>
    <row r="97" spans="1:11" hidden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idden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2"/>
    </row>
    <row r="99" spans="1:11" hidden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2"/>
    </row>
    <row r="100" spans="1:11" hidden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2"/>
    </row>
    <row r="101" spans="1:11" hidden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2"/>
    </row>
    <row r="102" spans="1:11" hidden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2"/>
    </row>
    <row r="103" spans="1:11" hidden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2"/>
    </row>
    <row r="104" spans="1:11" hidden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2"/>
    </row>
    <row r="105" spans="1:11" hidden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2"/>
    </row>
    <row r="106" spans="1:11" hidden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2"/>
    </row>
    <row r="107" spans="1:11" hidden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2"/>
    </row>
    <row r="108" spans="1:11" hidden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2"/>
    </row>
    <row r="109" spans="1:11" hidden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2"/>
    </row>
    <row r="110" spans="1:11" hidden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2"/>
    </row>
    <row r="111" spans="1:11" hidden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2"/>
    </row>
    <row r="112" spans="1:11" hidden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2"/>
    </row>
    <row r="113" spans="1:11" hidden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2"/>
    </row>
    <row r="114" spans="1:11" hidden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2"/>
    </row>
    <row r="115" spans="1:11" hidden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2"/>
    </row>
    <row r="116" spans="1:11" hidden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2"/>
    </row>
    <row r="117" spans="1:11" hidden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2"/>
    </row>
    <row r="118" spans="1:11" hidden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2"/>
    </row>
    <row r="119" spans="1:11" hidden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2"/>
    </row>
    <row r="120" spans="1:11" hidden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2"/>
    </row>
    <row r="121" spans="1:11" hidden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2"/>
    </row>
    <row r="122" spans="1:11" hidden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2"/>
    </row>
    <row r="123" spans="1:11" hidden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2"/>
    </row>
    <row r="124" spans="1:11" hidden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2"/>
    </row>
    <row r="125" spans="1:11" hidden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2"/>
    </row>
    <row r="126" spans="1:11" hidden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2"/>
    </row>
    <row r="127" spans="1:11" hidden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2"/>
    </row>
    <row r="128" spans="1:11" hidden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2"/>
    </row>
    <row r="129" spans="1:11" hidden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2"/>
    </row>
    <row r="130" spans="1:11" hidden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2"/>
    </row>
    <row r="131" spans="1:11" hidden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2"/>
    </row>
    <row r="132" spans="1:11" hidden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2"/>
    </row>
    <row r="133" spans="1:11" hidden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2"/>
    </row>
    <row r="134" spans="1:11" hidden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2"/>
    </row>
    <row r="135" spans="1:11" hidden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2"/>
    </row>
    <row r="136" spans="1:11" hidden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2"/>
    </row>
    <row r="137" spans="1:11" hidden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2"/>
    </row>
    <row r="138" spans="1:11" hidden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2"/>
    </row>
    <row r="139" spans="1:11" hidden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2"/>
    </row>
    <row r="140" spans="1:11" hidden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2"/>
    </row>
    <row r="141" spans="1:11" hidden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2"/>
    </row>
    <row r="142" spans="1:11" hidden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2"/>
    </row>
    <row r="143" spans="1:11" hidden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2"/>
    </row>
    <row r="144" spans="1:11" hidden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2"/>
    </row>
    <row r="145" spans="1:11" hidden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2"/>
    </row>
    <row r="146" spans="1:11" hidden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2"/>
    </row>
    <row r="147" spans="1:11" hidden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2"/>
    </row>
    <row r="148" spans="1:11" hidden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2"/>
    </row>
    <row r="149" spans="1:11" hidden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2"/>
    </row>
    <row r="150" spans="1:11" hidden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2"/>
    </row>
    <row r="151" spans="1:11" hidden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2"/>
    </row>
    <row r="152" spans="1:11" hidden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2"/>
    </row>
    <row r="153" spans="1:11" hidden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2"/>
    </row>
    <row r="154" spans="1:11" hidden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2"/>
    </row>
    <row r="155" spans="1:11" hidden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2"/>
    </row>
    <row r="156" spans="1:11" hidden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2"/>
    </row>
    <row r="157" spans="1:11" hidden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2"/>
    </row>
    <row r="158" spans="1:11" hidden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2"/>
    </row>
    <row r="159" spans="1:11" hidden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2"/>
    </row>
    <row r="160" spans="1:11" hidden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2"/>
    </row>
    <row r="161" spans="1:11" hidden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2"/>
    </row>
    <row r="162" spans="1:11" hidden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2"/>
    </row>
    <row r="163" spans="1:11" hidden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2"/>
    </row>
    <row r="164" spans="1:11" hidden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2"/>
    </row>
    <row r="165" spans="1:11" hidden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2"/>
    </row>
    <row r="166" spans="1:11" hidden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2"/>
    </row>
    <row r="167" spans="1:11" hidden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2"/>
    </row>
    <row r="168" spans="1:11" hidden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2"/>
    </row>
    <row r="169" spans="1:11" hidden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2"/>
    </row>
    <row r="170" spans="1:11" hidden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2"/>
    </row>
    <row r="171" spans="1:11" hidden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2"/>
    </row>
    <row r="172" spans="1:11" hidden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2"/>
    </row>
    <row r="173" spans="1:11" hidden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2"/>
    </row>
    <row r="174" spans="1:11" hidden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2"/>
    </row>
    <row r="175" spans="1:11" hidden="1" x14ac:dyDescent="0.25">
      <c r="A175" s="36"/>
      <c r="B175" s="36"/>
      <c r="C175" s="36"/>
      <c r="D175" s="36"/>
      <c r="E175" s="36">
        <f>+E32/D32*100</f>
        <v>27.154896574639629</v>
      </c>
      <c r="F175" s="36">
        <v>1798748000</v>
      </c>
      <c r="G175" s="36"/>
      <c r="H175" s="36"/>
      <c r="I175" s="36"/>
      <c r="J175" s="36"/>
      <c r="K175" s="32"/>
    </row>
    <row r="176" spans="1:11" hidden="1" x14ac:dyDescent="0.25">
      <c r="A176" s="36"/>
      <c r="B176" s="36"/>
      <c r="C176" s="36"/>
      <c r="D176" s="36"/>
      <c r="E176" s="36" t="s">
        <v>1</v>
      </c>
      <c r="F176" s="36">
        <f>+F175-39071290</f>
        <v>1759676710</v>
      </c>
      <c r="G176" s="36">
        <f>1510997480+1526229045+17032249.8</f>
        <v>3054258774.8000002</v>
      </c>
      <c r="H176" s="36"/>
      <c r="I176" s="36"/>
      <c r="J176" s="36"/>
      <c r="K176" s="32">
        <f>+F176+F180</f>
        <v>3405425378</v>
      </c>
    </row>
    <row r="177" spans="1:11" hidden="1" x14ac:dyDescent="0.25">
      <c r="A177" s="36"/>
      <c r="B177" s="36"/>
      <c r="C177" s="36"/>
      <c r="D177" s="36"/>
      <c r="E177" s="36"/>
      <c r="F177" s="36">
        <f>+F175-F176</f>
        <v>39071290</v>
      </c>
      <c r="G177" s="36">
        <v>29698354288.990002</v>
      </c>
      <c r="H177" s="36"/>
      <c r="I177" s="36"/>
      <c r="J177" s="36"/>
      <c r="K177" s="32">
        <f>+K176-F31</f>
        <v>-1720379622</v>
      </c>
    </row>
    <row r="178" spans="1:11" hidden="1" x14ac:dyDescent="0.25">
      <c r="A178" s="36"/>
      <c r="B178" s="36"/>
      <c r="C178" s="36"/>
      <c r="D178" s="36"/>
      <c r="E178" s="36"/>
      <c r="F178" s="36">
        <v>1900000000</v>
      </c>
      <c r="G178" s="36">
        <f>+G177-G32</f>
        <v>8464168015.9900017</v>
      </c>
      <c r="H178" s="36"/>
      <c r="I178" s="36"/>
      <c r="J178" s="36"/>
      <c r="K178" s="32">
        <f>39071290+254251332</f>
        <v>293322622</v>
      </c>
    </row>
    <row r="179" spans="1:11" hidden="1" x14ac:dyDescent="0.25">
      <c r="A179" s="36"/>
      <c r="B179" s="36"/>
      <c r="C179" s="36"/>
      <c r="D179" s="36"/>
      <c r="E179" s="36"/>
      <c r="F179" s="36">
        <v>254251332</v>
      </c>
      <c r="G179" s="36">
        <f>+G178/G177*100</f>
        <v>28.500461451925979</v>
      </c>
      <c r="H179" s="36"/>
      <c r="I179" s="36"/>
      <c r="J179" s="36"/>
      <c r="K179" s="32"/>
    </row>
    <row r="180" spans="1:11" hidden="1" x14ac:dyDescent="0.25">
      <c r="A180" s="36"/>
      <c r="B180" s="36"/>
      <c r="C180" s="36"/>
      <c r="D180" s="36"/>
      <c r="E180" s="36"/>
      <c r="F180" s="36">
        <f>+F178-F179</f>
        <v>1645748668</v>
      </c>
      <c r="G180" s="36"/>
      <c r="H180" s="36"/>
      <c r="I180" s="36"/>
      <c r="J180" s="36"/>
      <c r="K180" s="32"/>
    </row>
    <row r="181" spans="1:11" hidden="1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2"/>
    </row>
    <row r="182" spans="1:11" hidden="1" x14ac:dyDescent="0.25">
      <c r="A182" s="36"/>
      <c r="B182" s="36"/>
      <c r="C182" s="36"/>
      <c r="D182" s="36"/>
      <c r="E182" s="36"/>
      <c r="F182" s="36">
        <f>+F176-1526229045-119808968-5900000.2-17032249.8</f>
        <v>90706447</v>
      </c>
      <c r="G182" s="36"/>
      <c r="H182" s="36"/>
      <c r="I182" s="36"/>
      <c r="J182" s="36"/>
      <c r="K182" s="32"/>
    </row>
    <row r="183" spans="1:11" hidden="1" x14ac:dyDescent="0.25">
      <c r="A183" s="36"/>
      <c r="B183" s="36"/>
      <c r="C183" s="36"/>
      <c r="D183" s="36"/>
      <c r="E183" s="36"/>
      <c r="F183" s="36">
        <f>+F180-1510997480-9062520</f>
        <v>125688668</v>
      </c>
      <c r="G183" s="36"/>
      <c r="H183" s="36"/>
      <c r="I183" s="36"/>
      <c r="J183" s="36"/>
      <c r="K183" s="32"/>
    </row>
    <row r="184" spans="1:11" hidden="1" x14ac:dyDescent="0.25">
      <c r="A184" s="36"/>
      <c r="B184" s="36"/>
      <c r="C184" s="36"/>
      <c r="D184" s="36"/>
      <c r="E184" s="36"/>
      <c r="F184" s="36">
        <f>+F182+F183</f>
        <v>216395115</v>
      </c>
      <c r="G184" s="36"/>
      <c r="H184" s="36"/>
      <c r="I184" s="36"/>
      <c r="J184" s="36"/>
      <c r="K184" s="32"/>
    </row>
    <row r="185" spans="1:11" hidden="1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2"/>
    </row>
    <row r="186" spans="1:11" hidden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2"/>
    </row>
    <row r="187" spans="1:11" hidden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2"/>
    </row>
    <row r="188" spans="1:11" hidden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2"/>
    </row>
    <row r="189" spans="1:11" hidden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2"/>
    </row>
    <row r="190" spans="1:11" hidden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2"/>
    </row>
    <row r="191" spans="1:11" hidden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2"/>
    </row>
    <row r="192" spans="1:11" hidden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2"/>
    </row>
    <row r="193" spans="1:11" hidden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2"/>
    </row>
    <row r="194" spans="1:11" hidden="1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2"/>
    </row>
    <row r="195" spans="1:11" x14ac:dyDescent="0.25">
      <c r="D195" s="41"/>
      <c r="E195" s="41"/>
      <c r="F195" s="41" t="s">
        <v>1</v>
      </c>
      <c r="G195" s="41">
        <f>570737530+20663448743</f>
        <v>21234186273</v>
      </c>
      <c r="H195" s="41"/>
      <c r="I195" s="41"/>
      <c r="J195" s="41" t="s">
        <v>1</v>
      </c>
    </row>
    <row r="196" spans="1:11" x14ac:dyDescent="0.25">
      <c r="D196" s="41"/>
      <c r="E196" s="41" t="s">
        <v>1</v>
      </c>
      <c r="F196" s="41" t="s">
        <v>1</v>
      </c>
      <c r="G196" s="41">
        <f>+G195-G32</f>
        <v>0</v>
      </c>
      <c r="H196" s="41"/>
      <c r="I196" s="41"/>
      <c r="J196" s="41"/>
    </row>
    <row r="197" spans="1:11" x14ac:dyDescent="0.25">
      <c r="D197" s="41"/>
      <c r="E197" s="41" t="s">
        <v>1</v>
      </c>
      <c r="F197" s="41" t="s">
        <v>1</v>
      </c>
      <c r="G197" s="41"/>
      <c r="H197" s="41"/>
      <c r="I197" s="41"/>
      <c r="J197" s="41"/>
    </row>
    <row r="198" spans="1:11" x14ac:dyDescent="0.25">
      <c r="D198" s="41"/>
      <c r="E198" s="41" t="s">
        <v>1</v>
      </c>
      <c r="F198" s="41" t="s">
        <v>44</v>
      </c>
      <c r="G198" s="41"/>
      <c r="H198" s="41"/>
      <c r="I198" s="41"/>
      <c r="J198" s="41"/>
    </row>
    <row r="199" spans="1:11" x14ac:dyDescent="0.25">
      <c r="D199" s="41"/>
      <c r="E199" s="41"/>
      <c r="F199" s="41"/>
      <c r="G199" s="41"/>
      <c r="H199" s="41"/>
      <c r="I199" s="41"/>
      <c r="J199" s="41"/>
    </row>
    <row r="200" spans="1:11" x14ac:dyDescent="0.25">
      <c r="D200" s="41"/>
      <c r="E200" s="41"/>
      <c r="F200" s="41"/>
      <c r="G200" s="41"/>
      <c r="H200" s="41"/>
      <c r="I200" s="41"/>
      <c r="J200" s="41"/>
    </row>
    <row r="201" spans="1:11" x14ac:dyDescent="0.25">
      <c r="D201" s="41"/>
      <c r="E201" s="41"/>
      <c r="F201" s="41"/>
      <c r="G201" s="41"/>
      <c r="H201" s="41"/>
      <c r="I201" s="41"/>
      <c r="J201" s="41"/>
    </row>
    <row r="202" spans="1:11" x14ac:dyDescent="0.25">
      <c r="D202" s="41"/>
      <c r="E202" s="41"/>
      <c r="F202" s="41"/>
      <c r="G202" s="41"/>
      <c r="H202" s="41"/>
      <c r="I202" s="41"/>
      <c r="J202" s="41"/>
    </row>
  </sheetData>
  <mergeCells count="3">
    <mergeCell ref="A3:I3"/>
    <mergeCell ref="A1:K1"/>
    <mergeCell ref="A2:K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baseColWidth="10" defaultRowHeight="15" x14ac:dyDescent="0.25"/>
  <cols>
    <col min="1" max="1" width="12.42578125" bestFit="1" customWidth="1"/>
  </cols>
  <sheetData>
    <row r="1" spans="1:2" x14ac:dyDescent="0.25">
      <c r="A1" s="13">
        <f>166968136.3+1200135+241869793+13633313+1200135</f>
        <v>424871512.30000001</v>
      </c>
    </row>
    <row r="2" spans="1:2" x14ac:dyDescent="0.25">
      <c r="A2" s="7">
        <f>+B5</f>
        <v>477854426.80000001</v>
      </c>
      <c r="B2" s="7">
        <v>1200135</v>
      </c>
    </row>
    <row r="3" spans="1:2" x14ac:dyDescent="0.25">
      <c r="A3" s="7">
        <f>+[2]Hoja1!$G$30</f>
        <v>51846650.5</v>
      </c>
      <c r="B3">
        <v>175975755.30000001</v>
      </c>
    </row>
    <row r="4" spans="1:2" x14ac:dyDescent="0.25">
      <c r="A4" s="7">
        <f>+A2-A3</f>
        <v>426007776.30000001</v>
      </c>
      <c r="B4">
        <v>300678536.5</v>
      </c>
    </row>
    <row r="5" spans="1:2" x14ac:dyDescent="0.25">
      <c r="A5" s="7">
        <f>+A4+A3</f>
        <v>477854426.80000001</v>
      </c>
      <c r="B5" s="7">
        <f>SUM(B2:B4)</f>
        <v>477854426.80000001</v>
      </c>
    </row>
    <row r="6" spans="1:2" x14ac:dyDescent="0.25">
      <c r="B6" s="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Vitelio Barrera Alvarez</dc:creator>
  <cp:lastModifiedBy>Vitelio Barrera Alvarez</cp:lastModifiedBy>
  <cp:lastPrinted>2017-03-07T19:07:45Z</cp:lastPrinted>
  <dcterms:created xsi:type="dcterms:W3CDTF">2014-03-26T14:38:10Z</dcterms:created>
  <dcterms:modified xsi:type="dcterms:W3CDTF">2017-07-13T16:12:46Z</dcterms:modified>
</cp:coreProperties>
</file>