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FUNCIONAMIENTO " sheetId="1" r:id="rId1"/>
    <sheet name="INVERSION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1">'INVERSION'!$A$1:$J$38</definedName>
  </definedNames>
  <calcPr fullCalcOnLoad="1"/>
</workbook>
</file>

<file path=xl/sharedStrings.xml><?xml version="1.0" encoding="utf-8"?>
<sst xmlns="http://schemas.openxmlformats.org/spreadsheetml/2006/main" count="369" uniqueCount="108">
  <si>
    <t>CORPORACION AUTONOMA REGIONAL DEL ALTO MAGDALENA CAM</t>
  </si>
  <si>
    <t xml:space="preserve"> </t>
  </si>
  <si>
    <t>MODIFICACIONES</t>
  </si>
  <si>
    <t>PRESUPUESTO</t>
  </si>
  <si>
    <t>INICIAL</t>
  </si>
  <si>
    <t>DEFINITIVO</t>
  </si>
  <si>
    <t>PROG</t>
  </si>
  <si>
    <t>GAS</t>
  </si>
  <si>
    <t>Y/O</t>
  </si>
  <si>
    <t>CONCEPTO</t>
  </si>
  <si>
    <t>PRESUPUESTALES</t>
  </si>
  <si>
    <t>PRY</t>
  </si>
  <si>
    <t>A</t>
  </si>
  <si>
    <t>Gastos de personal</t>
  </si>
  <si>
    <t>servicios personales asociados a nomina</t>
  </si>
  <si>
    <t>sueldos personal de nomina</t>
  </si>
  <si>
    <t>Prima Tecnica</t>
  </si>
  <si>
    <t>Otros</t>
  </si>
  <si>
    <t>contribuciones nomina sector privado</t>
  </si>
  <si>
    <t>contribuciones nomina sector publico</t>
  </si>
  <si>
    <t>Gastos Generales</t>
  </si>
  <si>
    <t>Adquisicion de servicios</t>
  </si>
  <si>
    <t>Impuestos y multas</t>
  </si>
  <si>
    <t>Transferencias corrientes</t>
  </si>
  <si>
    <t>C</t>
  </si>
  <si>
    <t>GASTOS DE INVERSION</t>
  </si>
  <si>
    <t xml:space="preserve">  </t>
  </si>
  <si>
    <t xml:space="preserve">GASTOS DE FUNCIONAMIENTO </t>
  </si>
  <si>
    <t xml:space="preserve">Indemnizaciones </t>
  </si>
  <si>
    <t>Servicios personales indirectos</t>
  </si>
  <si>
    <t>Adquisicion de bienes</t>
  </si>
  <si>
    <t>cuaota auditaje contranal</t>
  </si>
  <si>
    <t>Aporte al Fondo de Compensacion</t>
  </si>
  <si>
    <t>Aporte Asocars</t>
  </si>
  <si>
    <t>Sentencias Judiciales</t>
  </si>
  <si>
    <t>COMPROMISOS</t>
  </si>
  <si>
    <t>SALDO</t>
  </si>
  <si>
    <t>ICBF</t>
  </si>
  <si>
    <t>SENA</t>
  </si>
  <si>
    <t>sueldos personal de nomina vacaciones</t>
  </si>
  <si>
    <t xml:space="preserve">POR EJECUTAR </t>
  </si>
  <si>
    <t>01</t>
  </si>
  <si>
    <t>02</t>
  </si>
  <si>
    <t>03</t>
  </si>
  <si>
    <t>04</t>
  </si>
  <si>
    <t>05</t>
  </si>
  <si>
    <t>06</t>
  </si>
  <si>
    <t>% DE EJECUCION</t>
  </si>
  <si>
    <t>T</t>
  </si>
  <si>
    <t xml:space="preserve">CTA </t>
  </si>
  <si>
    <t>SCTA</t>
  </si>
  <si>
    <t>OBJ</t>
  </si>
  <si>
    <t>ORD</t>
  </si>
  <si>
    <t>GASTOS DE FUNCIONAMIENTO</t>
  </si>
  <si>
    <t>horas extras y dias festivos</t>
  </si>
  <si>
    <t>Planificación y gestión de Áreas Naturales Protegidas para la  conservación del Patrimonio Natural del Huila</t>
  </si>
  <si>
    <t>Planificación, conservación y uso sostenible en zonas secas y otros ecosistemas</t>
  </si>
  <si>
    <t>Planificación, Ordenación y manejo de Cuencas Hidrográficas</t>
  </si>
  <si>
    <t>Protección y recuperación del Recurso Hídrico</t>
  </si>
  <si>
    <t>Planificación, Ordenación y Administración del Recurso Hídrico</t>
  </si>
  <si>
    <t>Descontaminación de fuentes Hídricas y mejoramiento de la calidad del recurso</t>
  </si>
  <si>
    <t>Planificación y ordenación  del territorio</t>
  </si>
  <si>
    <t>Gestión del Riesgo de Desastres</t>
  </si>
  <si>
    <t>Fortalecimiento de la Gobernabilidad y la Autoridad Ambiental</t>
  </si>
  <si>
    <t>Fortalecimiento Institucional y consolidación  del Sistema Integrado de gestión</t>
  </si>
  <si>
    <t>Educación y comunicación para una cultura ambiental participativa</t>
  </si>
  <si>
    <t>Institucionalización, Formulación e Implementación del plan de acción departamental de cambio climático.</t>
  </si>
  <si>
    <t>Estrategias de Desarrollo Bajas en Carbono</t>
  </si>
  <si>
    <t>Aprovechamiento Sostenible de la biodiversidad y mercados verdes</t>
  </si>
  <si>
    <t>TOTAL</t>
  </si>
  <si>
    <t>PRESUPUESTO INICIAL</t>
  </si>
  <si>
    <t>PRESUPUESTO DEFINITIVO</t>
  </si>
  <si>
    <t>CDPS EXPEDIDOS</t>
  </si>
  <si>
    <t>% EJECUCION CDPS</t>
  </si>
  <si>
    <t>% DE EJEUCION</t>
  </si>
  <si>
    <t>Implementacion de procesos de restauracion pasiva</t>
  </si>
  <si>
    <t>CDPS</t>
  </si>
  <si>
    <t xml:space="preserve">% EJEUCION </t>
  </si>
  <si>
    <t xml:space="preserve">RECURSOS PROPIOS </t>
  </si>
  <si>
    <t>SALDO  POR</t>
  </si>
  <si>
    <t>EJECUTAR</t>
  </si>
  <si>
    <t xml:space="preserve">RECURSOS NACION </t>
  </si>
  <si>
    <t>Horas extras</t>
  </si>
  <si>
    <t>SALDO DE APROPIACION</t>
  </si>
  <si>
    <t>SALDO  DE</t>
  </si>
  <si>
    <t>APROPIACION</t>
  </si>
  <si>
    <t>PAGOS</t>
  </si>
  <si>
    <t>EJECUCION PRESUPUESTAL GASTOS DE INVERSION RECURSOS NACION  A JUNIO  30 DE 2016</t>
  </si>
  <si>
    <t>1,1 Ordenamiento y Admon RH y Cuencas Hidrograficas</t>
  </si>
  <si>
    <t>1,2 Recuperacion de Cuencas Hidrograficas</t>
  </si>
  <si>
    <t>1,3 descontaminacion de Fuentes Hidricas</t>
  </si>
  <si>
    <t>2,1 Conocimiento y Planificacion de Ecosistemas Estrategicos</t>
  </si>
  <si>
    <t>2,2 Conservacion y Recuperacion de Ecosistemas Estrategicos y su Biodiversidad</t>
  </si>
  <si>
    <t>3,1 Crecimiento Verde de Sectores Productivos</t>
  </si>
  <si>
    <t>3,2 Areas  Urbanas Sostenibles y Resilientes</t>
  </si>
  <si>
    <t>4,1 Control y vigilancia Ambiental</t>
  </si>
  <si>
    <t>5,1 Planificacion Ambiental Territorial</t>
  </si>
  <si>
    <t>6,1 CAM Modelo de Gestion Corporativa</t>
  </si>
  <si>
    <t>NUEVO PLAN DE ACCION</t>
  </si>
  <si>
    <t>6,2 Educacion Ambiental Opita de Corazon</t>
  </si>
  <si>
    <t>5,2 Gestion del Riesgo de Desastres</t>
  </si>
  <si>
    <t>TOTAL NUEVO PLAN ACCION</t>
  </si>
  <si>
    <t>TOTAL PLAN ACCION VIEJO</t>
  </si>
  <si>
    <t>APLAZAMIENTOS</t>
  </si>
  <si>
    <t>EJECUCION PRESUPUESTAL A SEPTIEMBRE 30 DE 2016</t>
  </si>
  <si>
    <t>EJECUCION PRESUPUESTAL A 30 DE SEPTIEMBRE DE 2016</t>
  </si>
  <si>
    <t>EJECUCION PRESUPUESTAL GASTOS DE INVERSION RECURSOS PROPIOS A SEPTIEMBRE 30 DE 2016</t>
  </si>
  <si>
    <t>SALDO DE  APROPIACION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</si>
</sst>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;[Red]0.00"/>
    <numFmt numFmtId="181" formatCode="#,##0.00;[Red]#,##0.00"/>
    <numFmt numFmtId="182" formatCode="#,##0.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00"/>
    <numFmt numFmtId="188" formatCode="_(* #,##0_);_(* \(#,##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Univers"/>
      <family val="2"/>
    </font>
    <font>
      <sz val="8"/>
      <name val="Tahoma"/>
      <family val="2"/>
    </font>
    <font>
      <b/>
      <sz val="8"/>
      <name val="Univers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36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8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1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0" fillId="0" borderId="14" xfId="0" applyNumberFormat="1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wrapText="1"/>
      <protection locked="0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6" xfId="0" applyNumberFormat="1" applyBorder="1" applyAlignment="1">
      <alignment/>
    </xf>
    <xf numFmtId="4" fontId="1" fillId="0" borderId="16" xfId="0" applyNumberFormat="1" applyFont="1" applyFill="1" applyBorder="1" applyAlignment="1">
      <alignment horizontal="center" wrapText="1"/>
    </xf>
    <xf numFmtId="4" fontId="0" fillId="0" borderId="1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justify"/>
    </xf>
    <xf numFmtId="3" fontId="3" fillId="0" borderId="10" xfId="0" applyNumberFormat="1" applyFont="1" applyFill="1" applyBorder="1" applyAlignment="1" applyProtection="1">
      <alignment wrapText="1"/>
      <protection locked="0"/>
    </xf>
    <xf numFmtId="0" fontId="0" fillId="0" borderId="13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3" fillId="0" borderId="14" xfId="0" applyNumberFormat="1" applyFont="1" applyFill="1" applyBorder="1" applyAlignment="1" applyProtection="1">
      <alignment wrapText="1"/>
      <protection locked="0"/>
    </xf>
    <xf numFmtId="3" fontId="0" fillId="0" borderId="14" xfId="0" applyNumberFormat="1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 applyProtection="1">
      <alignment wrapText="1"/>
      <protection locked="0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wrapText="1"/>
    </xf>
    <xf numFmtId="4" fontId="0" fillId="0" borderId="18" xfId="0" applyNumberFormat="1" applyBorder="1" applyAlignment="1">
      <alignment/>
    </xf>
    <xf numFmtId="3" fontId="0" fillId="0" borderId="18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Font="1" applyFill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3" fontId="0" fillId="0" borderId="0" xfId="0" applyNumberFormat="1" applyFont="1" applyFill="1" applyAlignment="1">
      <alignment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3" xfId="0" applyBorder="1" applyAlignment="1">
      <alignment/>
    </xf>
    <xf numFmtId="3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4" fontId="0" fillId="0" borderId="11" xfId="0" applyNumberForma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4" fontId="0" fillId="0" borderId="11" xfId="0" applyNumberFormat="1" applyFill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4" fontId="0" fillId="0" borderId="19" xfId="0" applyNumberFormat="1" applyBorder="1" applyAlignment="1">
      <alignment/>
    </xf>
    <xf numFmtId="0" fontId="0" fillId="0" borderId="25" xfId="0" applyBorder="1" applyAlignment="1">
      <alignment/>
    </xf>
    <xf numFmtId="0" fontId="1" fillId="0" borderId="12" xfId="0" applyFont="1" applyBorder="1" applyAlignment="1">
      <alignment horizontal="center"/>
    </xf>
    <xf numFmtId="4" fontId="0" fillId="0" borderId="14" xfId="0" applyNumberFormat="1" applyBorder="1" applyAlignment="1">
      <alignment/>
    </xf>
    <xf numFmtId="0" fontId="0" fillId="0" borderId="18" xfId="0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4" fontId="0" fillId="0" borderId="26" xfId="0" applyNumberFormat="1" applyFill="1" applyBorder="1" applyAlignment="1">
      <alignment/>
    </xf>
    <xf numFmtId="0" fontId="0" fillId="0" borderId="17" xfId="0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Fill="1" applyBorder="1" applyAlignment="1">
      <alignment/>
    </xf>
    <xf numFmtId="3" fontId="1" fillId="0" borderId="19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4" fontId="0" fillId="0" borderId="25" xfId="0" applyNumberFormat="1" applyBorder="1" applyAlignment="1">
      <alignment/>
    </xf>
    <xf numFmtId="4" fontId="1" fillId="0" borderId="20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30" xfId="0" applyBorder="1" applyAlignment="1">
      <alignment/>
    </xf>
    <xf numFmtId="4" fontId="0" fillId="0" borderId="21" xfId="0" applyNumberFormat="1" applyBorder="1" applyAlignment="1">
      <alignment/>
    </xf>
    <xf numFmtId="0" fontId="1" fillId="0" borderId="17" xfId="0" applyFont="1" applyBorder="1" applyAlignment="1">
      <alignment horizontal="center"/>
    </xf>
    <xf numFmtId="3" fontId="0" fillId="0" borderId="18" xfId="0" applyNumberFormat="1" applyFont="1" applyBorder="1" applyAlignment="1">
      <alignment/>
    </xf>
    <xf numFmtId="3" fontId="47" fillId="0" borderId="10" xfId="0" applyNumberFormat="1" applyFont="1" applyBorder="1" applyAlignment="1">
      <alignment/>
    </xf>
    <xf numFmtId="182" fontId="46" fillId="0" borderId="31" xfId="55" applyNumberFormat="1" applyFont="1" applyBorder="1" applyAlignment="1">
      <alignment vertical="center"/>
    </xf>
    <xf numFmtId="0" fontId="3" fillId="0" borderId="32" xfId="0" applyFont="1" applyFill="1" applyBorder="1" applyAlignment="1" applyProtection="1">
      <alignment vertical="center" wrapText="1"/>
      <protection locked="0"/>
    </xf>
    <xf numFmtId="0" fontId="5" fillId="0" borderId="32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vertical="center"/>
    </xf>
    <xf numFmtId="3" fontId="0" fillId="34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vertical="center"/>
    </xf>
    <xf numFmtId="3" fontId="0" fillId="0" borderId="0" xfId="0" applyNumberFormat="1" applyFill="1" applyAlignment="1">
      <alignment/>
    </xf>
    <xf numFmtId="188" fontId="0" fillId="0" borderId="10" xfId="49" applyNumberFormat="1" applyFont="1" applyFill="1" applyBorder="1" applyAlignment="1">
      <alignment horizontal="center" vertical="center"/>
    </xf>
    <xf numFmtId="3" fontId="27" fillId="0" borderId="10" xfId="49" applyNumberFormat="1" applyFont="1" applyFill="1" applyBorder="1" applyAlignment="1">
      <alignment vertical="center"/>
    </xf>
    <xf numFmtId="182" fontId="46" fillId="0" borderId="10" xfId="55" applyNumberFormat="1" applyFont="1" applyBorder="1" applyAlignment="1">
      <alignment vertical="center"/>
    </xf>
    <xf numFmtId="0" fontId="1" fillId="0" borderId="3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dic3_09\documentos\presupuesto2013\RESERVAS2012\RES.%20RESERV.%202.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dic3_09\documentos\presupuesto2013\RESERVAS2012\cxp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\Documents\presupuesto2013\ejecuciones\T-CAM-029-POAI%202013%20(Marzo%2016%20de%202013)%20ATRABAJA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4\EJECUCIONES\POAI%202014%20DEFINITIVO%2029%20DE%20ENERO%202014ATRABAJAR%20X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4\EJECUCIONES\EJECUCION%20PRESUPUESTALGASTOSAMARZO31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IRECTOR\ANASIS%20DIRECTIVO%20CAM%20a%20ABRIL1%20consolidado%20SRCA-SGA-OPL%20%20ajust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RESERVAS 2012"/>
    </sheetNames>
    <sheetDataSet>
      <sheetData sheetId="1">
        <row r="149">
          <cell r="G149">
            <v>302105541.046</v>
          </cell>
        </row>
        <row r="159">
          <cell r="G159">
            <v>18115598.7</v>
          </cell>
        </row>
        <row r="176">
          <cell r="G176">
            <v>539446957.1760001</v>
          </cell>
        </row>
        <row r="212">
          <cell r="G212">
            <v>82877174</v>
          </cell>
        </row>
        <row r="217">
          <cell r="G217">
            <v>1498358942.316</v>
          </cell>
        </row>
        <row r="227">
          <cell r="G227">
            <v>76488483</v>
          </cell>
        </row>
        <row r="246">
          <cell r="G246">
            <v>116345663</v>
          </cell>
        </row>
        <row r="306">
          <cell r="G306">
            <v>17734548</v>
          </cell>
        </row>
        <row r="336">
          <cell r="G336">
            <v>111088903.04</v>
          </cell>
        </row>
        <row r="342">
          <cell r="G342">
            <v>72795215.78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Hoja1"/>
      <sheetName val="Hoja3"/>
    </sheetNames>
    <sheetDataSet>
      <sheetData sheetId="0">
        <row r="50">
          <cell r="F50">
            <v>451879</v>
          </cell>
        </row>
        <row r="57">
          <cell r="F57">
            <v>2560279</v>
          </cell>
        </row>
        <row r="58">
          <cell r="F58">
            <v>785603</v>
          </cell>
        </row>
        <row r="154">
          <cell r="F154">
            <v>43687200</v>
          </cell>
        </row>
        <row r="163">
          <cell r="F163">
            <v>75867</v>
          </cell>
        </row>
        <row r="195">
          <cell r="F195">
            <v>198000</v>
          </cell>
        </row>
        <row r="203">
          <cell r="F203">
            <v>50523840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900-01"/>
      <sheetName val="proyecto flias guardabosques"/>
      <sheetName val="01-900-02"/>
      <sheetName val="01-900-03"/>
      <sheetName val="02-0900-01"/>
      <sheetName val="02-900-02"/>
      <sheetName val="02-900-03"/>
      <sheetName val="02-900-04"/>
      <sheetName val="03-900-01"/>
      <sheetName val="03-900-02"/>
      <sheetName val="04-0900-1"/>
      <sheetName val="04-0900-02"/>
      <sheetName val="05-900-01"/>
      <sheetName val="06-0900-01"/>
      <sheetName val="06-0900-02"/>
      <sheetName val="PDC"/>
      <sheetName val="POAI"/>
      <sheetName val="FUENTES Y USOS "/>
      <sheetName val="Hoja2"/>
    </sheetNames>
    <sheetDataSet>
      <sheetData sheetId="0">
        <row r="143">
          <cell r="J143">
            <v>2152968036.5039997</v>
          </cell>
        </row>
      </sheetData>
      <sheetData sheetId="2">
        <row r="42">
          <cell r="J42">
            <v>239775769</v>
          </cell>
        </row>
      </sheetData>
      <sheetData sheetId="3">
        <row r="41">
          <cell r="I41">
            <v>74615651</v>
          </cell>
        </row>
      </sheetData>
      <sheetData sheetId="4">
        <row r="34">
          <cell r="I34">
            <v>1867301538.748</v>
          </cell>
        </row>
      </sheetData>
      <sheetData sheetId="5">
        <row r="151">
          <cell r="I151">
            <v>2545829270.4040008</v>
          </cell>
        </row>
      </sheetData>
      <sheetData sheetId="6">
        <row r="79">
          <cell r="I79">
            <v>680897977.232</v>
          </cell>
        </row>
      </sheetData>
      <sheetData sheetId="7">
        <row r="31">
          <cell r="J31">
            <v>4589240858</v>
          </cell>
        </row>
      </sheetData>
      <sheetData sheetId="8">
        <row r="51">
          <cell r="J51">
            <v>248571160</v>
          </cell>
        </row>
      </sheetData>
      <sheetData sheetId="9">
        <row r="103">
          <cell r="J103">
            <v>6495999029.863999</v>
          </cell>
        </row>
      </sheetData>
      <sheetData sheetId="11">
        <row r="127">
          <cell r="H127">
            <v>347571279.988</v>
          </cell>
        </row>
      </sheetData>
      <sheetData sheetId="12">
        <row r="131">
          <cell r="I131">
            <v>739699515.0080001</v>
          </cell>
        </row>
      </sheetData>
      <sheetData sheetId="13">
        <row r="72">
          <cell r="I72">
            <v>560766328.9560002</v>
          </cell>
        </row>
      </sheetData>
      <sheetData sheetId="14">
        <row r="47">
          <cell r="I47">
            <v>278664190.78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DC"/>
      <sheetName val="01-0900-01"/>
      <sheetName val="01-0900-02"/>
      <sheetName val="01-0900-03"/>
      <sheetName val="02-0900-01"/>
      <sheetName val="02-0900-02"/>
      <sheetName val="02-0900-03"/>
      <sheetName val="02-0900-04"/>
      <sheetName val="03-0900-01"/>
      <sheetName val="03-0900-02"/>
      <sheetName val="04-0900-01"/>
      <sheetName val="04-0900-02"/>
      <sheetName val="05-0900-01"/>
      <sheetName val="06-0900-01"/>
      <sheetName val="06-0900-02"/>
      <sheetName val="013-000-2-906-1"/>
      <sheetName val="RESUMEN"/>
      <sheetName val="Hoja3"/>
    </sheetNames>
    <sheetDataSet>
      <sheetData sheetId="15">
        <row r="49">
          <cell r="E49">
            <v>1900000000</v>
          </cell>
        </row>
        <row r="50">
          <cell r="E50">
            <v>254251332</v>
          </cell>
        </row>
        <row r="55">
          <cell r="E55">
            <v>1475328300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UNCIONAMIENTO "/>
      <sheetName val="INVERSION"/>
      <sheetName val="ADICIONES2014"/>
    </sheetNames>
    <sheetDataSet>
      <sheetData sheetId="2">
        <row r="126">
          <cell r="B126">
            <v>23000000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ervas 2015"/>
      <sheetName val="Gastos 2016"/>
      <sheetName val="INGRESOS A "/>
      <sheetName val="T-CAM 123 "/>
      <sheetName val="T-CAM 123  (2)"/>
    </sheetNames>
    <sheetDataSet>
      <sheetData sheetId="1">
        <row r="16">
          <cell r="B16">
            <v>250000000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8"/>
  <sheetViews>
    <sheetView tabSelected="1" zoomScalePageLayoutView="0" workbookViewId="0" topLeftCell="A35">
      <selection activeCell="I62" sqref="I62"/>
    </sheetView>
  </sheetViews>
  <sheetFormatPr defaultColWidth="11.421875" defaultRowHeight="12.75"/>
  <cols>
    <col min="1" max="1" width="3.00390625" style="0" customWidth="1"/>
    <col min="2" max="2" width="6.421875" style="0" customWidth="1"/>
    <col min="3" max="3" width="4.421875" style="0" customWidth="1"/>
    <col min="4" max="4" width="4.8515625" style="0" customWidth="1"/>
    <col min="5" max="5" width="3.28125" style="0" customWidth="1"/>
    <col min="6" max="6" width="42.140625" style="0" customWidth="1"/>
    <col min="7" max="7" width="19.57421875" style="0" customWidth="1"/>
    <col min="8" max="8" width="19.00390625" style="77" customWidth="1"/>
    <col min="9" max="9" width="19.7109375" style="77" customWidth="1"/>
    <col min="10" max="13" width="17.7109375" style="0" hidden="1" customWidth="1"/>
    <col min="14" max="14" width="19.8515625" style="0" hidden="1" customWidth="1"/>
    <col min="15" max="15" width="18.00390625" style="0" hidden="1" customWidth="1"/>
    <col min="16" max="16" width="13.7109375" style="0" hidden="1" customWidth="1"/>
    <col min="17" max="17" width="12.7109375" style="0" hidden="1" customWidth="1"/>
    <col min="18" max="18" width="15.140625" style="0" hidden="1" customWidth="1"/>
    <col min="19" max="19" width="15.140625" style="0" customWidth="1"/>
    <col min="20" max="21" width="16.00390625" style="0" customWidth="1"/>
    <col min="22" max="22" width="18.8515625" style="0" customWidth="1"/>
    <col min="23" max="23" width="0" style="0" hidden="1" customWidth="1"/>
    <col min="24" max="24" width="18.57421875" style="0" customWidth="1"/>
    <col min="25" max="25" width="15.28125" style="0" bestFit="1" customWidth="1"/>
    <col min="26" max="27" width="13.7109375" style="0" bestFit="1" customWidth="1"/>
    <col min="28" max="28" width="14.28125" style="0" customWidth="1"/>
    <col min="29" max="29" width="14.28125" style="0" bestFit="1" customWidth="1"/>
    <col min="30" max="30" width="13.7109375" style="0" bestFit="1" customWidth="1"/>
    <col min="31" max="31" width="14.28125" style="0" bestFit="1" customWidth="1"/>
  </cols>
  <sheetData>
    <row r="1" spans="1:24" ht="12.75">
      <c r="A1" s="177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</row>
    <row r="2" spans="1:24" ht="12.75">
      <c r="A2" s="177" t="s">
        <v>104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</row>
    <row r="3" spans="1:24" ht="13.5" thickBot="1">
      <c r="A3" s="177" t="s">
        <v>78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</row>
    <row r="4" spans="1:29" ht="12.75">
      <c r="A4" s="122"/>
      <c r="B4" s="125"/>
      <c r="C4" s="126"/>
      <c r="D4" s="126"/>
      <c r="E4" s="126"/>
      <c r="F4" s="126"/>
      <c r="G4" s="126"/>
      <c r="H4" s="127"/>
      <c r="I4" s="127"/>
      <c r="J4" s="126"/>
      <c r="K4" s="126"/>
      <c r="L4" s="126"/>
      <c r="M4" s="128"/>
      <c r="N4" s="128"/>
      <c r="O4" s="126"/>
      <c r="P4" s="126"/>
      <c r="Q4" s="126"/>
      <c r="R4" s="126"/>
      <c r="S4" s="126"/>
      <c r="T4" s="126"/>
      <c r="U4" s="126"/>
      <c r="V4" s="126"/>
      <c r="W4" s="126"/>
      <c r="X4" s="129"/>
      <c r="Y4" s="72"/>
      <c r="AC4" s="72"/>
    </row>
    <row r="5" spans="1:24" ht="12.75">
      <c r="A5" s="123"/>
      <c r="B5" s="130" t="s">
        <v>6</v>
      </c>
      <c r="C5" s="3"/>
      <c r="D5" s="3" t="s">
        <v>7</v>
      </c>
      <c r="E5" s="3"/>
      <c r="F5" s="8"/>
      <c r="G5" s="19" t="s">
        <v>3</v>
      </c>
      <c r="H5" s="10" t="s">
        <v>2</v>
      </c>
      <c r="I5" s="10" t="s">
        <v>3</v>
      </c>
      <c r="J5" s="119" t="s">
        <v>76</v>
      </c>
      <c r="K5" s="119" t="s">
        <v>35</v>
      </c>
      <c r="L5" s="14" t="s">
        <v>36</v>
      </c>
      <c r="M5" s="28" t="s">
        <v>47</v>
      </c>
      <c r="N5" s="95" t="s">
        <v>77</v>
      </c>
      <c r="O5" s="2"/>
      <c r="P5" s="2"/>
      <c r="Q5" s="2"/>
      <c r="R5" s="2"/>
      <c r="S5" s="19" t="s">
        <v>76</v>
      </c>
      <c r="T5" s="19" t="s">
        <v>35</v>
      </c>
      <c r="U5" s="19" t="s">
        <v>86</v>
      </c>
      <c r="V5" s="19" t="s">
        <v>79</v>
      </c>
      <c r="W5" s="19"/>
      <c r="X5" s="100" t="s">
        <v>74</v>
      </c>
    </row>
    <row r="6" spans="1:32" ht="12.75">
      <c r="A6" s="123"/>
      <c r="B6" s="39"/>
      <c r="C6" s="3"/>
      <c r="D6" s="3" t="s">
        <v>8</v>
      </c>
      <c r="E6" s="3"/>
      <c r="F6" s="19" t="s">
        <v>9</v>
      </c>
      <c r="G6" s="19" t="s">
        <v>4</v>
      </c>
      <c r="H6" s="10" t="s">
        <v>10</v>
      </c>
      <c r="I6" s="10" t="s">
        <v>5</v>
      </c>
      <c r="J6" s="10" t="s">
        <v>1</v>
      </c>
      <c r="K6" s="27"/>
      <c r="L6" s="14" t="s">
        <v>40</v>
      </c>
      <c r="M6" s="96" t="s">
        <v>76</v>
      </c>
      <c r="N6" s="95" t="s">
        <v>35</v>
      </c>
      <c r="O6" s="2"/>
      <c r="P6" s="2"/>
      <c r="Q6" s="2"/>
      <c r="R6" s="2"/>
      <c r="S6" s="2"/>
      <c r="T6" s="19"/>
      <c r="U6" s="19"/>
      <c r="V6" s="19" t="s">
        <v>80</v>
      </c>
      <c r="W6" s="19"/>
      <c r="X6" s="100"/>
      <c r="Y6" s="1"/>
      <c r="Z6" s="1"/>
      <c r="AA6" s="1"/>
      <c r="AB6" s="1"/>
      <c r="AC6" s="1"/>
      <c r="AD6" s="1"/>
      <c r="AE6" s="1"/>
      <c r="AF6" s="1"/>
    </row>
    <row r="7" spans="1:32" ht="13.5" thickBot="1">
      <c r="A7" s="123"/>
      <c r="B7" s="40"/>
      <c r="C7" s="41"/>
      <c r="D7" s="41" t="s">
        <v>11</v>
      </c>
      <c r="E7" s="41"/>
      <c r="F7" s="42"/>
      <c r="G7" s="43" t="s">
        <v>1</v>
      </c>
      <c r="H7" s="108" t="s">
        <v>26</v>
      </c>
      <c r="I7" s="44" t="s">
        <v>1</v>
      </c>
      <c r="J7" s="44" t="s">
        <v>1</v>
      </c>
      <c r="K7" s="44"/>
      <c r="L7" s="45"/>
      <c r="M7" s="131"/>
      <c r="N7" s="131"/>
      <c r="O7" s="47"/>
      <c r="P7" s="47"/>
      <c r="Q7" s="47"/>
      <c r="R7" s="47"/>
      <c r="S7" s="47"/>
      <c r="T7" s="47"/>
      <c r="U7" s="47"/>
      <c r="V7" s="47"/>
      <c r="W7" s="47"/>
      <c r="X7" s="101"/>
      <c r="Y7" s="1"/>
      <c r="Z7" s="1"/>
      <c r="AA7" s="1"/>
      <c r="AB7" s="1"/>
      <c r="AC7" s="1"/>
      <c r="AD7" s="1"/>
      <c r="AE7" s="1"/>
      <c r="AF7" s="1"/>
    </row>
    <row r="8" spans="1:32" ht="12.75">
      <c r="A8" s="8"/>
      <c r="B8" s="36"/>
      <c r="C8" s="36"/>
      <c r="D8" s="36"/>
      <c r="E8" s="36"/>
      <c r="F8" s="36"/>
      <c r="G8" s="37" t="s">
        <v>1</v>
      </c>
      <c r="H8" s="109" t="s">
        <v>1</v>
      </c>
      <c r="I8" s="38" t="s">
        <v>26</v>
      </c>
      <c r="J8" s="38" t="s">
        <v>1</v>
      </c>
      <c r="K8" s="38" t="s">
        <v>1</v>
      </c>
      <c r="L8" s="124"/>
      <c r="M8" s="118"/>
      <c r="N8" s="118"/>
      <c r="O8" s="71"/>
      <c r="P8" s="71"/>
      <c r="Q8" s="71"/>
      <c r="R8" s="71"/>
      <c r="S8" s="71"/>
      <c r="T8" s="37"/>
      <c r="U8" s="37"/>
      <c r="V8" s="71"/>
      <c r="W8" s="71"/>
      <c r="X8" s="71"/>
      <c r="Y8" s="1"/>
      <c r="Z8" s="1"/>
      <c r="AA8" s="1"/>
      <c r="AB8" s="1"/>
      <c r="AC8" s="1"/>
      <c r="AD8" s="1"/>
      <c r="AE8" s="1"/>
      <c r="AF8" s="1"/>
    </row>
    <row r="9" spans="1:32" ht="12.75">
      <c r="A9" s="8" t="s">
        <v>12</v>
      </c>
      <c r="B9" s="8"/>
      <c r="C9" s="8"/>
      <c r="D9" s="8"/>
      <c r="E9" s="8"/>
      <c r="F9" s="8" t="s">
        <v>27</v>
      </c>
      <c r="G9" s="4">
        <f>SUM(G10+G23+G27)</f>
        <v>4807380196</v>
      </c>
      <c r="H9" s="13">
        <f>SUM(H10+H23+H27)</f>
        <v>1068696000</v>
      </c>
      <c r="I9" s="20">
        <f>+G9+H9</f>
        <v>5876076196</v>
      </c>
      <c r="J9" s="21">
        <f>SUM(J10+J23+J27)</f>
        <v>2514035997</v>
      </c>
      <c r="K9" s="21">
        <f>SUM(K10+K23+K27)</f>
        <v>2514035997</v>
      </c>
      <c r="L9" s="120">
        <f aca="true" t="shared" si="0" ref="L9:L31">+I9-J9</f>
        <v>3362040199</v>
      </c>
      <c r="M9" s="29">
        <f aca="true" t="shared" si="1" ref="M9:M31">+J9/I9*100</f>
        <v>42.78426475666484</v>
      </c>
      <c r="N9" s="29">
        <f>+K9/I9*100</f>
        <v>42.78426475666484</v>
      </c>
      <c r="O9" s="2"/>
      <c r="P9" s="2"/>
      <c r="Q9" s="2"/>
      <c r="R9" s="2"/>
      <c r="S9" s="4">
        <f>SUM(S10+S23+S27)</f>
        <v>3228996405</v>
      </c>
      <c r="T9" s="4">
        <f>SUM(T10+T23+T27)</f>
        <v>3228996405</v>
      </c>
      <c r="U9" s="4">
        <f>SUM(U10+U23+U27)</f>
        <v>2569066528</v>
      </c>
      <c r="V9" s="33">
        <f>+I9-T9</f>
        <v>2647079791</v>
      </c>
      <c r="W9" s="2"/>
      <c r="X9" s="29">
        <f>+T9/I9*100</f>
        <v>54.951574780430235</v>
      </c>
      <c r="Y9" s="1"/>
      <c r="Z9" s="1"/>
      <c r="AA9" s="1"/>
      <c r="AB9" s="1"/>
      <c r="AC9" s="1"/>
      <c r="AD9" s="1"/>
      <c r="AE9" s="1"/>
      <c r="AF9" s="1"/>
    </row>
    <row r="10" spans="1:32" ht="12.75">
      <c r="A10" s="8" t="s">
        <v>12</v>
      </c>
      <c r="B10" s="8">
        <v>1</v>
      </c>
      <c r="C10" s="8">
        <v>1</v>
      </c>
      <c r="D10" s="8">
        <v>0</v>
      </c>
      <c r="E10" s="8">
        <v>0</v>
      </c>
      <c r="F10" s="8" t="s">
        <v>13</v>
      </c>
      <c r="G10" s="4">
        <f>SUM(G11+G18+G19+G20+G21+G22)</f>
        <v>1968690895</v>
      </c>
      <c r="H10" s="13">
        <f>SUM(H11+H18+H19+H20+H21+H22)</f>
        <v>474796000</v>
      </c>
      <c r="I10" s="20">
        <f>+G10+H10</f>
        <v>2443486895</v>
      </c>
      <c r="J10" s="21">
        <f>SUM(J11+J18+J19+J20+J21+J22)</f>
        <v>874418338</v>
      </c>
      <c r="K10" s="21">
        <f>SUM(K11+K18+K19+K20+K21+K22)</f>
        <v>874418338</v>
      </c>
      <c r="L10" s="120">
        <f t="shared" si="0"/>
        <v>1569068557</v>
      </c>
      <c r="M10" s="29">
        <f t="shared" si="1"/>
        <v>35.78567741817171</v>
      </c>
      <c r="N10" s="29">
        <f aca="true" t="shared" si="2" ref="N10:N31">+K10/I10*100</f>
        <v>35.78567741817171</v>
      </c>
      <c r="O10" s="2"/>
      <c r="P10" s="2"/>
      <c r="Q10" s="2"/>
      <c r="R10" s="2"/>
      <c r="S10" s="4">
        <f>SUM(S11+S18+S19+S20+S21+S22)</f>
        <v>1282797323</v>
      </c>
      <c r="T10" s="4">
        <f>SUM(T11+T18+T19+T20+T21+T22)</f>
        <v>1282797323</v>
      </c>
      <c r="U10" s="4">
        <f>SUM(U11+U18+U19+U20+U21+U22)</f>
        <v>782687687</v>
      </c>
      <c r="V10" s="33">
        <f aca="true" t="shared" si="3" ref="V10:V31">+I10-T10</f>
        <v>1160689572</v>
      </c>
      <c r="W10" s="2"/>
      <c r="X10" s="29">
        <f aca="true" t="shared" si="4" ref="X10:X31">+T10/I10*100</f>
        <v>52.49863732131864</v>
      </c>
      <c r="Y10" s="1"/>
      <c r="Z10" s="1"/>
      <c r="AA10" s="1"/>
      <c r="AB10" s="1"/>
      <c r="AC10" s="1"/>
      <c r="AD10" s="1"/>
      <c r="AE10" s="1"/>
      <c r="AF10" s="1"/>
    </row>
    <row r="11" spans="1:32" ht="12.75">
      <c r="A11" s="8" t="s">
        <v>12</v>
      </c>
      <c r="B11" s="8">
        <v>1</v>
      </c>
      <c r="C11" s="8">
        <v>1</v>
      </c>
      <c r="D11" s="8">
        <v>1</v>
      </c>
      <c r="E11" s="8">
        <v>0</v>
      </c>
      <c r="F11" s="8" t="s">
        <v>14</v>
      </c>
      <c r="G11" s="4">
        <f>SUM(G12:G17)</f>
        <v>1004065442</v>
      </c>
      <c r="H11" s="13">
        <f>+H12+H13+H14+H15+H16+H17</f>
        <v>152100000</v>
      </c>
      <c r="I11" s="20">
        <f aca="true" t="shared" si="5" ref="I11:I31">+G11+H11</f>
        <v>1156165442</v>
      </c>
      <c r="J11" s="21">
        <f>SUM(J12:J17)</f>
        <v>463627287</v>
      </c>
      <c r="K11" s="21">
        <f>SUM(K12:K17)</f>
        <v>463627287</v>
      </c>
      <c r="L11" s="120">
        <f t="shared" si="0"/>
        <v>692538155</v>
      </c>
      <c r="M11" s="29">
        <f t="shared" si="1"/>
        <v>40.10042768602315</v>
      </c>
      <c r="N11" s="29">
        <f t="shared" si="2"/>
        <v>40.10042768602315</v>
      </c>
      <c r="O11" s="2"/>
      <c r="P11" s="2"/>
      <c r="Q11" s="2"/>
      <c r="R11" s="2"/>
      <c r="S11" s="4">
        <f>SUM(S12:S17)</f>
        <v>462143059</v>
      </c>
      <c r="T11" s="4">
        <f>SUM(T12:T17)</f>
        <v>462143059</v>
      </c>
      <c r="U11" s="4">
        <f>SUM(U12:U17)</f>
        <v>386237775</v>
      </c>
      <c r="V11" s="33">
        <f t="shared" si="3"/>
        <v>694022383</v>
      </c>
      <c r="W11" s="2"/>
      <c r="X11" s="29">
        <f t="shared" si="4"/>
        <v>39.97205263293106</v>
      </c>
      <c r="Y11" s="1"/>
      <c r="Z11" s="7" t="s">
        <v>1</v>
      </c>
      <c r="AA11" s="1"/>
      <c r="AB11" s="1"/>
      <c r="AC11" s="1"/>
      <c r="AD11" s="1"/>
      <c r="AE11" s="1"/>
      <c r="AF11" s="1"/>
    </row>
    <row r="12" spans="1:32" ht="12.75">
      <c r="A12" s="8" t="s">
        <v>12</v>
      </c>
      <c r="B12" s="8">
        <v>1</v>
      </c>
      <c r="C12" s="8">
        <v>1</v>
      </c>
      <c r="D12" s="8">
        <v>1</v>
      </c>
      <c r="E12" s="8">
        <v>1</v>
      </c>
      <c r="F12" s="8" t="s">
        <v>15</v>
      </c>
      <c r="G12" s="4">
        <v>582293272</v>
      </c>
      <c r="H12" s="13">
        <v>64000000</v>
      </c>
      <c r="I12" s="20">
        <f t="shared" si="5"/>
        <v>646293272</v>
      </c>
      <c r="J12" s="21">
        <v>280609080</v>
      </c>
      <c r="K12" s="21">
        <v>280609080</v>
      </c>
      <c r="L12" s="120">
        <f t="shared" si="0"/>
        <v>365684192</v>
      </c>
      <c r="M12" s="29">
        <f t="shared" si="1"/>
        <v>43.41822701196246</v>
      </c>
      <c r="N12" s="29">
        <f t="shared" si="2"/>
        <v>43.41822701196246</v>
      </c>
      <c r="O12" s="2"/>
      <c r="P12" s="2"/>
      <c r="Q12" s="2"/>
      <c r="R12" s="2"/>
      <c r="S12" s="4">
        <v>177733386</v>
      </c>
      <c r="T12" s="4">
        <f aca="true" t="shared" si="6" ref="T12:U14">+S12</f>
        <v>177733386</v>
      </c>
      <c r="U12" s="4">
        <f>+T12</f>
        <v>177733386</v>
      </c>
      <c r="V12" s="33">
        <f t="shared" si="3"/>
        <v>468559886</v>
      </c>
      <c r="W12" s="2"/>
      <c r="X12" s="29">
        <f t="shared" si="4"/>
        <v>27.500423368170235</v>
      </c>
      <c r="Y12" s="7"/>
      <c r="Z12" s="7" t="s">
        <v>1</v>
      </c>
      <c r="AA12" s="1"/>
      <c r="AB12" s="1"/>
      <c r="AC12" s="1"/>
      <c r="AD12" s="1"/>
      <c r="AE12" s="1"/>
      <c r="AF12" s="1"/>
    </row>
    <row r="13" spans="1:32" ht="12.75">
      <c r="A13" s="8" t="s">
        <v>12</v>
      </c>
      <c r="B13" s="8">
        <v>1</v>
      </c>
      <c r="C13" s="8">
        <v>1</v>
      </c>
      <c r="D13" s="8">
        <v>1</v>
      </c>
      <c r="E13" s="8">
        <v>2</v>
      </c>
      <c r="F13" s="2" t="s">
        <v>39</v>
      </c>
      <c r="G13" s="4">
        <v>129501150</v>
      </c>
      <c r="H13" s="13">
        <v>0</v>
      </c>
      <c r="I13" s="20">
        <f t="shared" si="5"/>
        <v>129501150</v>
      </c>
      <c r="J13" s="21">
        <v>41107639</v>
      </c>
      <c r="K13" s="21">
        <v>41107639</v>
      </c>
      <c r="L13" s="120">
        <f t="shared" si="0"/>
        <v>88393511</v>
      </c>
      <c r="M13" s="29">
        <f t="shared" si="1"/>
        <v>31.743068690895793</v>
      </c>
      <c r="N13" s="29">
        <f t="shared" si="2"/>
        <v>31.743068690895793</v>
      </c>
      <c r="O13" s="2"/>
      <c r="P13" s="2"/>
      <c r="Q13" s="2"/>
      <c r="R13" s="2"/>
      <c r="S13" s="4">
        <v>78846525</v>
      </c>
      <c r="T13" s="4">
        <f t="shared" si="6"/>
        <v>78846525</v>
      </c>
      <c r="U13" s="4">
        <f t="shared" si="6"/>
        <v>78846525</v>
      </c>
      <c r="V13" s="33">
        <f t="shared" si="3"/>
        <v>50654625</v>
      </c>
      <c r="W13" s="2"/>
      <c r="X13" s="29">
        <f t="shared" si="4"/>
        <v>60.88480681445686</v>
      </c>
      <c r="Y13" s="7"/>
      <c r="Z13" s="1"/>
      <c r="AA13" s="1"/>
      <c r="AB13" s="1"/>
      <c r="AC13" s="1"/>
      <c r="AD13" s="1"/>
      <c r="AE13" s="1"/>
      <c r="AF13" s="1"/>
    </row>
    <row r="14" spans="1:32" ht="12.75">
      <c r="A14" s="8" t="s">
        <v>12</v>
      </c>
      <c r="B14" s="8">
        <v>1</v>
      </c>
      <c r="C14" s="8">
        <v>1</v>
      </c>
      <c r="D14" s="8">
        <v>9</v>
      </c>
      <c r="E14" s="8">
        <v>3</v>
      </c>
      <c r="F14" s="8" t="s">
        <v>28</v>
      </c>
      <c r="G14" s="4">
        <v>28811957</v>
      </c>
      <c r="H14" s="13">
        <v>10000000</v>
      </c>
      <c r="I14" s="20">
        <f t="shared" si="5"/>
        <v>38811957</v>
      </c>
      <c r="J14" s="21">
        <v>27219355</v>
      </c>
      <c r="K14" s="21">
        <v>27219355</v>
      </c>
      <c r="L14" s="120">
        <f t="shared" si="0"/>
        <v>11592602</v>
      </c>
      <c r="M14" s="29">
        <f t="shared" si="1"/>
        <v>70.13136441432212</v>
      </c>
      <c r="N14" s="29">
        <f t="shared" si="2"/>
        <v>70.13136441432212</v>
      </c>
      <c r="O14" s="2"/>
      <c r="P14" s="2"/>
      <c r="Q14" s="2"/>
      <c r="R14" s="2"/>
      <c r="S14" s="4">
        <v>31783291</v>
      </c>
      <c r="T14" s="4">
        <f t="shared" si="6"/>
        <v>31783291</v>
      </c>
      <c r="U14" s="4">
        <f>+T14</f>
        <v>31783291</v>
      </c>
      <c r="V14" s="33">
        <f t="shared" si="3"/>
        <v>7028666</v>
      </c>
      <c r="W14" s="2"/>
      <c r="X14" s="29">
        <f t="shared" si="4"/>
        <v>81.89046226141083</v>
      </c>
      <c r="Y14" s="1"/>
      <c r="Z14" s="1"/>
      <c r="AA14" s="1"/>
      <c r="AB14" s="1"/>
      <c r="AC14" s="1"/>
      <c r="AD14" s="1"/>
      <c r="AE14" s="1"/>
      <c r="AF14" s="1"/>
    </row>
    <row r="15" spans="1:32" ht="12.75">
      <c r="A15" s="8" t="s">
        <v>12</v>
      </c>
      <c r="B15" s="8">
        <v>1</v>
      </c>
      <c r="C15" s="8">
        <v>1</v>
      </c>
      <c r="D15" s="8">
        <v>9</v>
      </c>
      <c r="E15" s="8">
        <v>3</v>
      </c>
      <c r="F15" s="8" t="s">
        <v>82</v>
      </c>
      <c r="G15" s="4">
        <v>0</v>
      </c>
      <c r="H15" s="13">
        <v>0</v>
      </c>
      <c r="I15" s="20">
        <f t="shared" si="5"/>
        <v>0</v>
      </c>
      <c r="J15" s="21"/>
      <c r="K15" s="21"/>
      <c r="L15" s="120"/>
      <c r="M15" s="29"/>
      <c r="N15" s="29"/>
      <c r="O15" s="2"/>
      <c r="P15" s="2"/>
      <c r="Q15" s="2"/>
      <c r="R15" s="2"/>
      <c r="S15" s="4">
        <v>0</v>
      </c>
      <c r="T15" s="4">
        <v>0</v>
      </c>
      <c r="U15" s="4">
        <v>0</v>
      </c>
      <c r="V15" s="33">
        <f t="shared" si="3"/>
        <v>0</v>
      </c>
      <c r="W15" s="2"/>
      <c r="X15" s="29">
        <v>0</v>
      </c>
      <c r="Y15" s="1"/>
      <c r="Z15" s="1"/>
      <c r="AA15" s="1"/>
      <c r="AB15" s="1"/>
      <c r="AC15" s="1"/>
      <c r="AD15" s="1"/>
      <c r="AE15" s="1"/>
      <c r="AF15" s="1"/>
    </row>
    <row r="16" spans="1:32" ht="12.75">
      <c r="A16" s="8" t="s">
        <v>12</v>
      </c>
      <c r="B16" s="8">
        <v>1</v>
      </c>
      <c r="C16" s="8">
        <v>1</v>
      </c>
      <c r="D16" s="8">
        <v>4</v>
      </c>
      <c r="E16" s="8">
        <v>2</v>
      </c>
      <c r="F16" s="8" t="s">
        <v>16</v>
      </c>
      <c r="G16" s="4">
        <v>59674849</v>
      </c>
      <c r="H16" s="13">
        <v>0</v>
      </c>
      <c r="I16" s="20">
        <f t="shared" si="5"/>
        <v>59674849</v>
      </c>
      <c r="J16" s="21">
        <v>27788267</v>
      </c>
      <c r="K16" s="21">
        <v>27788267</v>
      </c>
      <c r="L16" s="120">
        <f t="shared" si="0"/>
        <v>31886582</v>
      </c>
      <c r="M16" s="29">
        <f t="shared" si="1"/>
        <v>46.56612872200146</v>
      </c>
      <c r="N16" s="29">
        <f t="shared" si="2"/>
        <v>46.56612872200146</v>
      </c>
      <c r="O16" s="2"/>
      <c r="P16" s="2"/>
      <c r="Q16" s="2"/>
      <c r="R16" s="2"/>
      <c r="S16" s="4">
        <v>22501709</v>
      </c>
      <c r="T16" s="4">
        <f>+S16</f>
        <v>22501709</v>
      </c>
      <c r="U16" s="4">
        <f>+T16</f>
        <v>22501709</v>
      </c>
      <c r="V16" s="33">
        <f t="shared" si="3"/>
        <v>37173140</v>
      </c>
      <c r="W16" s="2"/>
      <c r="X16" s="29">
        <f t="shared" si="4"/>
        <v>37.70719051170117</v>
      </c>
      <c r="Y16" s="7"/>
      <c r="Z16" s="1"/>
      <c r="AA16" s="1"/>
      <c r="AB16" s="1"/>
      <c r="AC16" s="1"/>
      <c r="AD16" s="1"/>
      <c r="AE16" s="1"/>
      <c r="AF16" s="1"/>
    </row>
    <row r="17" spans="1:32" ht="12.75">
      <c r="A17" s="8" t="s">
        <v>12</v>
      </c>
      <c r="B17" s="8">
        <v>1</v>
      </c>
      <c r="C17" s="8">
        <v>1</v>
      </c>
      <c r="D17" s="8">
        <v>5</v>
      </c>
      <c r="E17" s="8">
        <v>0</v>
      </c>
      <c r="F17" s="8" t="s">
        <v>17</v>
      </c>
      <c r="G17" s="4">
        <v>203784214</v>
      </c>
      <c r="H17" s="13">
        <f>46000000-4400000+29000000+4000000+1000000+2500000</f>
        <v>78100000</v>
      </c>
      <c r="I17" s="20">
        <f t="shared" si="5"/>
        <v>281884214</v>
      </c>
      <c r="J17" s="21">
        <f>27426668+5021569+4212743+4351738+8459317+29105125+3195198+5130588</f>
        <v>86902946</v>
      </c>
      <c r="K17" s="21">
        <f>27426668+5021569+4212743+4351738+8459317+29105125+3195198+5130588</f>
        <v>86902946</v>
      </c>
      <c r="L17" s="120">
        <f t="shared" si="0"/>
        <v>194981268</v>
      </c>
      <c r="M17" s="29">
        <f t="shared" si="1"/>
        <v>30.829305680806947</v>
      </c>
      <c r="N17" s="29">
        <f t="shared" si="2"/>
        <v>30.829305680806947</v>
      </c>
      <c r="O17" s="29"/>
      <c r="P17" s="2"/>
      <c r="Q17" s="2"/>
      <c r="R17" s="2"/>
      <c r="S17" s="4">
        <f>40740946+9020349+4795124+4354946+19078981+56559356+7733197+8995249</f>
        <v>151278148</v>
      </c>
      <c r="T17" s="4">
        <f aca="true" t="shared" si="7" ref="T17:T22">+S17</f>
        <v>151278148</v>
      </c>
      <c r="U17" s="4">
        <f>25111629+5550438+3050430+2763525+3442123+27188939+3132962+5132818</f>
        <v>75372864</v>
      </c>
      <c r="V17" s="33">
        <f t="shared" si="3"/>
        <v>130606066</v>
      </c>
      <c r="W17" s="2"/>
      <c r="X17" s="29">
        <f t="shared" si="4"/>
        <v>53.66676829941247</v>
      </c>
      <c r="Y17" s="7"/>
      <c r="Z17" s="1"/>
      <c r="AA17" s="1"/>
      <c r="AB17" s="1"/>
      <c r="AC17" s="1"/>
      <c r="AD17" s="1"/>
      <c r="AE17" s="1"/>
      <c r="AF17" s="1"/>
    </row>
    <row r="18" spans="1:32" ht="12.75">
      <c r="A18" s="8" t="s">
        <v>12</v>
      </c>
      <c r="B18" s="8">
        <v>1</v>
      </c>
      <c r="C18" s="8">
        <v>0</v>
      </c>
      <c r="D18" s="8">
        <v>2</v>
      </c>
      <c r="E18" s="8">
        <v>0</v>
      </c>
      <c r="F18" s="8" t="s">
        <v>29</v>
      </c>
      <c r="G18" s="4">
        <v>517824251</v>
      </c>
      <c r="H18" s="13">
        <f>481696000-159000000</f>
        <v>322696000</v>
      </c>
      <c r="I18" s="20">
        <f t="shared" si="5"/>
        <v>840520251</v>
      </c>
      <c r="J18" s="21">
        <f>1057231+8089692+296851321</f>
        <v>305998244</v>
      </c>
      <c r="K18" s="21">
        <f>1057231+8089692+296851321</f>
        <v>305998244</v>
      </c>
      <c r="L18" s="120">
        <f t="shared" si="0"/>
        <v>534522007</v>
      </c>
      <c r="M18" s="29">
        <f t="shared" si="1"/>
        <v>36.40581456971939</v>
      </c>
      <c r="N18" s="29">
        <f t="shared" si="2"/>
        <v>36.40581456971939</v>
      </c>
      <c r="O18" s="9" t="s">
        <v>1</v>
      </c>
      <c r="P18" s="2"/>
      <c r="Q18" s="2"/>
      <c r="R18" s="2"/>
      <c r="S18" s="4">
        <f>543331358+11874352+54257070</f>
        <v>609462780</v>
      </c>
      <c r="T18" s="4">
        <f t="shared" si="7"/>
        <v>609462780</v>
      </c>
      <c r="U18" s="4">
        <f>139038852-12099496+11827031+46492041</f>
        <v>185258428</v>
      </c>
      <c r="V18" s="33">
        <f t="shared" si="3"/>
        <v>231057471</v>
      </c>
      <c r="W18" s="2"/>
      <c r="X18" s="29">
        <f t="shared" si="4"/>
        <v>72.51018393368847</v>
      </c>
      <c r="Y18" s="7"/>
      <c r="Z18" s="1"/>
      <c r="AA18" s="1"/>
      <c r="AB18" s="1"/>
      <c r="AC18" s="1"/>
      <c r="AD18" s="1"/>
      <c r="AE18" s="1"/>
      <c r="AF18" s="1"/>
    </row>
    <row r="19" spans="1:32" ht="12.75">
      <c r="A19" s="8" t="s">
        <v>12</v>
      </c>
      <c r="B19" s="8">
        <v>1</v>
      </c>
      <c r="C19" s="8">
        <v>5</v>
      </c>
      <c r="D19" s="8">
        <v>0</v>
      </c>
      <c r="E19" s="8">
        <v>1</v>
      </c>
      <c r="F19" s="8" t="s">
        <v>18</v>
      </c>
      <c r="G19" s="4">
        <v>272144335</v>
      </c>
      <c r="H19" s="13">
        <v>0</v>
      </c>
      <c r="I19" s="20">
        <f t="shared" si="5"/>
        <v>272144335</v>
      </c>
      <c r="J19" s="21">
        <v>14234485</v>
      </c>
      <c r="K19" s="21">
        <v>14234485</v>
      </c>
      <c r="L19" s="120">
        <f t="shared" si="0"/>
        <v>257909850</v>
      </c>
      <c r="M19" s="29">
        <f t="shared" si="1"/>
        <v>5.230491018672132</v>
      </c>
      <c r="N19" s="29">
        <f t="shared" si="2"/>
        <v>5.230491018672132</v>
      </c>
      <c r="O19" s="29"/>
      <c r="P19" s="2"/>
      <c r="Q19" s="2"/>
      <c r="R19" s="2"/>
      <c r="S19" s="4">
        <v>139595008</v>
      </c>
      <c r="T19" s="4">
        <f t="shared" si="7"/>
        <v>139595008</v>
      </c>
      <c r="U19" s="4">
        <f>+T19</f>
        <v>139595008</v>
      </c>
      <c r="V19" s="33">
        <f t="shared" si="3"/>
        <v>132549327</v>
      </c>
      <c r="W19" s="2"/>
      <c r="X19" s="29">
        <f t="shared" si="4"/>
        <v>51.294475043913735</v>
      </c>
      <c r="Y19" s="1"/>
      <c r="Z19" s="1"/>
      <c r="AA19" s="1"/>
      <c r="AB19" s="1"/>
      <c r="AC19" s="1"/>
      <c r="AD19" s="1"/>
      <c r="AE19" s="1"/>
      <c r="AF19" s="1"/>
    </row>
    <row r="20" spans="1:32" ht="12.75">
      <c r="A20" s="8" t="s">
        <v>12</v>
      </c>
      <c r="B20" s="8">
        <v>1</v>
      </c>
      <c r="C20" s="8">
        <v>5</v>
      </c>
      <c r="D20" s="8">
        <v>0</v>
      </c>
      <c r="E20" s="8">
        <v>2</v>
      </c>
      <c r="F20" s="8" t="s">
        <v>19</v>
      </c>
      <c r="G20" s="4">
        <f>174656867-42291639-19554426</f>
        <v>112810802</v>
      </c>
      <c r="H20" s="13">
        <v>0</v>
      </c>
      <c r="I20" s="20">
        <f t="shared" si="5"/>
        <v>112810802</v>
      </c>
      <c r="J20" s="21">
        <v>58847998</v>
      </c>
      <c r="K20" s="21">
        <v>58847998</v>
      </c>
      <c r="L20" s="120">
        <f t="shared" si="0"/>
        <v>53962804</v>
      </c>
      <c r="M20" s="29">
        <f t="shared" si="1"/>
        <v>52.165215526080566</v>
      </c>
      <c r="N20" s="29">
        <f t="shared" si="2"/>
        <v>52.165215526080566</v>
      </c>
      <c r="O20" s="29"/>
      <c r="P20" s="2"/>
      <c r="Q20" s="2"/>
      <c r="R20" s="2"/>
      <c r="S20" s="4">
        <v>48681682</v>
      </c>
      <c r="T20" s="4">
        <f t="shared" si="7"/>
        <v>48681682</v>
      </c>
      <c r="U20" s="4">
        <f>+T20</f>
        <v>48681682</v>
      </c>
      <c r="V20" s="33">
        <f t="shared" si="3"/>
        <v>64129120</v>
      </c>
      <c r="W20" s="2"/>
      <c r="X20" s="29">
        <f t="shared" si="4"/>
        <v>43.15338703114618</v>
      </c>
      <c r="Y20" s="1"/>
      <c r="Z20" s="1"/>
      <c r="AA20" s="1"/>
      <c r="AB20" s="1"/>
      <c r="AC20" s="1"/>
      <c r="AD20" s="1"/>
      <c r="AE20" s="1"/>
      <c r="AF20" s="1"/>
    </row>
    <row r="21" spans="1:32" ht="12.75">
      <c r="A21" s="8" t="s">
        <v>12</v>
      </c>
      <c r="B21" s="8">
        <v>1</v>
      </c>
      <c r="C21" s="8">
        <v>5</v>
      </c>
      <c r="D21" s="8">
        <v>0</v>
      </c>
      <c r="E21" s="8">
        <v>6</v>
      </c>
      <c r="F21" s="2" t="s">
        <v>37</v>
      </c>
      <c r="G21" s="4">
        <v>42291639</v>
      </c>
      <c r="H21" s="13">
        <v>0</v>
      </c>
      <c r="I21" s="20">
        <f t="shared" si="5"/>
        <v>42291639</v>
      </c>
      <c r="J21" s="21">
        <v>15733377</v>
      </c>
      <c r="K21" s="21">
        <v>15733377</v>
      </c>
      <c r="L21" s="120">
        <f t="shared" si="0"/>
        <v>26558262</v>
      </c>
      <c r="M21" s="29">
        <f t="shared" si="1"/>
        <v>37.202098031717334</v>
      </c>
      <c r="N21" s="29">
        <f t="shared" si="2"/>
        <v>37.202098031717334</v>
      </c>
      <c r="O21" s="29"/>
      <c r="P21" s="2"/>
      <c r="Q21" s="2"/>
      <c r="R21" s="2"/>
      <c r="S21" s="4">
        <v>18954215</v>
      </c>
      <c r="T21" s="4">
        <f t="shared" si="7"/>
        <v>18954215</v>
      </c>
      <c r="U21" s="4">
        <f>+T21</f>
        <v>18954215</v>
      </c>
      <c r="V21" s="33">
        <f t="shared" si="3"/>
        <v>23337424</v>
      </c>
      <c r="W21" s="2"/>
      <c r="X21" s="29">
        <f t="shared" si="4"/>
        <v>44.81787759514357</v>
      </c>
      <c r="Y21" s="1"/>
      <c r="Z21" s="1"/>
      <c r="AA21" s="1"/>
      <c r="AB21" s="1"/>
      <c r="AC21" s="1"/>
      <c r="AD21" s="1"/>
      <c r="AE21" s="1"/>
      <c r="AF21" s="1"/>
    </row>
    <row r="22" spans="1:32" ht="12.75">
      <c r="A22" s="8" t="s">
        <v>12</v>
      </c>
      <c r="B22" s="8">
        <v>1</v>
      </c>
      <c r="C22" s="8">
        <v>5</v>
      </c>
      <c r="D22" s="8">
        <v>0</v>
      </c>
      <c r="E22" s="8">
        <v>7</v>
      </c>
      <c r="F22" s="2" t="s">
        <v>38</v>
      </c>
      <c r="G22" s="4">
        <v>19554426</v>
      </c>
      <c r="H22" s="13">
        <v>0</v>
      </c>
      <c r="I22" s="20">
        <f t="shared" si="5"/>
        <v>19554426</v>
      </c>
      <c r="J22" s="21">
        <v>15976947</v>
      </c>
      <c r="K22" s="21">
        <v>15976947</v>
      </c>
      <c r="L22" s="120">
        <f t="shared" si="0"/>
        <v>3577479</v>
      </c>
      <c r="M22" s="29">
        <f t="shared" si="1"/>
        <v>81.7050165522629</v>
      </c>
      <c r="N22" s="29">
        <f t="shared" si="2"/>
        <v>81.7050165522629</v>
      </c>
      <c r="O22" s="29"/>
      <c r="P22" s="2"/>
      <c r="Q22" s="2"/>
      <c r="R22" s="2"/>
      <c r="S22" s="4">
        <v>3960579</v>
      </c>
      <c r="T22" s="4">
        <f t="shared" si="7"/>
        <v>3960579</v>
      </c>
      <c r="U22" s="4">
        <f>+T22</f>
        <v>3960579</v>
      </c>
      <c r="V22" s="33">
        <f t="shared" si="3"/>
        <v>15593847</v>
      </c>
      <c r="W22" s="2"/>
      <c r="X22" s="29">
        <f t="shared" si="4"/>
        <v>20.254130701663144</v>
      </c>
      <c r="Y22" s="1"/>
      <c r="Z22" s="1"/>
      <c r="AA22" s="1"/>
      <c r="AB22" s="1"/>
      <c r="AC22" s="1"/>
      <c r="AD22" s="1"/>
      <c r="AE22" s="1"/>
      <c r="AF22" s="1"/>
    </row>
    <row r="23" spans="1:32" ht="12.75">
      <c r="A23" s="8" t="s">
        <v>12</v>
      </c>
      <c r="B23" s="8">
        <v>2</v>
      </c>
      <c r="C23" s="8">
        <v>0</v>
      </c>
      <c r="D23" s="8">
        <v>0</v>
      </c>
      <c r="E23" s="8">
        <v>0</v>
      </c>
      <c r="F23" s="8" t="s">
        <v>20</v>
      </c>
      <c r="G23" s="4">
        <f>SUM(G24:G26)</f>
        <v>1097571531</v>
      </c>
      <c r="H23" s="13">
        <f>+H24+H25+H26</f>
        <v>126000000</v>
      </c>
      <c r="I23" s="20">
        <f t="shared" si="5"/>
        <v>1223571531</v>
      </c>
      <c r="J23" s="21">
        <f>SUM(J24:J26)</f>
        <v>837471929</v>
      </c>
      <c r="K23" s="21">
        <f>SUM(K24:K26)</f>
        <v>837471929</v>
      </c>
      <c r="L23" s="120">
        <f t="shared" si="0"/>
        <v>386099602</v>
      </c>
      <c r="M23" s="29">
        <f t="shared" si="1"/>
        <v>68.44486879451594</v>
      </c>
      <c r="N23" s="29">
        <f t="shared" si="2"/>
        <v>68.44486879451594</v>
      </c>
      <c r="O23" s="29"/>
      <c r="P23" s="2"/>
      <c r="Q23" s="2"/>
      <c r="R23" s="2"/>
      <c r="S23" s="4">
        <f>SUM(S24:S26)</f>
        <v>680793888</v>
      </c>
      <c r="T23" s="4">
        <f>SUM(T24:T26)</f>
        <v>680793888</v>
      </c>
      <c r="U23" s="4">
        <f>SUM(U24:U26)</f>
        <v>520973647</v>
      </c>
      <c r="V23" s="33">
        <f t="shared" si="3"/>
        <v>542777643</v>
      </c>
      <c r="W23" s="2"/>
      <c r="X23" s="29">
        <f t="shared" si="4"/>
        <v>55.63989278531195</v>
      </c>
      <c r="Y23" s="1"/>
      <c r="Z23" s="1"/>
      <c r="AA23" s="1"/>
      <c r="AB23" s="1"/>
      <c r="AC23" s="1"/>
      <c r="AD23" s="1"/>
      <c r="AE23" s="7"/>
      <c r="AF23" s="1"/>
    </row>
    <row r="24" spans="1:32" ht="12.75">
      <c r="A24" s="8" t="s">
        <v>12</v>
      </c>
      <c r="B24" s="8">
        <v>2</v>
      </c>
      <c r="C24" s="8">
        <v>4</v>
      </c>
      <c r="D24" s="8">
        <v>0</v>
      </c>
      <c r="E24" s="8">
        <v>0</v>
      </c>
      <c r="F24" s="8" t="s">
        <v>30</v>
      </c>
      <c r="G24" s="4">
        <v>210512500</v>
      </c>
      <c r="H24" s="13">
        <f>447000000-139000000-70000000-45000000</f>
        <v>193000000</v>
      </c>
      <c r="I24" s="20">
        <f t="shared" si="5"/>
        <v>403512500</v>
      </c>
      <c r="J24" s="21">
        <f>134064120+89932764</f>
        <v>223996884</v>
      </c>
      <c r="K24" s="21">
        <f>134064120+89932764</f>
        <v>223996884</v>
      </c>
      <c r="L24" s="120">
        <f t="shared" si="0"/>
        <v>179515616</v>
      </c>
      <c r="M24" s="29">
        <f t="shared" si="1"/>
        <v>55.51175837179765</v>
      </c>
      <c r="N24" s="29">
        <f t="shared" si="2"/>
        <v>55.51175837179765</v>
      </c>
      <c r="O24" s="29"/>
      <c r="P24" s="2"/>
      <c r="Q24" s="2"/>
      <c r="R24" s="2"/>
      <c r="S24" s="4">
        <v>90516630</v>
      </c>
      <c r="T24" s="4">
        <f>+S24</f>
        <v>90516630</v>
      </c>
      <c r="U24" s="4">
        <v>71539421</v>
      </c>
      <c r="V24" s="33">
        <f t="shared" si="3"/>
        <v>312995870</v>
      </c>
      <c r="W24" s="2"/>
      <c r="X24" s="29">
        <f t="shared" si="4"/>
        <v>22.43217496360088</v>
      </c>
      <c r="Y24" s="7"/>
      <c r="Z24" s="1"/>
      <c r="AA24" s="1"/>
      <c r="AB24" s="1"/>
      <c r="AC24" s="1"/>
      <c r="AD24" s="1"/>
      <c r="AE24" s="1"/>
      <c r="AF24" s="1"/>
    </row>
    <row r="25" spans="1:32" ht="12.75">
      <c r="A25" s="8" t="s">
        <v>12</v>
      </c>
      <c r="B25" s="8">
        <v>2</v>
      </c>
      <c r="C25" s="8">
        <v>4</v>
      </c>
      <c r="D25" s="8">
        <v>0</v>
      </c>
      <c r="E25" s="8">
        <v>0</v>
      </c>
      <c r="F25" s="8" t="s">
        <v>21</v>
      </c>
      <c r="G25" s="4">
        <v>838339281</v>
      </c>
      <c r="H25" s="13">
        <f>30000000-60000000-17000000-2000000-4000000-40000000+6000000+20000000</f>
        <v>-67000000</v>
      </c>
      <c r="I25" s="20">
        <f t="shared" si="5"/>
        <v>771339281</v>
      </c>
      <c r="J25" s="20">
        <f>161733438+78749875+21372007+10000000+69921141+34446675+101350157+88741110+4349508</f>
        <v>570663911</v>
      </c>
      <c r="K25" s="20">
        <f>161733438+78749875+21372007+10000000+69921141+34446675+101350157+88741110+4349508</f>
        <v>570663911</v>
      </c>
      <c r="L25" s="120">
        <f t="shared" si="0"/>
        <v>200675370</v>
      </c>
      <c r="M25" s="29">
        <f t="shared" si="1"/>
        <v>73.98351478485121</v>
      </c>
      <c r="N25" s="29">
        <f t="shared" si="2"/>
        <v>73.98351478485121</v>
      </c>
      <c r="O25" s="29"/>
      <c r="P25" s="2"/>
      <c r="Q25" s="2"/>
      <c r="R25" s="2"/>
      <c r="S25" s="4">
        <f>177530145+48822952+12932524+101159449+50929093+34887478+95118421+602400+22704858</f>
        <v>544687320</v>
      </c>
      <c r="T25" s="4">
        <f>+S25</f>
        <v>544687320</v>
      </c>
      <c r="U25" s="4">
        <f>105788413+23427623+12881000+100724267+49185142+19962215+84084828+602400+7938400-750000</f>
        <v>403844288</v>
      </c>
      <c r="V25" s="33">
        <f t="shared" si="3"/>
        <v>226651961</v>
      </c>
      <c r="W25" s="2"/>
      <c r="X25" s="29">
        <f t="shared" si="4"/>
        <v>70.61578911083618</v>
      </c>
      <c r="Y25" s="1"/>
      <c r="Z25" s="7"/>
      <c r="AA25" s="1"/>
      <c r="AB25" s="1"/>
      <c r="AC25" s="1"/>
      <c r="AD25" s="1"/>
      <c r="AE25" s="1"/>
      <c r="AF25" s="1"/>
    </row>
    <row r="26" spans="1:32" ht="12.75">
      <c r="A26" s="8" t="s">
        <v>12</v>
      </c>
      <c r="B26" s="8">
        <v>2</v>
      </c>
      <c r="C26" s="8">
        <v>0</v>
      </c>
      <c r="D26" s="8">
        <v>3</v>
      </c>
      <c r="E26" s="8">
        <v>0</v>
      </c>
      <c r="F26" s="30" t="s">
        <v>22</v>
      </c>
      <c r="G26" s="13">
        <v>48719750</v>
      </c>
      <c r="H26" s="13">
        <v>0</v>
      </c>
      <c r="I26" s="20">
        <f t="shared" si="5"/>
        <v>48719750</v>
      </c>
      <c r="J26" s="21">
        <v>42811134</v>
      </c>
      <c r="K26" s="21">
        <v>42811134</v>
      </c>
      <c r="L26" s="120">
        <f t="shared" si="0"/>
        <v>5908616</v>
      </c>
      <c r="M26" s="29">
        <f t="shared" si="1"/>
        <v>87.87223661861975</v>
      </c>
      <c r="N26" s="29">
        <f t="shared" si="2"/>
        <v>87.87223661861975</v>
      </c>
      <c r="O26" s="29"/>
      <c r="P26" s="2"/>
      <c r="Q26" s="2"/>
      <c r="R26" s="2"/>
      <c r="S26" s="13">
        <v>45589938</v>
      </c>
      <c r="T26" s="13">
        <f>+S26</f>
        <v>45589938</v>
      </c>
      <c r="U26" s="13">
        <f>+T26</f>
        <v>45589938</v>
      </c>
      <c r="V26" s="33">
        <f t="shared" si="3"/>
        <v>3129812</v>
      </c>
      <c r="W26" s="2"/>
      <c r="X26" s="29">
        <f t="shared" si="4"/>
        <v>93.57588657577266</v>
      </c>
      <c r="Y26" s="1"/>
      <c r="Z26" s="7"/>
      <c r="AA26" s="1"/>
      <c r="AB26" s="1"/>
      <c r="AC26" s="1"/>
      <c r="AD26" s="1"/>
      <c r="AE26" s="1"/>
      <c r="AF26" s="1"/>
    </row>
    <row r="27" spans="1:32" ht="12.75">
      <c r="A27" s="8" t="s">
        <v>12</v>
      </c>
      <c r="B27" s="8">
        <v>3</v>
      </c>
      <c r="C27" s="8">
        <v>0</v>
      </c>
      <c r="D27" s="8">
        <v>0</v>
      </c>
      <c r="E27" s="8">
        <v>0</v>
      </c>
      <c r="F27" s="8" t="s">
        <v>23</v>
      </c>
      <c r="G27" s="4">
        <f>SUM(G28:G31)</f>
        <v>1741117770</v>
      </c>
      <c r="H27" s="13">
        <f>+H28+H29+H30+H31</f>
        <v>467900000</v>
      </c>
      <c r="I27" s="20">
        <f t="shared" si="5"/>
        <v>2209017770</v>
      </c>
      <c r="J27" s="21">
        <f>SUM(J28:J31)</f>
        <v>802145730</v>
      </c>
      <c r="K27" s="21">
        <f>SUM(K28:K31)</f>
        <v>802145730</v>
      </c>
      <c r="L27" s="120">
        <f t="shared" si="0"/>
        <v>1406872040</v>
      </c>
      <c r="M27" s="29">
        <f t="shared" si="1"/>
        <v>36.31232581709834</v>
      </c>
      <c r="N27" s="29">
        <f t="shared" si="2"/>
        <v>36.31232581709834</v>
      </c>
      <c r="O27" s="29"/>
      <c r="P27" s="2"/>
      <c r="Q27" s="2"/>
      <c r="R27" s="2"/>
      <c r="S27" s="4">
        <f>SUM(S28:S31)</f>
        <v>1265405194</v>
      </c>
      <c r="T27" s="4">
        <f>SUM(T28:T31)</f>
        <v>1265405194</v>
      </c>
      <c r="U27" s="4">
        <f>SUM(U28:U31)</f>
        <v>1265405194</v>
      </c>
      <c r="V27" s="33">
        <f t="shared" si="3"/>
        <v>943612576</v>
      </c>
      <c r="W27" s="2"/>
      <c r="X27" s="29">
        <f t="shared" si="4"/>
        <v>57.2836131598887</v>
      </c>
      <c r="Y27" s="1"/>
      <c r="Z27" s="1"/>
      <c r="AA27" s="1"/>
      <c r="AB27" s="1"/>
      <c r="AC27" s="1"/>
      <c r="AD27" s="1"/>
      <c r="AE27" s="7"/>
      <c r="AF27" s="1"/>
    </row>
    <row r="28" spans="1:32" ht="12.75">
      <c r="A28" s="8" t="s">
        <v>12</v>
      </c>
      <c r="B28" s="8">
        <v>3</v>
      </c>
      <c r="C28" s="8">
        <v>2</v>
      </c>
      <c r="D28" s="8">
        <v>1</v>
      </c>
      <c r="E28" s="8">
        <v>1</v>
      </c>
      <c r="F28" s="8" t="s">
        <v>31</v>
      </c>
      <c r="G28" s="4">
        <v>19769000</v>
      </c>
      <c r="H28" s="13">
        <v>14500000</v>
      </c>
      <c r="I28" s="20">
        <f t="shared" si="5"/>
        <v>34269000</v>
      </c>
      <c r="J28" s="21">
        <v>16797214</v>
      </c>
      <c r="K28" s="21">
        <v>16797214</v>
      </c>
      <c r="L28" s="120">
        <f t="shared" si="0"/>
        <v>17471786</v>
      </c>
      <c r="M28" s="29">
        <f t="shared" si="1"/>
        <v>49.015769354226855</v>
      </c>
      <c r="N28" s="29">
        <f t="shared" si="2"/>
        <v>49.015769354226855</v>
      </c>
      <c r="O28" s="29"/>
      <c r="P28" s="2"/>
      <c r="Q28" s="2"/>
      <c r="R28" s="2"/>
      <c r="S28" s="4">
        <v>0</v>
      </c>
      <c r="T28" s="4">
        <v>0</v>
      </c>
      <c r="U28" s="4">
        <v>0</v>
      </c>
      <c r="V28" s="33">
        <f t="shared" si="3"/>
        <v>34269000</v>
      </c>
      <c r="W28" s="2"/>
      <c r="X28" s="29">
        <f t="shared" si="4"/>
        <v>0</v>
      </c>
      <c r="Y28" s="1"/>
      <c r="Z28" s="1"/>
      <c r="AA28" s="1"/>
      <c r="AB28" s="1"/>
      <c r="AC28" s="1"/>
      <c r="AD28" s="1"/>
      <c r="AE28" s="1"/>
      <c r="AF28" s="1"/>
    </row>
    <row r="29" spans="1:32" ht="12.75">
      <c r="A29" s="8" t="s">
        <v>12</v>
      </c>
      <c r="B29" s="8">
        <v>3</v>
      </c>
      <c r="C29" s="8">
        <v>2</v>
      </c>
      <c r="D29" s="8">
        <v>1</v>
      </c>
      <c r="E29" s="8">
        <v>2</v>
      </c>
      <c r="F29" s="8" t="s">
        <v>32</v>
      </c>
      <c r="G29" s="4">
        <v>1688348770</v>
      </c>
      <c r="H29" s="13">
        <v>155400000</v>
      </c>
      <c r="I29" s="20">
        <f t="shared" si="5"/>
        <v>1843748770</v>
      </c>
      <c r="J29" s="21">
        <v>740995272</v>
      </c>
      <c r="K29" s="21">
        <v>740995272</v>
      </c>
      <c r="L29" s="120">
        <f t="shared" si="0"/>
        <v>1102753498</v>
      </c>
      <c r="M29" s="29">
        <f t="shared" si="1"/>
        <v>40.18960088580832</v>
      </c>
      <c r="N29" s="29">
        <f t="shared" si="2"/>
        <v>40.18960088580832</v>
      </c>
      <c r="O29" s="29"/>
      <c r="P29" s="2"/>
      <c r="Q29" s="2"/>
      <c r="R29" s="2"/>
      <c r="S29" s="4">
        <v>951099213</v>
      </c>
      <c r="T29" s="4">
        <f>+S29</f>
        <v>951099213</v>
      </c>
      <c r="U29" s="4">
        <f>+T29</f>
        <v>951099213</v>
      </c>
      <c r="V29" s="33">
        <f t="shared" si="3"/>
        <v>892649557</v>
      </c>
      <c r="W29" s="2"/>
      <c r="X29" s="29">
        <f t="shared" si="4"/>
        <v>51.585076474383214</v>
      </c>
      <c r="Y29" s="1"/>
      <c r="Z29" s="1"/>
      <c r="AA29" s="1"/>
      <c r="AB29" s="1"/>
      <c r="AC29" s="1"/>
      <c r="AD29" s="1"/>
      <c r="AE29" s="1"/>
      <c r="AF29" s="1"/>
    </row>
    <row r="30" spans="1:32" ht="12.75">
      <c r="A30" s="8" t="s">
        <v>12</v>
      </c>
      <c r="B30" s="8">
        <v>3</v>
      </c>
      <c r="C30" s="8">
        <v>2</v>
      </c>
      <c r="D30" s="8">
        <v>1</v>
      </c>
      <c r="E30" s="8">
        <v>3</v>
      </c>
      <c r="F30" s="8" t="s">
        <v>33</v>
      </c>
      <c r="G30" s="4">
        <f>+'[5]ADICIONES2014'!B126</f>
        <v>23000000</v>
      </c>
      <c r="H30" s="13">
        <v>0</v>
      </c>
      <c r="I30" s="20">
        <f t="shared" si="5"/>
        <v>23000000</v>
      </c>
      <c r="J30" s="21">
        <v>21590305</v>
      </c>
      <c r="K30" s="21">
        <v>21590305</v>
      </c>
      <c r="L30" s="120">
        <f t="shared" si="0"/>
        <v>1409695</v>
      </c>
      <c r="M30" s="29">
        <f t="shared" si="1"/>
        <v>93.87089130434782</v>
      </c>
      <c r="N30" s="29">
        <f t="shared" si="2"/>
        <v>93.87089130434782</v>
      </c>
      <c r="O30" s="29"/>
      <c r="P30" s="2"/>
      <c r="Q30" s="2"/>
      <c r="R30" s="2"/>
      <c r="S30" s="4">
        <v>22814692</v>
      </c>
      <c r="T30" s="4">
        <v>22814692</v>
      </c>
      <c r="U30" s="4">
        <f>+T30</f>
        <v>22814692</v>
      </c>
      <c r="V30" s="33">
        <f t="shared" si="3"/>
        <v>185308</v>
      </c>
      <c r="W30" s="2"/>
      <c r="X30" s="29">
        <f t="shared" si="4"/>
        <v>99.19431304347826</v>
      </c>
      <c r="Y30" s="1"/>
      <c r="Z30" s="1"/>
      <c r="AA30" s="1"/>
      <c r="AB30" s="1"/>
      <c r="AC30" s="1"/>
      <c r="AD30" s="1"/>
      <c r="AE30" s="1"/>
      <c r="AF30" s="1"/>
    </row>
    <row r="31" spans="1:32" ht="12.75">
      <c r="A31" s="8" t="s">
        <v>12</v>
      </c>
      <c r="B31" s="8">
        <v>3</v>
      </c>
      <c r="C31" s="8">
        <v>6</v>
      </c>
      <c r="D31" s="8">
        <v>1</v>
      </c>
      <c r="E31" s="8">
        <v>1</v>
      </c>
      <c r="F31" s="8" t="s">
        <v>34</v>
      </c>
      <c r="G31" s="13">
        <v>10000000</v>
      </c>
      <c r="H31" s="13">
        <v>298000000</v>
      </c>
      <c r="I31" s="20">
        <f t="shared" si="5"/>
        <v>308000000</v>
      </c>
      <c r="J31" s="21">
        <v>22762939</v>
      </c>
      <c r="K31" s="21">
        <v>22762939</v>
      </c>
      <c r="L31" s="120">
        <f t="shared" si="0"/>
        <v>285237061</v>
      </c>
      <c r="M31" s="29">
        <f t="shared" si="1"/>
        <v>7.39056461038961</v>
      </c>
      <c r="N31" s="29">
        <f t="shared" si="2"/>
        <v>7.39056461038961</v>
      </c>
      <c r="O31" s="29"/>
      <c r="P31" s="2"/>
      <c r="Q31" s="2"/>
      <c r="R31" s="2"/>
      <c r="S31" s="13">
        <v>291491289</v>
      </c>
      <c r="T31" s="13">
        <f>+S31</f>
        <v>291491289</v>
      </c>
      <c r="U31" s="13">
        <f>+T31</f>
        <v>291491289</v>
      </c>
      <c r="V31" s="33">
        <f t="shared" si="3"/>
        <v>16508711</v>
      </c>
      <c r="W31" s="2"/>
      <c r="X31" s="29">
        <f t="shared" si="4"/>
        <v>94.6400288961039</v>
      </c>
      <c r="Y31" s="1"/>
      <c r="Z31" s="1"/>
      <c r="AA31" s="1"/>
      <c r="AB31" s="1"/>
      <c r="AC31" s="1"/>
      <c r="AD31" s="1"/>
      <c r="AE31" s="1"/>
      <c r="AF31" s="1"/>
    </row>
    <row r="32" spans="1:32" ht="12.75">
      <c r="A32" s="2"/>
      <c r="B32" s="2"/>
      <c r="C32" s="2"/>
      <c r="D32" s="2"/>
      <c r="E32" s="2"/>
      <c r="F32" s="3"/>
      <c r="G32" s="9" t="s">
        <v>1</v>
      </c>
      <c r="H32" s="12"/>
      <c r="I32" s="20" t="s">
        <v>1</v>
      </c>
      <c r="J32" s="121"/>
      <c r="K32" s="121"/>
      <c r="L32" s="20" t="s">
        <v>1</v>
      </c>
      <c r="M32" s="9" t="s">
        <v>1</v>
      </c>
      <c r="N32" s="29"/>
      <c r="O32" s="29"/>
      <c r="P32" s="2"/>
      <c r="Q32" s="2"/>
      <c r="R32" s="2"/>
      <c r="S32" s="2"/>
      <c r="T32" s="2"/>
      <c r="U32" s="2"/>
      <c r="V32" s="2"/>
      <c r="W32" s="2"/>
      <c r="X32" s="29"/>
      <c r="Y32" s="1"/>
      <c r="Z32" s="1"/>
      <c r="AA32" s="1"/>
      <c r="AB32" s="1"/>
      <c r="AC32" s="1"/>
      <c r="AD32" s="1"/>
      <c r="AE32" s="1"/>
      <c r="AF32" s="1"/>
    </row>
    <row r="33" spans="1:32" ht="12.75">
      <c r="A33" s="8"/>
      <c r="B33" s="8"/>
      <c r="C33" s="8"/>
      <c r="D33" s="8"/>
      <c r="E33" s="8"/>
      <c r="F33" s="8" t="s">
        <v>1</v>
      </c>
      <c r="G33" s="4" t="s">
        <v>1</v>
      </c>
      <c r="H33" s="13" t="s">
        <v>1</v>
      </c>
      <c r="I33" s="20" t="s">
        <v>1</v>
      </c>
      <c r="J33" s="21" t="s">
        <v>1</v>
      </c>
      <c r="K33" s="21"/>
      <c r="L33" s="20" t="s">
        <v>1</v>
      </c>
      <c r="M33" s="9" t="s">
        <v>1</v>
      </c>
      <c r="N33" s="29"/>
      <c r="O33" s="29"/>
      <c r="P33" s="2"/>
      <c r="Q33" s="2"/>
      <c r="R33" s="2"/>
      <c r="S33" s="2"/>
      <c r="T33" s="2"/>
      <c r="U33" s="2"/>
      <c r="V33" s="2"/>
      <c r="W33" s="2"/>
      <c r="X33" s="29"/>
      <c r="Y33" s="1"/>
      <c r="Z33" s="1"/>
      <c r="AA33" s="1"/>
      <c r="AB33" s="1"/>
      <c r="AC33" s="1"/>
      <c r="AD33" s="1"/>
      <c r="AE33" s="7"/>
      <c r="AF33" s="1"/>
    </row>
    <row r="34" spans="7:32" ht="12.75">
      <c r="G34" s="72" t="s">
        <v>1</v>
      </c>
      <c r="H34" s="173" t="s">
        <v>1</v>
      </c>
      <c r="I34" s="102" t="s">
        <v>1</v>
      </c>
      <c r="M34" s="118"/>
      <c r="N34" s="1"/>
      <c r="O34" s="1"/>
      <c r="S34" s="72" t="s">
        <v>1</v>
      </c>
      <c r="T34" t="s">
        <v>1</v>
      </c>
      <c r="X34" s="1"/>
      <c r="Y34" s="1"/>
      <c r="Z34" s="1"/>
      <c r="AA34" s="1"/>
      <c r="AB34" s="1"/>
      <c r="AC34" s="1"/>
      <c r="AD34" s="1"/>
      <c r="AE34" s="1"/>
      <c r="AF34" s="1"/>
    </row>
    <row r="35" spans="8:32" ht="12.75">
      <c r="H35" s="77" t="s">
        <v>1</v>
      </c>
      <c r="M35" s="75"/>
      <c r="N35" s="1"/>
      <c r="O35" s="1"/>
      <c r="T35" t="s">
        <v>1</v>
      </c>
      <c r="U35" s="72" t="s">
        <v>1</v>
      </c>
      <c r="X35" s="1"/>
      <c r="Y35" s="1"/>
      <c r="Z35" s="1"/>
      <c r="AA35" s="1"/>
      <c r="AB35" s="1"/>
      <c r="AC35" s="1"/>
      <c r="AD35" s="1"/>
      <c r="AE35" s="1"/>
      <c r="AF35" s="1"/>
    </row>
    <row r="36" spans="1:32" ht="12.75">
      <c r="A36" s="177" t="s">
        <v>1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"/>
      <c r="Z36" s="1"/>
      <c r="AA36" s="1"/>
      <c r="AB36" s="1"/>
      <c r="AC36" s="1"/>
      <c r="AD36" s="1"/>
      <c r="AE36" s="1"/>
      <c r="AF36" s="1"/>
    </row>
    <row r="37" spans="1:32" ht="12.75">
      <c r="A37" s="177" t="s">
        <v>105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"/>
      <c r="Z37" s="1"/>
      <c r="AA37" s="1"/>
      <c r="AB37" s="1"/>
      <c r="AC37" s="1"/>
      <c r="AD37" s="1"/>
      <c r="AE37" s="1"/>
      <c r="AF37" s="1"/>
    </row>
    <row r="38" spans="1:32" ht="12.75">
      <c r="A38" s="177" t="s">
        <v>81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"/>
      <c r="Z38" s="1"/>
      <c r="AA38" s="1"/>
      <c r="AB38" s="1"/>
      <c r="AC38" s="1"/>
      <c r="AD38" s="1"/>
      <c r="AE38" s="1"/>
      <c r="AF38" s="1"/>
    </row>
    <row r="39" spans="6:32" ht="13.5" thickBot="1">
      <c r="F39" s="18"/>
      <c r="I39" s="77" t="s">
        <v>1</v>
      </c>
      <c r="M39" s="1"/>
      <c r="N39" s="1"/>
      <c r="O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3.5" thickBot="1">
      <c r="A40" s="134" t="s">
        <v>48</v>
      </c>
      <c r="B40" s="139" t="s">
        <v>49</v>
      </c>
      <c r="C40" s="140" t="s">
        <v>50</v>
      </c>
      <c r="D40" s="140" t="s">
        <v>51</v>
      </c>
      <c r="E40" s="140" t="s">
        <v>52</v>
      </c>
      <c r="F40" s="126"/>
      <c r="G40" s="126"/>
      <c r="H40" s="141" t="s">
        <v>1</v>
      </c>
      <c r="I40" s="127"/>
      <c r="J40" s="99" t="s">
        <v>1</v>
      </c>
      <c r="K40" s="99"/>
      <c r="L40" s="142" t="s">
        <v>36</v>
      </c>
      <c r="M40" s="143" t="s">
        <v>47</v>
      </c>
      <c r="N40" s="144" t="s">
        <v>77</v>
      </c>
      <c r="O40" s="145"/>
      <c r="P40" s="146"/>
      <c r="Q40" s="146"/>
      <c r="R40" s="146"/>
      <c r="S40" s="126"/>
      <c r="T40" s="147"/>
      <c r="U40" s="147"/>
      <c r="V40" s="126"/>
      <c r="W40" s="126"/>
      <c r="X40" s="148"/>
      <c r="Y40" s="1"/>
      <c r="Z40" s="1"/>
      <c r="AA40" s="1"/>
      <c r="AB40" s="1"/>
      <c r="AC40" s="1"/>
      <c r="AD40" s="1"/>
      <c r="AE40" s="1"/>
      <c r="AF40" s="1"/>
    </row>
    <row r="41" spans="1:32" ht="12.75">
      <c r="A41" s="123"/>
      <c r="B41" s="130" t="s">
        <v>6</v>
      </c>
      <c r="C41" s="3"/>
      <c r="D41" s="3" t="s">
        <v>7</v>
      </c>
      <c r="E41" s="3"/>
      <c r="F41" s="2"/>
      <c r="G41" s="19" t="s">
        <v>3</v>
      </c>
      <c r="H41" s="10" t="s">
        <v>2</v>
      </c>
      <c r="I41" s="10" t="s">
        <v>3</v>
      </c>
      <c r="J41" s="10" t="s">
        <v>76</v>
      </c>
      <c r="K41" s="46" t="s">
        <v>35</v>
      </c>
      <c r="L41" s="14" t="s">
        <v>40</v>
      </c>
      <c r="M41" s="96" t="s">
        <v>76</v>
      </c>
      <c r="N41" s="95" t="s">
        <v>35</v>
      </c>
      <c r="O41" s="67"/>
      <c r="P41" s="97"/>
      <c r="Q41" s="97"/>
      <c r="R41" s="97"/>
      <c r="S41" s="19" t="s">
        <v>76</v>
      </c>
      <c r="T41" s="103" t="s">
        <v>35</v>
      </c>
      <c r="U41" s="155" t="s">
        <v>86</v>
      </c>
      <c r="V41" s="19" t="s">
        <v>84</v>
      </c>
      <c r="W41" s="19"/>
      <c r="X41" s="149" t="s">
        <v>74</v>
      </c>
      <c r="Y41" s="1"/>
      <c r="Z41" s="1"/>
      <c r="AA41" s="1"/>
      <c r="AB41" s="1"/>
      <c r="AC41" s="1"/>
      <c r="AD41" s="1"/>
      <c r="AE41" s="1"/>
      <c r="AF41" s="1"/>
    </row>
    <row r="42" spans="1:32" ht="12.75">
      <c r="A42" s="123"/>
      <c r="B42" s="39"/>
      <c r="C42" s="3"/>
      <c r="D42" s="3" t="s">
        <v>8</v>
      </c>
      <c r="E42" s="3"/>
      <c r="F42" s="19" t="s">
        <v>9</v>
      </c>
      <c r="G42" s="19" t="s">
        <v>4</v>
      </c>
      <c r="H42" s="10" t="s">
        <v>10</v>
      </c>
      <c r="I42" s="10" t="s">
        <v>5</v>
      </c>
      <c r="J42" s="10" t="s">
        <v>1</v>
      </c>
      <c r="K42" s="27"/>
      <c r="L42" s="12"/>
      <c r="M42" s="15"/>
      <c r="N42" s="16"/>
      <c r="O42" s="68"/>
      <c r="P42" s="97"/>
      <c r="Q42" s="97"/>
      <c r="R42" s="97"/>
      <c r="S42" s="2"/>
      <c r="T42" s="104"/>
      <c r="U42" s="104"/>
      <c r="V42" s="19" t="s">
        <v>85</v>
      </c>
      <c r="W42" s="19"/>
      <c r="X42" s="149"/>
      <c r="Y42" s="1"/>
      <c r="Z42" s="1"/>
      <c r="AA42" s="1"/>
      <c r="AB42" s="1"/>
      <c r="AC42" s="1"/>
      <c r="AD42" s="1"/>
      <c r="AE42" s="1"/>
      <c r="AF42" s="1"/>
    </row>
    <row r="43" spans="1:32" ht="13.5" thickBot="1">
      <c r="A43" s="123"/>
      <c r="B43" s="40"/>
      <c r="C43" s="41"/>
      <c r="D43" s="41" t="s">
        <v>11</v>
      </c>
      <c r="E43" s="41"/>
      <c r="F43" s="47"/>
      <c r="G43" s="43" t="s">
        <v>1</v>
      </c>
      <c r="H43" s="150" t="s">
        <v>103</v>
      </c>
      <c r="I43" s="44" t="s">
        <v>1</v>
      </c>
      <c r="J43" s="108" t="s">
        <v>1</v>
      </c>
      <c r="K43" s="108" t="s">
        <v>1</v>
      </c>
      <c r="L43" s="76"/>
      <c r="M43" s="151"/>
      <c r="N43" s="151"/>
      <c r="O43" s="152"/>
      <c r="P43" s="153"/>
      <c r="Q43" s="153"/>
      <c r="R43" s="153"/>
      <c r="S43" s="47"/>
      <c r="T43" s="105"/>
      <c r="U43" s="105"/>
      <c r="V43" s="47"/>
      <c r="W43" s="47"/>
      <c r="X43" s="154"/>
      <c r="Y43" s="1"/>
      <c r="Z43" s="1"/>
      <c r="AA43" s="1"/>
      <c r="AB43" s="1"/>
      <c r="AC43" s="1"/>
      <c r="AD43" s="1"/>
      <c r="AE43" s="1"/>
      <c r="AF43" s="1"/>
    </row>
    <row r="44" spans="1:32" ht="12.75">
      <c r="A44" s="2"/>
      <c r="B44" s="71"/>
      <c r="C44" s="71"/>
      <c r="D44" s="71"/>
      <c r="E44" s="71"/>
      <c r="F44" s="71"/>
      <c r="G44" s="37" t="s">
        <v>1</v>
      </c>
      <c r="H44" s="109" t="s">
        <v>1</v>
      </c>
      <c r="I44" s="109" t="s">
        <v>1</v>
      </c>
      <c r="J44" s="135" t="s">
        <v>1</v>
      </c>
      <c r="K44" s="109" t="s">
        <v>1</v>
      </c>
      <c r="L44" s="136"/>
      <c r="M44" s="109"/>
      <c r="N44" s="109"/>
      <c r="O44" s="137"/>
      <c r="S44" s="71"/>
      <c r="T44" s="138"/>
      <c r="U44" s="138"/>
      <c r="V44" s="71"/>
      <c r="W44" s="71"/>
      <c r="X44" s="118"/>
      <c r="Y44" s="1"/>
      <c r="Z44" s="1"/>
      <c r="AA44" s="1"/>
      <c r="AB44" s="1"/>
      <c r="AC44" s="1"/>
      <c r="AD44" s="1"/>
      <c r="AE44" s="1"/>
      <c r="AF44" s="1"/>
    </row>
    <row r="45" spans="1:32" ht="12.75">
      <c r="A45" s="2" t="s">
        <v>12</v>
      </c>
      <c r="B45" s="2"/>
      <c r="C45" s="2"/>
      <c r="D45" s="2"/>
      <c r="E45" s="2"/>
      <c r="F45" s="3" t="s">
        <v>53</v>
      </c>
      <c r="G45" s="31">
        <f>+G46+G56+G59</f>
        <v>1893454220</v>
      </c>
      <c r="H45" s="32">
        <f>SUM(H46+H56+H59)</f>
        <v>-66771802</v>
      </c>
      <c r="I45" s="32">
        <f>+G45+H45</f>
        <v>1826682418</v>
      </c>
      <c r="J45" s="32">
        <f>SUM(J46+J56+J59)</f>
        <v>1359543003</v>
      </c>
      <c r="K45" s="32">
        <f>SUM(K46+K56+K59)</f>
        <v>1359543003</v>
      </c>
      <c r="L45" s="11">
        <f aca="true" t="shared" si="8" ref="L45:L60">+I45-J45</f>
        <v>467139415</v>
      </c>
      <c r="M45" s="34">
        <f aca="true" t="shared" si="9" ref="M45:M60">+J45/I45*100</f>
        <v>74.42689487801267</v>
      </c>
      <c r="N45" s="34">
        <f>+K45/I45*100</f>
        <v>74.42689487801267</v>
      </c>
      <c r="O45" s="70"/>
      <c r="S45" s="31">
        <f>+S46+S56+S59</f>
        <v>1723119991</v>
      </c>
      <c r="T45" s="133">
        <f>SUM(T46+T56+T59)</f>
        <v>1723119991</v>
      </c>
      <c r="U45" s="133">
        <f>SUM(U46+U56+U59)</f>
        <v>1723119991</v>
      </c>
      <c r="V45" s="33">
        <f>+I45-T45</f>
        <v>103562427</v>
      </c>
      <c r="W45" s="2"/>
      <c r="X45" s="29">
        <f>+T45/I45*100</f>
        <v>94.33057295677108</v>
      </c>
      <c r="Y45" s="1"/>
      <c r="Z45" s="1"/>
      <c r="AA45" s="1"/>
      <c r="AB45" s="1"/>
      <c r="AC45" s="1"/>
      <c r="AD45" s="1"/>
      <c r="AE45" s="1"/>
      <c r="AF45" s="1"/>
    </row>
    <row r="46" spans="1:32" ht="12.75">
      <c r="A46" s="2" t="s">
        <v>12</v>
      </c>
      <c r="B46" s="2">
        <v>1</v>
      </c>
      <c r="C46" s="2">
        <v>1</v>
      </c>
      <c r="D46" s="2">
        <v>0</v>
      </c>
      <c r="E46" s="2">
        <v>0</v>
      </c>
      <c r="F46" s="3" t="s">
        <v>13</v>
      </c>
      <c r="G46" s="31">
        <f>+G47+G52+G53+G54+G55</f>
        <v>1858010000</v>
      </c>
      <c r="H46" s="32">
        <f>+H47+H52+H53+H54+H55</f>
        <v>-53101782</v>
      </c>
      <c r="I46" s="32">
        <f>+I47+I52+I53+I54+I55</f>
        <v>1804908218</v>
      </c>
      <c r="J46" s="31">
        <f>+J47+J52+J53+J54+J55</f>
        <v>1337768803</v>
      </c>
      <c r="K46" s="31">
        <f>+K47+K52+K53+K54+K55</f>
        <v>1337768803</v>
      </c>
      <c r="L46" s="11">
        <f t="shared" si="8"/>
        <v>467139415</v>
      </c>
      <c r="M46" s="34">
        <f t="shared" si="9"/>
        <v>74.11838395208636</v>
      </c>
      <c r="N46" s="34">
        <f aca="true" t="shared" si="10" ref="N46:N60">+K46/I46*100</f>
        <v>74.11838395208636</v>
      </c>
      <c r="O46" s="70"/>
      <c r="S46" s="31">
        <f>+S47+S52+S53+S54+S55</f>
        <v>1701345791</v>
      </c>
      <c r="T46" s="133">
        <f>+T47+T52+T53+T54+T55</f>
        <v>1701345791</v>
      </c>
      <c r="U46" s="133">
        <f>+U47+U52+U53+U54+U55</f>
        <v>1701345791</v>
      </c>
      <c r="V46" s="33">
        <f aca="true" t="shared" si="11" ref="V46:V60">+I46-T46</f>
        <v>103562427</v>
      </c>
      <c r="W46" s="2"/>
      <c r="X46" s="29">
        <f aca="true" t="shared" si="12" ref="X46:X57">+T46/I46*100</f>
        <v>94.26217765716882</v>
      </c>
      <c r="Y46" s="1"/>
      <c r="Z46" s="1"/>
      <c r="AA46" s="1"/>
      <c r="AB46" s="1"/>
      <c r="AC46" s="1"/>
      <c r="AD46" s="1"/>
      <c r="AE46" s="1"/>
      <c r="AF46" s="1"/>
    </row>
    <row r="47" spans="1:32" ht="12.75">
      <c r="A47" s="2" t="s">
        <v>12</v>
      </c>
      <c r="B47" s="2">
        <v>1</v>
      </c>
      <c r="C47" s="2">
        <v>1</v>
      </c>
      <c r="D47" s="2">
        <v>1</v>
      </c>
      <c r="E47" s="2">
        <v>0</v>
      </c>
      <c r="F47" s="8" t="s">
        <v>14</v>
      </c>
      <c r="G47" s="33">
        <f>SUM(G48:G51)</f>
        <v>1530630000</v>
      </c>
      <c r="H47" s="11">
        <f>SUM(H48:H51)</f>
        <v>-45734542</v>
      </c>
      <c r="I47" s="11">
        <f>+G47+H47</f>
        <v>1484895458</v>
      </c>
      <c r="J47" s="11">
        <f>SUM(J48:J51)</f>
        <v>1097699750</v>
      </c>
      <c r="K47" s="11">
        <f>SUM(K48:K51)</f>
        <v>1097699750</v>
      </c>
      <c r="L47" s="11">
        <f t="shared" si="8"/>
        <v>387195708</v>
      </c>
      <c r="M47" s="34">
        <f t="shared" si="9"/>
        <v>73.9243792609136</v>
      </c>
      <c r="N47" s="34">
        <f t="shared" si="10"/>
        <v>73.9243792609136</v>
      </c>
      <c r="O47" s="69"/>
      <c r="S47" s="33">
        <f>SUM(S48:S51)</f>
        <v>1381333031</v>
      </c>
      <c r="T47" s="94">
        <f>+S47</f>
        <v>1381333031</v>
      </c>
      <c r="U47" s="94">
        <f>+T47</f>
        <v>1381333031</v>
      </c>
      <c r="V47" s="33">
        <f t="shared" si="11"/>
        <v>103562427</v>
      </c>
      <c r="W47" s="2"/>
      <c r="X47" s="29">
        <f t="shared" si="12"/>
        <v>93.02560820412988</v>
      </c>
      <c r="Y47" s="1"/>
      <c r="Z47" s="1"/>
      <c r="AA47" s="1"/>
      <c r="AB47" s="1"/>
      <c r="AC47" s="1"/>
      <c r="AD47" s="1"/>
      <c r="AE47" s="1"/>
      <c r="AF47" s="1"/>
    </row>
    <row r="48" spans="1:32" ht="12.75">
      <c r="A48" s="2" t="s">
        <v>12</v>
      </c>
      <c r="B48" s="2">
        <v>1</v>
      </c>
      <c r="C48" s="2">
        <v>1</v>
      </c>
      <c r="D48" s="2">
        <v>1</v>
      </c>
      <c r="E48" s="2">
        <v>1</v>
      </c>
      <c r="F48" s="2" t="s">
        <v>15</v>
      </c>
      <c r="G48" s="33">
        <v>1189430000</v>
      </c>
      <c r="H48" s="11">
        <v>0</v>
      </c>
      <c r="I48" s="11">
        <f>+G48+H48</f>
        <v>1189430000</v>
      </c>
      <c r="J48" s="32">
        <v>910042416</v>
      </c>
      <c r="K48" s="32">
        <v>910042416</v>
      </c>
      <c r="L48" s="11">
        <f t="shared" si="8"/>
        <v>279387584</v>
      </c>
      <c r="M48" s="34">
        <f t="shared" si="9"/>
        <v>76.51080063559857</v>
      </c>
      <c r="N48" s="34">
        <f t="shared" si="10"/>
        <v>76.51080063559857</v>
      </c>
      <c r="O48" s="69"/>
      <c r="S48" s="33">
        <v>1186166487</v>
      </c>
      <c r="T48" s="94">
        <v>1182013210</v>
      </c>
      <c r="U48" s="94">
        <f aca="true" t="shared" si="13" ref="U48:U55">+T48</f>
        <v>1182013210</v>
      </c>
      <c r="V48" s="33">
        <f t="shared" si="11"/>
        <v>7416790</v>
      </c>
      <c r="W48" s="2"/>
      <c r="X48" s="29">
        <f t="shared" si="12"/>
        <v>99.37644165692811</v>
      </c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2" t="s">
        <v>12</v>
      </c>
      <c r="B49" s="2">
        <v>1</v>
      </c>
      <c r="C49" s="2">
        <v>1</v>
      </c>
      <c r="D49" s="2">
        <v>9</v>
      </c>
      <c r="E49" s="2">
        <v>1</v>
      </c>
      <c r="F49" s="2" t="s">
        <v>54</v>
      </c>
      <c r="G49" s="33">
        <v>1235000</v>
      </c>
      <c r="H49" s="11">
        <v>0</v>
      </c>
      <c r="I49" s="11">
        <f aca="true" t="shared" si="14" ref="I49:I56">+G49+H49</f>
        <v>1235000</v>
      </c>
      <c r="J49" s="32">
        <v>805455</v>
      </c>
      <c r="K49" s="32">
        <v>805455</v>
      </c>
      <c r="L49" s="11">
        <f t="shared" si="8"/>
        <v>429545</v>
      </c>
      <c r="M49" s="34">
        <f t="shared" si="9"/>
        <v>65.21902834008098</v>
      </c>
      <c r="N49" s="34">
        <f t="shared" si="10"/>
        <v>65.21902834008098</v>
      </c>
      <c r="O49" s="69"/>
      <c r="S49" s="33">
        <v>1068815</v>
      </c>
      <c r="T49" s="94">
        <f aca="true" t="shared" si="15" ref="T49:T55">+S49</f>
        <v>1068815</v>
      </c>
      <c r="U49" s="94">
        <f t="shared" si="13"/>
        <v>1068815</v>
      </c>
      <c r="V49" s="33">
        <f t="shared" si="11"/>
        <v>166185</v>
      </c>
      <c r="W49" s="2"/>
      <c r="X49" s="29">
        <f t="shared" si="12"/>
        <v>86.54372469635628</v>
      </c>
      <c r="Y49" s="1"/>
      <c r="Z49" s="1"/>
      <c r="AA49" s="1"/>
      <c r="AB49" s="1"/>
      <c r="AC49" s="1"/>
      <c r="AD49" s="1"/>
      <c r="AE49" s="1"/>
      <c r="AF49" s="1"/>
    </row>
    <row r="50" spans="1:32" ht="12.75">
      <c r="A50" s="2" t="s">
        <v>12</v>
      </c>
      <c r="B50" s="2">
        <v>1</v>
      </c>
      <c r="C50" s="2">
        <v>1</v>
      </c>
      <c r="D50" s="2">
        <v>4</v>
      </c>
      <c r="E50" s="2">
        <v>2</v>
      </c>
      <c r="F50" s="2" t="s">
        <v>16</v>
      </c>
      <c r="G50" s="33">
        <v>120887000</v>
      </c>
      <c r="H50" s="11">
        <v>-22867271</v>
      </c>
      <c r="I50" s="11">
        <f t="shared" si="14"/>
        <v>98019729</v>
      </c>
      <c r="J50" s="32">
        <v>97076221</v>
      </c>
      <c r="K50" s="32">
        <v>97076221</v>
      </c>
      <c r="L50" s="11">
        <f t="shared" si="8"/>
        <v>943508</v>
      </c>
      <c r="M50" s="34">
        <f t="shared" si="9"/>
        <v>99.03743051564649</v>
      </c>
      <c r="N50" s="34">
        <f t="shared" si="10"/>
        <v>99.03743051564649</v>
      </c>
      <c r="O50" s="69"/>
      <c r="S50" s="157">
        <f>+I50</f>
        <v>98019729</v>
      </c>
      <c r="T50" s="94">
        <f t="shared" si="15"/>
        <v>98019729</v>
      </c>
      <c r="U50" s="94">
        <f t="shared" si="13"/>
        <v>98019729</v>
      </c>
      <c r="V50" s="33">
        <f t="shared" si="11"/>
        <v>0</v>
      </c>
      <c r="W50" s="2"/>
      <c r="X50" s="29">
        <f t="shared" si="12"/>
        <v>100</v>
      </c>
      <c r="Y50" s="1"/>
      <c r="Z50" s="1"/>
      <c r="AA50" s="1"/>
      <c r="AB50" s="1"/>
      <c r="AC50" s="1"/>
      <c r="AD50" s="1"/>
      <c r="AE50" s="1"/>
      <c r="AF50" s="1"/>
    </row>
    <row r="51" spans="1:32" ht="12.75">
      <c r="A51" s="2" t="s">
        <v>12</v>
      </c>
      <c r="B51" s="2">
        <v>1</v>
      </c>
      <c r="C51" s="2">
        <v>1</v>
      </c>
      <c r="D51" s="2">
        <v>5</v>
      </c>
      <c r="E51" s="2">
        <v>0</v>
      </c>
      <c r="F51" s="2" t="s">
        <v>17</v>
      </c>
      <c r="G51" s="33">
        <v>219078000</v>
      </c>
      <c r="H51" s="11">
        <v>-22867271</v>
      </c>
      <c r="I51" s="11">
        <f t="shared" si="14"/>
        <v>196210729</v>
      </c>
      <c r="J51" s="32">
        <f>11820000+57319500+18076500+2559658</f>
        <v>89775658</v>
      </c>
      <c r="K51" s="32">
        <f>11820000+57319500+18076500+2559658</f>
        <v>89775658</v>
      </c>
      <c r="L51" s="11">
        <f t="shared" si="8"/>
        <v>106435071</v>
      </c>
      <c r="M51" s="34">
        <f t="shared" si="9"/>
        <v>45.75471405541743</v>
      </c>
      <c r="N51" s="34">
        <f t="shared" si="10"/>
        <v>45.75471405541743</v>
      </c>
      <c r="O51" s="69"/>
      <c r="S51" s="33">
        <f>13000000+62000000+21078000</f>
        <v>96078000</v>
      </c>
      <c r="T51" s="94">
        <f t="shared" si="15"/>
        <v>96078000</v>
      </c>
      <c r="U51" s="94">
        <f t="shared" si="13"/>
        <v>96078000</v>
      </c>
      <c r="V51" s="33">
        <f t="shared" si="11"/>
        <v>100132729</v>
      </c>
      <c r="W51" s="2"/>
      <c r="X51" s="29">
        <f t="shared" si="12"/>
        <v>48.966741263165076</v>
      </c>
      <c r="Y51" s="1"/>
      <c r="Z51" s="1"/>
      <c r="AA51" s="1"/>
      <c r="AB51" s="1"/>
      <c r="AC51" s="1"/>
      <c r="AD51" s="1"/>
      <c r="AE51" s="1"/>
      <c r="AF51" s="1"/>
    </row>
    <row r="52" spans="1:32" ht="12.75">
      <c r="A52" s="2" t="s">
        <v>12</v>
      </c>
      <c r="B52" s="2">
        <v>1</v>
      </c>
      <c r="C52" s="2">
        <v>5</v>
      </c>
      <c r="D52" s="2">
        <v>0</v>
      </c>
      <c r="E52" s="2">
        <v>1</v>
      </c>
      <c r="F52" s="2" t="s">
        <v>18</v>
      </c>
      <c r="G52" s="33">
        <v>83000000</v>
      </c>
      <c r="H52" s="11">
        <v>-4205000</v>
      </c>
      <c r="I52" s="11">
        <f t="shared" si="14"/>
        <v>78795000</v>
      </c>
      <c r="J52" s="32">
        <f>+I52</f>
        <v>78795000</v>
      </c>
      <c r="K52" s="32">
        <f>+J52</f>
        <v>78795000</v>
      </c>
      <c r="L52" s="11">
        <f t="shared" si="8"/>
        <v>0</v>
      </c>
      <c r="M52" s="34">
        <f t="shared" si="9"/>
        <v>100</v>
      </c>
      <c r="N52" s="34">
        <f t="shared" si="10"/>
        <v>100</v>
      </c>
      <c r="O52" s="69"/>
      <c r="S52" s="33">
        <f>+I52</f>
        <v>78795000</v>
      </c>
      <c r="T52" s="94">
        <f t="shared" si="15"/>
        <v>78795000</v>
      </c>
      <c r="U52" s="94">
        <f>+T52</f>
        <v>78795000</v>
      </c>
      <c r="V52" s="33">
        <f t="shared" si="11"/>
        <v>0</v>
      </c>
      <c r="W52" s="2"/>
      <c r="X52" s="29">
        <f t="shared" si="12"/>
        <v>100</v>
      </c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2" t="s">
        <v>12</v>
      </c>
      <c r="B53" s="2">
        <v>1</v>
      </c>
      <c r="C53" s="2">
        <v>5</v>
      </c>
      <c r="D53" s="2">
        <v>0</v>
      </c>
      <c r="E53" s="2">
        <v>2</v>
      </c>
      <c r="F53" s="2" t="s">
        <v>19</v>
      </c>
      <c r="G53" s="4">
        <f>244380000-25920000-25920000</f>
        <v>192540000</v>
      </c>
      <c r="H53" s="11">
        <v>-2822240</v>
      </c>
      <c r="I53" s="11">
        <f t="shared" si="14"/>
        <v>189717760</v>
      </c>
      <c r="J53" s="32">
        <v>121440353</v>
      </c>
      <c r="K53" s="32">
        <v>121440353</v>
      </c>
      <c r="L53" s="11">
        <f t="shared" si="8"/>
        <v>68277407</v>
      </c>
      <c r="M53" s="34">
        <f t="shared" si="9"/>
        <v>64.011062011274</v>
      </c>
      <c r="N53" s="34">
        <f t="shared" si="10"/>
        <v>64.011062011274</v>
      </c>
      <c r="O53" s="69"/>
      <c r="S53" s="4">
        <f>+I53</f>
        <v>189717760</v>
      </c>
      <c r="T53" s="94">
        <f t="shared" si="15"/>
        <v>189717760</v>
      </c>
      <c r="U53" s="94">
        <f t="shared" si="13"/>
        <v>189717760</v>
      </c>
      <c r="V53" s="33">
        <f t="shared" si="11"/>
        <v>0</v>
      </c>
      <c r="W53" s="2"/>
      <c r="X53" s="29">
        <f t="shared" si="12"/>
        <v>100</v>
      </c>
      <c r="Y53" s="1"/>
      <c r="Z53" s="1"/>
      <c r="AA53" s="1"/>
      <c r="AB53" s="1"/>
      <c r="AC53" s="1"/>
      <c r="AD53" s="1"/>
      <c r="AE53" s="1"/>
      <c r="AF53" s="1"/>
    </row>
    <row r="54" spans="1:32" ht="12.75">
      <c r="A54" s="2" t="s">
        <v>12</v>
      </c>
      <c r="B54" s="2">
        <v>1</v>
      </c>
      <c r="C54" s="2">
        <v>5</v>
      </c>
      <c r="D54" s="2">
        <v>0</v>
      </c>
      <c r="E54" s="2">
        <v>6</v>
      </c>
      <c r="F54" s="2" t="s">
        <v>37</v>
      </c>
      <c r="G54" s="33">
        <v>25920000</v>
      </c>
      <c r="H54" s="11">
        <v>-170000</v>
      </c>
      <c r="I54" s="11">
        <f t="shared" si="14"/>
        <v>25750000</v>
      </c>
      <c r="J54" s="32">
        <v>22149500</v>
      </c>
      <c r="K54" s="32">
        <v>22149500</v>
      </c>
      <c r="L54" s="11">
        <f t="shared" si="8"/>
        <v>3600500</v>
      </c>
      <c r="M54" s="34">
        <f t="shared" si="9"/>
        <v>86.01747572815533</v>
      </c>
      <c r="N54" s="34">
        <f t="shared" si="10"/>
        <v>86.01747572815533</v>
      </c>
      <c r="O54" s="69"/>
      <c r="S54" s="33">
        <f>+I54</f>
        <v>25750000</v>
      </c>
      <c r="T54" s="94">
        <f t="shared" si="15"/>
        <v>25750000</v>
      </c>
      <c r="U54" s="94">
        <f t="shared" si="13"/>
        <v>25750000</v>
      </c>
      <c r="V54" s="33">
        <f t="shared" si="11"/>
        <v>0</v>
      </c>
      <c r="W54" s="2"/>
      <c r="X54" s="29">
        <f t="shared" si="12"/>
        <v>100</v>
      </c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2" t="s">
        <v>12</v>
      </c>
      <c r="B55" s="2">
        <v>1</v>
      </c>
      <c r="C55" s="2">
        <v>5</v>
      </c>
      <c r="D55" s="2">
        <v>0</v>
      </c>
      <c r="E55" s="2">
        <v>7</v>
      </c>
      <c r="F55" s="2" t="s">
        <v>38</v>
      </c>
      <c r="G55" s="33">
        <f>+G54</f>
        <v>25920000</v>
      </c>
      <c r="H55" s="11">
        <f>+H54</f>
        <v>-170000</v>
      </c>
      <c r="I55" s="11">
        <f t="shared" si="14"/>
        <v>25750000</v>
      </c>
      <c r="J55" s="32">
        <v>17684200</v>
      </c>
      <c r="K55" s="32">
        <v>17684200</v>
      </c>
      <c r="L55" s="11">
        <f t="shared" si="8"/>
        <v>8065800</v>
      </c>
      <c r="M55" s="34">
        <f t="shared" si="9"/>
        <v>68.67650485436894</v>
      </c>
      <c r="N55" s="34">
        <f t="shared" si="10"/>
        <v>68.67650485436894</v>
      </c>
      <c r="O55" s="69"/>
      <c r="S55" s="33">
        <f>+I55</f>
        <v>25750000</v>
      </c>
      <c r="T55" s="94">
        <f t="shared" si="15"/>
        <v>25750000</v>
      </c>
      <c r="U55" s="94">
        <f t="shared" si="13"/>
        <v>25750000</v>
      </c>
      <c r="V55" s="33">
        <f t="shared" si="11"/>
        <v>0</v>
      </c>
      <c r="W55" s="2"/>
      <c r="X55" s="29">
        <f t="shared" si="12"/>
        <v>100</v>
      </c>
      <c r="Y55" s="1"/>
      <c r="Z55" s="1"/>
      <c r="AA55" s="1"/>
      <c r="AB55" s="1"/>
      <c r="AC55" s="1"/>
      <c r="AD55" s="1"/>
      <c r="AE55" s="1"/>
      <c r="AF55" s="1"/>
    </row>
    <row r="56" spans="1:32" ht="12.75">
      <c r="A56" s="2" t="s">
        <v>12</v>
      </c>
      <c r="B56" s="2">
        <v>2</v>
      </c>
      <c r="C56" s="2">
        <v>0</v>
      </c>
      <c r="D56" s="2">
        <v>0</v>
      </c>
      <c r="E56" s="2">
        <v>0</v>
      </c>
      <c r="F56" s="3" t="s">
        <v>20</v>
      </c>
      <c r="G56" s="31">
        <f>SUM(G57:G58)</f>
        <v>25213220</v>
      </c>
      <c r="H56" s="32">
        <f>SUM(H57:H58)</f>
        <v>-3439020</v>
      </c>
      <c r="I56" s="32">
        <f t="shared" si="14"/>
        <v>21774200</v>
      </c>
      <c r="J56" s="32">
        <f>+J57+J58</f>
        <v>21774200</v>
      </c>
      <c r="K56" s="32">
        <f>+K57+K58</f>
        <v>21774200</v>
      </c>
      <c r="L56" s="11">
        <f t="shared" si="8"/>
        <v>0</v>
      </c>
      <c r="M56" s="34">
        <f t="shared" si="9"/>
        <v>100</v>
      </c>
      <c r="N56" s="34">
        <f t="shared" si="10"/>
        <v>100</v>
      </c>
      <c r="O56" s="70"/>
      <c r="S56" s="31">
        <f>SUM(S57:S58)</f>
        <v>21774200</v>
      </c>
      <c r="T56" s="133">
        <f>SUM(T57:T58)</f>
        <v>21774200</v>
      </c>
      <c r="U56" s="133">
        <f>SUM(U57:U58)</f>
        <v>21774200</v>
      </c>
      <c r="V56" s="33">
        <f t="shared" si="11"/>
        <v>0</v>
      </c>
      <c r="W56" s="2"/>
      <c r="X56" s="29">
        <f t="shared" si="12"/>
        <v>100</v>
      </c>
      <c r="Y56" s="1"/>
      <c r="Z56" s="1"/>
      <c r="AA56" s="1"/>
      <c r="AB56" s="1"/>
      <c r="AC56" s="1"/>
      <c r="AD56" s="1"/>
      <c r="AE56" s="1"/>
      <c r="AF56" s="1"/>
    </row>
    <row r="57" spans="1:32" ht="12.75">
      <c r="A57" s="2" t="s">
        <v>12</v>
      </c>
      <c r="B57" s="2">
        <v>2</v>
      </c>
      <c r="C57" s="2">
        <v>0</v>
      </c>
      <c r="D57" s="2">
        <v>4</v>
      </c>
      <c r="E57" s="2">
        <v>0</v>
      </c>
      <c r="F57" s="2" t="s">
        <v>21</v>
      </c>
      <c r="G57" s="33">
        <v>23790220</v>
      </c>
      <c r="H57" s="11">
        <v>-2016020</v>
      </c>
      <c r="I57" s="11">
        <f>+G57+H57</f>
        <v>21774200</v>
      </c>
      <c r="J57" s="32">
        <f>+I57</f>
        <v>21774200</v>
      </c>
      <c r="K57" s="32">
        <f>+J57</f>
        <v>21774200</v>
      </c>
      <c r="L57" s="11">
        <f t="shared" si="8"/>
        <v>0</v>
      </c>
      <c r="M57" s="34">
        <f t="shared" si="9"/>
        <v>100</v>
      </c>
      <c r="N57" s="34">
        <f t="shared" si="10"/>
        <v>100</v>
      </c>
      <c r="O57" s="69"/>
      <c r="S57" s="33">
        <f>+I57</f>
        <v>21774200</v>
      </c>
      <c r="T57" s="94">
        <f>+S57</f>
        <v>21774200</v>
      </c>
      <c r="U57" s="94">
        <f>+T57</f>
        <v>21774200</v>
      </c>
      <c r="V57" s="33">
        <f t="shared" si="11"/>
        <v>0</v>
      </c>
      <c r="W57" s="2"/>
      <c r="X57" s="29">
        <f t="shared" si="12"/>
        <v>100</v>
      </c>
      <c r="Y57" s="1"/>
      <c r="Z57" s="1"/>
      <c r="AA57" s="1"/>
      <c r="AB57" s="1"/>
      <c r="AC57" s="1"/>
      <c r="AD57" s="1"/>
      <c r="AE57" s="1"/>
      <c r="AF57" s="1"/>
    </row>
    <row r="58" spans="1:32" ht="12.75">
      <c r="A58" s="2" t="s">
        <v>12</v>
      </c>
      <c r="B58" s="2">
        <v>2</v>
      </c>
      <c r="C58" s="2">
        <v>0</v>
      </c>
      <c r="D58" s="2">
        <v>3</v>
      </c>
      <c r="E58" s="2">
        <v>50</v>
      </c>
      <c r="F58" s="2" t="s">
        <v>22</v>
      </c>
      <c r="G58" s="33">
        <v>1423000</v>
      </c>
      <c r="H58" s="11">
        <v>-1423000</v>
      </c>
      <c r="I58" s="11">
        <f>+G58+H58</f>
        <v>0</v>
      </c>
      <c r="J58" s="32">
        <f>+I58</f>
        <v>0</v>
      </c>
      <c r="K58" s="32">
        <f>+J58</f>
        <v>0</v>
      </c>
      <c r="L58" s="11">
        <f t="shared" si="8"/>
        <v>0</v>
      </c>
      <c r="M58" s="34" t="e">
        <f t="shared" si="9"/>
        <v>#DIV/0!</v>
      </c>
      <c r="N58" s="34" t="e">
        <f t="shared" si="10"/>
        <v>#DIV/0!</v>
      </c>
      <c r="O58" s="69"/>
      <c r="S58" s="33">
        <f>+I58</f>
        <v>0</v>
      </c>
      <c r="T58" s="94">
        <f>+S58</f>
        <v>0</v>
      </c>
      <c r="U58" s="94">
        <f>+T58</f>
        <v>0</v>
      </c>
      <c r="V58" s="33">
        <f t="shared" si="11"/>
        <v>0</v>
      </c>
      <c r="W58" s="2"/>
      <c r="X58" s="29" t="s">
        <v>1</v>
      </c>
      <c r="Y58" s="1"/>
      <c r="Z58" s="1"/>
      <c r="AA58" s="1"/>
      <c r="AB58" s="1"/>
      <c r="AC58" s="1"/>
      <c r="AD58" s="1"/>
      <c r="AE58" s="1"/>
      <c r="AF58" s="1"/>
    </row>
    <row r="59" spans="1:32" ht="12.75">
      <c r="A59" s="2" t="s">
        <v>12</v>
      </c>
      <c r="B59" s="2">
        <v>3</v>
      </c>
      <c r="C59" s="2">
        <v>2</v>
      </c>
      <c r="D59" s="2">
        <v>1</v>
      </c>
      <c r="E59" s="2">
        <v>1</v>
      </c>
      <c r="F59" s="2" t="s">
        <v>23</v>
      </c>
      <c r="G59" s="33">
        <f>+G60</f>
        <v>10231000</v>
      </c>
      <c r="H59" s="11">
        <f>+H60</f>
        <v>-10231000</v>
      </c>
      <c r="I59" s="11">
        <f>+G59+H59</f>
        <v>0</v>
      </c>
      <c r="J59" s="32">
        <f>+J60</f>
        <v>0</v>
      </c>
      <c r="K59" s="32">
        <f>+K60</f>
        <v>0</v>
      </c>
      <c r="L59" s="11">
        <f t="shared" si="8"/>
        <v>0</v>
      </c>
      <c r="M59" s="34" t="e">
        <f t="shared" si="9"/>
        <v>#DIV/0!</v>
      </c>
      <c r="N59" s="34" t="e">
        <f t="shared" si="10"/>
        <v>#DIV/0!</v>
      </c>
      <c r="O59" s="69"/>
      <c r="S59" s="33">
        <f>+S60</f>
        <v>0</v>
      </c>
      <c r="T59" s="94">
        <f>+T60</f>
        <v>0</v>
      </c>
      <c r="U59" s="94">
        <f>+U60</f>
        <v>0</v>
      </c>
      <c r="V59" s="33">
        <f t="shared" si="11"/>
        <v>0</v>
      </c>
      <c r="W59" s="2"/>
      <c r="X59" s="29" t="s">
        <v>1</v>
      </c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2" t="s">
        <v>12</v>
      </c>
      <c r="B60" s="2">
        <v>3</v>
      </c>
      <c r="C60" s="2">
        <v>2</v>
      </c>
      <c r="D60" s="2">
        <v>1</v>
      </c>
      <c r="E60" s="2">
        <v>1</v>
      </c>
      <c r="F60" s="2" t="s">
        <v>23</v>
      </c>
      <c r="G60" s="33">
        <v>10231000</v>
      </c>
      <c r="H60" s="11">
        <v>-10231000</v>
      </c>
      <c r="I60" s="11">
        <f>+G60+H60</f>
        <v>0</v>
      </c>
      <c r="J60" s="32">
        <v>0</v>
      </c>
      <c r="K60" s="32">
        <v>0</v>
      </c>
      <c r="L60" s="11">
        <f t="shared" si="8"/>
        <v>0</v>
      </c>
      <c r="M60" s="34" t="e">
        <f t="shared" si="9"/>
        <v>#DIV/0!</v>
      </c>
      <c r="N60" s="34" t="e">
        <f t="shared" si="10"/>
        <v>#DIV/0!</v>
      </c>
      <c r="O60" s="69"/>
      <c r="S60" s="33">
        <v>0</v>
      </c>
      <c r="T60" s="94">
        <v>0</v>
      </c>
      <c r="U60" s="94">
        <v>0</v>
      </c>
      <c r="V60" s="33">
        <f t="shared" si="11"/>
        <v>0</v>
      </c>
      <c r="W60" s="2"/>
      <c r="X60" s="29" t="s">
        <v>1</v>
      </c>
      <c r="Y60" s="1"/>
      <c r="Z60" s="1"/>
      <c r="AA60" s="1"/>
      <c r="AB60" s="1"/>
      <c r="AC60" s="1"/>
      <c r="AD60" s="1"/>
      <c r="AE60" s="1"/>
      <c r="AF60" s="1"/>
    </row>
    <row r="61" spans="1:32" ht="12.75">
      <c r="A61" s="8" t="s">
        <v>1</v>
      </c>
      <c r="B61" s="8" t="s">
        <v>1</v>
      </c>
      <c r="C61" s="8" t="s">
        <v>1</v>
      </c>
      <c r="D61" s="8" t="s">
        <v>1</v>
      </c>
      <c r="E61" s="8" t="s">
        <v>1</v>
      </c>
      <c r="F61" s="8" t="s">
        <v>26</v>
      </c>
      <c r="G61" s="4" t="s">
        <v>1</v>
      </c>
      <c r="H61" s="13" t="s">
        <v>1</v>
      </c>
      <c r="I61" s="13" t="s">
        <v>1</v>
      </c>
      <c r="J61" s="32" t="s">
        <v>1</v>
      </c>
      <c r="K61" s="32"/>
      <c r="L61" s="12"/>
      <c r="M61" s="34" t="s">
        <v>1</v>
      </c>
      <c r="N61" s="15"/>
      <c r="O61" s="69"/>
      <c r="S61" s="2"/>
      <c r="T61" s="132"/>
      <c r="U61" s="132"/>
      <c r="V61" s="2"/>
      <c r="W61" s="2"/>
      <c r="X61" s="29"/>
      <c r="Y61" s="1"/>
      <c r="Z61" s="1"/>
      <c r="AA61" s="1"/>
      <c r="AB61" s="1"/>
      <c r="AC61" s="1"/>
      <c r="AD61" s="1"/>
      <c r="AE61" s="1"/>
      <c r="AF61" s="1"/>
    </row>
    <row r="62" spans="7:32" ht="12.75">
      <c r="G62" s="35" t="s">
        <v>1</v>
      </c>
      <c r="H62" s="102" t="s">
        <v>1</v>
      </c>
      <c r="I62" s="98" t="s">
        <v>1</v>
      </c>
      <c r="Y62" s="1"/>
      <c r="Z62" s="1"/>
      <c r="AA62" s="1"/>
      <c r="AB62" s="1"/>
      <c r="AC62" s="1"/>
      <c r="AD62" s="1"/>
      <c r="AE62" s="1"/>
      <c r="AF62" s="1"/>
    </row>
    <row r="63" spans="7:32" ht="12.75">
      <c r="G63" s="35"/>
      <c r="H63" s="111"/>
      <c r="I63" s="112" t="s">
        <v>26</v>
      </c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117"/>
      <c r="U63" s="117"/>
      <c r="V63" s="97"/>
      <c r="Y63" s="1"/>
      <c r="Z63" s="1"/>
      <c r="AA63" s="1"/>
      <c r="AB63" s="1"/>
      <c r="AC63" s="1"/>
      <c r="AD63" s="1"/>
      <c r="AE63" s="1"/>
      <c r="AF63" s="1"/>
    </row>
    <row r="64" spans="7:32" ht="15">
      <c r="G64" s="35"/>
      <c r="H64" s="110"/>
      <c r="I64" s="113" t="s">
        <v>1</v>
      </c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114"/>
      <c r="U64" s="114"/>
      <c r="V64" s="97"/>
      <c r="Y64" s="1"/>
      <c r="Z64" s="1"/>
      <c r="AA64" s="1"/>
      <c r="AB64" s="1"/>
      <c r="AC64" s="1"/>
      <c r="AD64" s="1"/>
      <c r="AE64" s="1"/>
      <c r="AF64" s="1"/>
    </row>
    <row r="65" spans="7:32" ht="12.75">
      <c r="G65" s="7"/>
      <c r="H65" s="110"/>
      <c r="I65" s="112" t="s">
        <v>1</v>
      </c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114"/>
      <c r="U65" s="114"/>
      <c r="V65" s="97"/>
      <c r="Y65" s="1"/>
      <c r="Z65" s="1"/>
      <c r="AA65" s="1"/>
      <c r="AB65" s="1"/>
      <c r="AC65" s="1"/>
      <c r="AD65" s="1"/>
      <c r="AE65" s="1"/>
      <c r="AF65" s="1"/>
    </row>
    <row r="66" spans="7:32" ht="12.75">
      <c r="G66" s="26"/>
      <c r="H66" s="110"/>
      <c r="I66" s="115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114"/>
      <c r="U66" s="114"/>
      <c r="V66" s="97"/>
      <c r="Y66" s="1"/>
      <c r="Z66" s="1"/>
      <c r="AA66" s="1"/>
      <c r="AB66" s="1"/>
      <c r="AC66" s="1"/>
      <c r="AD66" s="1"/>
      <c r="AE66" s="1"/>
      <c r="AF66" s="1"/>
    </row>
    <row r="67" spans="7:32" ht="12.75">
      <c r="G67" s="35"/>
      <c r="H67" s="110"/>
      <c r="I67" s="115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114"/>
      <c r="U67" s="114"/>
      <c r="V67" s="97"/>
      <c r="Y67" s="1"/>
      <c r="Z67" s="1"/>
      <c r="AA67" s="1"/>
      <c r="AB67" s="1"/>
      <c r="AC67" s="1"/>
      <c r="AD67" s="1"/>
      <c r="AE67" s="1"/>
      <c r="AF67" s="1"/>
    </row>
    <row r="68" spans="8:32" ht="12.75">
      <c r="H68" s="110"/>
      <c r="I68" s="115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110"/>
      <c r="U68" s="110"/>
      <c r="V68" s="97"/>
      <c r="Y68" s="1"/>
      <c r="Z68" s="1"/>
      <c r="AA68" s="1"/>
      <c r="AB68" s="1"/>
      <c r="AC68" s="1"/>
      <c r="AD68" s="1"/>
      <c r="AE68" s="1"/>
      <c r="AF68" s="1"/>
    </row>
    <row r="69" spans="8:32" ht="12.75">
      <c r="H69" s="110"/>
      <c r="I69" s="115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110"/>
      <c r="U69" s="110"/>
      <c r="V69" s="97"/>
      <c r="Y69" s="1"/>
      <c r="Z69" s="1"/>
      <c r="AA69" s="1"/>
      <c r="AB69" s="1"/>
      <c r="AC69" s="1"/>
      <c r="AD69" s="1"/>
      <c r="AE69" s="1"/>
      <c r="AF69" s="1"/>
    </row>
    <row r="70" spans="8:32" ht="12.75">
      <c r="H70" s="110"/>
      <c r="I70" s="110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110"/>
      <c r="U70" s="110"/>
      <c r="V70" s="97"/>
      <c r="Y70" s="1"/>
      <c r="Z70" s="1"/>
      <c r="AA70" s="1"/>
      <c r="AB70" s="1"/>
      <c r="AC70" s="1"/>
      <c r="AD70" s="1"/>
      <c r="AE70" s="1"/>
      <c r="AF70" s="1"/>
    </row>
    <row r="71" spans="8:32" ht="12.75">
      <c r="H71" s="110"/>
      <c r="I71" s="115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110"/>
      <c r="U71" s="110"/>
      <c r="V71" s="97"/>
      <c r="Y71" s="1"/>
      <c r="Z71" s="1"/>
      <c r="AA71" s="1"/>
      <c r="AB71" s="1"/>
      <c r="AC71" s="1"/>
      <c r="AD71" s="1"/>
      <c r="AE71" s="1"/>
      <c r="AF71" s="1"/>
    </row>
    <row r="72" spans="8:32" ht="12.75">
      <c r="H72" s="110"/>
      <c r="I72" s="116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111"/>
      <c r="U72" s="111"/>
      <c r="V72" s="97"/>
      <c r="Y72" s="1"/>
      <c r="Z72" s="1"/>
      <c r="AA72" s="1"/>
      <c r="AB72" s="1"/>
      <c r="AC72" s="1"/>
      <c r="AD72" s="1"/>
      <c r="AE72" s="1"/>
      <c r="AF72" s="1"/>
    </row>
    <row r="73" spans="8:32" ht="12.75">
      <c r="H73" s="110"/>
      <c r="I73" s="116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Y73" s="1"/>
      <c r="Z73" s="1"/>
      <c r="AA73" s="1"/>
      <c r="AB73" s="1"/>
      <c r="AC73" s="1"/>
      <c r="AD73" s="1"/>
      <c r="AE73" s="1"/>
      <c r="AF73" s="1"/>
    </row>
    <row r="74" spans="8:32" ht="12.75">
      <c r="H74" s="110"/>
      <c r="I74" s="110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Y74" s="1"/>
      <c r="Z74" s="1"/>
      <c r="AA74" s="1"/>
      <c r="AB74" s="1"/>
      <c r="AC74" s="1"/>
      <c r="AD74" s="1"/>
      <c r="AE74" s="1"/>
      <c r="AF74" s="1"/>
    </row>
    <row r="75" spans="8:32" ht="12.75">
      <c r="H75" s="110"/>
      <c r="I75" s="110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Y75" s="1"/>
      <c r="Z75" s="1"/>
      <c r="AA75" s="1"/>
      <c r="AB75" s="1"/>
      <c r="AC75" s="1"/>
      <c r="AD75" s="1"/>
      <c r="AE75" s="1"/>
      <c r="AF75" s="1"/>
    </row>
    <row r="76" spans="8:32" ht="12.75">
      <c r="H76" s="110"/>
      <c r="I76" s="110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Y76" s="1"/>
      <c r="Z76" s="1"/>
      <c r="AA76" s="1"/>
      <c r="AB76" s="1"/>
      <c r="AC76" s="1"/>
      <c r="AD76" s="1"/>
      <c r="AE76" s="1"/>
      <c r="AF76" s="1"/>
    </row>
    <row r="77" spans="8:32" ht="12.75">
      <c r="H77" s="110"/>
      <c r="I77" s="110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Y77" s="1"/>
      <c r="Z77" s="1"/>
      <c r="AA77" s="1"/>
      <c r="AB77" s="1"/>
      <c r="AC77" s="1"/>
      <c r="AD77" s="1"/>
      <c r="AE77" s="1"/>
      <c r="AF77" s="1"/>
    </row>
    <row r="78" spans="25:32" ht="12.75">
      <c r="Y78" s="1"/>
      <c r="Z78" s="1"/>
      <c r="AA78" s="1"/>
      <c r="AB78" s="1"/>
      <c r="AC78" s="1"/>
      <c r="AD78" s="1"/>
      <c r="AE78" s="1"/>
      <c r="AF78" s="1"/>
    </row>
    <row r="79" spans="25:32" ht="12.75">
      <c r="Y79" s="1"/>
      <c r="Z79" s="1"/>
      <c r="AA79" s="1"/>
      <c r="AB79" s="1"/>
      <c r="AC79" s="1"/>
      <c r="AD79" s="1"/>
      <c r="AE79" s="1"/>
      <c r="AF79" s="1"/>
    </row>
    <row r="80" spans="25:32" ht="12.75">
      <c r="Y80" s="1"/>
      <c r="Z80" s="1"/>
      <c r="AA80" s="1"/>
      <c r="AB80" s="1"/>
      <c r="AC80" s="1"/>
      <c r="AD80" s="1"/>
      <c r="AE80" s="1"/>
      <c r="AF80" s="1"/>
    </row>
    <row r="81" spans="25:32" ht="12.75">
      <c r="Y81" s="1"/>
      <c r="Z81" s="1"/>
      <c r="AA81" s="1"/>
      <c r="AB81" s="1"/>
      <c r="AC81" s="1"/>
      <c r="AD81" s="1"/>
      <c r="AE81" s="1"/>
      <c r="AF81" s="1"/>
    </row>
    <row r="82" spans="25:32" ht="12.75">
      <c r="Y82" s="1"/>
      <c r="Z82" s="1"/>
      <c r="AA82" s="1"/>
      <c r="AB82" s="1"/>
      <c r="AC82" s="1"/>
      <c r="AD82" s="1"/>
      <c r="AE82" s="1"/>
      <c r="AF82" s="1"/>
    </row>
    <row r="83" spans="25:32" ht="12.75">
      <c r="Y83" s="1"/>
      <c r="Z83" s="1"/>
      <c r="AA83" s="1"/>
      <c r="AB83" s="1"/>
      <c r="AC83" s="1"/>
      <c r="AD83" s="1"/>
      <c r="AE83" s="1"/>
      <c r="AF83" s="1"/>
    </row>
    <row r="84" spans="25:32" ht="12.75">
      <c r="Y84" s="1"/>
      <c r="Z84" s="1"/>
      <c r="AA84" s="1"/>
      <c r="AB84" s="1"/>
      <c r="AC84" s="1"/>
      <c r="AD84" s="1"/>
      <c r="AE84" s="1"/>
      <c r="AF84" s="1"/>
    </row>
    <row r="85" spans="25:32" ht="12.75">
      <c r="Y85" s="1"/>
      <c r="Z85" s="1"/>
      <c r="AA85" s="1"/>
      <c r="AB85" s="1"/>
      <c r="AC85" s="1"/>
      <c r="AD85" s="1"/>
      <c r="AE85" s="1"/>
      <c r="AF85" s="1"/>
    </row>
    <row r="86" spans="25:32" ht="12.75">
      <c r="Y86" s="1"/>
      <c r="Z86" s="1"/>
      <c r="AA86" s="1"/>
      <c r="AB86" s="1"/>
      <c r="AC86" s="1"/>
      <c r="AD86" s="1"/>
      <c r="AE86" s="1"/>
      <c r="AF86" s="1"/>
    </row>
    <row r="87" spans="25:32" ht="12.75">
      <c r="Y87" s="1"/>
      <c r="Z87" s="1"/>
      <c r="AA87" s="1"/>
      <c r="AB87" s="1"/>
      <c r="AC87" s="1"/>
      <c r="AD87" s="1"/>
      <c r="AE87" s="1"/>
      <c r="AF87" s="1"/>
    </row>
    <row r="88" spans="25:32" ht="12.75">
      <c r="Y88" s="1"/>
      <c r="Z88" s="1"/>
      <c r="AA88" s="1"/>
      <c r="AB88" s="1"/>
      <c r="AC88" s="1"/>
      <c r="AD88" s="1"/>
      <c r="AE88" s="1"/>
      <c r="AF88" s="1"/>
    </row>
    <row r="89" spans="25:32" ht="12.75">
      <c r="Y89" s="1"/>
      <c r="Z89" s="1"/>
      <c r="AA89" s="1"/>
      <c r="AB89" s="1"/>
      <c r="AC89" s="1"/>
      <c r="AD89" s="1"/>
      <c r="AE89" s="1"/>
      <c r="AF89" s="1"/>
    </row>
    <row r="90" spans="25:32" ht="12.75">
      <c r="Y90" s="1"/>
      <c r="Z90" s="1"/>
      <c r="AA90" s="1"/>
      <c r="AB90" s="1"/>
      <c r="AC90" s="1"/>
      <c r="AD90" s="1"/>
      <c r="AE90" s="1"/>
      <c r="AF90" s="1"/>
    </row>
    <row r="91" spans="25:32" ht="12.75">
      <c r="Y91" s="1"/>
      <c r="Z91" s="1"/>
      <c r="AA91" s="1"/>
      <c r="AB91" s="1"/>
      <c r="AC91" s="1"/>
      <c r="AD91" s="1"/>
      <c r="AE91" s="1"/>
      <c r="AF91" s="1"/>
    </row>
    <row r="92" spans="25:32" ht="12.75">
      <c r="Y92" s="1"/>
      <c r="Z92" s="1"/>
      <c r="AA92" s="1"/>
      <c r="AB92" s="1"/>
      <c r="AC92" s="1"/>
      <c r="AD92" s="1"/>
      <c r="AE92" s="1"/>
      <c r="AF92" s="1"/>
    </row>
    <row r="93" spans="25:32" ht="12.75">
      <c r="Y93" s="1"/>
      <c r="Z93" s="1"/>
      <c r="AA93" s="1"/>
      <c r="AB93" s="1"/>
      <c r="AC93" s="1"/>
      <c r="AD93" s="1"/>
      <c r="AE93" s="1"/>
      <c r="AF93" s="1"/>
    </row>
    <row r="94" spans="25:32" ht="12.75">
      <c r="Y94" s="1"/>
      <c r="Z94" s="1"/>
      <c r="AA94" s="1"/>
      <c r="AB94" s="1"/>
      <c r="AC94" s="1"/>
      <c r="AD94" s="1"/>
      <c r="AE94" s="1"/>
      <c r="AF94" s="1"/>
    </row>
    <row r="95" spans="25:32" ht="12.75">
      <c r="Y95" s="1"/>
      <c r="Z95" s="1"/>
      <c r="AA95" s="1"/>
      <c r="AB95" s="1"/>
      <c r="AC95" s="1"/>
      <c r="AD95" s="1"/>
      <c r="AE95" s="1"/>
      <c r="AF95" s="1"/>
    </row>
    <row r="96" spans="25:32" ht="12.75">
      <c r="Y96" s="1"/>
      <c r="Z96" s="1"/>
      <c r="AA96" s="1"/>
      <c r="AB96" s="1"/>
      <c r="AC96" s="1"/>
      <c r="AD96" s="1"/>
      <c r="AE96" s="1"/>
      <c r="AF96" s="1"/>
    </row>
    <row r="97" spans="25:32" ht="12.75">
      <c r="Y97" s="1"/>
      <c r="Z97" s="1"/>
      <c r="AA97" s="1"/>
      <c r="AB97" s="1"/>
      <c r="AC97" s="1"/>
      <c r="AD97" s="1"/>
      <c r="AE97" s="1"/>
      <c r="AF97" s="1"/>
    </row>
    <row r="98" spans="25:32" ht="12.75">
      <c r="Y98" s="1"/>
      <c r="Z98" s="1"/>
      <c r="AA98" s="1"/>
      <c r="AB98" s="1"/>
      <c r="AC98" s="1"/>
      <c r="AD98" s="1"/>
      <c r="AE98" s="1"/>
      <c r="AF98" s="1"/>
    </row>
    <row r="99" spans="25:32" ht="12.75">
      <c r="Y99" s="1"/>
      <c r="Z99" s="1"/>
      <c r="AA99" s="1"/>
      <c r="AB99" s="1"/>
      <c r="AC99" s="1"/>
      <c r="AD99" s="1"/>
      <c r="AE99" s="1"/>
      <c r="AF99" s="1"/>
    </row>
    <row r="100" spans="25:32" ht="12.75">
      <c r="Y100" s="1"/>
      <c r="Z100" s="1"/>
      <c r="AA100" s="1"/>
      <c r="AB100" s="1"/>
      <c r="AC100" s="1"/>
      <c r="AD100" s="1"/>
      <c r="AE100" s="1"/>
      <c r="AF100" s="1"/>
    </row>
    <row r="101" spans="25:32" ht="12.75">
      <c r="Y101" s="1"/>
      <c r="Z101" s="1"/>
      <c r="AA101" s="1"/>
      <c r="AB101" s="1"/>
      <c r="AC101" s="1"/>
      <c r="AD101" s="1"/>
      <c r="AE101" s="1"/>
      <c r="AF101" s="1"/>
    </row>
    <row r="102" spans="25:32" ht="12.75">
      <c r="Y102" s="1"/>
      <c r="Z102" s="1"/>
      <c r="AA102" s="1"/>
      <c r="AB102" s="1"/>
      <c r="AC102" s="1"/>
      <c r="AD102" s="1"/>
      <c r="AE102" s="1"/>
      <c r="AF102" s="1"/>
    </row>
    <row r="103" spans="25:32" ht="12.75">
      <c r="Y103" s="1"/>
      <c r="Z103" s="1"/>
      <c r="AA103" s="1"/>
      <c r="AB103" s="1"/>
      <c r="AC103" s="1"/>
      <c r="AD103" s="1"/>
      <c r="AE103" s="1"/>
      <c r="AF103" s="1"/>
    </row>
    <row r="104" spans="25:32" ht="12.75">
      <c r="Y104" s="1"/>
      <c r="Z104" s="1"/>
      <c r="AA104" s="1"/>
      <c r="AB104" s="1"/>
      <c r="AC104" s="1"/>
      <c r="AD104" s="1"/>
      <c r="AE104" s="1"/>
      <c r="AF104" s="1"/>
    </row>
    <row r="105" spans="25:32" ht="12.75">
      <c r="Y105" s="1"/>
      <c r="Z105" s="1"/>
      <c r="AA105" s="1"/>
      <c r="AB105" s="1"/>
      <c r="AC105" s="1"/>
      <c r="AD105" s="1"/>
      <c r="AE105" s="1"/>
      <c r="AF105" s="1"/>
    </row>
    <row r="106" spans="25:32" ht="12.75">
      <c r="Y106" s="1"/>
      <c r="Z106" s="1"/>
      <c r="AA106" s="1"/>
      <c r="AB106" s="1"/>
      <c r="AC106" s="1"/>
      <c r="AD106" s="1"/>
      <c r="AE106" s="1"/>
      <c r="AF106" s="1"/>
    </row>
    <row r="107" spans="25:32" ht="12.75">
      <c r="Y107" s="1"/>
      <c r="Z107" s="1"/>
      <c r="AA107" s="1"/>
      <c r="AB107" s="1"/>
      <c r="AC107" s="1"/>
      <c r="AD107" s="1"/>
      <c r="AE107" s="1"/>
      <c r="AF107" s="1"/>
    </row>
    <row r="108" spans="25:32" ht="12.75">
      <c r="Y108" s="1"/>
      <c r="Z108" s="1"/>
      <c r="AA108" s="1"/>
      <c r="AB108" s="1"/>
      <c r="AC108" s="1"/>
      <c r="AD108" s="1"/>
      <c r="AE108" s="1"/>
      <c r="AF108" s="1"/>
    </row>
    <row r="109" spans="25:32" ht="12.75">
      <c r="Y109" s="1"/>
      <c r="Z109" s="1"/>
      <c r="AA109" s="1"/>
      <c r="AB109" s="1"/>
      <c r="AC109" s="1"/>
      <c r="AD109" s="1"/>
      <c r="AE109" s="1"/>
      <c r="AF109" s="1"/>
    </row>
    <row r="110" spans="25:32" ht="12.75">
      <c r="Y110" s="1"/>
      <c r="Z110" s="1"/>
      <c r="AA110" s="1"/>
      <c r="AB110" s="1"/>
      <c r="AC110" s="1"/>
      <c r="AD110" s="1"/>
      <c r="AE110" s="1"/>
      <c r="AF110" s="1"/>
    </row>
    <row r="111" spans="25:32" ht="12.75">
      <c r="Y111" s="1"/>
      <c r="Z111" s="1"/>
      <c r="AA111" s="1"/>
      <c r="AB111" s="1"/>
      <c r="AC111" s="1"/>
      <c r="AD111" s="1"/>
      <c r="AE111" s="1"/>
      <c r="AF111" s="1"/>
    </row>
    <row r="112" spans="25:32" ht="12.75">
      <c r="Y112" s="1"/>
      <c r="Z112" s="1"/>
      <c r="AA112" s="1"/>
      <c r="AB112" s="1"/>
      <c r="AC112" s="1"/>
      <c r="AD112" s="1"/>
      <c r="AE112" s="1"/>
      <c r="AF112" s="1"/>
    </row>
    <row r="113" spans="25:32" ht="12.75">
      <c r="Y113" s="1"/>
      <c r="Z113" s="1"/>
      <c r="AA113" s="1"/>
      <c r="AB113" s="1"/>
      <c r="AC113" s="1"/>
      <c r="AD113" s="1"/>
      <c r="AE113" s="1"/>
      <c r="AF113" s="1"/>
    </row>
    <row r="114" spans="25:32" ht="12.75">
      <c r="Y114" s="1"/>
      <c r="Z114" s="1"/>
      <c r="AA114" s="1"/>
      <c r="AB114" s="1"/>
      <c r="AC114" s="1"/>
      <c r="AD114" s="1"/>
      <c r="AE114" s="1"/>
      <c r="AF114" s="1"/>
    </row>
    <row r="115" spans="25:32" ht="12.75">
      <c r="Y115" s="1"/>
      <c r="Z115" s="1"/>
      <c r="AA115" s="1"/>
      <c r="AB115" s="1"/>
      <c r="AC115" s="1"/>
      <c r="AD115" s="1"/>
      <c r="AE115" s="1"/>
      <c r="AF115" s="1"/>
    </row>
    <row r="116" spans="25:32" ht="12.75">
      <c r="Y116" s="1"/>
      <c r="Z116" s="1"/>
      <c r="AA116" s="1"/>
      <c r="AB116" s="1"/>
      <c r="AC116" s="1"/>
      <c r="AD116" s="1"/>
      <c r="AE116" s="1"/>
      <c r="AF116" s="1"/>
    </row>
    <row r="117" spans="25:32" ht="12.75">
      <c r="Y117" s="1"/>
      <c r="Z117" s="1"/>
      <c r="AA117" s="1"/>
      <c r="AB117" s="1"/>
      <c r="AC117" s="1"/>
      <c r="AD117" s="1"/>
      <c r="AE117" s="1"/>
      <c r="AF117" s="1"/>
    </row>
    <row r="118" spans="25:32" ht="12.75">
      <c r="Y118" s="1"/>
      <c r="Z118" s="1"/>
      <c r="AA118" s="1"/>
      <c r="AB118" s="1"/>
      <c r="AC118" s="1"/>
      <c r="AD118" s="1"/>
      <c r="AE118" s="1"/>
      <c r="AF118" s="1"/>
    </row>
    <row r="119" spans="25:32" ht="12.75">
      <c r="Y119" s="1"/>
      <c r="Z119" s="1"/>
      <c r="AA119" s="1"/>
      <c r="AB119" s="1"/>
      <c r="AC119" s="1"/>
      <c r="AD119" s="1"/>
      <c r="AE119" s="1"/>
      <c r="AF119" s="1"/>
    </row>
    <row r="120" spans="25:32" ht="12.75">
      <c r="Y120" s="1"/>
      <c r="Z120" s="1"/>
      <c r="AA120" s="1"/>
      <c r="AB120" s="1"/>
      <c r="AC120" s="1"/>
      <c r="AD120" s="1"/>
      <c r="AE120" s="1"/>
      <c r="AF120" s="1"/>
    </row>
    <row r="121" spans="25:32" ht="12.75">
      <c r="Y121" s="1"/>
      <c r="Z121" s="1"/>
      <c r="AA121" s="1"/>
      <c r="AB121" s="1"/>
      <c r="AC121" s="1"/>
      <c r="AD121" s="1"/>
      <c r="AE121" s="1"/>
      <c r="AF121" s="1"/>
    </row>
    <row r="122" spans="25:32" ht="12.75">
      <c r="Y122" s="1"/>
      <c r="Z122" s="1"/>
      <c r="AA122" s="1"/>
      <c r="AB122" s="1"/>
      <c r="AC122" s="1"/>
      <c r="AD122" s="1"/>
      <c r="AE122" s="1"/>
      <c r="AF122" s="1"/>
    </row>
    <row r="123" spans="25:32" ht="12.75">
      <c r="Y123" s="1"/>
      <c r="Z123" s="1"/>
      <c r="AA123" s="1"/>
      <c r="AB123" s="1"/>
      <c r="AC123" s="1"/>
      <c r="AD123" s="1"/>
      <c r="AE123" s="1"/>
      <c r="AF123" s="1"/>
    </row>
    <row r="124" spans="25:32" ht="12.75">
      <c r="Y124" s="1"/>
      <c r="Z124" s="1"/>
      <c r="AA124" s="1"/>
      <c r="AB124" s="1"/>
      <c r="AC124" s="1"/>
      <c r="AD124" s="1"/>
      <c r="AE124" s="1"/>
      <c r="AF124" s="1"/>
    </row>
    <row r="125" spans="25:32" ht="12.75">
      <c r="Y125" s="1"/>
      <c r="Z125" s="1"/>
      <c r="AA125" s="1"/>
      <c r="AB125" s="1"/>
      <c r="AC125" s="1"/>
      <c r="AD125" s="1"/>
      <c r="AE125" s="1"/>
      <c r="AF125" s="1"/>
    </row>
    <row r="126" spans="25:32" ht="12.75">
      <c r="Y126" s="1"/>
      <c r="Z126" s="1"/>
      <c r="AA126" s="1"/>
      <c r="AB126" s="1"/>
      <c r="AC126" s="1"/>
      <c r="AD126" s="1"/>
      <c r="AE126" s="1"/>
      <c r="AF126" s="1"/>
    </row>
    <row r="127" spans="25:32" ht="12.75">
      <c r="Y127" s="1"/>
      <c r="Z127" s="1"/>
      <c r="AA127" s="1"/>
      <c r="AB127" s="1"/>
      <c r="AC127" s="1"/>
      <c r="AD127" s="1"/>
      <c r="AE127" s="1"/>
      <c r="AF127" s="1"/>
    </row>
    <row r="128" spans="25:32" ht="12.75">
      <c r="Y128" s="1"/>
      <c r="Z128" s="1"/>
      <c r="AA128" s="1"/>
      <c r="AB128" s="1"/>
      <c r="AC128" s="1"/>
      <c r="AD128" s="1"/>
      <c r="AE128" s="1"/>
      <c r="AF128" s="1"/>
    </row>
    <row r="129" spans="25:32" ht="12.75">
      <c r="Y129" s="1"/>
      <c r="Z129" s="1"/>
      <c r="AA129" s="1"/>
      <c r="AB129" s="1"/>
      <c r="AC129" s="1"/>
      <c r="AD129" s="1"/>
      <c r="AE129" s="1"/>
      <c r="AF129" s="1"/>
    </row>
    <row r="130" spans="25:32" ht="12.75">
      <c r="Y130" s="1"/>
      <c r="Z130" s="1"/>
      <c r="AA130" s="1"/>
      <c r="AB130" s="1"/>
      <c r="AC130" s="1"/>
      <c r="AD130" s="1"/>
      <c r="AE130" s="1"/>
      <c r="AF130" s="1"/>
    </row>
    <row r="131" spans="25:32" ht="12.75">
      <c r="Y131" s="1"/>
      <c r="Z131" s="1"/>
      <c r="AA131" s="1"/>
      <c r="AB131" s="1"/>
      <c r="AC131" s="1"/>
      <c r="AD131" s="1"/>
      <c r="AE131" s="1"/>
      <c r="AF131" s="1"/>
    </row>
    <row r="132" spans="25:32" ht="12.75">
      <c r="Y132" s="1"/>
      <c r="Z132" s="1"/>
      <c r="AA132" s="1"/>
      <c r="AB132" s="1"/>
      <c r="AC132" s="1"/>
      <c r="AD132" s="1"/>
      <c r="AE132" s="1"/>
      <c r="AF132" s="1"/>
    </row>
    <row r="133" spans="25:32" ht="12.75">
      <c r="Y133" s="1"/>
      <c r="Z133" s="1"/>
      <c r="AA133" s="1"/>
      <c r="AB133" s="1"/>
      <c r="AC133" s="1"/>
      <c r="AD133" s="1"/>
      <c r="AE133" s="1"/>
      <c r="AF133" s="1"/>
    </row>
    <row r="134" spans="25:32" ht="12.75">
      <c r="Y134" s="1"/>
      <c r="Z134" s="1"/>
      <c r="AA134" s="1"/>
      <c r="AB134" s="1"/>
      <c r="AC134" s="1"/>
      <c r="AD134" s="1"/>
      <c r="AE134" s="1"/>
      <c r="AF134" s="1"/>
    </row>
    <row r="135" spans="25:32" ht="12.75">
      <c r="Y135" s="1"/>
      <c r="Z135" s="1"/>
      <c r="AA135" s="1"/>
      <c r="AB135" s="1"/>
      <c r="AC135" s="1"/>
      <c r="AD135" s="1"/>
      <c r="AE135" s="1"/>
      <c r="AF135" s="1"/>
    </row>
    <row r="136" spans="25:32" ht="12.75">
      <c r="Y136" s="1"/>
      <c r="Z136" s="1"/>
      <c r="AA136" s="1"/>
      <c r="AB136" s="1"/>
      <c r="AC136" s="1"/>
      <c r="AD136" s="1"/>
      <c r="AE136" s="1"/>
      <c r="AF136" s="1"/>
    </row>
    <row r="137" spans="25:32" ht="12.75">
      <c r="Y137" s="1"/>
      <c r="Z137" s="1"/>
      <c r="AA137" s="1"/>
      <c r="AB137" s="1"/>
      <c r="AC137" s="1"/>
      <c r="AD137" s="1"/>
      <c r="AE137" s="1"/>
      <c r="AF137" s="1"/>
    </row>
    <row r="138" spans="25:32" ht="12.75">
      <c r="Y138" s="1"/>
      <c r="Z138" s="1"/>
      <c r="AA138" s="1"/>
      <c r="AB138" s="1"/>
      <c r="AC138" s="1"/>
      <c r="AD138" s="1"/>
      <c r="AE138" s="1"/>
      <c r="AF138" s="1"/>
    </row>
    <row r="139" spans="25:32" ht="12.75">
      <c r="Y139" s="1"/>
      <c r="Z139" s="1"/>
      <c r="AA139" s="1"/>
      <c r="AB139" s="1"/>
      <c r="AC139" s="1"/>
      <c r="AD139" s="1"/>
      <c r="AE139" s="1"/>
      <c r="AF139" s="1"/>
    </row>
    <row r="140" spans="25:32" ht="12.75">
      <c r="Y140" s="1"/>
      <c r="Z140" s="1"/>
      <c r="AA140" s="1"/>
      <c r="AB140" s="1"/>
      <c r="AC140" s="1"/>
      <c r="AD140" s="1"/>
      <c r="AE140" s="1"/>
      <c r="AF140" s="1"/>
    </row>
    <row r="141" spans="25:32" ht="12.75">
      <c r="Y141" s="1"/>
      <c r="Z141" s="1"/>
      <c r="AA141" s="1"/>
      <c r="AB141" s="1"/>
      <c r="AC141" s="1"/>
      <c r="AD141" s="1"/>
      <c r="AE141" s="1"/>
      <c r="AF141" s="1"/>
    </row>
    <row r="142" spans="25:32" ht="12.75">
      <c r="Y142" s="1"/>
      <c r="Z142" s="1"/>
      <c r="AA142" s="1"/>
      <c r="AB142" s="1"/>
      <c r="AC142" s="1"/>
      <c r="AD142" s="1"/>
      <c r="AE142" s="1"/>
      <c r="AF142" s="1"/>
    </row>
    <row r="143" spans="25:32" ht="12.75">
      <c r="Y143" s="1"/>
      <c r="Z143" s="1"/>
      <c r="AA143" s="1"/>
      <c r="AB143" s="1"/>
      <c r="AC143" s="1"/>
      <c r="AD143" s="1"/>
      <c r="AE143" s="1"/>
      <c r="AF143" s="1"/>
    </row>
    <row r="144" spans="25:32" ht="12.75">
      <c r="Y144" s="1"/>
      <c r="Z144" s="1"/>
      <c r="AA144" s="1"/>
      <c r="AB144" s="1"/>
      <c r="AC144" s="1"/>
      <c r="AD144" s="1"/>
      <c r="AE144" s="1"/>
      <c r="AF144" s="1"/>
    </row>
    <row r="145" spans="25:32" ht="12.75">
      <c r="Y145" s="1"/>
      <c r="Z145" s="1"/>
      <c r="AA145" s="1"/>
      <c r="AB145" s="1"/>
      <c r="AC145" s="1"/>
      <c r="AD145" s="1"/>
      <c r="AE145" s="1"/>
      <c r="AF145" s="1"/>
    </row>
    <row r="146" spans="25:32" ht="12.75">
      <c r="Y146" s="1"/>
      <c r="Z146" s="1"/>
      <c r="AA146" s="1"/>
      <c r="AB146" s="1"/>
      <c r="AC146" s="1"/>
      <c r="AD146" s="1"/>
      <c r="AE146" s="1"/>
      <c r="AF146" s="1"/>
    </row>
    <row r="147" spans="25:32" ht="12.75">
      <c r="Y147" s="1"/>
      <c r="Z147" s="1"/>
      <c r="AA147" s="1"/>
      <c r="AB147" s="1"/>
      <c r="AC147" s="1"/>
      <c r="AD147" s="1"/>
      <c r="AE147" s="1"/>
      <c r="AF147" s="1"/>
    </row>
    <row r="148" spans="25:32" ht="12.75">
      <c r="Y148" s="1"/>
      <c r="Z148" s="1"/>
      <c r="AA148" s="1"/>
      <c r="AB148" s="1"/>
      <c r="AC148" s="1"/>
      <c r="AD148" s="1"/>
      <c r="AE148" s="1"/>
      <c r="AF148" s="1"/>
    </row>
    <row r="149" spans="25:32" ht="12.75">
      <c r="Y149" s="1"/>
      <c r="Z149" s="1"/>
      <c r="AA149" s="1"/>
      <c r="AB149" s="1"/>
      <c r="AC149" s="1"/>
      <c r="AD149" s="1"/>
      <c r="AE149" s="1"/>
      <c r="AF149" s="1"/>
    </row>
    <row r="150" spans="25:32" ht="12.75">
      <c r="Y150" s="1"/>
      <c r="Z150" s="1"/>
      <c r="AA150" s="1"/>
      <c r="AB150" s="1"/>
      <c r="AC150" s="1"/>
      <c r="AD150" s="1"/>
      <c r="AE150" s="1"/>
      <c r="AF150" s="1"/>
    </row>
    <row r="151" spans="25:32" ht="12.75">
      <c r="Y151" s="1"/>
      <c r="Z151" s="1"/>
      <c r="AA151" s="1"/>
      <c r="AB151" s="1"/>
      <c r="AC151" s="1"/>
      <c r="AD151" s="1"/>
      <c r="AE151" s="1"/>
      <c r="AF151" s="1"/>
    </row>
    <row r="152" spans="25:32" ht="12.75">
      <c r="Y152" s="1"/>
      <c r="Z152" s="1"/>
      <c r="AA152" s="1"/>
      <c r="AB152" s="1"/>
      <c r="AC152" s="1"/>
      <c r="AD152" s="1"/>
      <c r="AE152" s="1"/>
      <c r="AF152" s="1"/>
    </row>
    <row r="153" spans="25:32" ht="12.75">
      <c r="Y153" s="1"/>
      <c r="Z153" s="1"/>
      <c r="AA153" s="1"/>
      <c r="AB153" s="1"/>
      <c r="AC153" s="1"/>
      <c r="AD153" s="1"/>
      <c r="AE153" s="1"/>
      <c r="AF153" s="1"/>
    </row>
    <row r="154" spans="25:32" ht="12.75">
      <c r="Y154" s="1"/>
      <c r="Z154" s="1"/>
      <c r="AA154" s="1"/>
      <c r="AB154" s="1"/>
      <c r="AC154" s="1"/>
      <c r="AD154" s="1"/>
      <c r="AE154" s="1"/>
      <c r="AF154" s="1"/>
    </row>
    <row r="155" spans="25:32" ht="12.75">
      <c r="Y155" s="1"/>
      <c r="Z155" s="1"/>
      <c r="AA155" s="1"/>
      <c r="AB155" s="1"/>
      <c r="AC155" s="1"/>
      <c r="AD155" s="1"/>
      <c r="AE155" s="1"/>
      <c r="AF155" s="1"/>
    </row>
    <row r="156" spans="25:32" ht="12.75">
      <c r="Y156" s="1"/>
      <c r="Z156" s="1"/>
      <c r="AA156" s="1"/>
      <c r="AB156" s="1"/>
      <c r="AC156" s="1"/>
      <c r="AD156" s="1"/>
      <c r="AE156" s="1"/>
      <c r="AF156" s="1"/>
    </row>
    <row r="157" spans="25:32" ht="12.75">
      <c r="Y157" s="1"/>
      <c r="Z157" s="1"/>
      <c r="AA157" s="1"/>
      <c r="AB157" s="1"/>
      <c r="AC157" s="1"/>
      <c r="AD157" s="1"/>
      <c r="AE157" s="1"/>
      <c r="AF157" s="1"/>
    </row>
    <row r="158" spans="25:32" ht="12.75">
      <c r="Y158" s="1"/>
      <c r="Z158" s="1"/>
      <c r="AA158" s="1"/>
      <c r="AB158" s="1"/>
      <c r="AC158" s="1"/>
      <c r="AD158" s="1"/>
      <c r="AE158" s="1"/>
      <c r="AF158" s="1"/>
    </row>
    <row r="159" spans="25:32" ht="12.75">
      <c r="Y159" s="1"/>
      <c r="Z159" s="1"/>
      <c r="AA159" s="1"/>
      <c r="AB159" s="1"/>
      <c r="AC159" s="1"/>
      <c r="AD159" s="1"/>
      <c r="AE159" s="1"/>
      <c r="AF159" s="1"/>
    </row>
    <row r="160" spans="25:32" ht="12.75">
      <c r="Y160" s="1"/>
      <c r="Z160" s="1"/>
      <c r="AA160" s="1"/>
      <c r="AB160" s="1"/>
      <c r="AC160" s="1"/>
      <c r="AD160" s="1"/>
      <c r="AE160" s="1"/>
      <c r="AF160" s="1"/>
    </row>
    <row r="161" spans="25:32" ht="12.75">
      <c r="Y161" s="1"/>
      <c r="Z161" s="1"/>
      <c r="AA161" s="1"/>
      <c r="AB161" s="1"/>
      <c r="AC161" s="1"/>
      <c r="AD161" s="1"/>
      <c r="AE161" s="1"/>
      <c r="AF161" s="1"/>
    </row>
    <row r="162" spans="25:32" ht="12.75">
      <c r="Y162" s="1"/>
      <c r="Z162" s="1"/>
      <c r="AA162" s="1"/>
      <c r="AB162" s="1"/>
      <c r="AC162" s="1"/>
      <c r="AD162" s="1"/>
      <c r="AE162" s="1"/>
      <c r="AF162" s="1"/>
    </row>
    <row r="163" spans="25:32" ht="12.75">
      <c r="Y163" s="1"/>
      <c r="Z163" s="1"/>
      <c r="AA163" s="1"/>
      <c r="AB163" s="1"/>
      <c r="AC163" s="1"/>
      <c r="AD163" s="1"/>
      <c r="AE163" s="1"/>
      <c r="AF163" s="1"/>
    </row>
    <row r="164" spans="25:32" ht="12.75">
      <c r="Y164" s="1"/>
      <c r="Z164" s="1"/>
      <c r="AA164" s="1"/>
      <c r="AB164" s="1"/>
      <c r="AC164" s="1"/>
      <c r="AD164" s="1"/>
      <c r="AE164" s="1"/>
      <c r="AF164" s="1"/>
    </row>
    <row r="165" spans="25:32" ht="12.75">
      <c r="Y165" s="1"/>
      <c r="Z165" s="1"/>
      <c r="AA165" s="1"/>
      <c r="AB165" s="1"/>
      <c r="AC165" s="1"/>
      <c r="AD165" s="1"/>
      <c r="AE165" s="1"/>
      <c r="AF165" s="1"/>
    </row>
    <row r="166" spans="25:32" ht="12.75">
      <c r="Y166" s="1"/>
      <c r="Z166" s="1"/>
      <c r="AA166" s="1"/>
      <c r="AB166" s="1"/>
      <c r="AC166" s="1"/>
      <c r="AD166" s="1"/>
      <c r="AE166" s="1"/>
      <c r="AF166" s="1"/>
    </row>
    <row r="167" spans="25:32" ht="12.75">
      <c r="Y167" s="1"/>
      <c r="Z167" s="1"/>
      <c r="AA167" s="1"/>
      <c r="AB167" s="1"/>
      <c r="AC167" s="1"/>
      <c r="AD167" s="1"/>
      <c r="AE167" s="1"/>
      <c r="AF167" s="1"/>
    </row>
    <row r="168" spans="25:32" ht="12.75">
      <c r="Y168" s="1"/>
      <c r="Z168" s="1"/>
      <c r="AA168" s="1"/>
      <c r="AB168" s="1"/>
      <c r="AC168" s="1"/>
      <c r="AD168" s="1"/>
      <c r="AE168" s="1"/>
      <c r="AF168" s="1"/>
    </row>
    <row r="169" spans="25:32" ht="12.75">
      <c r="Y169" s="1"/>
      <c r="Z169" s="1"/>
      <c r="AA169" s="1"/>
      <c r="AB169" s="1"/>
      <c r="AC169" s="1"/>
      <c r="AD169" s="1"/>
      <c r="AE169" s="1"/>
      <c r="AF169" s="1"/>
    </row>
    <row r="170" spans="25:32" ht="12.75">
      <c r="Y170" s="1"/>
      <c r="Z170" s="1"/>
      <c r="AA170" s="1"/>
      <c r="AB170" s="1"/>
      <c r="AC170" s="1"/>
      <c r="AD170" s="1"/>
      <c r="AE170" s="1"/>
      <c r="AF170" s="1"/>
    </row>
    <row r="171" spans="25:32" ht="12.75">
      <c r="Y171" s="1"/>
      <c r="Z171" s="1"/>
      <c r="AA171" s="1"/>
      <c r="AB171" s="1"/>
      <c r="AC171" s="1"/>
      <c r="AD171" s="1"/>
      <c r="AE171" s="1"/>
      <c r="AF171" s="1"/>
    </row>
    <row r="172" spans="25:32" ht="12.75">
      <c r="Y172" s="1"/>
      <c r="Z172" s="1"/>
      <c r="AA172" s="1"/>
      <c r="AB172" s="1"/>
      <c r="AC172" s="1"/>
      <c r="AD172" s="1"/>
      <c r="AE172" s="1"/>
      <c r="AF172" s="1"/>
    </row>
    <row r="173" spans="25:32" ht="12.75">
      <c r="Y173" s="1"/>
      <c r="Z173" s="1"/>
      <c r="AA173" s="1"/>
      <c r="AB173" s="1"/>
      <c r="AC173" s="1"/>
      <c r="AD173" s="1"/>
      <c r="AE173" s="1"/>
      <c r="AF173" s="1"/>
    </row>
    <row r="174" spans="25:32" ht="12.75">
      <c r="Y174" s="1"/>
      <c r="Z174" s="1"/>
      <c r="AA174" s="1"/>
      <c r="AB174" s="1"/>
      <c r="AC174" s="1"/>
      <c r="AD174" s="1"/>
      <c r="AE174" s="1"/>
      <c r="AF174" s="1"/>
    </row>
    <row r="175" spans="25:32" ht="12.75">
      <c r="Y175" s="1"/>
      <c r="Z175" s="1"/>
      <c r="AA175" s="1"/>
      <c r="AB175" s="1"/>
      <c r="AC175" s="1"/>
      <c r="AD175" s="1"/>
      <c r="AE175" s="1"/>
      <c r="AF175" s="1"/>
    </row>
    <row r="176" spans="25:32" ht="12.75">
      <c r="Y176" s="1"/>
      <c r="Z176" s="1"/>
      <c r="AA176" s="1"/>
      <c r="AB176" s="1"/>
      <c r="AC176" s="1"/>
      <c r="AD176" s="1"/>
      <c r="AE176" s="1"/>
      <c r="AF176" s="1"/>
    </row>
    <row r="177" spans="25:32" ht="12.75">
      <c r="Y177" s="1"/>
      <c r="Z177" s="1"/>
      <c r="AA177" s="1"/>
      <c r="AB177" s="1"/>
      <c r="AC177" s="1"/>
      <c r="AD177" s="1"/>
      <c r="AE177" s="1"/>
      <c r="AF177" s="1"/>
    </row>
    <row r="178" spans="25:32" ht="12.75">
      <c r="Y178" s="1"/>
      <c r="Z178" s="1"/>
      <c r="AA178" s="1"/>
      <c r="AB178" s="1"/>
      <c r="AC178" s="1"/>
      <c r="AD178" s="1"/>
      <c r="AE178" s="1"/>
      <c r="AF178" s="1"/>
    </row>
    <row r="179" spans="25:32" ht="12.75">
      <c r="Y179" s="1"/>
      <c r="Z179" s="1"/>
      <c r="AA179" s="1"/>
      <c r="AB179" s="1"/>
      <c r="AC179" s="1"/>
      <c r="AD179" s="1"/>
      <c r="AE179" s="1"/>
      <c r="AF179" s="1"/>
    </row>
    <row r="180" spans="25:32" ht="12.75">
      <c r="Y180" s="1"/>
      <c r="Z180" s="1"/>
      <c r="AA180" s="1"/>
      <c r="AB180" s="1"/>
      <c r="AC180" s="1"/>
      <c r="AD180" s="1"/>
      <c r="AE180" s="1"/>
      <c r="AF180" s="1"/>
    </row>
    <row r="181" spans="25:32" ht="12.75">
      <c r="Y181" s="1"/>
      <c r="Z181" s="1"/>
      <c r="AA181" s="1"/>
      <c r="AB181" s="1"/>
      <c r="AC181" s="1"/>
      <c r="AD181" s="1"/>
      <c r="AE181" s="1"/>
      <c r="AF181" s="1"/>
    </row>
    <row r="182" spans="25:32" ht="12.75">
      <c r="Y182" s="1"/>
      <c r="Z182" s="1"/>
      <c r="AA182" s="1"/>
      <c r="AB182" s="1"/>
      <c r="AC182" s="1"/>
      <c r="AD182" s="1"/>
      <c r="AE182" s="1"/>
      <c r="AF182" s="1"/>
    </row>
    <row r="183" spans="25:32" ht="12.75">
      <c r="Y183" s="1"/>
      <c r="Z183" s="1"/>
      <c r="AA183" s="1"/>
      <c r="AB183" s="1"/>
      <c r="AC183" s="1"/>
      <c r="AD183" s="1"/>
      <c r="AE183" s="1"/>
      <c r="AF183" s="1"/>
    </row>
    <row r="184" spans="25:32" ht="12.75">
      <c r="Y184" s="1"/>
      <c r="Z184" s="1"/>
      <c r="AA184" s="1"/>
      <c r="AB184" s="1"/>
      <c r="AC184" s="1"/>
      <c r="AD184" s="1"/>
      <c r="AE184" s="1"/>
      <c r="AF184" s="1"/>
    </row>
    <row r="185" spans="25:32" ht="12.75">
      <c r="Y185" s="1"/>
      <c r="Z185" s="1"/>
      <c r="AA185" s="1"/>
      <c r="AB185" s="1"/>
      <c r="AC185" s="1"/>
      <c r="AD185" s="1"/>
      <c r="AE185" s="1"/>
      <c r="AF185" s="1"/>
    </row>
    <row r="186" spans="25:32" ht="12.75">
      <c r="Y186" s="1"/>
      <c r="Z186" s="1"/>
      <c r="AA186" s="1"/>
      <c r="AB186" s="1"/>
      <c r="AC186" s="1"/>
      <c r="AD186" s="1"/>
      <c r="AE186" s="1"/>
      <c r="AF186" s="1"/>
    </row>
    <row r="187" spans="25:32" ht="12.75">
      <c r="Y187" s="1"/>
      <c r="Z187" s="1"/>
      <c r="AA187" s="1"/>
      <c r="AB187" s="1"/>
      <c r="AC187" s="1"/>
      <c r="AD187" s="1"/>
      <c r="AE187" s="1"/>
      <c r="AF187" s="1"/>
    </row>
    <row r="188" spans="25:32" ht="12.75">
      <c r="Y188" s="1"/>
      <c r="Z188" s="1"/>
      <c r="AA188" s="1"/>
      <c r="AB188" s="1"/>
      <c r="AC188" s="1"/>
      <c r="AD188" s="1"/>
      <c r="AE188" s="1"/>
      <c r="AF188" s="1"/>
    </row>
    <row r="189" spans="25:32" ht="12.75">
      <c r="Y189" s="1"/>
      <c r="Z189" s="1"/>
      <c r="AA189" s="1"/>
      <c r="AB189" s="1"/>
      <c r="AC189" s="1"/>
      <c r="AD189" s="1"/>
      <c r="AE189" s="1"/>
      <c r="AF189" s="1"/>
    </row>
    <row r="190" spans="25:32" ht="12.75">
      <c r="Y190" s="1"/>
      <c r="Z190" s="1"/>
      <c r="AA190" s="1"/>
      <c r="AB190" s="1"/>
      <c r="AC190" s="1"/>
      <c r="AD190" s="1"/>
      <c r="AE190" s="1"/>
      <c r="AF190" s="1"/>
    </row>
    <row r="191" spans="25:32" ht="12.75">
      <c r="Y191" s="1"/>
      <c r="Z191" s="1"/>
      <c r="AA191" s="1"/>
      <c r="AB191" s="1"/>
      <c r="AC191" s="1"/>
      <c r="AD191" s="1"/>
      <c r="AE191" s="1"/>
      <c r="AF191" s="1"/>
    </row>
    <row r="192" spans="25:32" ht="12.75">
      <c r="Y192" s="1"/>
      <c r="Z192" s="1"/>
      <c r="AA192" s="1"/>
      <c r="AB192" s="1"/>
      <c r="AC192" s="1"/>
      <c r="AD192" s="1"/>
      <c r="AE192" s="1"/>
      <c r="AF192" s="1"/>
    </row>
    <row r="193" spans="25:32" ht="12.75">
      <c r="Y193" s="1"/>
      <c r="Z193" s="1"/>
      <c r="AA193" s="1"/>
      <c r="AB193" s="1"/>
      <c r="AC193" s="1"/>
      <c r="AD193" s="1"/>
      <c r="AE193" s="1"/>
      <c r="AF193" s="1"/>
    </row>
    <row r="194" spans="25:32" ht="12.75">
      <c r="Y194" s="1"/>
      <c r="Z194" s="1"/>
      <c r="AA194" s="1"/>
      <c r="AB194" s="1"/>
      <c r="AC194" s="1"/>
      <c r="AD194" s="1"/>
      <c r="AE194" s="1"/>
      <c r="AF194" s="1"/>
    </row>
    <row r="195" spans="25:32" ht="12.75">
      <c r="Y195" s="1"/>
      <c r="Z195" s="1"/>
      <c r="AA195" s="1"/>
      <c r="AB195" s="1"/>
      <c r="AC195" s="1"/>
      <c r="AD195" s="1"/>
      <c r="AE195" s="1"/>
      <c r="AF195" s="1"/>
    </row>
    <row r="196" spans="25:32" ht="12.75">
      <c r="Y196" s="1"/>
      <c r="Z196" s="1"/>
      <c r="AA196" s="1"/>
      <c r="AB196" s="1"/>
      <c r="AC196" s="1"/>
      <c r="AD196" s="1"/>
      <c r="AE196" s="1"/>
      <c r="AF196" s="1"/>
    </row>
    <row r="197" spans="25:32" ht="12.75">
      <c r="Y197" s="1"/>
      <c r="Z197" s="1"/>
      <c r="AA197" s="1"/>
      <c r="AB197" s="1"/>
      <c r="AC197" s="1"/>
      <c r="AD197" s="1"/>
      <c r="AE197" s="1"/>
      <c r="AF197" s="1"/>
    </row>
    <row r="198" spans="25:32" ht="12.75">
      <c r="Y198" s="1"/>
      <c r="Z198" s="1"/>
      <c r="AA198" s="1"/>
      <c r="AB198" s="1"/>
      <c r="AC198" s="1"/>
      <c r="AD198" s="1"/>
      <c r="AE198" s="1"/>
      <c r="AF198" s="1"/>
    </row>
  </sheetData>
  <sheetProtection/>
  <mergeCells count="6">
    <mergeCell ref="A37:X37"/>
    <mergeCell ref="A38:X38"/>
    <mergeCell ref="A1:X1"/>
    <mergeCell ref="A2:X2"/>
    <mergeCell ref="A3:X3"/>
    <mergeCell ref="A36:X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7"/>
  <sheetViews>
    <sheetView zoomScaleSheetLayoutView="100" zoomScalePageLayoutView="0" workbookViewId="0" topLeftCell="A1">
      <selection activeCell="AA7" sqref="AA7"/>
    </sheetView>
  </sheetViews>
  <sheetFormatPr defaultColWidth="11.421875" defaultRowHeight="12.75"/>
  <cols>
    <col min="1" max="1" width="3.421875" style="0" customWidth="1"/>
    <col min="2" max="2" width="4.8515625" style="0" customWidth="1"/>
    <col min="3" max="3" width="6.7109375" style="0" customWidth="1"/>
    <col min="4" max="4" width="3.7109375" style="0" customWidth="1"/>
    <col min="5" max="5" width="30.00390625" style="0" customWidth="1"/>
    <col min="6" max="6" width="18.140625" style="0" customWidth="1"/>
    <col min="7" max="7" width="19.421875" style="0" customWidth="1"/>
    <col min="8" max="8" width="17.8515625" style="0" customWidth="1"/>
    <col min="9" max="9" width="19.00390625" style="0" hidden="1" customWidth="1"/>
    <col min="10" max="10" width="12.7109375" style="0" hidden="1" customWidth="1"/>
    <col min="11" max="11" width="18.8515625" style="0" hidden="1" customWidth="1"/>
    <col min="12" max="12" width="17.8515625" style="0" hidden="1" customWidth="1"/>
    <col min="13" max="13" width="17.140625" style="0" hidden="1" customWidth="1"/>
    <col min="14" max="14" width="16.8515625" style="0" hidden="1" customWidth="1"/>
    <col min="15" max="15" width="13.140625" style="0" hidden="1" customWidth="1"/>
    <col min="16" max="16" width="17.140625" style="0" hidden="1" customWidth="1"/>
    <col min="17" max="20" width="16.00390625" style="0" hidden="1" customWidth="1"/>
    <col min="21" max="21" width="16.8515625" style="0" hidden="1" customWidth="1"/>
    <col min="22" max="22" width="19.00390625" style="0" hidden="1" customWidth="1"/>
    <col min="23" max="23" width="16.8515625" style="0" hidden="1" customWidth="1"/>
    <col min="24" max="24" width="16.7109375" style="0" hidden="1" customWidth="1"/>
    <col min="25" max="25" width="16.7109375" style="0" customWidth="1"/>
    <col min="26" max="27" width="17.8515625" style="0" customWidth="1"/>
    <col min="28" max="28" width="16.140625" style="0" customWidth="1"/>
    <col min="29" max="29" width="16.28125" style="0" hidden="1" customWidth="1"/>
    <col min="30" max="30" width="16.7109375" style="0" customWidth="1"/>
  </cols>
  <sheetData>
    <row r="1" spans="1:30" ht="12.75">
      <c r="A1" s="2"/>
      <c r="B1" s="2"/>
      <c r="C1" s="60" t="s">
        <v>1</v>
      </c>
      <c r="D1" s="61" t="s">
        <v>1</v>
      </c>
      <c r="E1" s="179" t="s">
        <v>0</v>
      </c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2"/>
    </row>
    <row r="2" spans="1:30" ht="12.75">
      <c r="A2" s="2"/>
      <c r="B2" s="2"/>
      <c r="C2" s="60" t="s">
        <v>1</v>
      </c>
      <c r="D2" s="61" t="s">
        <v>1</v>
      </c>
      <c r="E2" s="180" t="s">
        <v>106</v>
      </c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2"/>
    </row>
    <row r="3" spans="1:30" ht="12.75">
      <c r="A3" s="2"/>
      <c r="B3" s="2"/>
      <c r="C3" s="2"/>
      <c r="D3" s="2"/>
      <c r="E3" s="61"/>
      <c r="F3" s="61"/>
      <c r="G3" s="61" t="s">
        <v>1</v>
      </c>
      <c r="H3" s="9" t="s">
        <v>1</v>
      </c>
      <c r="I3" s="62" t="s">
        <v>1</v>
      </c>
      <c r="J3" s="12"/>
      <c r="K3" s="12"/>
      <c r="L3" s="12"/>
      <c r="M3" s="12"/>
      <c r="N3" s="12"/>
      <c r="O3" s="62"/>
      <c r="P3" s="62"/>
      <c r="Q3" s="62"/>
      <c r="R3" s="62"/>
      <c r="S3" s="62"/>
      <c r="T3" s="62"/>
      <c r="U3" s="13" t="s">
        <v>1</v>
      </c>
      <c r="V3" s="15"/>
      <c r="W3" s="15"/>
      <c r="X3" s="2"/>
      <c r="Y3" s="2"/>
      <c r="Z3" s="2"/>
      <c r="AA3" s="2"/>
      <c r="AB3" s="2"/>
      <c r="AC3" s="2"/>
      <c r="AD3" s="2"/>
    </row>
    <row r="4" spans="1:30" ht="12.75">
      <c r="A4" s="2"/>
      <c r="B4" s="2"/>
      <c r="C4" s="2"/>
      <c r="D4" s="2"/>
      <c r="E4" s="61"/>
      <c r="F4" s="2"/>
      <c r="G4" s="8" t="s">
        <v>1</v>
      </c>
      <c r="H4" s="9" t="s">
        <v>1</v>
      </c>
      <c r="I4" s="63" t="s">
        <v>1</v>
      </c>
      <c r="J4" s="12"/>
      <c r="K4" s="12"/>
      <c r="L4" s="12"/>
      <c r="M4" s="12"/>
      <c r="N4" s="12"/>
      <c r="O4" s="64"/>
      <c r="P4" s="64"/>
      <c r="Q4" s="64"/>
      <c r="R4" s="64"/>
      <c r="S4" s="64"/>
      <c r="T4" s="64"/>
      <c r="U4" s="11" t="s">
        <v>1</v>
      </c>
      <c r="V4" s="15"/>
      <c r="W4" s="15"/>
      <c r="X4" s="2"/>
      <c r="Y4" s="2"/>
      <c r="Z4" s="2"/>
      <c r="AA4" s="2"/>
      <c r="AB4" s="4" t="s">
        <v>1</v>
      </c>
      <c r="AC4" s="2"/>
      <c r="AD4" s="2"/>
    </row>
    <row r="5" spans="1:30" ht="38.25" customHeight="1">
      <c r="A5" s="48"/>
      <c r="B5" s="49"/>
      <c r="C5" s="50"/>
      <c r="D5" s="50"/>
      <c r="E5" s="51" t="s">
        <v>25</v>
      </c>
      <c r="F5" s="52" t="s">
        <v>70</v>
      </c>
      <c r="G5" s="53" t="s">
        <v>2</v>
      </c>
      <c r="H5" s="54" t="s">
        <v>71</v>
      </c>
      <c r="I5" s="55"/>
      <c r="J5" s="24"/>
      <c r="K5" s="55"/>
      <c r="L5" s="55"/>
      <c r="M5" s="55"/>
      <c r="N5" s="55" t="s">
        <v>1</v>
      </c>
      <c r="O5" s="55"/>
      <c r="P5" s="56"/>
      <c r="Q5" s="55"/>
      <c r="R5" s="55"/>
      <c r="S5" s="55"/>
      <c r="T5" s="55"/>
      <c r="U5" s="55" t="s">
        <v>1</v>
      </c>
      <c r="V5" s="55"/>
      <c r="W5" s="57"/>
      <c r="X5" s="58" t="s">
        <v>72</v>
      </c>
      <c r="Y5" s="58" t="s">
        <v>76</v>
      </c>
      <c r="Z5" s="59" t="s">
        <v>35</v>
      </c>
      <c r="AA5" s="59" t="s">
        <v>86</v>
      </c>
      <c r="AB5" s="59" t="s">
        <v>83</v>
      </c>
      <c r="AC5" s="59" t="s">
        <v>73</v>
      </c>
      <c r="AD5" s="59" t="s">
        <v>47</v>
      </c>
    </row>
    <row r="6" spans="1:30" ht="44.25" customHeight="1">
      <c r="A6" s="78" t="s">
        <v>24</v>
      </c>
      <c r="B6" s="5" t="s">
        <v>41</v>
      </c>
      <c r="C6" s="17">
        <v>900</v>
      </c>
      <c r="D6" s="6">
        <v>1</v>
      </c>
      <c r="E6" s="79" t="s">
        <v>55</v>
      </c>
      <c r="F6" s="161">
        <f>1350000000</f>
        <v>1350000000</v>
      </c>
      <c r="G6" s="162">
        <v>-920388624</v>
      </c>
      <c r="H6" s="162">
        <f aca="true" t="shared" si="0" ref="H6:H19">+F6+G6</f>
        <v>429611376</v>
      </c>
      <c r="I6" s="163"/>
      <c r="J6" s="164"/>
      <c r="K6" s="163"/>
      <c r="L6" s="163"/>
      <c r="M6" s="163"/>
      <c r="N6" s="163">
        <v>377425593</v>
      </c>
      <c r="O6" s="163"/>
      <c r="P6" s="165"/>
      <c r="Q6" s="163"/>
      <c r="R6" s="163">
        <f aca="true" t="shared" si="1" ref="R6:R19">+N6-S6-T6</f>
        <v>71522290.954</v>
      </c>
      <c r="S6" s="163">
        <f>+'[2]2010'!$F$50+'[2]2010'!$F$57+'[2]2010'!$F$58</f>
        <v>3797761</v>
      </c>
      <c r="T6" s="163">
        <f>+'[1]RESERVAS 2012'!$G$149</f>
        <v>302105541.046</v>
      </c>
      <c r="U6" s="165">
        <f aca="true" t="shared" si="2" ref="U6:U19">+H6-N6</f>
        <v>52185783</v>
      </c>
      <c r="V6" s="163"/>
      <c r="W6" s="166">
        <f aca="true" t="shared" si="3" ref="W6:W19">+N6/H6*100</f>
        <v>87.85279303218451</v>
      </c>
      <c r="X6" s="167">
        <f>+'[3]01-900-01'!$J$143</f>
        <v>2152968036.5039997</v>
      </c>
      <c r="Y6" s="175">
        <f>432992519-3381143-2572702</f>
        <v>427038674</v>
      </c>
      <c r="Z6" s="169">
        <f>+Y6</f>
        <v>427038674</v>
      </c>
      <c r="AA6" s="106">
        <f>171772445*1.004</f>
        <v>172459534.78</v>
      </c>
      <c r="AB6" s="106">
        <f>+H6-Y6</f>
        <v>2572702</v>
      </c>
      <c r="AC6" s="172">
        <f aca="true" t="shared" si="4" ref="AC6:AC19">+X6/H6*100</f>
        <v>501.1431625832924</v>
      </c>
      <c r="AD6" s="107">
        <f>+Z6/H6*100</f>
        <v>99.40115598801088</v>
      </c>
    </row>
    <row r="7" spans="1:30" ht="31.5" customHeight="1">
      <c r="A7" s="78" t="s">
        <v>24</v>
      </c>
      <c r="B7" s="5" t="s">
        <v>41</v>
      </c>
      <c r="C7" s="17">
        <f>+C6</f>
        <v>900</v>
      </c>
      <c r="D7" s="6">
        <v>2</v>
      </c>
      <c r="E7" s="79" t="s">
        <v>56</v>
      </c>
      <c r="F7" s="80">
        <f>350000000</f>
        <v>350000000</v>
      </c>
      <c r="G7" s="74">
        <v>-169213677</v>
      </c>
      <c r="H7" s="163">
        <f t="shared" si="0"/>
        <v>180786323</v>
      </c>
      <c r="I7" s="163"/>
      <c r="J7" s="164"/>
      <c r="K7" s="163"/>
      <c r="L7" s="163"/>
      <c r="M7" s="163"/>
      <c r="N7" s="163">
        <v>36231197</v>
      </c>
      <c r="O7" s="163"/>
      <c r="P7" s="165"/>
      <c r="Q7" s="163"/>
      <c r="R7" s="163">
        <f t="shared" si="1"/>
        <v>18115598.3</v>
      </c>
      <c r="S7" s="163">
        <v>0</v>
      </c>
      <c r="T7" s="163">
        <f>+'[1]RESERVAS 2012'!$G$159</f>
        <v>18115598.7</v>
      </c>
      <c r="U7" s="165">
        <f t="shared" si="2"/>
        <v>144555126</v>
      </c>
      <c r="V7" s="163"/>
      <c r="W7" s="166">
        <f t="shared" si="3"/>
        <v>20.040894907741443</v>
      </c>
      <c r="X7" s="167">
        <f>+'[3]01-900-02'!$J$42</f>
        <v>239775769</v>
      </c>
      <c r="Y7" s="175">
        <f>181222000-435677-401314-23493600</f>
        <v>156891409</v>
      </c>
      <c r="Z7" s="169">
        <f>+Y7</f>
        <v>156891409</v>
      </c>
      <c r="AA7" s="106">
        <f>32348200*1.004</f>
        <v>32477592.8</v>
      </c>
      <c r="AB7" s="106">
        <f aca="true" t="shared" si="5" ref="AB7:AB17">+H7-Y7</f>
        <v>23894914</v>
      </c>
      <c r="AC7" s="107">
        <f t="shared" si="4"/>
        <v>132.62937429177094</v>
      </c>
      <c r="AD7" s="107">
        <f>+Z7/H7*100</f>
        <v>86.78278666024973</v>
      </c>
    </row>
    <row r="8" spans="1:30" ht="26.25" customHeight="1">
      <c r="A8" s="78" t="s">
        <v>24</v>
      </c>
      <c r="B8" s="5" t="s">
        <v>41</v>
      </c>
      <c r="C8" s="17">
        <v>900</v>
      </c>
      <c r="D8" s="6">
        <v>3</v>
      </c>
      <c r="E8" s="79" t="s">
        <v>68</v>
      </c>
      <c r="F8" s="80">
        <v>300000000</v>
      </c>
      <c r="G8" s="74">
        <f>500000000-600906843</f>
        <v>-100906843</v>
      </c>
      <c r="H8" s="163">
        <f t="shared" si="0"/>
        <v>199093157</v>
      </c>
      <c r="I8" s="163"/>
      <c r="J8" s="164"/>
      <c r="K8" s="163"/>
      <c r="L8" s="163"/>
      <c r="M8" s="163"/>
      <c r="N8" s="163"/>
      <c r="O8" s="163"/>
      <c r="P8" s="165"/>
      <c r="Q8" s="163"/>
      <c r="R8" s="163"/>
      <c r="S8" s="163"/>
      <c r="T8" s="163"/>
      <c r="U8" s="165"/>
      <c r="V8" s="163"/>
      <c r="W8" s="166"/>
      <c r="X8" s="167">
        <f>+'[3]01-900-03'!$I$41</f>
        <v>74615651</v>
      </c>
      <c r="Y8" s="175">
        <f>200832298-1739141-456818-61864</f>
        <v>198574475</v>
      </c>
      <c r="Z8" s="169">
        <f>+Y8</f>
        <v>198574475</v>
      </c>
      <c r="AA8" s="106">
        <f>27769051*1.004</f>
        <v>27880127.204</v>
      </c>
      <c r="AB8" s="106">
        <f t="shared" si="5"/>
        <v>518682</v>
      </c>
      <c r="AC8" s="107">
        <f t="shared" si="4"/>
        <v>37.477757711180395</v>
      </c>
      <c r="AD8" s="107">
        <f>+Z8/H8*100</f>
        <v>99.73947773604294</v>
      </c>
    </row>
    <row r="9" spans="1:30" ht="30" customHeight="1">
      <c r="A9" s="78" t="s">
        <v>24</v>
      </c>
      <c r="B9" s="5" t="s">
        <v>42</v>
      </c>
      <c r="C9" s="17">
        <v>900</v>
      </c>
      <c r="D9" s="6">
        <v>1</v>
      </c>
      <c r="E9" s="79" t="s">
        <v>57</v>
      </c>
      <c r="F9" s="80">
        <v>3677074400</v>
      </c>
      <c r="G9" s="73">
        <f>4595103399-F9-4595103399</f>
        <v>-3677074400</v>
      </c>
      <c r="H9" s="163">
        <f t="shared" si="0"/>
        <v>0</v>
      </c>
      <c r="I9" s="163"/>
      <c r="J9" s="164"/>
      <c r="K9" s="163"/>
      <c r="L9" s="163"/>
      <c r="M9" s="163"/>
      <c r="N9" s="163">
        <f>672188453-15546821</f>
        <v>656641632</v>
      </c>
      <c r="O9" s="163"/>
      <c r="P9" s="165"/>
      <c r="Q9" s="163"/>
      <c r="R9" s="163">
        <f t="shared" si="1"/>
        <v>656641632</v>
      </c>
      <c r="S9" s="163">
        <v>0</v>
      </c>
      <c r="T9" s="163">
        <v>0</v>
      </c>
      <c r="U9" s="165">
        <f t="shared" si="2"/>
        <v>-656641632</v>
      </c>
      <c r="V9" s="163"/>
      <c r="W9" s="166" t="e">
        <f t="shared" si="3"/>
        <v>#DIV/0!</v>
      </c>
      <c r="X9" s="167">
        <f>+'[3]02-0900-01'!$I$34</f>
        <v>1867301538.748</v>
      </c>
      <c r="Y9" s="175">
        <v>0</v>
      </c>
      <c r="Z9" s="169">
        <v>0</v>
      </c>
      <c r="AA9" s="106">
        <v>0</v>
      </c>
      <c r="AB9" s="106">
        <f t="shared" si="5"/>
        <v>0</v>
      </c>
      <c r="AC9" s="107" t="e">
        <f t="shared" si="4"/>
        <v>#DIV/0!</v>
      </c>
      <c r="AD9" s="107">
        <v>0</v>
      </c>
    </row>
    <row r="10" spans="1:30" ht="22.5" customHeight="1">
      <c r="A10" s="78" t="s">
        <v>24</v>
      </c>
      <c r="B10" s="5" t="s">
        <v>42</v>
      </c>
      <c r="C10" s="17">
        <v>900</v>
      </c>
      <c r="D10" s="6">
        <v>2</v>
      </c>
      <c r="E10" s="79" t="s">
        <v>58</v>
      </c>
      <c r="F10" s="80">
        <v>1199818416</v>
      </c>
      <c r="G10" s="74">
        <f>16615550+1376982974-2566309866</f>
        <v>-1172711342</v>
      </c>
      <c r="H10" s="163">
        <f t="shared" si="0"/>
        <v>27107074</v>
      </c>
      <c r="I10" s="163"/>
      <c r="J10" s="164"/>
      <c r="K10" s="163"/>
      <c r="L10" s="163"/>
      <c r="M10" s="163"/>
      <c r="N10" s="163">
        <v>830912529</v>
      </c>
      <c r="O10" s="163"/>
      <c r="P10" s="165"/>
      <c r="Q10" s="163"/>
      <c r="R10" s="163">
        <f t="shared" si="1"/>
        <v>291465571.8239999</v>
      </c>
      <c r="S10" s="163">
        <v>0</v>
      </c>
      <c r="T10" s="163">
        <f>+'[1]RESERVAS 2012'!$G$176</f>
        <v>539446957.1760001</v>
      </c>
      <c r="U10" s="165">
        <f t="shared" si="2"/>
        <v>-803805455</v>
      </c>
      <c r="V10" s="163"/>
      <c r="W10" s="166">
        <f t="shared" si="3"/>
        <v>3065.2977484770213</v>
      </c>
      <c r="X10" s="167">
        <f>+'[3]02-900-02'!$I$151+1</f>
        <v>2545829271.4040008</v>
      </c>
      <c r="Y10" s="175">
        <v>27107074</v>
      </c>
      <c r="Z10" s="169">
        <v>27107074</v>
      </c>
      <c r="AA10" s="106">
        <f>26999078*1.004</f>
        <v>27107074.312</v>
      </c>
      <c r="AB10" s="106">
        <f t="shared" si="5"/>
        <v>0</v>
      </c>
      <c r="AC10" s="107">
        <f t="shared" si="4"/>
        <v>9391.752394242185</v>
      </c>
      <c r="AD10" s="107">
        <f>+Z10/H10*100</f>
        <v>100</v>
      </c>
    </row>
    <row r="11" spans="1:30" ht="34.5" customHeight="1">
      <c r="A11" s="78" t="s">
        <v>24</v>
      </c>
      <c r="B11" s="5" t="s">
        <v>42</v>
      </c>
      <c r="C11" s="17">
        <v>900</v>
      </c>
      <c r="D11" s="6">
        <v>3</v>
      </c>
      <c r="E11" s="79" t="s">
        <v>59</v>
      </c>
      <c r="F11" s="80">
        <v>1528730952</v>
      </c>
      <c r="G11" s="74">
        <f>851500858+700000000+1851814-2648057344</f>
        <v>-1094704672</v>
      </c>
      <c r="H11" s="163">
        <f t="shared" si="0"/>
        <v>434026280</v>
      </c>
      <c r="I11" s="163"/>
      <c r="J11" s="164"/>
      <c r="K11" s="163"/>
      <c r="L11" s="163"/>
      <c r="M11" s="163"/>
      <c r="N11" s="170">
        <v>133402374</v>
      </c>
      <c r="O11" s="170"/>
      <c r="P11" s="170"/>
      <c r="Q11" s="170"/>
      <c r="R11" s="163">
        <f t="shared" si="1"/>
        <v>6838000</v>
      </c>
      <c r="S11" s="170">
        <f>+'[2]2010'!$F$154</f>
        <v>43687200</v>
      </c>
      <c r="T11" s="170">
        <f>+'[1]RESERVAS 2012'!$G$212</f>
        <v>82877174</v>
      </c>
      <c r="U11" s="170">
        <f t="shared" si="2"/>
        <v>300623906</v>
      </c>
      <c r="V11" s="163"/>
      <c r="W11" s="166">
        <f>+N11/H11*100</f>
        <v>30.736013035892668</v>
      </c>
      <c r="X11" s="171">
        <f>+'[3]02-900-03'!$I$79+1</f>
        <v>680897978.232</v>
      </c>
      <c r="Y11" s="175">
        <f>439899680-5873400</f>
        <v>434026280</v>
      </c>
      <c r="Z11" s="169">
        <v>434026280</v>
      </c>
      <c r="AA11" s="106">
        <f>200159854*1.004</f>
        <v>200960493.416</v>
      </c>
      <c r="AB11" s="106">
        <f t="shared" si="5"/>
        <v>0</v>
      </c>
      <c r="AC11" s="107">
        <f t="shared" si="4"/>
        <v>156.87943555675938</v>
      </c>
      <c r="AD11" s="107">
        <f>+Z11/H11*100</f>
        <v>100</v>
      </c>
    </row>
    <row r="12" spans="1:30" ht="38.25" customHeight="1">
      <c r="A12" s="78" t="s">
        <v>24</v>
      </c>
      <c r="B12" s="5" t="s">
        <v>42</v>
      </c>
      <c r="C12" s="17">
        <v>900</v>
      </c>
      <c r="D12" s="6">
        <v>4</v>
      </c>
      <c r="E12" s="79" t="s">
        <v>60</v>
      </c>
      <c r="F12" s="80">
        <v>1073210483</v>
      </c>
      <c r="G12" s="74">
        <f>804022886-1877233369</f>
        <v>-1073210483</v>
      </c>
      <c r="H12" s="163">
        <f t="shared" si="0"/>
        <v>0</v>
      </c>
      <c r="I12" s="163"/>
      <c r="J12" s="164"/>
      <c r="K12" s="163"/>
      <c r="L12" s="163"/>
      <c r="M12" s="163"/>
      <c r="N12" s="163">
        <f>26881152+1471477790</f>
        <v>1498358942</v>
      </c>
      <c r="O12" s="163"/>
      <c r="P12" s="165"/>
      <c r="Q12" s="163"/>
      <c r="R12" s="163">
        <f t="shared" si="1"/>
        <v>-0.31599998474121094</v>
      </c>
      <c r="S12" s="163">
        <v>0</v>
      </c>
      <c r="T12" s="163">
        <f>+'[1]RESERVAS 2012'!$G$217</f>
        <v>1498358942.316</v>
      </c>
      <c r="U12" s="165">
        <f t="shared" si="2"/>
        <v>-1498358942</v>
      </c>
      <c r="V12" s="163"/>
      <c r="W12" s="166" t="e">
        <f t="shared" si="3"/>
        <v>#DIV/0!</v>
      </c>
      <c r="X12" s="167">
        <f>+'[3]02-900-04'!$J$31</f>
        <v>4589240858</v>
      </c>
      <c r="Y12" s="175">
        <v>0</v>
      </c>
      <c r="Z12" s="169">
        <v>0</v>
      </c>
      <c r="AA12" s="106">
        <v>0</v>
      </c>
      <c r="AB12" s="106">
        <f t="shared" si="5"/>
        <v>0</v>
      </c>
      <c r="AC12" s="107" t="e">
        <f t="shared" si="4"/>
        <v>#DIV/0!</v>
      </c>
      <c r="AD12" s="107">
        <v>0</v>
      </c>
    </row>
    <row r="13" spans="1:30" ht="22.5" customHeight="1">
      <c r="A13" s="78" t="s">
        <v>24</v>
      </c>
      <c r="B13" s="5" t="s">
        <v>43</v>
      </c>
      <c r="C13" s="17">
        <v>900</v>
      </c>
      <c r="D13" s="6">
        <v>1</v>
      </c>
      <c r="E13" s="79" t="s">
        <v>61</v>
      </c>
      <c r="F13" s="80">
        <v>289000000</v>
      </c>
      <c r="G13" s="74">
        <f>100000000-320465303</f>
        <v>-220465303</v>
      </c>
      <c r="H13" s="163">
        <f t="shared" si="0"/>
        <v>68534697</v>
      </c>
      <c r="I13" s="163"/>
      <c r="J13" s="164"/>
      <c r="K13" s="163"/>
      <c r="L13" s="163"/>
      <c r="M13" s="163"/>
      <c r="N13" s="163">
        <f>-38654000+83580624-44926624</f>
        <v>0</v>
      </c>
      <c r="O13" s="163"/>
      <c r="P13" s="165"/>
      <c r="Q13" s="163"/>
      <c r="R13" s="163">
        <f t="shared" si="1"/>
        <v>0</v>
      </c>
      <c r="S13" s="163">
        <v>0</v>
      </c>
      <c r="T13" s="163">
        <v>0</v>
      </c>
      <c r="U13" s="165">
        <f t="shared" si="2"/>
        <v>68534697</v>
      </c>
      <c r="V13" s="163"/>
      <c r="W13" s="166">
        <f t="shared" si="3"/>
        <v>0</v>
      </c>
      <c r="X13" s="167">
        <f>+'[3]03-900-01'!$J$51</f>
        <v>248571160</v>
      </c>
      <c r="Y13" s="175">
        <f>69144645-3093593-2126440</f>
        <v>63924612</v>
      </c>
      <c r="Z13" s="169">
        <v>63924612</v>
      </c>
      <c r="AA13" s="106">
        <f>15571448*1.004</f>
        <v>15633733.792</v>
      </c>
      <c r="AB13" s="106">
        <f t="shared" si="5"/>
        <v>4610085</v>
      </c>
      <c r="AC13" s="107">
        <f t="shared" si="4"/>
        <v>362.69389211715634</v>
      </c>
      <c r="AD13" s="107">
        <f aca="true" t="shared" si="6" ref="AD13:AD20">+Z13/H13*100</f>
        <v>93.27335612208222</v>
      </c>
    </row>
    <row r="14" spans="1:30" ht="22.5" customHeight="1">
      <c r="A14" s="78" t="s">
        <v>24</v>
      </c>
      <c r="B14" s="5" t="s">
        <v>43</v>
      </c>
      <c r="C14" s="17">
        <v>900</v>
      </c>
      <c r="D14" s="6">
        <v>2</v>
      </c>
      <c r="E14" s="79" t="s">
        <v>62</v>
      </c>
      <c r="F14" s="80">
        <v>1000000000</v>
      </c>
      <c r="G14" s="74">
        <f>1000000000-1948357768</f>
        <v>-948357768</v>
      </c>
      <c r="H14" s="163">
        <f t="shared" si="0"/>
        <v>51642232</v>
      </c>
      <c r="I14" s="163"/>
      <c r="J14" s="164"/>
      <c r="K14" s="163"/>
      <c r="L14" s="163"/>
      <c r="M14" s="163"/>
      <c r="N14" s="163">
        <v>76488483</v>
      </c>
      <c r="O14" s="163"/>
      <c r="P14" s="165"/>
      <c r="Q14" s="163"/>
      <c r="R14" s="163">
        <f t="shared" si="1"/>
        <v>0</v>
      </c>
      <c r="S14" s="163">
        <v>0</v>
      </c>
      <c r="T14" s="163">
        <f>+'[1]RESERVAS 2012'!$G$227</f>
        <v>76488483</v>
      </c>
      <c r="U14" s="165">
        <f t="shared" si="2"/>
        <v>-24846251</v>
      </c>
      <c r="V14" s="163"/>
      <c r="W14" s="166">
        <f t="shared" si="3"/>
        <v>148.1122717546368</v>
      </c>
      <c r="X14" s="171">
        <f>+'[3]03-900-02'!$J$103</f>
        <v>6495999029.863999</v>
      </c>
      <c r="Y14" s="175">
        <v>48787123</v>
      </c>
      <c r="Z14" s="169">
        <v>48787123</v>
      </c>
      <c r="AA14" s="106">
        <f>15300940*1.004</f>
        <v>15362143.76</v>
      </c>
      <c r="AB14" s="106">
        <f t="shared" si="5"/>
        <v>2855109</v>
      </c>
      <c r="AC14" s="107">
        <f t="shared" si="4"/>
        <v>12578.850251600277</v>
      </c>
      <c r="AD14" s="107">
        <f t="shared" si="6"/>
        <v>94.47136793003061</v>
      </c>
    </row>
    <row r="15" spans="1:30" ht="22.5" customHeight="1">
      <c r="A15" s="78" t="s">
        <v>24</v>
      </c>
      <c r="B15" s="5" t="s">
        <v>44</v>
      </c>
      <c r="C15" s="17">
        <v>900</v>
      </c>
      <c r="D15" s="6">
        <v>1</v>
      </c>
      <c r="E15" s="79" t="s">
        <v>63</v>
      </c>
      <c r="F15" s="80">
        <v>2132498061</v>
      </c>
      <c r="G15" s="74">
        <f>300000000-1310392615</f>
        <v>-1010392615</v>
      </c>
      <c r="H15" s="163">
        <f t="shared" si="0"/>
        <v>1122105446</v>
      </c>
      <c r="I15" s="163"/>
      <c r="J15" s="164"/>
      <c r="K15" s="163"/>
      <c r="L15" s="163"/>
      <c r="M15" s="163"/>
      <c r="N15" s="163">
        <v>152849484</v>
      </c>
      <c r="O15" s="163"/>
      <c r="P15" s="165"/>
      <c r="Q15" s="163"/>
      <c r="R15" s="163">
        <f t="shared" si="1"/>
        <v>36427954</v>
      </c>
      <c r="S15" s="163">
        <f>+'[2]2010'!$F$163</f>
        <v>75867</v>
      </c>
      <c r="T15" s="163">
        <f>+'[1]RESERVAS 2012'!$G$246</f>
        <v>116345663</v>
      </c>
      <c r="U15" s="165">
        <f t="shared" si="2"/>
        <v>969255962</v>
      </c>
      <c r="V15" s="163"/>
      <c r="W15" s="166">
        <f t="shared" si="3"/>
        <v>13.621668493354768</v>
      </c>
      <c r="X15" s="167">
        <v>920941098</v>
      </c>
      <c r="Y15" s="175">
        <v>1117181826</v>
      </c>
      <c r="Z15" s="169">
        <v>1117181826</v>
      </c>
      <c r="AA15" s="106">
        <f>534986235*1.004</f>
        <v>537126179.94</v>
      </c>
      <c r="AB15" s="106">
        <f t="shared" si="5"/>
        <v>4923620</v>
      </c>
      <c r="AC15" s="107">
        <f t="shared" si="4"/>
        <v>82.07259854970886</v>
      </c>
      <c r="AD15" s="107">
        <f t="shared" si="6"/>
        <v>99.56121592515646</v>
      </c>
    </row>
    <row r="16" spans="1:30" ht="36" customHeight="1">
      <c r="A16" s="78" t="s">
        <v>24</v>
      </c>
      <c r="B16" s="5" t="s">
        <v>44</v>
      </c>
      <c r="C16" s="17">
        <v>900</v>
      </c>
      <c r="D16" s="6">
        <v>2</v>
      </c>
      <c r="E16" s="79" t="s">
        <v>64</v>
      </c>
      <c r="F16" s="80">
        <v>520000000</v>
      </c>
      <c r="G16" s="74">
        <f>484452244+1430210493-2114195091</f>
        <v>-199532354</v>
      </c>
      <c r="H16" s="163">
        <f t="shared" si="0"/>
        <v>320467646</v>
      </c>
      <c r="I16" s="163"/>
      <c r="J16" s="164"/>
      <c r="K16" s="163"/>
      <c r="L16" s="163"/>
      <c r="M16" s="163"/>
      <c r="N16" s="163">
        <v>19467520</v>
      </c>
      <c r="O16" s="163"/>
      <c r="P16" s="165"/>
      <c r="Q16" s="163"/>
      <c r="R16" s="163">
        <f t="shared" si="1"/>
        <v>1534972</v>
      </c>
      <c r="S16" s="163">
        <f>+'[2]2010'!$F$195</f>
        <v>198000</v>
      </c>
      <c r="T16" s="163">
        <f>+'[1]RESERVAS 2012'!$G$306</f>
        <v>17734548</v>
      </c>
      <c r="U16" s="165">
        <f t="shared" si="2"/>
        <v>301000126</v>
      </c>
      <c r="V16" s="163"/>
      <c r="W16" s="166">
        <f t="shared" si="3"/>
        <v>6.074722438595252</v>
      </c>
      <c r="X16" s="167">
        <f>+'[3]04-0900-02'!$H$127</f>
        <v>347571279.988</v>
      </c>
      <c r="Y16" s="175">
        <f>334010405-13555058-456818</f>
        <v>319998529</v>
      </c>
      <c r="Z16" s="169">
        <v>319998529</v>
      </c>
      <c r="AA16" s="106">
        <f>158057631*1.004</f>
        <v>158689861.524</v>
      </c>
      <c r="AB16" s="106">
        <f t="shared" si="5"/>
        <v>469117</v>
      </c>
      <c r="AC16" s="107">
        <f t="shared" si="4"/>
        <v>108.45752584583843</v>
      </c>
      <c r="AD16" s="107">
        <f t="shared" si="6"/>
        <v>99.8536148638231</v>
      </c>
    </row>
    <row r="17" spans="1:31" ht="38.25" customHeight="1">
      <c r="A17" s="78" t="s">
        <v>24</v>
      </c>
      <c r="B17" s="5" t="s">
        <v>45</v>
      </c>
      <c r="C17" s="17">
        <v>900</v>
      </c>
      <c r="D17" s="6">
        <v>1</v>
      </c>
      <c r="E17" s="79" t="s">
        <v>65</v>
      </c>
      <c r="F17" s="80">
        <v>700000000</v>
      </c>
      <c r="G17" s="74">
        <f>614687863+285312137-1435581568-1503554</f>
        <v>-537085122</v>
      </c>
      <c r="H17" s="163">
        <f t="shared" si="0"/>
        <v>162914878</v>
      </c>
      <c r="I17" s="163"/>
      <c r="J17" s="164"/>
      <c r="K17" s="163"/>
      <c r="L17" s="163"/>
      <c r="M17" s="163"/>
      <c r="N17" s="163">
        <v>203974258</v>
      </c>
      <c r="O17" s="163"/>
      <c r="P17" s="165"/>
      <c r="Q17" s="163"/>
      <c r="R17" s="163">
        <f t="shared" si="1"/>
        <v>42361514.95999999</v>
      </c>
      <c r="S17" s="163">
        <f>+'[2]2010'!$F$203</f>
        <v>50523840</v>
      </c>
      <c r="T17" s="163">
        <f>+'[1]RESERVAS 2012'!$G$336</f>
        <v>111088903.04</v>
      </c>
      <c r="U17" s="165">
        <f t="shared" si="2"/>
        <v>-41059380</v>
      </c>
      <c r="V17" s="163"/>
      <c r="W17" s="166">
        <f t="shared" si="3"/>
        <v>125.20296519511251</v>
      </c>
      <c r="X17" s="167">
        <f>+'[3]05-900-01'!$I$131+1</f>
        <v>739699516.0080001</v>
      </c>
      <c r="Y17" s="175">
        <v>162914878</v>
      </c>
      <c r="Z17" s="163">
        <f>+Y17</f>
        <v>162914878</v>
      </c>
      <c r="AA17" s="22">
        <f>79122541*1.004</f>
        <v>79439031.164</v>
      </c>
      <c r="AB17" s="106">
        <f t="shared" si="5"/>
        <v>0</v>
      </c>
      <c r="AC17" s="107">
        <f t="shared" si="4"/>
        <v>454.0404934704614</v>
      </c>
      <c r="AD17" s="107">
        <f t="shared" si="6"/>
        <v>100</v>
      </c>
      <c r="AE17" s="26">
        <f>+Z17-164418432</f>
        <v>-1503554</v>
      </c>
    </row>
    <row r="18" spans="1:30" ht="41.25" customHeight="1">
      <c r="A18" s="78" t="s">
        <v>24</v>
      </c>
      <c r="B18" s="5" t="s">
        <v>46</v>
      </c>
      <c r="C18" s="17">
        <v>900</v>
      </c>
      <c r="D18" s="6">
        <v>1</v>
      </c>
      <c r="E18" s="81" t="s">
        <v>66</v>
      </c>
      <c r="F18" s="80">
        <f>+'[6]Gastos 2016'!$B$16</f>
        <v>250000000</v>
      </c>
      <c r="G18" s="74">
        <v>-141124746</v>
      </c>
      <c r="H18" s="163">
        <f t="shared" si="0"/>
        <v>108875254</v>
      </c>
      <c r="I18" s="163"/>
      <c r="J18" s="164"/>
      <c r="K18" s="163"/>
      <c r="L18" s="163"/>
      <c r="M18" s="163"/>
      <c r="N18" s="163">
        <v>145590431</v>
      </c>
      <c r="O18" s="163"/>
      <c r="P18" s="165"/>
      <c r="Q18" s="163"/>
      <c r="R18" s="163">
        <f t="shared" si="1"/>
        <v>72795215.22</v>
      </c>
      <c r="S18" s="163">
        <v>0</v>
      </c>
      <c r="T18" s="163">
        <f>+'[1]RESERVAS 2012'!$G$342</f>
        <v>72795215.78</v>
      </c>
      <c r="U18" s="165">
        <f t="shared" si="2"/>
        <v>-36715177</v>
      </c>
      <c r="V18" s="163"/>
      <c r="W18" s="166">
        <f t="shared" si="3"/>
        <v>133.7222423380064</v>
      </c>
      <c r="X18" s="167">
        <f>+'[3]06-0900-01'!$I$72-1</f>
        <v>560766327.9560002</v>
      </c>
      <c r="Y18" s="175">
        <f>109310931-435677-573306</f>
        <v>108301948</v>
      </c>
      <c r="Z18" s="163">
        <f>+Y18</f>
        <v>108301948</v>
      </c>
      <c r="AA18" s="22">
        <f>20323836*1.004</f>
        <v>20405131.344</v>
      </c>
      <c r="AB18" s="106">
        <f>+H18-Y18</f>
        <v>573306</v>
      </c>
      <c r="AC18" s="107">
        <f t="shared" si="4"/>
        <v>515.0539790759067</v>
      </c>
      <c r="AD18" s="107">
        <f t="shared" si="6"/>
        <v>99.47342855337908</v>
      </c>
    </row>
    <row r="19" spans="1:30" ht="22.5" customHeight="1">
      <c r="A19" s="78" t="s">
        <v>24</v>
      </c>
      <c r="B19" s="5" t="s">
        <v>46</v>
      </c>
      <c r="C19" s="17">
        <v>900</v>
      </c>
      <c r="D19" s="6">
        <v>2</v>
      </c>
      <c r="E19" s="81" t="s">
        <v>67</v>
      </c>
      <c r="F19" s="80">
        <v>200000000</v>
      </c>
      <c r="G19" s="74">
        <f>4500510443-3856237256</f>
        <v>644273187</v>
      </c>
      <c r="H19" s="163">
        <f t="shared" si="0"/>
        <v>844273187</v>
      </c>
      <c r="I19" s="163"/>
      <c r="J19" s="164"/>
      <c r="K19" s="163"/>
      <c r="L19" s="163"/>
      <c r="M19" s="163"/>
      <c r="N19" s="163">
        <v>15121222</v>
      </c>
      <c r="O19" s="163"/>
      <c r="P19" s="165"/>
      <c r="Q19" s="163"/>
      <c r="R19" s="163">
        <f t="shared" si="1"/>
        <v>15121222</v>
      </c>
      <c r="S19" s="163">
        <v>0</v>
      </c>
      <c r="T19" s="163">
        <v>0</v>
      </c>
      <c r="U19" s="165">
        <f t="shared" si="2"/>
        <v>829151965</v>
      </c>
      <c r="V19" s="163"/>
      <c r="W19" s="166">
        <f t="shared" si="3"/>
        <v>1.7910342567825737</v>
      </c>
      <c r="X19" s="167">
        <f>+'[3]06-0900-02'!$I$47</f>
        <v>278664190.78</v>
      </c>
      <c r="Y19" s="175">
        <f>844273187-1050578</f>
        <v>843222609</v>
      </c>
      <c r="Z19" s="163">
        <f>+Y19</f>
        <v>843222609</v>
      </c>
      <c r="AA19" s="22">
        <f>28934727*1.004</f>
        <v>29050465.908</v>
      </c>
      <c r="AB19" s="106">
        <f>+H19-Y19</f>
        <v>1050578</v>
      </c>
      <c r="AC19" s="107">
        <f t="shared" si="4"/>
        <v>33.00640066163797</v>
      </c>
      <c r="AD19" s="107">
        <f t="shared" si="6"/>
        <v>99.87556421118464</v>
      </c>
    </row>
    <row r="20" spans="1:30" ht="22.5" customHeight="1">
      <c r="A20" s="78"/>
      <c r="B20" s="5"/>
      <c r="C20" s="17"/>
      <c r="D20" s="6"/>
      <c r="E20" s="81" t="s">
        <v>102</v>
      </c>
      <c r="F20" s="80">
        <f aca="true" t="shared" si="7" ref="F20:AC20">SUM(F6:F19)</f>
        <v>14570332312</v>
      </c>
      <c r="G20" s="80">
        <f t="shared" si="7"/>
        <v>-10620894762</v>
      </c>
      <c r="H20" s="80">
        <f t="shared" si="7"/>
        <v>3949437550</v>
      </c>
      <c r="I20" s="80">
        <f t="shared" si="7"/>
        <v>0</v>
      </c>
      <c r="J20" s="80">
        <f t="shared" si="7"/>
        <v>0</v>
      </c>
      <c r="K20" s="80">
        <f t="shared" si="7"/>
        <v>0</v>
      </c>
      <c r="L20" s="80">
        <f t="shared" si="7"/>
        <v>0</v>
      </c>
      <c r="M20" s="80">
        <f t="shared" si="7"/>
        <v>0</v>
      </c>
      <c r="N20" s="80">
        <f t="shared" si="7"/>
        <v>4146463665</v>
      </c>
      <c r="O20" s="80">
        <f t="shared" si="7"/>
        <v>0</v>
      </c>
      <c r="P20" s="80">
        <f t="shared" si="7"/>
        <v>0</v>
      </c>
      <c r="Q20" s="80">
        <f t="shared" si="7"/>
        <v>0</v>
      </c>
      <c r="R20" s="80">
        <f t="shared" si="7"/>
        <v>1212823970.942</v>
      </c>
      <c r="S20" s="80">
        <f t="shared" si="7"/>
        <v>98282668</v>
      </c>
      <c r="T20" s="80">
        <f t="shared" si="7"/>
        <v>2835357026.058</v>
      </c>
      <c r="U20" s="80">
        <f t="shared" si="7"/>
        <v>-396119272</v>
      </c>
      <c r="V20" s="80">
        <f t="shared" si="7"/>
        <v>0</v>
      </c>
      <c r="W20" s="80" t="e">
        <f t="shared" si="7"/>
        <v>#DIV/0!</v>
      </c>
      <c r="X20" s="80">
        <f t="shared" si="7"/>
        <v>21742841705.483997</v>
      </c>
      <c r="Y20" s="80">
        <f t="shared" si="7"/>
        <v>3907969437</v>
      </c>
      <c r="Z20" s="80">
        <f t="shared" si="7"/>
        <v>3907969437</v>
      </c>
      <c r="AA20" s="80">
        <f t="shared" si="7"/>
        <v>1316591369.9440002</v>
      </c>
      <c r="AB20" s="80">
        <f t="shared" si="7"/>
        <v>41468113</v>
      </c>
      <c r="AC20" s="80" t="e">
        <f t="shared" si="7"/>
        <v>#DIV/0!</v>
      </c>
      <c r="AD20" s="80">
        <f t="shared" si="6"/>
        <v>98.95002484594293</v>
      </c>
    </row>
    <row r="21" spans="1:30" ht="22.5" customHeight="1">
      <c r="A21" s="78"/>
      <c r="B21" s="5"/>
      <c r="C21" s="17"/>
      <c r="D21" s="6"/>
      <c r="E21" s="81"/>
      <c r="F21" s="80"/>
      <c r="G21" s="74"/>
      <c r="H21" s="22"/>
      <c r="I21" s="22"/>
      <c r="J21" s="24"/>
      <c r="K21" s="22"/>
      <c r="L21" s="22"/>
      <c r="M21" s="22"/>
      <c r="N21" s="22"/>
      <c r="O21" s="22"/>
      <c r="P21" s="23"/>
      <c r="Q21" s="22"/>
      <c r="R21" s="22"/>
      <c r="S21" s="22"/>
      <c r="T21" s="22"/>
      <c r="U21" s="23"/>
      <c r="V21" s="22"/>
      <c r="W21" s="25"/>
      <c r="X21" s="11"/>
      <c r="Y21" s="11">
        <v>0</v>
      </c>
      <c r="Z21" s="22"/>
      <c r="AA21" s="22"/>
      <c r="AB21" s="106"/>
      <c r="AC21" s="107"/>
      <c r="AD21" s="107"/>
    </row>
    <row r="22" spans="1:30" ht="22.5" customHeight="1">
      <c r="A22" s="78"/>
      <c r="B22" s="5"/>
      <c r="C22" s="17"/>
      <c r="D22" s="6"/>
      <c r="E22" s="160" t="s">
        <v>98</v>
      </c>
      <c r="F22" s="52" t="s">
        <v>70</v>
      </c>
      <c r="G22" s="53" t="s">
        <v>2</v>
      </c>
      <c r="H22" s="54" t="s">
        <v>71</v>
      </c>
      <c r="I22" s="55"/>
      <c r="J22" s="24"/>
      <c r="K22" s="55"/>
      <c r="L22" s="55"/>
      <c r="M22" s="55"/>
      <c r="N22" s="55" t="s">
        <v>1</v>
      </c>
      <c r="O22" s="55"/>
      <c r="P22" s="56"/>
      <c r="Q22" s="55"/>
      <c r="R22" s="55"/>
      <c r="S22" s="55"/>
      <c r="T22" s="55"/>
      <c r="U22" s="55" t="s">
        <v>1</v>
      </c>
      <c r="V22" s="55"/>
      <c r="W22" s="57"/>
      <c r="X22" s="58" t="s">
        <v>72</v>
      </c>
      <c r="Y22" s="58" t="s">
        <v>76</v>
      </c>
      <c r="Z22" s="59" t="s">
        <v>35</v>
      </c>
      <c r="AA22" s="59" t="s">
        <v>86</v>
      </c>
      <c r="AB22" s="59" t="s">
        <v>83</v>
      </c>
      <c r="AC22" s="59" t="s">
        <v>73</v>
      </c>
      <c r="AD22" s="59" t="s">
        <v>47</v>
      </c>
    </row>
    <row r="23" spans="1:30" ht="22.5" customHeight="1">
      <c r="A23" s="78" t="s">
        <v>24</v>
      </c>
      <c r="B23" s="5" t="s">
        <v>41</v>
      </c>
      <c r="C23" s="17">
        <v>1</v>
      </c>
      <c r="D23" s="6"/>
      <c r="E23" s="159" t="s">
        <v>88</v>
      </c>
      <c r="F23" s="80">
        <v>0</v>
      </c>
      <c r="G23" s="74">
        <v>4670486343</v>
      </c>
      <c r="H23" s="22">
        <f>+F23+G23</f>
        <v>4670486343</v>
      </c>
      <c r="I23" s="22"/>
      <c r="J23" s="24"/>
      <c r="K23" s="22"/>
      <c r="L23" s="22"/>
      <c r="M23" s="22"/>
      <c r="N23" s="22"/>
      <c r="O23" s="22"/>
      <c r="P23" s="23"/>
      <c r="Q23" s="22"/>
      <c r="R23" s="22"/>
      <c r="S23" s="22"/>
      <c r="T23" s="22"/>
      <c r="U23" s="23"/>
      <c r="V23" s="22"/>
      <c r="W23" s="25"/>
      <c r="X23" s="168"/>
      <c r="Y23" s="168">
        <v>3214239602</v>
      </c>
      <c r="Z23" s="22">
        <v>1190700681</v>
      </c>
      <c r="AA23" s="22">
        <f>16140000*1.004</f>
        <v>16204560</v>
      </c>
      <c r="AB23" s="106">
        <f>+H23-Y23</f>
        <v>1456246741</v>
      </c>
      <c r="AC23" s="107">
        <f aca="true" t="shared" si="8" ref="AC23:AC36">+X23/H23*100</f>
        <v>0</v>
      </c>
      <c r="AD23" s="107">
        <f aca="true" t="shared" si="9" ref="AD23:AD34">+Z23/H23*100</f>
        <v>25.4941475802534</v>
      </c>
    </row>
    <row r="24" spans="1:30" ht="22.5" customHeight="1">
      <c r="A24" s="78" t="s">
        <v>24</v>
      </c>
      <c r="B24" s="5" t="s">
        <v>41</v>
      </c>
      <c r="C24" s="17">
        <v>2</v>
      </c>
      <c r="D24" s="6"/>
      <c r="E24" s="159" t="s">
        <v>89</v>
      </c>
      <c r="F24" s="80">
        <v>0</v>
      </c>
      <c r="G24" s="74">
        <v>5138984266</v>
      </c>
      <c r="H24" s="22">
        <f aca="true" t="shared" si="10" ref="H24:H34">+F24+G24</f>
        <v>5138984266</v>
      </c>
      <c r="I24" s="22"/>
      <c r="J24" s="24"/>
      <c r="K24" s="22"/>
      <c r="L24" s="22"/>
      <c r="M24" s="22"/>
      <c r="N24" s="22"/>
      <c r="O24" s="22"/>
      <c r="P24" s="23"/>
      <c r="Q24" s="22"/>
      <c r="R24" s="22"/>
      <c r="S24" s="22"/>
      <c r="T24" s="22"/>
      <c r="U24" s="23"/>
      <c r="V24" s="22"/>
      <c r="W24" s="25"/>
      <c r="X24" s="168"/>
      <c r="Y24" s="168">
        <v>4419101489</v>
      </c>
      <c r="Z24" s="22">
        <v>2360363780</v>
      </c>
      <c r="AA24" s="22">
        <f>2115247940*1.004</f>
        <v>2123708931.76</v>
      </c>
      <c r="AB24" s="106">
        <f aca="true" t="shared" si="11" ref="AB24:AB34">+H24-Y24</f>
        <v>719882777</v>
      </c>
      <c r="AC24" s="107">
        <f t="shared" si="8"/>
        <v>0</v>
      </c>
      <c r="AD24" s="107">
        <f t="shared" si="9"/>
        <v>45.930550821421804</v>
      </c>
    </row>
    <row r="25" spans="1:30" ht="22.5" customHeight="1">
      <c r="A25" s="78" t="s">
        <v>24</v>
      </c>
      <c r="B25" s="5" t="s">
        <v>41</v>
      </c>
      <c r="C25" s="17">
        <v>3</v>
      </c>
      <c r="D25" s="6"/>
      <c r="E25" s="159" t="s">
        <v>90</v>
      </c>
      <c r="F25" s="80">
        <v>0</v>
      </c>
      <c r="G25" s="74">
        <v>1877233369</v>
      </c>
      <c r="H25" s="22">
        <f t="shared" si="10"/>
        <v>1877233369</v>
      </c>
      <c r="I25" s="22"/>
      <c r="J25" s="24"/>
      <c r="K25" s="22"/>
      <c r="L25" s="22"/>
      <c r="M25" s="22"/>
      <c r="N25" s="22"/>
      <c r="O25" s="22"/>
      <c r="P25" s="23"/>
      <c r="Q25" s="22"/>
      <c r="R25" s="22"/>
      <c r="S25" s="22"/>
      <c r="T25" s="22"/>
      <c r="U25" s="23"/>
      <c r="V25" s="22"/>
      <c r="W25" s="25"/>
      <c r="X25" s="168"/>
      <c r="Y25" s="168">
        <v>1177233207</v>
      </c>
      <c r="Z25" s="22">
        <v>0</v>
      </c>
      <c r="AA25" s="22">
        <v>0</v>
      </c>
      <c r="AB25" s="106">
        <f t="shared" si="11"/>
        <v>700000162</v>
      </c>
      <c r="AC25" s="107">
        <f t="shared" si="8"/>
        <v>0</v>
      </c>
      <c r="AD25" s="107">
        <f t="shared" si="9"/>
        <v>0</v>
      </c>
    </row>
    <row r="26" spans="1:30" ht="22.5" customHeight="1">
      <c r="A26" s="78" t="s">
        <v>24</v>
      </c>
      <c r="B26" s="5" t="s">
        <v>42</v>
      </c>
      <c r="C26" s="17">
        <v>1</v>
      </c>
      <c r="D26" s="6"/>
      <c r="E26" s="159" t="s">
        <v>91</v>
      </c>
      <c r="F26" s="80">
        <v>0</v>
      </c>
      <c r="G26" s="74">
        <v>128863196</v>
      </c>
      <c r="H26" s="22">
        <f t="shared" si="10"/>
        <v>128863196</v>
      </c>
      <c r="I26" s="22"/>
      <c r="J26" s="24"/>
      <c r="K26" s="22"/>
      <c r="L26" s="22"/>
      <c r="M26" s="22"/>
      <c r="N26" s="22"/>
      <c r="O26" s="22"/>
      <c r="P26" s="23"/>
      <c r="Q26" s="22"/>
      <c r="R26" s="22"/>
      <c r="S26" s="22"/>
      <c r="T26" s="22"/>
      <c r="U26" s="23"/>
      <c r="V26" s="22"/>
      <c r="W26" s="25"/>
      <c r="X26" s="168"/>
      <c r="Y26" s="168">
        <v>105456683</v>
      </c>
      <c r="Z26" s="22">
        <v>1459841</v>
      </c>
      <c r="AA26" s="22">
        <v>0</v>
      </c>
      <c r="AB26" s="106">
        <f t="shared" si="11"/>
        <v>23406513</v>
      </c>
      <c r="AC26" s="107">
        <f t="shared" si="8"/>
        <v>0</v>
      </c>
      <c r="AD26" s="107">
        <f t="shared" si="9"/>
        <v>1.1328610847118832</v>
      </c>
    </row>
    <row r="27" spans="1:30" ht="22.5" customHeight="1">
      <c r="A27" s="78" t="s">
        <v>24</v>
      </c>
      <c r="B27" s="5" t="s">
        <v>42</v>
      </c>
      <c r="C27" s="17">
        <v>2</v>
      </c>
      <c r="D27" s="6"/>
      <c r="E27" s="159" t="s">
        <v>92</v>
      </c>
      <c r="F27" s="80">
        <v>0</v>
      </c>
      <c r="G27" s="74">
        <v>960739105</v>
      </c>
      <c r="H27" s="22">
        <f t="shared" si="10"/>
        <v>960739105</v>
      </c>
      <c r="I27" s="22"/>
      <c r="J27" s="24"/>
      <c r="K27" s="22"/>
      <c r="L27" s="22"/>
      <c r="M27" s="22"/>
      <c r="N27" s="22"/>
      <c r="O27" s="22"/>
      <c r="P27" s="23"/>
      <c r="Q27" s="22"/>
      <c r="R27" s="22"/>
      <c r="S27" s="22"/>
      <c r="T27" s="22"/>
      <c r="U27" s="23"/>
      <c r="V27" s="22"/>
      <c r="W27" s="25"/>
      <c r="X27" s="168"/>
      <c r="Y27" s="168">
        <v>589361612</v>
      </c>
      <c r="Z27" s="22">
        <v>326477534</v>
      </c>
      <c r="AA27" s="22">
        <f>2600000*1.004</f>
        <v>2610400</v>
      </c>
      <c r="AB27" s="106">
        <f t="shared" si="11"/>
        <v>371377493</v>
      </c>
      <c r="AC27" s="107">
        <f t="shared" si="8"/>
        <v>0</v>
      </c>
      <c r="AD27" s="107">
        <f t="shared" si="9"/>
        <v>33.98191374754128</v>
      </c>
    </row>
    <row r="28" spans="1:30" ht="22.5" customHeight="1">
      <c r="A28" s="78" t="s">
        <v>24</v>
      </c>
      <c r="B28" s="5" t="s">
        <v>43</v>
      </c>
      <c r="C28" s="17">
        <v>1</v>
      </c>
      <c r="D28" s="6"/>
      <c r="E28" s="159" t="s">
        <v>93</v>
      </c>
      <c r="F28" s="80">
        <v>0</v>
      </c>
      <c r="G28" s="174">
        <f>4539266111+749092163</f>
        <v>5288358274</v>
      </c>
      <c r="H28" s="22">
        <f t="shared" si="10"/>
        <v>5288358274</v>
      </c>
      <c r="I28" s="22"/>
      <c r="J28" s="24"/>
      <c r="K28" s="22"/>
      <c r="L28" s="22"/>
      <c r="M28" s="22"/>
      <c r="N28" s="22"/>
      <c r="O28" s="22"/>
      <c r="P28" s="23"/>
      <c r="Q28" s="22"/>
      <c r="R28" s="22"/>
      <c r="S28" s="22"/>
      <c r="T28" s="22"/>
      <c r="U28" s="23"/>
      <c r="V28" s="22"/>
      <c r="W28" s="25"/>
      <c r="X28" s="168"/>
      <c r="Y28" s="168">
        <v>4620016737</v>
      </c>
      <c r="Z28" s="22">
        <v>780402357</v>
      </c>
      <c r="AA28" s="22">
        <f>157472000*1.004</f>
        <v>158101888</v>
      </c>
      <c r="AB28" s="106">
        <f t="shared" si="11"/>
        <v>668341537</v>
      </c>
      <c r="AC28" s="107">
        <f t="shared" si="8"/>
        <v>0</v>
      </c>
      <c r="AD28" s="107">
        <f t="shared" si="9"/>
        <v>14.756987264588647</v>
      </c>
    </row>
    <row r="29" spans="1:30" ht="22.5" customHeight="1">
      <c r="A29" s="78" t="s">
        <v>24</v>
      </c>
      <c r="B29" s="5" t="s">
        <v>43</v>
      </c>
      <c r="C29" s="17">
        <v>2</v>
      </c>
      <c r="D29" s="6"/>
      <c r="E29" s="159" t="s">
        <v>94</v>
      </c>
      <c r="F29" s="80">
        <v>0</v>
      </c>
      <c r="G29" s="74">
        <v>166163600</v>
      </c>
      <c r="H29" s="22">
        <f t="shared" si="10"/>
        <v>166163600</v>
      </c>
      <c r="I29" s="22"/>
      <c r="J29" s="24"/>
      <c r="K29" s="22"/>
      <c r="L29" s="22"/>
      <c r="M29" s="22"/>
      <c r="N29" s="22"/>
      <c r="O29" s="22"/>
      <c r="P29" s="23"/>
      <c r="Q29" s="22"/>
      <c r="R29" s="22"/>
      <c r="S29" s="22"/>
      <c r="T29" s="22"/>
      <c r="U29" s="23"/>
      <c r="V29" s="22"/>
      <c r="W29" s="25"/>
      <c r="X29" s="168"/>
      <c r="Y29" s="168">
        <v>50200000</v>
      </c>
      <c r="Z29" s="22">
        <v>0</v>
      </c>
      <c r="AA29" s="22">
        <v>0</v>
      </c>
      <c r="AB29" s="106">
        <f t="shared" si="11"/>
        <v>115963600</v>
      </c>
      <c r="AC29" s="107">
        <f t="shared" si="8"/>
        <v>0</v>
      </c>
      <c r="AD29" s="107">
        <f t="shared" si="9"/>
        <v>0</v>
      </c>
    </row>
    <row r="30" spans="1:30" ht="22.5" customHeight="1">
      <c r="A30" s="78" t="s">
        <v>24</v>
      </c>
      <c r="B30" s="5" t="s">
        <v>44</v>
      </c>
      <c r="C30" s="17">
        <v>1</v>
      </c>
      <c r="D30" s="6"/>
      <c r="E30" s="159" t="s">
        <v>95</v>
      </c>
      <c r="F30" s="80">
        <v>0</v>
      </c>
      <c r="G30" s="74">
        <v>963947415</v>
      </c>
      <c r="H30" s="22">
        <f t="shared" si="10"/>
        <v>963947415</v>
      </c>
      <c r="I30" s="22"/>
      <c r="J30" s="24"/>
      <c r="K30" s="22"/>
      <c r="L30" s="22"/>
      <c r="M30" s="22"/>
      <c r="N30" s="22"/>
      <c r="O30" s="22"/>
      <c r="P30" s="23"/>
      <c r="Q30" s="22"/>
      <c r="R30" s="22"/>
      <c r="S30" s="22"/>
      <c r="T30" s="22"/>
      <c r="U30" s="23"/>
      <c r="V30" s="22"/>
      <c r="W30" s="25"/>
      <c r="X30" s="168"/>
      <c r="Y30" s="168">
        <v>850659482</v>
      </c>
      <c r="Z30" s="22">
        <v>355303204</v>
      </c>
      <c r="AA30" s="22">
        <f>73526423*1.004</f>
        <v>73820528.692</v>
      </c>
      <c r="AB30" s="106">
        <f t="shared" si="11"/>
        <v>113287933</v>
      </c>
      <c r="AC30" s="107">
        <f t="shared" si="8"/>
        <v>0</v>
      </c>
      <c r="AD30" s="107">
        <f t="shared" si="9"/>
        <v>36.85918946107657</v>
      </c>
    </row>
    <row r="31" spans="1:30" ht="22.5" customHeight="1">
      <c r="A31" s="78" t="s">
        <v>24</v>
      </c>
      <c r="B31" s="5" t="s">
        <v>45</v>
      </c>
      <c r="C31" s="17">
        <v>1</v>
      </c>
      <c r="D31" s="6"/>
      <c r="E31" s="159" t="s">
        <v>96</v>
      </c>
      <c r="F31" s="80">
        <v>0</v>
      </c>
      <c r="G31" s="74">
        <v>363504437</v>
      </c>
      <c r="H31" s="22">
        <f t="shared" si="10"/>
        <v>363504437</v>
      </c>
      <c r="I31" s="22"/>
      <c r="J31" s="24"/>
      <c r="K31" s="22"/>
      <c r="L31" s="22"/>
      <c r="M31" s="22"/>
      <c r="N31" s="22"/>
      <c r="O31" s="22"/>
      <c r="P31" s="23"/>
      <c r="Q31" s="22"/>
      <c r="R31" s="22"/>
      <c r="S31" s="22"/>
      <c r="T31" s="22"/>
      <c r="U31" s="23"/>
      <c r="V31" s="22"/>
      <c r="W31" s="25"/>
      <c r="X31" s="168"/>
      <c r="Y31" s="168">
        <v>169389594</v>
      </c>
      <c r="Z31" s="22">
        <v>168401314</v>
      </c>
      <c r="AA31" s="22">
        <v>0</v>
      </c>
      <c r="AB31" s="106">
        <f t="shared" si="11"/>
        <v>194114843</v>
      </c>
      <c r="AC31" s="107">
        <f t="shared" si="8"/>
        <v>0</v>
      </c>
      <c r="AD31" s="107">
        <f t="shared" si="9"/>
        <v>46.32716876575567</v>
      </c>
    </row>
    <row r="32" spans="1:30" ht="22.5" customHeight="1">
      <c r="A32" s="78" t="s">
        <v>24</v>
      </c>
      <c r="B32" s="5" t="s">
        <v>45</v>
      </c>
      <c r="C32" s="17">
        <v>2</v>
      </c>
      <c r="D32" s="6"/>
      <c r="E32" s="159" t="s">
        <v>100</v>
      </c>
      <c r="F32" s="80">
        <v>0</v>
      </c>
      <c r="G32" s="74">
        <v>2134602968</v>
      </c>
      <c r="H32" s="22">
        <f t="shared" si="10"/>
        <v>2134602968</v>
      </c>
      <c r="I32" s="22"/>
      <c r="J32" s="24"/>
      <c r="K32" s="22"/>
      <c r="L32" s="22"/>
      <c r="M32" s="22"/>
      <c r="N32" s="22"/>
      <c r="O32" s="22"/>
      <c r="P32" s="23"/>
      <c r="Q32" s="22"/>
      <c r="R32" s="22"/>
      <c r="S32" s="22"/>
      <c r="T32" s="22"/>
      <c r="U32" s="23"/>
      <c r="V32" s="22"/>
      <c r="W32" s="25"/>
      <c r="X32" s="168"/>
      <c r="Y32" s="168">
        <v>218654899</v>
      </c>
      <c r="Z32" s="22">
        <v>57529200</v>
      </c>
      <c r="AA32" s="22">
        <v>0</v>
      </c>
      <c r="AB32" s="106">
        <f t="shared" si="11"/>
        <v>1915948069</v>
      </c>
      <c r="AC32" s="107">
        <f t="shared" si="8"/>
        <v>0</v>
      </c>
      <c r="AD32" s="107">
        <f t="shared" si="9"/>
        <v>2.6950772983278264</v>
      </c>
    </row>
    <row r="33" spans="1:30" ht="22.5" customHeight="1">
      <c r="A33" s="78" t="s">
        <v>24</v>
      </c>
      <c r="B33" s="5" t="s">
        <v>46</v>
      </c>
      <c r="C33" s="17">
        <v>1</v>
      </c>
      <c r="D33" s="6"/>
      <c r="E33" s="159" t="s">
        <v>97</v>
      </c>
      <c r="F33" s="80">
        <v>0</v>
      </c>
      <c r="G33" s="74">
        <v>2114195091</v>
      </c>
      <c r="H33" s="22">
        <f t="shared" si="10"/>
        <v>2114195091</v>
      </c>
      <c r="I33" s="22"/>
      <c r="J33" s="24"/>
      <c r="K33" s="22"/>
      <c r="L33" s="22"/>
      <c r="M33" s="22"/>
      <c r="N33" s="22"/>
      <c r="O33" s="22"/>
      <c r="P33" s="23"/>
      <c r="Q33" s="22"/>
      <c r="R33" s="22"/>
      <c r="S33" s="22"/>
      <c r="T33" s="22"/>
      <c r="U33" s="23"/>
      <c r="V33" s="22"/>
      <c r="W33" s="25"/>
      <c r="X33" s="168"/>
      <c r="Y33" s="168">
        <v>1180795963</v>
      </c>
      <c r="Z33" s="22">
        <v>333147276</v>
      </c>
      <c r="AA33" s="22">
        <f>8000000*1.004</f>
        <v>8032000</v>
      </c>
      <c r="AB33" s="106">
        <f t="shared" si="11"/>
        <v>933399128</v>
      </c>
      <c r="AC33" s="107">
        <f t="shared" si="8"/>
        <v>0</v>
      </c>
      <c r="AD33" s="107">
        <f t="shared" si="9"/>
        <v>15.757641166521847</v>
      </c>
    </row>
    <row r="34" spans="1:30" ht="22.5" customHeight="1">
      <c r="A34" s="78" t="s">
        <v>24</v>
      </c>
      <c r="B34" s="5" t="s">
        <v>46</v>
      </c>
      <c r="C34" s="17">
        <v>2</v>
      </c>
      <c r="D34" s="6"/>
      <c r="E34" s="159" t="s">
        <v>99</v>
      </c>
      <c r="F34" s="80">
        <v>0</v>
      </c>
      <c r="G34" s="74">
        <v>1447085122</v>
      </c>
      <c r="H34" s="22">
        <f t="shared" si="10"/>
        <v>1447085122</v>
      </c>
      <c r="I34" s="22"/>
      <c r="J34" s="24"/>
      <c r="K34" s="22"/>
      <c r="L34" s="22"/>
      <c r="M34" s="22"/>
      <c r="N34" s="22"/>
      <c r="O34" s="22"/>
      <c r="P34" s="23"/>
      <c r="Q34" s="22"/>
      <c r="R34" s="22"/>
      <c r="S34" s="22"/>
      <c r="T34" s="22"/>
      <c r="U34" s="23"/>
      <c r="V34" s="22"/>
      <c r="W34" s="25"/>
      <c r="X34" s="168"/>
      <c r="Y34" s="168">
        <v>905817417</v>
      </c>
      <c r="Z34" s="22">
        <v>295811868</v>
      </c>
      <c r="AA34" s="22">
        <v>0</v>
      </c>
      <c r="AB34" s="106">
        <f t="shared" si="11"/>
        <v>541267705</v>
      </c>
      <c r="AC34" s="107">
        <f t="shared" si="8"/>
        <v>0</v>
      </c>
      <c r="AD34" s="107">
        <f t="shared" si="9"/>
        <v>20.441912054984144</v>
      </c>
    </row>
    <row r="35" spans="1:30" ht="22.5" customHeight="1">
      <c r="A35" s="78"/>
      <c r="B35" s="5"/>
      <c r="C35" s="17"/>
      <c r="D35" s="6"/>
      <c r="E35" s="81"/>
      <c r="F35" s="80"/>
      <c r="G35" s="74"/>
      <c r="H35" s="22"/>
      <c r="I35" s="22"/>
      <c r="J35" s="24"/>
      <c r="K35" s="22"/>
      <c r="L35" s="22"/>
      <c r="M35" s="22"/>
      <c r="N35" s="22"/>
      <c r="O35" s="22"/>
      <c r="P35" s="23"/>
      <c r="Q35" s="22"/>
      <c r="R35" s="22"/>
      <c r="S35" s="22"/>
      <c r="T35" s="22"/>
      <c r="U35" s="23"/>
      <c r="V35" s="22"/>
      <c r="W35" s="25"/>
      <c r="X35" s="168"/>
      <c r="Y35" s="168"/>
      <c r="Z35" s="22"/>
      <c r="AA35" s="22"/>
      <c r="AB35" s="22" t="s">
        <v>1</v>
      </c>
      <c r="AC35" s="107" t="e">
        <f t="shared" si="8"/>
        <v>#DIV/0!</v>
      </c>
      <c r="AD35" s="25" t="s">
        <v>1</v>
      </c>
    </row>
    <row r="36" spans="1:30" ht="22.5" customHeight="1">
      <c r="A36" s="78"/>
      <c r="B36" s="5"/>
      <c r="C36" s="17"/>
      <c r="D36" s="6"/>
      <c r="E36" s="81" t="s">
        <v>101</v>
      </c>
      <c r="F36" s="80">
        <f>SUM(F23:F35)</f>
        <v>0</v>
      </c>
      <c r="G36" s="80">
        <f>SUM(G23:G35)</f>
        <v>25254163186</v>
      </c>
      <c r="H36" s="80">
        <f aca="true" t="shared" si="12" ref="H36:Z36">SUM(H23:H35)</f>
        <v>25254163186</v>
      </c>
      <c r="I36" s="80">
        <f t="shared" si="12"/>
        <v>0</v>
      </c>
      <c r="J36" s="80">
        <f t="shared" si="12"/>
        <v>0</v>
      </c>
      <c r="K36" s="80">
        <f t="shared" si="12"/>
        <v>0</v>
      </c>
      <c r="L36" s="80">
        <f t="shared" si="12"/>
        <v>0</v>
      </c>
      <c r="M36" s="80">
        <f t="shared" si="12"/>
        <v>0</v>
      </c>
      <c r="N36" s="80">
        <f t="shared" si="12"/>
        <v>0</v>
      </c>
      <c r="O36" s="80">
        <f t="shared" si="12"/>
        <v>0</v>
      </c>
      <c r="P36" s="80">
        <f t="shared" si="12"/>
        <v>0</v>
      </c>
      <c r="Q36" s="80">
        <f t="shared" si="12"/>
        <v>0</v>
      </c>
      <c r="R36" s="80">
        <f t="shared" si="12"/>
        <v>0</v>
      </c>
      <c r="S36" s="80">
        <f t="shared" si="12"/>
        <v>0</v>
      </c>
      <c r="T36" s="80">
        <f t="shared" si="12"/>
        <v>0</v>
      </c>
      <c r="U36" s="80">
        <f t="shared" si="12"/>
        <v>0</v>
      </c>
      <c r="V36" s="80">
        <f t="shared" si="12"/>
        <v>0</v>
      </c>
      <c r="W36" s="80">
        <f t="shared" si="12"/>
        <v>0</v>
      </c>
      <c r="X36" s="80">
        <f t="shared" si="12"/>
        <v>0</v>
      </c>
      <c r="Y36" s="80">
        <f t="shared" si="12"/>
        <v>17500926685</v>
      </c>
      <c r="Z36" s="80">
        <f t="shared" si="12"/>
        <v>5869597055</v>
      </c>
      <c r="AA36" s="80">
        <f>SUM(AA23:AA35)</f>
        <v>2382478308.452</v>
      </c>
      <c r="AB36" s="106">
        <f>+H36-Y36</f>
        <v>7753236501</v>
      </c>
      <c r="AC36" s="107">
        <f t="shared" si="8"/>
        <v>0</v>
      </c>
      <c r="AD36" s="107">
        <f>+Z36/H36*100</f>
        <v>23.242096805068137</v>
      </c>
    </row>
    <row r="37" spans="1:30" ht="22.5" customHeight="1">
      <c r="A37" s="78" t="s">
        <v>1</v>
      </c>
      <c r="B37" s="5"/>
      <c r="C37" s="17"/>
      <c r="D37" s="6"/>
      <c r="E37" s="82"/>
      <c r="F37" s="80"/>
      <c r="G37" s="74" t="s">
        <v>1</v>
      </c>
      <c r="H37" s="22" t="s">
        <v>1</v>
      </c>
      <c r="I37" s="22"/>
      <c r="J37" s="24"/>
      <c r="K37" s="22"/>
      <c r="L37" s="22"/>
      <c r="M37" s="22"/>
      <c r="N37" s="22"/>
      <c r="O37" s="22"/>
      <c r="P37" s="23"/>
      <c r="Q37" s="22"/>
      <c r="R37" s="22"/>
      <c r="S37" s="22"/>
      <c r="T37" s="22"/>
      <c r="U37" s="22"/>
      <c r="V37" s="22"/>
      <c r="W37" s="25"/>
      <c r="X37" s="11"/>
      <c r="Y37" s="11"/>
      <c r="Z37" s="11"/>
      <c r="AA37" s="11"/>
      <c r="AB37" s="22" t="s">
        <v>1</v>
      </c>
      <c r="AC37" s="16" t="s">
        <v>1</v>
      </c>
      <c r="AD37" s="25" t="s">
        <v>1</v>
      </c>
    </row>
    <row r="38" spans="1:30" ht="22.5" customHeight="1" thickBot="1">
      <c r="A38" s="83"/>
      <c r="B38" s="84"/>
      <c r="C38" s="85"/>
      <c r="D38" s="86"/>
      <c r="E38" s="87" t="s">
        <v>69</v>
      </c>
      <c r="F38" s="88">
        <f>+F20+F36</f>
        <v>14570332312</v>
      </c>
      <c r="G38" s="88">
        <f>+G20+G36</f>
        <v>14633268424</v>
      </c>
      <c r="H38" s="88">
        <f aca="true" t="shared" si="13" ref="H38:AB38">+H36+H20</f>
        <v>29203600736</v>
      </c>
      <c r="I38" s="88">
        <f t="shared" si="13"/>
        <v>0</v>
      </c>
      <c r="J38" s="88">
        <f t="shared" si="13"/>
        <v>0</v>
      </c>
      <c r="K38" s="88">
        <f t="shared" si="13"/>
        <v>0</v>
      </c>
      <c r="L38" s="88">
        <f t="shared" si="13"/>
        <v>0</v>
      </c>
      <c r="M38" s="88">
        <f t="shared" si="13"/>
        <v>0</v>
      </c>
      <c r="N38" s="88">
        <f t="shared" si="13"/>
        <v>4146463665</v>
      </c>
      <c r="O38" s="88">
        <f t="shared" si="13"/>
        <v>0</v>
      </c>
      <c r="P38" s="88">
        <f t="shared" si="13"/>
        <v>0</v>
      </c>
      <c r="Q38" s="88">
        <f t="shared" si="13"/>
        <v>0</v>
      </c>
      <c r="R38" s="88">
        <f t="shared" si="13"/>
        <v>1212823970.942</v>
      </c>
      <c r="S38" s="88">
        <f t="shared" si="13"/>
        <v>98282668</v>
      </c>
      <c r="T38" s="88">
        <f t="shared" si="13"/>
        <v>2835357026.058</v>
      </c>
      <c r="U38" s="88">
        <f t="shared" si="13"/>
        <v>-396119272</v>
      </c>
      <c r="V38" s="88">
        <f t="shared" si="13"/>
        <v>0</v>
      </c>
      <c r="W38" s="88" t="e">
        <f t="shared" si="13"/>
        <v>#DIV/0!</v>
      </c>
      <c r="X38" s="88">
        <f t="shared" si="13"/>
        <v>21742841705.483997</v>
      </c>
      <c r="Y38" s="88">
        <f t="shared" si="13"/>
        <v>21408896122</v>
      </c>
      <c r="Z38" s="88">
        <f>+Z36+Z20</f>
        <v>9777566492</v>
      </c>
      <c r="AA38" s="88">
        <f t="shared" si="13"/>
        <v>3699069678.3960004</v>
      </c>
      <c r="AB38" s="88">
        <f t="shared" si="13"/>
        <v>7794704614</v>
      </c>
      <c r="AC38" s="15">
        <f>+X38/H38*100</f>
        <v>74.45260569762912</v>
      </c>
      <c r="AD38" s="107">
        <f>+Z38/H38*100</f>
        <v>33.480688153454146</v>
      </c>
    </row>
    <row r="39" spans="6:30" ht="12.75">
      <c r="F39" s="35" t="s">
        <v>1</v>
      </c>
      <c r="G39" s="35" t="s">
        <v>1</v>
      </c>
      <c r="H39" s="7"/>
      <c r="Z39" s="35" t="s">
        <v>1</v>
      </c>
      <c r="AA39" s="35"/>
      <c r="AB39" s="35" t="s">
        <v>1</v>
      </c>
      <c r="AC39" s="65"/>
      <c r="AD39" s="65" t="s">
        <v>1</v>
      </c>
    </row>
    <row r="40" spans="6:29" ht="12.75">
      <c r="F40" s="35" t="s">
        <v>1</v>
      </c>
      <c r="G40" s="7" t="s">
        <v>1</v>
      </c>
      <c r="H40" s="35"/>
      <c r="X40" s="26"/>
      <c r="Y40" s="26"/>
      <c r="Z40" s="35" t="s">
        <v>1</v>
      </c>
      <c r="AA40" s="26"/>
      <c r="AB40" s="26" t="s">
        <v>1</v>
      </c>
      <c r="AC40" s="26" t="e">
        <f>+H40-#REF!</f>
        <v>#REF!</v>
      </c>
    </row>
    <row r="41" spans="7:30" ht="12.75">
      <c r="G41" s="7" t="s">
        <v>1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7" t="s">
        <v>26</v>
      </c>
      <c r="AA41" s="1" t="s">
        <v>26</v>
      </c>
      <c r="AB41" s="1"/>
      <c r="AC41" s="1"/>
      <c r="AD41" s="1"/>
    </row>
    <row r="42" spans="7:30" ht="12.75">
      <c r="G42" s="7" t="s">
        <v>1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2.75">
      <c r="A43" s="2"/>
      <c r="B43" s="2"/>
      <c r="C43" s="2"/>
      <c r="D43" s="2"/>
      <c r="E43" s="181" t="s">
        <v>0</v>
      </c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3"/>
      <c r="AD43" s="66"/>
    </row>
    <row r="44" spans="1:30" ht="12.75">
      <c r="A44" s="2"/>
      <c r="B44" s="2"/>
      <c r="C44" s="2"/>
      <c r="D44" s="2"/>
      <c r="E44" s="181" t="s">
        <v>87</v>
      </c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3"/>
      <c r="AD44" s="66"/>
    </row>
    <row r="45" spans="1:30" ht="12.75">
      <c r="A45" s="2"/>
      <c r="B45" s="2"/>
      <c r="C45" s="2"/>
      <c r="D45" s="2"/>
      <c r="E45" s="33"/>
      <c r="F45" s="33"/>
      <c r="G45" s="4" t="s">
        <v>1</v>
      </c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66"/>
    </row>
    <row r="46" spans="1:30" ht="25.5">
      <c r="A46" s="2"/>
      <c r="B46" s="2"/>
      <c r="C46" s="2"/>
      <c r="D46" s="71"/>
      <c r="E46" s="89" t="s">
        <v>25</v>
      </c>
      <c r="F46" s="90" t="s">
        <v>70</v>
      </c>
      <c r="G46" s="54" t="s">
        <v>2</v>
      </c>
      <c r="H46" s="54" t="s">
        <v>71</v>
      </c>
      <c r="I46" s="55"/>
      <c r="J46" s="24"/>
      <c r="K46" s="55"/>
      <c r="L46" s="55"/>
      <c r="M46" s="55"/>
      <c r="N46" s="55" t="s">
        <v>1</v>
      </c>
      <c r="O46" s="55"/>
      <c r="P46" s="56"/>
      <c r="Q46" s="55"/>
      <c r="R46" s="55"/>
      <c r="S46" s="55"/>
      <c r="T46" s="55"/>
      <c r="U46" s="55" t="s">
        <v>1</v>
      </c>
      <c r="V46" s="55"/>
      <c r="W46" s="55"/>
      <c r="X46" s="58" t="s">
        <v>72</v>
      </c>
      <c r="Y46" s="58" t="s">
        <v>76</v>
      </c>
      <c r="Z46" s="59" t="s">
        <v>35</v>
      </c>
      <c r="AA46" s="59" t="s">
        <v>86</v>
      </c>
      <c r="AB46" s="59" t="s">
        <v>107</v>
      </c>
      <c r="AC46" s="59" t="s">
        <v>73</v>
      </c>
      <c r="AD46" s="59" t="s">
        <v>47</v>
      </c>
    </row>
    <row r="47" spans="1:30" ht="12.75">
      <c r="A47" s="2"/>
      <c r="B47" s="2"/>
      <c r="C47" s="2"/>
      <c r="D47" s="2"/>
      <c r="E47" s="89"/>
      <c r="F47" s="90"/>
      <c r="G47" s="54"/>
      <c r="H47" s="54"/>
      <c r="I47" s="55"/>
      <c r="J47" s="24"/>
      <c r="K47" s="55"/>
      <c r="L47" s="55"/>
      <c r="M47" s="55"/>
      <c r="N47" s="55"/>
      <c r="O47" s="55"/>
      <c r="P47" s="56"/>
      <c r="Q47" s="55"/>
      <c r="R47" s="55"/>
      <c r="S47" s="55"/>
      <c r="T47" s="55"/>
      <c r="U47" s="55"/>
      <c r="V47" s="55"/>
      <c r="W47" s="55"/>
      <c r="X47" s="58"/>
      <c r="Y47" s="91"/>
      <c r="Z47" s="91"/>
      <c r="AA47" s="91"/>
      <c r="AB47" s="91"/>
      <c r="AC47" s="58"/>
      <c r="AD47" s="66"/>
    </row>
    <row r="48" spans="1:30" ht="25.5">
      <c r="A48" s="8" t="s">
        <v>24</v>
      </c>
      <c r="B48" s="2">
        <v>213</v>
      </c>
      <c r="C48" s="2">
        <v>906</v>
      </c>
      <c r="D48" s="2">
        <v>1</v>
      </c>
      <c r="E48" s="92" t="s">
        <v>75</v>
      </c>
      <c r="F48" s="33">
        <v>2680000000</v>
      </c>
      <c r="G48" s="4">
        <v>0</v>
      </c>
      <c r="H48" s="33">
        <f>+F48+G48</f>
        <v>2680000000</v>
      </c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>
        <f>+'[4]013-000-2-906-1'!$E$55-'[4]013-000-2-906-1'!$E$49-'[4]013-000-2-906-1'!$E$50</f>
        <v>-678923032</v>
      </c>
      <c r="Y48" s="176">
        <f>2431158628-88296411</f>
        <v>2342862217</v>
      </c>
      <c r="Z48" s="158">
        <v>2210928658</v>
      </c>
      <c r="AA48" s="94">
        <v>8083480</v>
      </c>
      <c r="AB48" s="93">
        <f>+H48-Y48</f>
        <v>337137783</v>
      </c>
      <c r="AC48" s="29">
        <v>0</v>
      </c>
      <c r="AD48" s="66">
        <f>+Z48/H48*100</f>
        <v>82.49733798507462</v>
      </c>
    </row>
    <row r="49" spans="1:30" ht="12.75">
      <c r="A49" s="2"/>
      <c r="B49" s="2"/>
      <c r="C49" s="2"/>
      <c r="D49" s="2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94"/>
      <c r="Z49" s="94" t="s">
        <v>1</v>
      </c>
      <c r="AA49" s="94"/>
      <c r="AB49" s="93"/>
      <c r="AC49" s="29"/>
      <c r="AD49" s="66"/>
    </row>
    <row r="50" spans="1:30" ht="12.75">
      <c r="A50" s="2"/>
      <c r="B50" s="2"/>
      <c r="C50" s="2"/>
      <c r="D50" s="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94"/>
      <c r="Z50" s="94"/>
      <c r="AA50" s="94"/>
      <c r="AB50" s="93"/>
      <c r="AC50" s="29"/>
      <c r="AD50" s="66"/>
    </row>
    <row r="51" spans="1:30" ht="12.75">
      <c r="A51" s="2"/>
      <c r="B51" s="2"/>
      <c r="C51" s="2"/>
      <c r="D51" s="2"/>
      <c r="E51" s="4" t="s">
        <v>69</v>
      </c>
      <c r="F51" s="33">
        <f>+F48</f>
        <v>2680000000</v>
      </c>
      <c r="G51" s="33">
        <f>+G48</f>
        <v>0</v>
      </c>
      <c r="H51" s="33">
        <f>+H48</f>
        <v>2680000000</v>
      </c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>
        <f aca="true" t="shared" si="14" ref="X51:AC51">+X48</f>
        <v>-678923032</v>
      </c>
      <c r="Y51" s="94">
        <f t="shared" si="14"/>
        <v>2342862217</v>
      </c>
      <c r="Z51" s="94">
        <f t="shared" si="14"/>
        <v>2210928658</v>
      </c>
      <c r="AA51" s="94">
        <f t="shared" si="14"/>
        <v>8083480</v>
      </c>
      <c r="AB51" s="93">
        <f t="shared" si="14"/>
        <v>337137783</v>
      </c>
      <c r="AC51" s="29">
        <f t="shared" si="14"/>
        <v>0</v>
      </c>
      <c r="AD51" s="66">
        <f>+Z51/H51*100</f>
        <v>82.49733798507462</v>
      </c>
    </row>
    <row r="52" spans="1:30" ht="12.75">
      <c r="A52" s="2"/>
      <c r="B52" s="2"/>
      <c r="C52" s="2"/>
      <c r="D52" s="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94"/>
      <c r="Z52" s="94"/>
      <c r="AA52" s="156" t="s">
        <v>1</v>
      </c>
      <c r="AB52" s="94"/>
      <c r="AC52" s="33"/>
      <c r="AD52" s="66"/>
    </row>
    <row r="53" spans="1:30" ht="12.75">
      <c r="A53" s="2"/>
      <c r="B53" s="2"/>
      <c r="C53" s="2"/>
      <c r="D53" s="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94"/>
      <c r="Z53" s="94"/>
      <c r="AA53" s="94"/>
      <c r="AB53" s="94"/>
      <c r="AC53" s="33"/>
      <c r="AD53" s="66"/>
    </row>
    <row r="54" spans="1:30" ht="12.75">
      <c r="A54" s="2"/>
      <c r="B54" s="2"/>
      <c r="C54" s="2"/>
      <c r="D54" s="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94"/>
      <c r="Z54" s="94"/>
      <c r="AA54" s="94"/>
      <c r="AB54" s="94"/>
      <c r="AC54" s="33"/>
      <c r="AD54" s="66"/>
    </row>
    <row r="55" spans="1:30" ht="12.75">
      <c r="A55" s="2"/>
      <c r="B55" s="2"/>
      <c r="C55" s="2"/>
      <c r="D55" s="2"/>
      <c r="E55" s="2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93"/>
      <c r="Z55" s="93"/>
      <c r="AA55" s="93"/>
      <c r="AB55" s="93"/>
      <c r="AC55" s="29"/>
      <c r="AD55" s="66"/>
    </row>
    <row r="56" spans="1:30" ht="12.75">
      <c r="A56" s="2"/>
      <c r="B56" s="2"/>
      <c r="C56" s="2"/>
      <c r="D56" s="2"/>
      <c r="E56" s="2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93"/>
      <c r="Z56" s="93"/>
      <c r="AA56" s="93"/>
      <c r="AB56" s="93"/>
      <c r="AC56" s="29"/>
      <c r="AD56" s="66"/>
    </row>
    <row r="57" spans="7:30" ht="12.75">
      <c r="G57" s="1"/>
      <c r="H57" s="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7:30" ht="12.75">
      <c r="G58" s="1"/>
      <c r="H58" s="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7"/>
      <c r="AA58" s="7"/>
      <c r="AB58" s="1"/>
      <c r="AC58" s="1"/>
      <c r="AD58" s="1"/>
    </row>
    <row r="59" spans="7:30" ht="12.75">
      <c r="G59" s="1"/>
      <c r="H59" s="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7"/>
      <c r="AA59" s="7"/>
      <c r="AB59" s="1"/>
      <c r="AC59" s="1"/>
      <c r="AD59" s="1"/>
    </row>
    <row r="60" spans="7:30" ht="12.75">
      <c r="G60" s="1"/>
      <c r="H60" s="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7"/>
      <c r="AA60" s="7"/>
      <c r="AB60" s="1"/>
      <c r="AC60" s="1"/>
      <c r="AD60" s="1"/>
    </row>
    <row r="61" spans="6:30" ht="12.75">
      <c r="F61" s="26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7"/>
      <c r="AA61" s="7"/>
      <c r="AB61" s="1"/>
      <c r="AC61" s="1"/>
      <c r="AD61" s="1"/>
    </row>
    <row r="62" spans="7:30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7:30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7:30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7:30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7:30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ht="12.75">
      <c r="Z67" s="1"/>
    </row>
  </sheetData>
  <sheetProtection/>
  <mergeCells count="4">
    <mergeCell ref="E1:AC1"/>
    <mergeCell ref="E2:AC2"/>
    <mergeCell ref="E43:AC43"/>
    <mergeCell ref="E44:AC44"/>
  </mergeCells>
  <printOptions/>
  <pageMargins left="0.7874015748031497" right="0.7480314960629921" top="0.984251968503937" bottom="0.984251968503937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Vitelio Barrera Alvarez</cp:lastModifiedBy>
  <cp:lastPrinted>2016-07-18T21:39:18Z</cp:lastPrinted>
  <dcterms:created xsi:type="dcterms:W3CDTF">2007-01-13T18:42:48Z</dcterms:created>
  <dcterms:modified xsi:type="dcterms:W3CDTF">2016-10-18T19:47:59Z</dcterms:modified>
  <cp:category/>
  <cp:version/>
  <cp:contentType/>
  <cp:contentStatus/>
</cp:coreProperties>
</file>