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INGRESOS A " sheetId="1" r:id="rId1"/>
    <sheet name="T-CAM 123  (2)" sheetId="2" state="hidden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Albeiro Cortes</author>
    <author>Leonor Vargas Ram?rez</author>
    <author>Edisney Silva Argote</author>
    <author>Asus</author>
  </authors>
  <commentList>
    <comment ref="A5" authorId="0">
      <text>
        <r>
          <rPr>
            <sz val="9"/>
            <rFont val="Tahoma"/>
            <family val="2"/>
          </rPr>
          <t>Seleccione el proyecto que corresponda</t>
        </r>
      </text>
    </comment>
    <comment ref="B5" authorId="0">
      <text>
        <r>
          <rPr>
            <b/>
            <sz val="9"/>
            <rFont val="Tahoma"/>
            <family val="2"/>
          </rPr>
          <t>Mencione el valor total del proyecto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Biologa especies amenazadas 
Katherine Arenas Con 018
</t>
        </r>
      </text>
    </comment>
    <comment ref="G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Oscar Alamnza</t>
        </r>
      </text>
    </comment>
    <comment ref="C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Profesioanl social Adrisns Arias, Con 028
</t>
        </r>
      </text>
    </comment>
    <comment ref="G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Diógenes Angarita Ramírez</t>
        </r>
      </text>
    </comment>
    <comment ref="C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Profesioanl páramos Alexander Salas Cardozo, Con 040
</t>
        </r>
      </text>
    </comment>
    <comment ref="G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Ligia Yazmin Rodriguez Calderón</t>
        </r>
      </text>
    </comment>
    <comment ref="C1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CBOB-Tatacoa, Marlodis Esguerra Cabrera, Con 048</t>
        </r>
      </text>
    </comment>
    <comment ref="G1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
</t>
        </r>
      </text>
    </comment>
    <comment ref="C1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socio empresarial zonas secas, Andres &gt;Trujillo, Con 030</t>
        </r>
      </text>
    </comment>
    <comment ref="G1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1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Socialización PN DRMI La Tatacoa, Jenny Fernanda Ramirez, Con 031</t>
        </r>
      </text>
    </comment>
    <comment ref="C1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CBOB-Tatacoa, Marlodis Esguerra Cabrera, Con 048</t>
        </r>
      </text>
    </comment>
    <comment ref="G1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22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Ceibas, Javier Cardoso Con 26
</t>
        </r>
      </text>
    </comment>
    <comment ref="G22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SA-001-CAM-16</t>
        </r>
      </text>
    </comment>
    <comment ref="C2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 Riesgos Ceibas, José Miguel Ortega Ortiz, Con 047</t>
        </r>
      </text>
    </comment>
    <comment ref="G2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M2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Alvaro Córdoba</t>
        </r>
      </text>
    </comment>
    <comment ref="C2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Abogado Ceibas, Diego Nelson Tavarez Lozano, Con 045</t>
        </r>
      </text>
    </comment>
    <comment ref="M2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Ricardo Vega
</t>
        </r>
      </text>
    </comment>
    <comment ref="C25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Licencias Argis</t>
        </r>
      </text>
    </comment>
    <comment ref="M25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Marcela Patricia Vanegas
</t>
        </r>
      </text>
    </comment>
    <comment ref="M2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Andrea Catalina Tovar Manchola
</t>
        </r>
      </text>
    </comment>
    <comment ref="M3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Ayda  Isabel Sánchez Vidarte</t>
        </r>
      </text>
    </comment>
    <comment ref="M3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Irving Fabian Oliveros Alvarez</t>
        </r>
      </text>
    </comment>
    <comment ref="M3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Alexander Perdomo
</t>
        </r>
      </text>
    </comment>
    <comment ref="M3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Royer Valenzuela
</t>
        </r>
      </text>
    </comment>
    <comment ref="C40" authorId="3">
      <text>
        <r>
          <rPr>
            <b/>
            <sz val="9"/>
            <rFont val="Tahoma"/>
            <family val="2"/>
          </rPr>
          <t>Paula Anacona - DTN
Llysel Suarez Collazos - DTS
Edwin Fernando Pinilla - DTS
Mayra Alejandra Lemus Peralta . SRCA</t>
        </r>
      </text>
    </comment>
    <comment ref="G4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52" authorId="3">
      <text>
        <r>
          <rPr>
            <b/>
            <sz val="9"/>
            <rFont val="Tahoma"/>
            <family val="2"/>
          </rPr>
          <t>Martha Pinto – Técnico REDCAM DTN
Javier Collazos – Profesional RESCA
Silvia Natalia González – Abogada DTO
María Alejandra Bustos Sogamoso - Técnico REDCAM DTN
Yorlenny Méndez Mosquera - Técnico REDCAM DTN
María Teresa Rojas Valencia – Abogada DTC
Angela Milena Medina Betancur – Abogada DTC
Cesar Ramírez - Aprendiz SENA SUN DTC
Sindy Viviana Aros - Aprendiz SENA SUN DTC
Diana Posso - Aprendiz SENA SUN DTC
Johan González - Aprendiz SENA SUN DTC
Alexandra Leiva Vargas – Abogada DTS
Carolina Méndez – Auxiliar Jurídico DTS
Edgar Cortes Vanegas – Profesional Forestal
Jorge Luis Osorio Roa  - Técnico Forestal 
Ana Maria Ospina – Técnico Incendios Forestales
Jesus Octavio Vargas – Administrador CITA
Cesar Augusto Penagos Garcia – Coordinador REDCAM
Luisa Fernanda Ossa Cruz – Abogada Cobro seguimientos
Dotaciones Técnicas Sas – Suministro de alimentos CAV
Luisa Fernanda Manrique - Técnico REDCAM DTS
Alvaro Ladino - Técnico CAV</t>
        </r>
      </text>
    </comment>
    <comment ref="G52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63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Profesional Apoyo SIG</t>
        </r>
      </text>
    </comment>
    <comment ref="G63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64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Dra Indira</t>
        </r>
      </text>
    </comment>
    <comment ref="C65" authorId="2">
      <text>
        <r>
          <rPr>
            <b/>
            <sz val="9"/>
            <rFont val="Tahoma"/>
            <family val="2"/>
          </rPr>
          <t>Edisney Silva Argote:</t>
        </r>
        <r>
          <rPr>
            <sz val="9"/>
            <rFont val="Tahoma"/>
            <family val="2"/>
          </rPr>
          <t xml:space="preserve">
Licenias ARGIS junto Ceibas</t>
        </r>
      </text>
    </comment>
    <comment ref="C6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Coordinadora Opita de Corazón, Arelis Vargas Alvarez, Con 034</t>
        </r>
      </text>
    </comment>
    <comment ref="G66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C67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Comunicadora DTS, Leydi Lorena Gomez Cerquera, Con 032</t>
        </r>
      </text>
    </comment>
    <comment ref="C68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Opita de Corazón, Maira Alejandra Medina Parra, Con 036</t>
        </r>
      </text>
    </comment>
    <comment ref="C69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PRAES, PROCEDAS y JA, Maribel Lozano Vargas, Con 041</t>
        </r>
      </text>
    </comment>
    <comment ref="C7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apoyo DPS, Michael Falla, Con 029</t>
        </r>
      </text>
    </comment>
    <comment ref="G70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SA-004-CAM-16</t>
        </r>
      </text>
    </comment>
    <comment ref="M71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Carolina</t>
        </r>
      </text>
    </comment>
    <comment ref="C7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profesional apoyo DPS, Michael Falla, Con 029</t>
        </r>
      </text>
    </comment>
    <comment ref="G7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LP-001-CAM-2016</t>
        </r>
      </text>
    </comment>
    <comment ref="M74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Carolina</t>
        </r>
      </text>
    </comment>
    <comment ref="C75" authorId="1">
      <text>
        <r>
          <rPr>
            <b/>
            <sz val="9"/>
            <rFont val="Tahoma"/>
            <family val="2"/>
          </rPr>
          <t>Leonor Vargas Ramírez:</t>
        </r>
        <r>
          <rPr>
            <sz val="9"/>
            <rFont val="Tahoma"/>
            <family val="2"/>
          </rPr>
          <t xml:space="preserve">
Adición ferreteria (Contrato 406-15, Proceagro S.A.S.)
</t>
        </r>
      </text>
    </comment>
  </commentList>
</comments>
</file>

<file path=xl/sharedStrings.xml><?xml version="1.0" encoding="utf-8"?>
<sst xmlns="http://schemas.openxmlformats.org/spreadsheetml/2006/main" count="207" uniqueCount="130">
  <si>
    <t xml:space="preserve"> </t>
  </si>
  <si>
    <t>PRESUPUESTO DEFINITIVO</t>
  </si>
  <si>
    <t>TOTAL</t>
  </si>
  <si>
    <t>CDP</t>
  </si>
  <si>
    <t>CONTRATADO</t>
  </si>
  <si>
    <t>CORPORACION AUTONOMA REGIONAL DEL ALTO MAGDALENA CAM</t>
  </si>
  <si>
    <t>CONCEPTO</t>
  </si>
  <si>
    <t>VALOR PRESUPUESTADO</t>
  </si>
  <si>
    <t>EJECUCION  NOVIEMBRE 15</t>
  </si>
  <si>
    <t>PRESUPUESTO INICIAL</t>
  </si>
  <si>
    <t>MODIFICACIONES</t>
  </si>
  <si>
    <t>RECAUDOS</t>
  </si>
  <si>
    <t>SALDO POR RECAUDAR</t>
  </si>
  <si>
    <t>% DE RECAUDO</t>
  </si>
  <si>
    <t>INGRESOS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</si>
  <si>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</si>
  <si>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</si>
  <si>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</si>
  <si>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</si>
  <si>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</si>
  <si>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</si>
  <si>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</si>
  <si>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</si>
  <si>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</si>
  <si>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</si>
  <si>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</si>
  <si>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</si>
  <si>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ECOPETROL</t>
  </si>
  <si>
    <t>RECURSOS DE CAPITAL</t>
  </si>
  <si>
    <t>RENDIMIENTOS FINANCIEROS</t>
  </si>
  <si>
    <t>RECUPERACION DE CARTERA</t>
  </si>
  <si>
    <t>TASAS POR USO DEL RECURSO AGUA</t>
  </si>
  <si>
    <t>TOTAL INGRESOS  RECURSOS PROPIOS</t>
  </si>
  <si>
    <t>INGRESOS NACION</t>
  </si>
  <si>
    <t>TOTAL PRESUPUESTO 2014</t>
  </si>
  <si>
    <t xml:space="preserve">  </t>
  </si>
  <si>
    <t>DEPARTAMENTO DEL HUILA</t>
  </si>
  <si>
    <t>EXCEDENTES FROS</t>
  </si>
  <si>
    <t>PITALITO</t>
  </si>
  <si>
    <t>DEPARTAMENTO ADTIVO PROSPERIDAD SOCIAL</t>
  </si>
  <si>
    <t>MINISTERIO MEDIO AMBIENTE</t>
  </si>
  <si>
    <t>MUNICIPIOS DEL HUILA</t>
  </si>
  <si>
    <t>EMPITALITO</t>
  </si>
  <si>
    <t>MONITOREO ESTADO ACTUAL DE CONTRATACIÓN</t>
  </si>
  <si>
    <r>
      <t xml:space="preserve">Código: </t>
    </r>
    <r>
      <rPr>
        <sz val="12"/>
        <rFont val="Arial"/>
        <family val="2"/>
      </rPr>
      <t>T-CAM-123</t>
    </r>
  </si>
  <si>
    <r>
      <t xml:space="preserve">Versión: </t>
    </r>
    <r>
      <rPr>
        <sz val="12"/>
        <rFont val="Arial"/>
        <family val="2"/>
      </rPr>
      <t>1</t>
    </r>
  </si>
  <si>
    <r>
      <t xml:space="preserve">Fecha: </t>
    </r>
    <r>
      <rPr>
        <sz val="12"/>
        <rFont val="Arial"/>
        <family val="2"/>
      </rPr>
      <t>12 Ene 16</t>
    </r>
  </si>
  <si>
    <t>PROYECTO</t>
  </si>
  <si>
    <t>PAGINA</t>
  </si>
  <si>
    <t>PROCESO EN PÁGINA</t>
  </si>
  <si>
    <t xml:space="preserve">NOMBRE DEL PROCESO O TEMA PENDIENTE </t>
  </si>
  <si>
    <t>VALOR</t>
  </si>
  <si>
    <t>P 1.1</t>
  </si>
  <si>
    <t xml:space="preserve">VALOR </t>
  </si>
  <si>
    <t>%</t>
  </si>
  <si>
    <t>NOMBRE DEL PROCESO</t>
  </si>
  <si>
    <t>VALOR PROCESO</t>
  </si>
  <si>
    <t>FECHA DE CIERRE</t>
  </si>
  <si>
    <t>HORA DE CIERRE</t>
  </si>
  <si>
    <t>FECHA ADJUDICACION</t>
  </si>
  <si>
    <t>P 1.2</t>
  </si>
  <si>
    <t>P 1.3</t>
  </si>
  <si>
    <t>P 2.1</t>
  </si>
  <si>
    <t>P 6.1</t>
  </si>
  <si>
    <t>P 1-3</t>
  </si>
  <si>
    <t>Auxiliar Administrativo</t>
  </si>
  <si>
    <t>P 2-1</t>
  </si>
  <si>
    <t>P 2-2</t>
  </si>
  <si>
    <t>P 2-4</t>
  </si>
  <si>
    <t>P 3-1</t>
  </si>
  <si>
    <t>P 5.1</t>
  </si>
  <si>
    <t>P 6.2</t>
  </si>
  <si>
    <t>TOTALES</t>
  </si>
  <si>
    <t>Construcción 2.540 hornillas</t>
  </si>
  <si>
    <t>20 de abril a las 9:00 am</t>
  </si>
  <si>
    <t>Almuerzos y refrigerios</t>
  </si>
  <si>
    <t>P 4-2</t>
  </si>
  <si>
    <t>Almuerzos y refrigerios Ceibas</t>
  </si>
  <si>
    <t>Adición material vegetal (Contrato 118-15, Claudia Marina Saavedra)</t>
  </si>
  <si>
    <t>Comunicador Ceibas</t>
  </si>
  <si>
    <t>Coordinador administrativo y financiero Ceibas</t>
  </si>
  <si>
    <t>Secretaria administrativa Ceibas</t>
  </si>
  <si>
    <t>Pasante RIMAC</t>
  </si>
  <si>
    <t>Colombia Compra</t>
  </si>
  <si>
    <t>CONTRATADO Y/O PUBLICADO</t>
  </si>
  <si>
    <t>PENDIENTE DEFINIR</t>
  </si>
  <si>
    <t>P 2.3</t>
  </si>
  <si>
    <t>Alejandro España - en SG 11-03-2016</t>
  </si>
  <si>
    <t>Ronal Rodriguez Rios - Pendiente firma de contrato</t>
  </si>
  <si>
    <t>Carlos Polanco RH DTC - en SG 11-03-2016</t>
  </si>
  <si>
    <t>Ruben Darío García RH DTN - en SG 09-03-2016</t>
  </si>
  <si>
    <t>Javier Sterling DTN - Pendiente tarjeta profesional</t>
  </si>
  <si>
    <t>Luis Fernando Rojas RH DTS - en SG 11-03-2016</t>
  </si>
  <si>
    <t>Marlin Tatiana Técnico DTS - en SG  11-03-2016  minima cuantia</t>
  </si>
  <si>
    <t>P 3.2</t>
  </si>
  <si>
    <t>P 4.1</t>
  </si>
  <si>
    <t>Paula Camila Losada Pascuas  - Apoyo CITA DTN - Enviado a SG - 10-03-2016</t>
  </si>
  <si>
    <t>Oscar Hernández – Apoyo Seguimiento Piscícola - Enviado a SG - 11-03-2016</t>
  </si>
  <si>
    <t>Ruben Dario Quimbaya – Técnico REDCAM DTO - Pendiente para firma de contrato traer tarjeta profesional</t>
  </si>
  <si>
    <t>Yhon Fredy Cubillos – Técnico REDCAM DTS - Enviado a SG - 09-03-2016</t>
  </si>
  <si>
    <t>Jorge Hemerson Martinez - Técnico REDCAM DTN - Enviado a SG - 08-03-2016</t>
  </si>
  <si>
    <t>Mario Suarez  - Profesional MVZ - Enviado a SG - 07-03-2016</t>
  </si>
  <si>
    <t>Adriana Catherine Losada - Apoyo Cita DTS - Enviado a SG - 10-03-2016</t>
  </si>
  <si>
    <t>Ana Milena Calderón- Apoyo Cita DTC - Enviado a SG - 11-03-2016</t>
  </si>
  <si>
    <t>Citadores DTS 2 - Enviado a SG 11-03-2016</t>
  </si>
  <si>
    <t>PENDIENTE EN SECRETARIA GENERAL</t>
  </si>
  <si>
    <t>Experto local Villavieja</t>
  </si>
  <si>
    <t>Transporte - En SG 15-03-2016</t>
  </si>
  <si>
    <t>Experto local Villavieja-Baraya</t>
  </si>
  <si>
    <t>Profesional RNSC En SG 16-03-2016 Maria Ricardina Gómez Chicue</t>
  </si>
  <si>
    <t>Coordinador CBGP-Minas - Bertha Rojas</t>
  </si>
  <si>
    <t>Profesional homologación CBOB - En SG 14-03-2016 - Erika Yamid Tovar Gonzalez</t>
  </si>
  <si>
    <t>Experto local San Agustin 1. En SG 16-03-2016 - Minima cuantía</t>
  </si>
  <si>
    <t>Experto local San Agustin 2. En SG 16-03-2016 - Mínima cuantía</t>
  </si>
  <si>
    <t>Experto local Pitalito-Acevedo-Palestina. En SG 16-03-2016 - Mínima cuantía</t>
  </si>
  <si>
    <t>Experto local Teruel-Iquira. En SG 16-03-2016 - Mínima cuantía</t>
  </si>
  <si>
    <t>SIG áreas protegidas y OPL. En SG 19-03-16. Mauricio Burbano Henao</t>
  </si>
  <si>
    <t>Bebederos y aislamiento caiman. En SG 16-03-2016</t>
  </si>
  <si>
    <t>Cafeteria y aseo Ceibas</t>
  </si>
  <si>
    <t>Profesional parcelas aislamiento -Ayda Isabel Sánchez Vidarte</t>
  </si>
  <si>
    <t>Aislamiento PGN - En SG 11-03-2016</t>
  </si>
  <si>
    <t>Profesional aislamiento PGN - Irvng Fabian Oliveros Alvarez</t>
  </si>
  <si>
    <t>Dendrólogo - Alexander Perdomo</t>
  </si>
  <si>
    <t>Técnico aislamiento - En SG 18-03-2016 - Royer Valenzuela</t>
  </si>
  <si>
    <t>Profesional POT. En SG 18-03-2016</t>
  </si>
  <si>
    <t>Profesional cambio climático - Carolina Vieira</t>
  </si>
  <si>
    <t>ECAS silvopastoril - Enviado SG 18-03-2016</t>
  </si>
  <si>
    <t>P 2-4 SGA</t>
  </si>
  <si>
    <t>SGA</t>
  </si>
  <si>
    <t>EJECUCION PRESUPUESTAL  DE INGRESOS  A MARZO 31 DE 2016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</si>
</sst>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dd/mm/yyyy;@"/>
    <numFmt numFmtId="174" formatCode="0.0%"/>
    <numFmt numFmtId="175" formatCode="#,##0.0"/>
    <numFmt numFmtId="176" formatCode="[$-240A]dddd\,\ dd&quot; de &quot;mmmm&quot; de &quot;yyyy"/>
    <numFmt numFmtId="177" formatCode="dd/mm/yy;@"/>
    <numFmt numFmtId="178" formatCode="[$-240A]hh:mm:ss\ AM/PM"/>
    <numFmt numFmtId="179" formatCode="[$-240A]hh:mm:ss\ AM/PM;@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3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3" fontId="52" fillId="0" borderId="10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3" fontId="53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5" fillId="0" borderId="11" xfId="0" applyFont="1" applyFill="1" applyBorder="1" applyAlignment="1">
      <alignment wrapText="1"/>
    </xf>
    <xf numFmtId="172" fontId="0" fillId="0" borderId="15" xfId="49" applyNumberFormat="1" applyFont="1" applyFill="1" applyBorder="1" applyAlignment="1">
      <alignment vertical="center"/>
    </xf>
    <xf numFmtId="172" fontId="0" fillId="0" borderId="10" xfId="49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10" xfId="0" applyNumberForma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52" fillId="0" borderId="10" xfId="0" applyNumberFormat="1" applyFont="1" applyFill="1" applyBorder="1" applyAlignment="1">
      <alignment/>
    </xf>
    <xf numFmtId="3" fontId="52" fillId="0" borderId="14" xfId="0" applyNumberFormat="1" applyFont="1" applyFill="1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172" fontId="56" fillId="0" borderId="0" xfId="49" applyNumberFormat="1" applyFont="1" applyAlignment="1">
      <alignment/>
    </xf>
    <xf numFmtId="0" fontId="57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8" fillId="34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2" fontId="0" fillId="0" borderId="10" xfId="49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2" fontId="52" fillId="0" borderId="10" xfId="49" applyNumberFormat="1" applyFont="1" applyFill="1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177" fontId="56" fillId="0" borderId="0" xfId="0" applyNumberFormat="1" applyFont="1" applyAlignment="1">
      <alignment/>
    </xf>
    <xf numFmtId="177" fontId="58" fillId="34" borderId="10" xfId="0" applyNumberFormat="1" applyFont="1" applyFill="1" applyBorder="1" applyAlignment="1">
      <alignment horizontal="center" vertical="center" wrapText="1"/>
    </xf>
    <xf numFmtId="177" fontId="0" fillId="0" borderId="10" xfId="49" applyNumberFormat="1" applyFont="1" applyFill="1" applyBorder="1" applyAlignment="1">
      <alignment vertical="center" wrapText="1"/>
    </xf>
    <xf numFmtId="177" fontId="0" fillId="0" borderId="10" xfId="49" applyNumberFormat="1" applyFont="1" applyFill="1" applyBorder="1" applyAlignment="1">
      <alignment vertical="center"/>
    </xf>
    <xf numFmtId="177" fontId="52" fillId="0" borderId="0" xfId="0" applyNumberFormat="1" applyFont="1" applyAlignment="1">
      <alignment vertical="center"/>
    </xf>
    <xf numFmtId="179" fontId="56" fillId="0" borderId="0" xfId="0" applyNumberFormat="1" applyFont="1" applyAlignment="1">
      <alignment/>
    </xf>
    <xf numFmtId="179" fontId="58" fillId="34" borderId="15" xfId="0" applyNumberFormat="1" applyFont="1" applyFill="1" applyBorder="1" applyAlignment="1">
      <alignment horizontal="center" vertical="center" wrapText="1"/>
    </xf>
    <xf numFmtId="179" fontId="0" fillId="0" borderId="10" xfId="49" applyNumberFormat="1" applyFont="1" applyFill="1" applyBorder="1" applyAlignment="1">
      <alignment vertical="center" wrapText="1"/>
    </xf>
    <xf numFmtId="179" fontId="0" fillId="0" borderId="10" xfId="49" applyNumberFormat="1" applyFont="1" applyFill="1" applyBorder="1" applyAlignment="1">
      <alignment vertical="center"/>
    </xf>
    <xf numFmtId="179" fontId="52" fillId="0" borderId="0" xfId="0" applyNumberFormat="1" applyFont="1" applyAlignment="1">
      <alignment vertical="center"/>
    </xf>
    <xf numFmtId="172" fontId="0" fillId="0" borderId="10" xfId="49" applyNumberFormat="1" applyFont="1" applyFill="1" applyBorder="1" applyAlignment="1">
      <alignment vertical="center" wrapText="1"/>
    </xf>
    <xf numFmtId="172" fontId="0" fillId="0" borderId="10" xfId="49" applyNumberFormat="1" applyFont="1" applyFill="1" applyBorder="1" applyAlignment="1">
      <alignment horizontal="justify" vertical="center"/>
    </xf>
    <xf numFmtId="172" fontId="52" fillId="0" borderId="15" xfId="49" applyNumberFormat="1" applyFont="1" applyFill="1" applyBorder="1" applyAlignment="1">
      <alignment vertical="center"/>
    </xf>
    <xf numFmtId="172" fontId="0" fillId="0" borderId="0" xfId="49" applyNumberFormat="1" applyFont="1" applyFill="1" applyBorder="1" applyAlignment="1">
      <alignment vertical="center"/>
    </xf>
    <xf numFmtId="0" fontId="56" fillId="0" borderId="19" xfId="0" applyFont="1" applyBorder="1" applyAlignment="1">
      <alignment/>
    </xf>
    <xf numFmtId="0" fontId="56" fillId="0" borderId="0" xfId="0" applyFont="1" applyBorder="1" applyAlignment="1">
      <alignment/>
    </xf>
    <xf numFmtId="177" fontId="56" fillId="0" borderId="0" xfId="0" applyNumberFormat="1" applyFont="1" applyBorder="1" applyAlignment="1">
      <alignment/>
    </xf>
    <xf numFmtId="179" fontId="56" fillId="0" borderId="0" xfId="0" applyNumberFormat="1" applyFont="1" applyBorder="1" applyAlignment="1">
      <alignment/>
    </xf>
    <xf numFmtId="172" fontId="56" fillId="0" borderId="20" xfId="49" applyNumberFormat="1" applyFont="1" applyBorder="1" applyAlignment="1">
      <alignment/>
    </xf>
    <xf numFmtId="172" fontId="0" fillId="0" borderId="12" xfId="49" applyNumberFormat="1" applyFont="1" applyFill="1" applyBorder="1" applyAlignment="1">
      <alignment vertical="center"/>
    </xf>
    <xf numFmtId="172" fontId="0" fillId="0" borderId="21" xfId="49" applyNumberFormat="1" applyFont="1" applyFill="1" applyBorder="1" applyAlignment="1">
      <alignment vertical="center"/>
    </xf>
    <xf numFmtId="0" fontId="52" fillId="35" borderId="13" xfId="0" applyFont="1" applyFill="1" applyBorder="1" applyAlignment="1">
      <alignment vertical="center"/>
    </xf>
    <xf numFmtId="172" fontId="52" fillId="35" borderId="14" xfId="49" applyNumberFormat="1" applyFont="1" applyFill="1" applyBorder="1" applyAlignment="1">
      <alignment vertical="center"/>
    </xf>
    <xf numFmtId="177" fontId="52" fillId="35" borderId="14" xfId="49" applyNumberFormat="1" applyFont="1" applyFill="1" applyBorder="1" applyAlignment="1">
      <alignment vertical="center"/>
    </xf>
    <xf numFmtId="179" fontId="52" fillId="35" borderId="14" xfId="49" applyNumberFormat="1" applyFont="1" applyFill="1" applyBorder="1" applyAlignment="1">
      <alignment vertical="center"/>
    </xf>
    <xf numFmtId="174" fontId="52" fillId="0" borderId="0" xfId="0" applyNumberFormat="1" applyFont="1" applyFill="1" applyBorder="1" applyAlignment="1">
      <alignment vertical="center"/>
    </xf>
    <xf numFmtId="172" fontId="52" fillId="36" borderId="12" xfId="0" applyNumberFormat="1" applyFont="1" applyFill="1" applyBorder="1" applyAlignment="1">
      <alignment vertical="center"/>
    </xf>
    <xf numFmtId="172" fontId="0" fillId="0" borderId="22" xfId="49" applyNumberFormat="1" applyFont="1" applyFill="1" applyBorder="1" applyAlignment="1">
      <alignment vertical="center"/>
    </xf>
    <xf numFmtId="174" fontId="0" fillId="0" borderId="10" xfId="55" applyNumberFormat="1" applyFont="1" applyFill="1" applyBorder="1" applyAlignment="1">
      <alignment vertical="center"/>
    </xf>
    <xf numFmtId="10" fontId="0" fillId="0" borderId="10" xfId="55" applyNumberFormat="1" applyFont="1" applyFill="1" applyBorder="1" applyAlignment="1">
      <alignment vertical="center"/>
    </xf>
    <xf numFmtId="172" fontId="0" fillId="0" borderId="15" xfId="49" applyNumberFormat="1" applyFont="1" applyFill="1" applyBorder="1" applyAlignment="1">
      <alignment vertical="center" wrapText="1"/>
    </xf>
    <xf numFmtId="172" fontId="0" fillId="0" borderId="15" xfId="49" applyNumberFormat="1" applyFont="1" applyFill="1" applyBorder="1" applyAlignment="1">
      <alignment horizontal="justify" vertical="center" wrapText="1"/>
    </xf>
    <xf numFmtId="177" fontId="0" fillId="0" borderId="15" xfId="49" applyNumberFormat="1" applyFont="1" applyFill="1" applyBorder="1" applyAlignment="1">
      <alignment vertical="center"/>
    </xf>
    <xf numFmtId="179" fontId="0" fillId="0" borderId="15" xfId="49" applyNumberFormat="1" applyFont="1" applyFill="1" applyBorder="1" applyAlignment="1">
      <alignment vertical="center"/>
    </xf>
    <xf numFmtId="172" fontId="0" fillId="0" borderId="23" xfId="49" applyNumberFormat="1" applyFont="1" applyFill="1" applyBorder="1" applyAlignment="1">
      <alignment vertical="center"/>
    </xf>
    <xf numFmtId="172" fontId="52" fillId="36" borderId="24" xfId="49" applyNumberFormat="1" applyFont="1" applyFill="1" applyBorder="1" applyAlignment="1">
      <alignment horizontal="center" vertical="center" wrapText="1"/>
    </xf>
    <xf numFmtId="172" fontId="52" fillId="36" borderId="25" xfId="49" applyNumberFormat="1" applyFont="1" applyFill="1" applyBorder="1" applyAlignment="1">
      <alignment vertical="center"/>
    </xf>
    <xf numFmtId="172" fontId="52" fillId="35" borderId="26" xfId="49" applyNumberFormat="1" applyFont="1" applyFill="1" applyBorder="1" applyAlignment="1">
      <alignment vertical="center"/>
    </xf>
    <xf numFmtId="172" fontId="0" fillId="0" borderId="10" xfId="49" applyNumberFormat="1" applyFont="1" applyFill="1" applyBorder="1" applyAlignment="1">
      <alignment horizontal="justify" vertical="center" wrapText="1"/>
    </xf>
    <xf numFmtId="16" fontId="52" fillId="0" borderId="27" xfId="0" applyNumberFormat="1" applyFont="1" applyFill="1" applyBorder="1" applyAlignment="1">
      <alignment horizontal="center" vertical="center"/>
    </xf>
    <xf numFmtId="16" fontId="52" fillId="0" borderId="1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vertical="center"/>
    </xf>
    <xf numFmtId="172" fontId="0" fillId="0" borderId="28" xfId="49" applyNumberFormat="1" applyFont="1" applyFill="1" applyBorder="1" applyAlignment="1">
      <alignment vertical="center"/>
    </xf>
    <xf numFmtId="174" fontId="0" fillId="0" borderId="10" xfId="55" applyNumberFormat="1" applyFont="1" applyFill="1" applyBorder="1" applyAlignment="1">
      <alignment horizontal="center" vertical="center"/>
    </xf>
    <xf numFmtId="0" fontId="52" fillId="36" borderId="29" xfId="0" applyFont="1" applyFill="1" applyBorder="1" applyAlignment="1">
      <alignment horizontal="center" vertical="center" wrapText="1"/>
    </xf>
    <xf numFmtId="43" fontId="56" fillId="0" borderId="0" xfId="49" applyFont="1" applyAlignment="1">
      <alignment/>
    </xf>
    <xf numFmtId="0" fontId="60" fillId="0" borderId="10" xfId="0" applyFont="1" applyBorder="1" applyAlignment="1">
      <alignment/>
    </xf>
    <xf numFmtId="172" fontId="52" fillId="35" borderId="10" xfId="49" applyNumberFormat="1" applyFont="1" applyFill="1" applyBorder="1" applyAlignment="1">
      <alignment vertical="center"/>
    </xf>
    <xf numFmtId="172" fontId="56" fillId="0" borderId="0" xfId="0" applyNumberFormat="1" applyFont="1" applyAlignment="1">
      <alignment/>
    </xf>
    <xf numFmtId="172" fontId="52" fillId="36" borderId="10" xfId="49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172" fontId="52" fillId="36" borderId="10" xfId="49" applyNumberFormat="1" applyFont="1" applyFill="1" applyBorder="1" applyAlignment="1">
      <alignment vertical="center"/>
    </xf>
    <xf numFmtId="172" fontId="52" fillId="36" borderId="10" xfId="0" applyNumberFormat="1" applyFont="1" applyFill="1" applyBorder="1" applyAlignment="1">
      <alignment vertical="center"/>
    </xf>
    <xf numFmtId="174" fontId="52" fillId="36" borderId="10" xfId="0" applyNumberFormat="1" applyFont="1" applyFill="1" applyBorder="1" applyAlignment="1">
      <alignment horizontal="center" vertical="center"/>
    </xf>
    <xf numFmtId="3" fontId="56" fillId="0" borderId="0" xfId="0" applyNumberFormat="1" applyFont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4" fontId="52" fillId="35" borderId="34" xfId="0" applyNumberFormat="1" applyFont="1" applyFill="1" applyBorder="1" applyAlignment="1">
      <alignment horizontal="center" vertical="center"/>
    </xf>
    <xf numFmtId="174" fontId="52" fillId="35" borderId="35" xfId="0" applyNumberFormat="1" applyFont="1" applyFill="1" applyBorder="1" applyAlignment="1">
      <alignment horizontal="center" vertical="center"/>
    </xf>
    <xf numFmtId="174" fontId="52" fillId="36" borderId="11" xfId="0" applyNumberFormat="1" applyFont="1" applyFill="1" applyBorder="1" applyAlignment="1">
      <alignment horizontal="center" vertical="center"/>
    </xf>
    <xf numFmtId="174" fontId="52" fillId="36" borderId="13" xfId="0" applyNumberFormat="1" applyFont="1" applyFill="1" applyBorder="1" applyAlignment="1">
      <alignment horizontal="center" vertical="center"/>
    </xf>
    <xf numFmtId="174" fontId="52" fillId="36" borderId="12" xfId="0" applyNumberFormat="1" applyFont="1" applyFill="1" applyBorder="1" applyAlignment="1">
      <alignment horizontal="center" vertical="center"/>
    </xf>
    <xf numFmtId="174" fontId="52" fillId="36" borderId="26" xfId="0" applyNumberFormat="1" applyFont="1" applyFill="1" applyBorder="1" applyAlignment="1">
      <alignment horizontal="center" vertical="center"/>
    </xf>
    <xf numFmtId="16" fontId="52" fillId="0" borderId="27" xfId="0" applyNumberFormat="1" applyFont="1" applyFill="1" applyBorder="1" applyAlignment="1">
      <alignment horizontal="center" vertical="center"/>
    </xf>
    <xf numFmtId="16" fontId="52" fillId="0" borderId="36" xfId="0" applyNumberFormat="1" applyFont="1" applyFill="1" applyBorder="1" applyAlignment="1">
      <alignment horizontal="center" vertical="center"/>
    </xf>
    <xf numFmtId="16" fontId="52" fillId="0" borderId="37" xfId="0" applyNumberFormat="1" applyFont="1" applyFill="1" applyBorder="1" applyAlignment="1">
      <alignment horizontal="center" vertical="center"/>
    </xf>
    <xf numFmtId="172" fontId="52" fillId="0" borderId="15" xfId="49" applyNumberFormat="1" applyFont="1" applyFill="1" applyBorder="1" applyAlignment="1">
      <alignment horizontal="center" vertical="center"/>
    </xf>
    <xf numFmtId="172" fontId="52" fillId="0" borderId="34" xfId="49" applyNumberFormat="1" applyFont="1" applyFill="1" applyBorder="1" applyAlignment="1">
      <alignment horizontal="center" vertical="center"/>
    </xf>
    <xf numFmtId="172" fontId="52" fillId="0" borderId="35" xfId="49" applyNumberFormat="1" applyFont="1" applyFill="1" applyBorder="1" applyAlignment="1">
      <alignment horizontal="center" vertical="center"/>
    </xf>
    <xf numFmtId="172" fontId="0" fillId="0" borderId="15" xfId="49" applyNumberFormat="1" applyFont="1" applyFill="1" applyBorder="1" applyAlignment="1">
      <alignment horizontal="center" vertical="center"/>
    </xf>
    <xf numFmtId="172" fontId="0" fillId="0" borderId="34" xfId="49" applyNumberFormat="1" applyFont="1" applyFill="1" applyBorder="1" applyAlignment="1">
      <alignment horizontal="center" vertical="center"/>
    </xf>
    <xf numFmtId="172" fontId="0" fillId="0" borderId="35" xfId="49" applyNumberFormat="1" applyFont="1" applyFill="1" applyBorder="1" applyAlignment="1">
      <alignment horizontal="center" vertical="center"/>
    </xf>
    <xf numFmtId="172" fontId="0" fillId="0" borderId="10" xfId="49" applyNumberFormat="1" applyFont="1" applyFill="1" applyBorder="1" applyAlignment="1">
      <alignment horizontal="center" vertical="center"/>
    </xf>
    <xf numFmtId="16" fontId="52" fillId="0" borderId="11" xfId="0" applyNumberFormat="1" applyFont="1" applyFill="1" applyBorder="1" applyAlignment="1">
      <alignment horizontal="center" vertical="center"/>
    </xf>
    <xf numFmtId="172" fontId="52" fillId="0" borderId="10" xfId="49" applyNumberFormat="1" applyFont="1" applyFill="1" applyBorder="1" applyAlignment="1">
      <alignment horizontal="center" vertical="center"/>
    </xf>
    <xf numFmtId="174" fontId="0" fillId="0" borderId="15" xfId="55" applyNumberFormat="1" applyFont="1" applyFill="1" applyBorder="1" applyAlignment="1">
      <alignment horizontal="center" vertical="center"/>
    </xf>
    <xf numFmtId="174" fontId="0" fillId="0" borderId="34" xfId="55" applyNumberFormat="1" applyFont="1" applyFill="1" applyBorder="1" applyAlignment="1">
      <alignment horizontal="center" vertical="center"/>
    </xf>
    <xf numFmtId="174" fontId="0" fillId="0" borderId="35" xfId="55" applyNumberFormat="1" applyFont="1" applyFill="1" applyBorder="1" applyAlignment="1">
      <alignment horizontal="center" vertical="center"/>
    </xf>
    <xf numFmtId="172" fontId="0" fillId="0" borderId="15" xfId="49" applyNumberFormat="1" applyFont="1" applyFill="1" applyBorder="1" applyAlignment="1">
      <alignment horizontal="center" vertical="center" wrapText="1"/>
    </xf>
    <xf numFmtId="172" fontId="0" fillId="0" borderId="35" xfId="49" applyNumberFormat="1" applyFont="1" applyFill="1" applyBorder="1" applyAlignment="1">
      <alignment horizontal="center" vertical="center" wrapText="1"/>
    </xf>
    <xf numFmtId="172" fontId="58" fillId="33" borderId="29" xfId="49" applyNumberFormat="1" applyFont="1" applyFill="1" applyBorder="1" applyAlignment="1">
      <alignment horizontal="center" vertical="center" wrapText="1"/>
    </xf>
    <xf numFmtId="172" fontId="58" fillId="33" borderId="12" xfId="49" applyNumberFormat="1" applyFont="1" applyFill="1" applyBorder="1" applyAlignment="1">
      <alignment horizontal="center" vertical="center" wrapText="1"/>
    </xf>
    <xf numFmtId="172" fontId="0" fillId="0" borderId="34" xfId="49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209550</xdr:rowOff>
    </xdr:from>
    <xdr:to>
      <xdr:col>3</xdr:col>
      <xdr:colOff>209550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5570" t="1614" r="1564" b="88700"/>
        <a:stretch>
          <a:fillRect/>
        </a:stretch>
      </xdr:blipFill>
      <xdr:spPr>
        <a:xfrm>
          <a:off x="2724150" y="209550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3\ejecuciones\ejeucioningresosseptiembre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vargas.CAM\Desktop\A&#209;O%202016\POAI\POAI%20CONSOLIDADO%202016%20PROVISIONAL%20con%20cronogram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ilva\Downloads\POAI%20CONSOLIDADO%202016%20PROVISIONAL%2014%20de%20marzo%20de%202016%20(EDI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vargas.CAM\Downloads\POAI%20CONSOLIDADO%202016%20PROVISIONAL%2014%20de%20marzo%20d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"/>
      <sheetName val="PROYECTO 1.1"/>
      <sheetName val="PROYECTO 1.2"/>
      <sheetName val="PROYECTO 1.3"/>
      <sheetName val="PROYECTO 2.1"/>
      <sheetName val="PROYECTO 2.2"/>
      <sheetName val="PROYECTO 2.3 "/>
      <sheetName val="PROYECTO 2.4"/>
      <sheetName val="PROYECTO 4.1 "/>
      <sheetName val="PROYECTO 3.1"/>
      <sheetName val="PROYECTO 3.2 "/>
      <sheetName val="PROYECTO 4.2"/>
      <sheetName val="PROYECTO 5.1"/>
      <sheetName val="PROYECTO 6.1"/>
      <sheetName val="PROYECTO 6.2"/>
      <sheetName val="FUENTES Y USOS"/>
      <sheetName val="CONSOLIDADO VITELIO"/>
      <sheetName val="CONSEJO"/>
      <sheetName val="PARA CD"/>
      <sheetName val="COMPARACION PA"/>
      <sheetName val="CONSOLIDADO AÑO AÑO"/>
    </sheetNames>
    <sheetDataSet>
      <sheetData sheetId="1">
        <row r="39">
          <cell r="H39">
            <v>1350000000</v>
          </cell>
        </row>
      </sheetData>
      <sheetData sheetId="2">
        <row r="21">
          <cell r="G21">
            <v>350000000</v>
          </cell>
        </row>
      </sheetData>
      <sheetData sheetId="3">
        <row r="35">
          <cell r="G35">
            <v>300000000</v>
          </cell>
        </row>
      </sheetData>
      <sheetData sheetId="7">
        <row r="15">
          <cell r="F15">
            <v>500000000</v>
          </cell>
        </row>
        <row r="16">
          <cell r="F16">
            <v>265889435</v>
          </cell>
        </row>
      </sheetData>
      <sheetData sheetId="12">
        <row r="24">
          <cell r="F24">
            <v>700000000</v>
          </cell>
        </row>
      </sheetData>
      <sheetData sheetId="13">
        <row r="23">
          <cell r="F23">
            <v>250000000.4</v>
          </cell>
        </row>
      </sheetData>
      <sheetData sheetId="14">
        <row r="27">
          <cell r="F27">
            <v>3928574770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YECTO 1.1"/>
      <sheetName val="PROYECTO 1.2"/>
      <sheetName val="PROYECTO 1.3"/>
      <sheetName val="PROYECTO 2.1"/>
      <sheetName val="PROYECTO 2.2"/>
      <sheetName val="PROYECTO 2.3 "/>
      <sheetName val="PROYECTO 2.4"/>
      <sheetName val="PROYECTO 3.1"/>
      <sheetName val="PROYECTO 3.2 "/>
      <sheetName val="PROYECTO 4.1 "/>
      <sheetName val="PROYECTO 4.2"/>
      <sheetName val="PROYECTO 5.1"/>
      <sheetName val="PROYECTO 6.1"/>
      <sheetName val="PROYECTO 6.2"/>
      <sheetName val="FUENTES Y USOS"/>
      <sheetName val="CONSOLIDADO VITELIO"/>
      <sheetName val="CONSEJO"/>
      <sheetName val="PARA CD"/>
      <sheetName val="COMPARACION PA"/>
      <sheetName val="CONSOLIDADO AÑO AÑO"/>
    </sheetNames>
    <sheetDataSet>
      <sheetData sheetId="3">
        <row r="21">
          <cell r="E21">
            <v>3677074400</v>
          </cell>
        </row>
      </sheetData>
      <sheetData sheetId="14">
        <row r="9">
          <cell r="J9">
            <v>3879818414.6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YECTO 1.1"/>
      <sheetName val="PROYECTO 1.2"/>
      <sheetName val="PROYECTO 1.3"/>
      <sheetName val="PROYECTO 2.1"/>
      <sheetName val="PROYECTO 2.2"/>
      <sheetName val="PROYECTO 2.3 "/>
      <sheetName val="PROYECTO 2.4"/>
      <sheetName val="PROYECTO 3.1"/>
      <sheetName val="PROYECTO 3.2 "/>
      <sheetName val="PROYECTO 4.1 "/>
      <sheetName val="PROYECTO 4.2"/>
      <sheetName val="PROYECTO 5.1"/>
      <sheetName val="PROYECTO 6.1"/>
      <sheetName val="PROYECTO 6.2"/>
      <sheetName val="FUENTES Y USOS"/>
      <sheetName val="CONSOLIDADO VITELIO"/>
      <sheetName val="CONSEJO"/>
      <sheetName val="PARA CD"/>
      <sheetName val="COMPARACION PA"/>
      <sheetName val="CONSOLIDADO AÑO AÑO"/>
    </sheetNames>
    <sheetDataSet>
      <sheetData sheetId="14">
        <row r="11">
          <cell r="J11">
            <v>1073210483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2" sqref="D12"/>
    </sheetView>
  </sheetViews>
  <sheetFormatPr defaultColWidth="11.421875" defaultRowHeight="15"/>
  <cols>
    <col min="1" max="1" width="42.421875" style="0" customWidth="1"/>
    <col min="2" max="2" width="20.57421875" style="0" hidden="1" customWidth="1"/>
    <col min="3" max="3" width="0" style="0" hidden="1" customWidth="1"/>
    <col min="4" max="4" width="21.8515625" style="0" customWidth="1"/>
    <col min="5" max="5" width="20.421875" style="0" customWidth="1"/>
    <col min="6" max="6" width="19.7109375" style="0" customWidth="1"/>
    <col min="7" max="7" width="20.140625" style="0" customWidth="1"/>
    <col min="8" max="8" width="20.28125" style="0" customWidth="1"/>
    <col min="10" max="10" width="13.57421875" style="0" bestFit="1" customWidth="1"/>
    <col min="11" max="11" width="13.7109375" style="0" bestFit="1" customWidth="1"/>
    <col min="12" max="12" width="12.7109375" style="0" bestFit="1" customWidth="1"/>
  </cols>
  <sheetData>
    <row r="1" spans="1:9" ht="15">
      <c r="A1" s="110" t="s">
        <v>5</v>
      </c>
      <c r="B1" s="111"/>
      <c r="C1" s="111"/>
      <c r="D1" s="111"/>
      <c r="E1" s="111"/>
      <c r="F1" s="111"/>
      <c r="G1" s="111"/>
      <c r="H1" s="111"/>
      <c r="I1" s="112"/>
    </row>
    <row r="2" spans="1:9" ht="15">
      <c r="A2" s="113" t="s">
        <v>129</v>
      </c>
      <c r="B2" s="114"/>
      <c r="C2" s="114"/>
      <c r="D2" s="114"/>
      <c r="E2" s="114"/>
      <c r="F2" s="114"/>
      <c r="G2" s="114"/>
      <c r="H2" s="114"/>
      <c r="I2" s="115"/>
    </row>
    <row r="3" spans="1:9" ht="15">
      <c r="A3" s="116" t="s">
        <v>0</v>
      </c>
      <c r="B3" s="117"/>
      <c r="C3" s="117"/>
      <c r="D3" s="117"/>
      <c r="E3" s="117"/>
      <c r="F3" s="117"/>
      <c r="G3" s="117"/>
      <c r="H3" s="117"/>
      <c r="I3" s="118"/>
    </row>
    <row r="4" spans="1:9" ht="3" customHeight="1">
      <c r="A4" s="2"/>
      <c r="B4" s="3"/>
      <c r="C4" s="19" t="s">
        <v>0</v>
      </c>
      <c r="D4" s="19"/>
      <c r="E4" s="1"/>
      <c r="F4" s="1"/>
      <c r="G4" s="1"/>
      <c r="H4" s="1"/>
      <c r="I4" s="20"/>
    </row>
    <row r="5" spans="1:9" ht="60">
      <c r="A5" s="2" t="s">
        <v>6</v>
      </c>
      <c r="B5" s="3" t="s">
        <v>7</v>
      </c>
      <c r="C5" s="4" t="s">
        <v>8</v>
      </c>
      <c r="D5" s="4" t="s">
        <v>9</v>
      </c>
      <c r="E5" s="4" t="s">
        <v>10</v>
      </c>
      <c r="F5" s="4" t="s">
        <v>1</v>
      </c>
      <c r="G5" s="4" t="s">
        <v>11</v>
      </c>
      <c r="H5" s="4" t="s">
        <v>12</v>
      </c>
      <c r="I5" s="5" t="s">
        <v>13</v>
      </c>
    </row>
    <row r="6" spans="1:9" ht="15">
      <c r="A6" s="6"/>
      <c r="B6" s="7"/>
      <c r="C6" s="8"/>
      <c r="D6" s="8"/>
      <c r="E6" s="1"/>
      <c r="F6" s="1"/>
      <c r="G6" s="1"/>
      <c r="H6" s="1"/>
      <c r="I6" s="20"/>
    </row>
    <row r="7" spans="1:9" ht="15">
      <c r="A7" s="9" t="s">
        <v>14</v>
      </c>
      <c r="B7" s="10"/>
      <c r="C7" s="11" t="s">
        <v>0</v>
      </c>
      <c r="D7" s="11" t="s">
        <v>0</v>
      </c>
      <c r="E7" s="1"/>
      <c r="F7" s="1"/>
      <c r="G7" s="1"/>
      <c r="H7" s="1"/>
      <c r="I7" s="20"/>
    </row>
    <row r="8" spans="1:9" ht="15">
      <c r="A8" s="6"/>
      <c r="B8" s="7" t="s">
        <v>0</v>
      </c>
      <c r="C8" s="11" t="s">
        <v>0</v>
      </c>
      <c r="D8" s="11" t="s">
        <v>0</v>
      </c>
      <c r="E8" s="1"/>
      <c r="F8" s="1"/>
      <c r="G8" s="1" t="s">
        <v>0</v>
      </c>
      <c r="H8" s="1"/>
      <c r="I8" s="20"/>
    </row>
    <row r="9" spans="1:9" ht="15">
      <c r="A9" s="9" t="s">
        <v>15</v>
      </c>
      <c r="B9" s="12">
        <f>+B10+B11</f>
        <v>3990720028</v>
      </c>
      <c r="C9" s="12">
        <f>+C10+C11</f>
        <v>5773324426</v>
      </c>
      <c r="D9" s="12">
        <f>+D10+D11</f>
        <v>7966559232</v>
      </c>
      <c r="E9" s="12">
        <f>+E10+E11</f>
        <v>0</v>
      </c>
      <c r="F9" s="12">
        <f>+D9+E9</f>
        <v>7966559232</v>
      </c>
      <c r="G9" s="12">
        <f>+G10+G11</f>
        <v>7682537</v>
      </c>
      <c r="H9" s="21">
        <f>+F9-G9</f>
        <v>7958876695</v>
      </c>
      <c r="I9" s="22">
        <f>+G9/D9*100</f>
        <v>0.0964348193024268</v>
      </c>
    </row>
    <row r="10" spans="1:10" ht="15">
      <c r="A10" s="6" t="s">
        <v>16</v>
      </c>
      <c r="B10" s="11">
        <v>2554571331</v>
      </c>
      <c r="C10" s="11">
        <v>3982615749</v>
      </c>
      <c r="D10" s="11">
        <v>5498000000</v>
      </c>
      <c r="E10" s="11">
        <v>0</v>
      </c>
      <c r="F10" s="11">
        <f aca="true" t="shared" si="0" ref="F10:F43">+D10+E10</f>
        <v>5498000000</v>
      </c>
      <c r="G10" s="23">
        <v>0</v>
      </c>
      <c r="H10" s="24">
        <f aca="true" t="shared" si="1" ref="H10:H43">+F10-G10</f>
        <v>5498000000</v>
      </c>
      <c r="I10" s="22">
        <f>+G10/D10*100</f>
        <v>0</v>
      </c>
      <c r="J10" s="13"/>
    </row>
    <row r="11" spans="1:9" ht="15">
      <c r="A11" s="27" t="s">
        <v>17</v>
      </c>
      <c r="B11" s="11">
        <v>1436148697</v>
      </c>
      <c r="C11" s="11">
        <v>1790708677</v>
      </c>
      <c r="D11" s="11">
        <v>2468559232</v>
      </c>
      <c r="E11" s="11">
        <v>0</v>
      </c>
      <c r="F11" s="11">
        <f t="shared" si="0"/>
        <v>2468559232</v>
      </c>
      <c r="G11" s="23">
        <v>7682537</v>
      </c>
      <c r="H11" s="24">
        <f t="shared" si="1"/>
        <v>2460876695</v>
      </c>
      <c r="I11" s="22">
        <f>+G11/F11*100</f>
        <v>0.3112154207365602</v>
      </c>
    </row>
    <row r="12" spans="1:9" ht="15">
      <c r="A12" s="9" t="s">
        <v>18</v>
      </c>
      <c r="B12" s="12">
        <f>SUM(B13:B17)</f>
        <v>4083130951</v>
      </c>
      <c r="C12" s="12">
        <f>SUM(C13:C17)</f>
        <v>2572031685</v>
      </c>
      <c r="D12" s="12">
        <f>SUM(D13:D17)</f>
        <v>2733961573</v>
      </c>
      <c r="E12" s="12">
        <f>SUM(E13:E17)</f>
        <v>0</v>
      </c>
      <c r="F12" s="12">
        <f t="shared" si="0"/>
        <v>2733961573</v>
      </c>
      <c r="G12" s="25">
        <f>SUM(G13:G17)</f>
        <v>251484880</v>
      </c>
      <c r="H12" s="21">
        <f t="shared" si="1"/>
        <v>2482476693</v>
      </c>
      <c r="I12" s="22">
        <f aca="true" t="shared" si="2" ref="I12:I43">+G12/F12*100</f>
        <v>9.1985521114711</v>
      </c>
    </row>
    <row r="13" spans="1:10" ht="15">
      <c r="A13" s="6" t="s">
        <v>19</v>
      </c>
      <c r="B13" s="11">
        <v>1482000000</v>
      </c>
      <c r="C13" s="11">
        <f>540317343+300000000</f>
        <v>840317343</v>
      </c>
      <c r="D13" s="11">
        <v>1165272764</v>
      </c>
      <c r="E13" s="11">
        <v>0</v>
      </c>
      <c r="F13" s="11">
        <f t="shared" si="0"/>
        <v>1165272764</v>
      </c>
      <c r="G13" s="23">
        <v>0</v>
      </c>
      <c r="H13" s="24">
        <f t="shared" si="1"/>
        <v>1165272764</v>
      </c>
      <c r="I13" s="22">
        <f t="shared" si="2"/>
        <v>0</v>
      </c>
      <c r="J13" s="13" t="s">
        <v>0</v>
      </c>
    </row>
    <row r="14" spans="1:10" ht="29.25">
      <c r="A14" s="6" t="s">
        <v>20</v>
      </c>
      <c r="B14" s="11">
        <v>1607000000</v>
      </c>
      <c r="C14" s="11">
        <f>934639741+300000000</f>
        <v>1234639741</v>
      </c>
      <c r="D14" s="11">
        <v>804494608</v>
      </c>
      <c r="E14" s="11">
        <v>0</v>
      </c>
      <c r="F14" s="11">
        <f t="shared" si="0"/>
        <v>804494608</v>
      </c>
      <c r="G14" s="23">
        <v>0</v>
      </c>
      <c r="H14" s="31">
        <f t="shared" si="1"/>
        <v>804494608</v>
      </c>
      <c r="I14" s="32">
        <f t="shared" si="2"/>
        <v>0</v>
      </c>
      <c r="J14" s="33"/>
    </row>
    <row r="15" spans="1:12" ht="15">
      <c r="A15" s="6" t="s">
        <v>21</v>
      </c>
      <c r="B15" s="11">
        <v>600000000</v>
      </c>
      <c r="C15" s="11">
        <v>153157235</v>
      </c>
      <c r="D15" s="11">
        <v>172058789</v>
      </c>
      <c r="E15" s="11">
        <v>0</v>
      </c>
      <c r="F15" s="11">
        <f>+D15+E15</f>
        <v>172058789</v>
      </c>
      <c r="G15" s="23">
        <f>5343595+6907033</f>
        <v>12250628</v>
      </c>
      <c r="H15" s="31">
        <f t="shared" si="1"/>
        <v>159808161</v>
      </c>
      <c r="I15" s="32">
        <f t="shared" si="2"/>
        <v>7.120024539984413</v>
      </c>
      <c r="J15" s="34" t="s">
        <v>0</v>
      </c>
      <c r="K15" s="13"/>
      <c r="L15" s="13"/>
    </row>
    <row r="16" spans="1:12" ht="15">
      <c r="A16" s="6" t="s">
        <v>22</v>
      </c>
      <c r="B16" s="11">
        <v>42000000</v>
      </c>
      <c r="C16" s="11">
        <f>7081824+62162613</f>
        <v>69244437</v>
      </c>
      <c r="D16" s="11">
        <v>12390896</v>
      </c>
      <c r="E16" s="11">
        <v>0</v>
      </c>
      <c r="F16" s="11">
        <f t="shared" si="0"/>
        <v>12390896</v>
      </c>
      <c r="G16" s="23">
        <v>1174821</v>
      </c>
      <c r="H16" s="31">
        <f t="shared" si="1"/>
        <v>11216075</v>
      </c>
      <c r="I16" s="32">
        <f t="shared" si="2"/>
        <v>9.481324030158916</v>
      </c>
      <c r="J16" s="33" t="s">
        <v>35</v>
      </c>
      <c r="L16" s="13"/>
    </row>
    <row r="17" spans="1:11" ht="15">
      <c r="A17" s="6" t="s">
        <v>23</v>
      </c>
      <c r="B17" s="11">
        <v>352130951</v>
      </c>
      <c r="C17" s="11">
        <v>274672929</v>
      </c>
      <c r="D17" s="11">
        <v>579744516</v>
      </c>
      <c r="E17" s="11">
        <v>0</v>
      </c>
      <c r="F17" s="11">
        <f t="shared" si="0"/>
        <v>579744516</v>
      </c>
      <c r="G17" s="23">
        <v>238059431</v>
      </c>
      <c r="H17" s="31">
        <f t="shared" si="1"/>
        <v>341685085</v>
      </c>
      <c r="I17" s="32">
        <f t="shared" si="2"/>
        <v>41.06281722896021</v>
      </c>
      <c r="J17" s="34" t="s">
        <v>0</v>
      </c>
      <c r="K17" s="13"/>
    </row>
    <row r="18" spans="1:12" ht="30">
      <c r="A18" s="9" t="s">
        <v>24</v>
      </c>
      <c r="B18" s="12">
        <v>3559746688</v>
      </c>
      <c r="C18" s="12">
        <f>2340876848+405356184</f>
        <v>2746233032</v>
      </c>
      <c r="D18" s="12">
        <v>5328127328</v>
      </c>
      <c r="E18" s="12">
        <v>0</v>
      </c>
      <c r="F18" s="12">
        <f t="shared" si="0"/>
        <v>5328127328</v>
      </c>
      <c r="G18" s="25">
        <v>44737688</v>
      </c>
      <c r="H18" s="35">
        <f t="shared" si="1"/>
        <v>5283389640</v>
      </c>
      <c r="I18" s="32">
        <f t="shared" si="2"/>
        <v>0.8396512554213494</v>
      </c>
      <c r="J18" s="33" t="s">
        <v>0</v>
      </c>
      <c r="K18" s="13" t="s">
        <v>0</v>
      </c>
      <c r="L18" s="13"/>
    </row>
    <row r="19" spans="1:11" ht="15">
      <c r="A19" s="9" t="s">
        <v>25</v>
      </c>
      <c r="B19" s="12">
        <v>56238000</v>
      </c>
      <c r="C19" s="12">
        <f>28453518*1.004</f>
        <v>28567332.072</v>
      </c>
      <c r="D19" s="12">
        <v>54400465</v>
      </c>
      <c r="E19" s="12">
        <v>0</v>
      </c>
      <c r="F19" s="12">
        <f t="shared" si="0"/>
        <v>54400465</v>
      </c>
      <c r="G19" s="25">
        <v>17268761</v>
      </c>
      <c r="H19" s="35">
        <f t="shared" si="1"/>
        <v>37131704</v>
      </c>
      <c r="I19" s="32">
        <f t="shared" si="2"/>
        <v>31.743774616632415</v>
      </c>
      <c r="J19" s="33"/>
      <c r="K19" s="13"/>
    </row>
    <row r="20" spans="1:11" ht="15">
      <c r="A20" s="9" t="s">
        <v>26</v>
      </c>
      <c r="B20" s="11" t="e">
        <f>+#REF!+#REF!</f>
        <v>#REF!</v>
      </c>
      <c r="C20" s="11" t="e">
        <f>+#REF!+#REF!</f>
        <v>#REF!</v>
      </c>
      <c r="D20" s="11">
        <f>+D21</f>
        <v>0</v>
      </c>
      <c r="E20" s="11">
        <v>3728574777</v>
      </c>
      <c r="F20" s="11">
        <f>+E20</f>
        <v>3728574777</v>
      </c>
      <c r="G20" s="23">
        <v>0</v>
      </c>
      <c r="H20" s="31">
        <f t="shared" si="1"/>
        <v>3728574777</v>
      </c>
      <c r="I20" s="32">
        <v>0</v>
      </c>
      <c r="J20" s="34" t="s">
        <v>0</v>
      </c>
      <c r="K20" s="13"/>
    </row>
    <row r="21" spans="1:11" ht="15" hidden="1">
      <c r="A21" s="6" t="s">
        <v>27</v>
      </c>
      <c r="B21" s="11"/>
      <c r="C21" s="11"/>
      <c r="D21" s="11">
        <v>0</v>
      </c>
      <c r="E21" s="11">
        <v>0</v>
      </c>
      <c r="F21" s="11">
        <f>+D21+E21</f>
        <v>0</v>
      </c>
      <c r="G21" s="23">
        <f>+F21</f>
        <v>0</v>
      </c>
      <c r="H21" s="31">
        <v>0</v>
      </c>
      <c r="I21" s="32" t="e">
        <f t="shared" si="2"/>
        <v>#DIV/0!</v>
      </c>
      <c r="J21" s="34"/>
      <c r="K21" s="13"/>
    </row>
    <row r="22" spans="1:11" ht="15" hidden="1">
      <c r="A22" s="6" t="s">
        <v>36</v>
      </c>
      <c r="B22" s="11"/>
      <c r="C22" s="11"/>
      <c r="D22" s="11">
        <v>0</v>
      </c>
      <c r="E22" s="11">
        <v>0</v>
      </c>
      <c r="F22" s="11">
        <f aca="true" t="shared" si="3" ref="F22:F28">+E22</f>
        <v>0</v>
      </c>
      <c r="G22" s="23">
        <f>+F22</f>
        <v>0</v>
      </c>
      <c r="H22" s="31">
        <f aca="true" t="shared" si="4" ref="H22:H27">+F22-G22</f>
        <v>0</v>
      </c>
      <c r="I22" s="32" t="e">
        <f t="shared" si="2"/>
        <v>#DIV/0!</v>
      </c>
      <c r="J22" s="34"/>
      <c r="K22" s="13"/>
    </row>
    <row r="23" spans="1:11" ht="15" hidden="1">
      <c r="A23" s="6" t="s">
        <v>16</v>
      </c>
      <c r="B23" s="11"/>
      <c r="C23" s="11"/>
      <c r="D23" s="11"/>
      <c r="E23" s="11">
        <v>0</v>
      </c>
      <c r="F23" s="11">
        <f t="shared" si="3"/>
        <v>0</v>
      </c>
      <c r="G23" s="23">
        <v>0</v>
      </c>
      <c r="H23" s="31">
        <f t="shared" si="4"/>
        <v>0</v>
      </c>
      <c r="I23" s="32" t="e">
        <f>+H23/F23*100</f>
        <v>#DIV/0!</v>
      </c>
      <c r="J23" s="34"/>
      <c r="K23" s="13"/>
    </row>
    <row r="24" spans="1:11" ht="15" hidden="1">
      <c r="A24" s="6" t="s">
        <v>38</v>
      </c>
      <c r="B24" s="11"/>
      <c r="C24" s="11"/>
      <c r="D24" s="11"/>
      <c r="E24" s="11">
        <v>0</v>
      </c>
      <c r="F24" s="11">
        <f t="shared" si="3"/>
        <v>0</v>
      </c>
      <c r="G24" s="23">
        <f>105000000+152827425</f>
        <v>257827425</v>
      </c>
      <c r="H24" s="31">
        <f t="shared" si="4"/>
        <v>-257827425</v>
      </c>
      <c r="I24" s="32" t="e">
        <f>+H24/F24*100</f>
        <v>#DIV/0!</v>
      </c>
      <c r="J24" s="33"/>
      <c r="K24" s="13" t="s">
        <v>0</v>
      </c>
    </row>
    <row r="25" spans="1:11" ht="15" hidden="1">
      <c r="A25" s="6" t="s">
        <v>41</v>
      </c>
      <c r="B25" s="11"/>
      <c r="C25" s="11"/>
      <c r="D25" s="11"/>
      <c r="E25" s="11">
        <v>0</v>
      </c>
      <c r="F25" s="11">
        <f t="shared" si="3"/>
        <v>0</v>
      </c>
      <c r="G25" s="23">
        <f>+F25</f>
        <v>0</v>
      </c>
      <c r="H25" s="31">
        <f t="shared" si="4"/>
        <v>0</v>
      </c>
      <c r="I25" s="32" t="e">
        <f>+G25/F25*100</f>
        <v>#DIV/0!</v>
      </c>
      <c r="J25" s="33"/>
      <c r="K25" s="13"/>
    </row>
    <row r="26" spans="1:11" ht="15" hidden="1">
      <c r="A26" s="6" t="s">
        <v>42</v>
      </c>
      <c r="B26" s="11"/>
      <c r="C26" s="11"/>
      <c r="D26" s="11"/>
      <c r="E26" s="11">
        <v>0</v>
      </c>
      <c r="F26" s="11">
        <f t="shared" si="3"/>
        <v>0</v>
      </c>
      <c r="G26" s="23">
        <v>0</v>
      </c>
      <c r="H26" s="31">
        <f t="shared" si="4"/>
        <v>0</v>
      </c>
      <c r="I26" s="32" t="e">
        <f>+G26/F26*100</f>
        <v>#DIV/0!</v>
      </c>
      <c r="J26" s="33"/>
      <c r="K26" s="13"/>
    </row>
    <row r="27" spans="1:11" ht="15" hidden="1">
      <c r="A27" s="6" t="s">
        <v>40</v>
      </c>
      <c r="B27" s="11"/>
      <c r="C27" s="11"/>
      <c r="D27" s="11">
        <v>0</v>
      </c>
      <c r="E27" s="11">
        <v>0</v>
      </c>
      <c r="F27" s="11">
        <f t="shared" si="3"/>
        <v>0</v>
      </c>
      <c r="G27" s="23">
        <v>74546290</v>
      </c>
      <c r="H27" s="31">
        <f t="shared" si="4"/>
        <v>-74546290</v>
      </c>
      <c r="I27" s="32" t="e">
        <f>+G27/F27*100</f>
        <v>#DIV/0!</v>
      </c>
      <c r="J27" s="33" t="s">
        <v>0</v>
      </c>
      <c r="K27" s="13"/>
    </row>
    <row r="28" spans="1:11" ht="29.25" hidden="1">
      <c r="A28" s="6" t="s">
        <v>39</v>
      </c>
      <c r="B28" s="11"/>
      <c r="C28" s="11"/>
      <c r="D28" s="11">
        <v>0</v>
      </c>
      <c r="E28" s="11">
        <v>0</v>
      </c>
      <c r="F28" s="11">
        <f t="shared" si="3"/>
        <v>0</v>
      </c>
      <c r="G28" s="23">
        <v>364334882</v>
      </c>
      <c r="H28" s="31">
        <f>+F28-G28</f>
        <v>-364334882</v>
      </c>
      <c r="I28" s="32" t="e">
        <f>+H28/F28*100</f>
        <v>#DIV/0!</v>
      </c>
      <c r="J28" s="33"/>
      <c r="K28" s="13"/>
    </row>
    <row r="29" spans="1:10" ht="15">
      <c r="A29" s="9" t="s">
        <v>28</v>
      </c>
      <c r="B29" s="12">
        <f>+B31+B32</f>
        <v>3621351324</v>
      </c>
      <c r="C29" s="12">
        <f>+C31+C32</f>
        <v>3226173481</v>
      </c>
      <c r="D29" s="12">
        <f>+D31+D32</f>
        <v>3294663911</v>
      </c>
      <c r="E29" s="12">
        <f>+E31+E30</f>
        <v>11224297484</v>
      </c>
      <c r="F29" s="12">
        <f>+F30+F31+F32</f>
        <v>14518961395</v>
      </c>
      <c r="G29" s="25">
        <f>+G31+G32+G30</f>
        <v>13110119210</v>
      </c>
      <c r="H29" s="35">
        <f t="shared" si="1"/>
        <v>1408842185</v>
      </c>
      <c r="I29" s="32">
        <f t="shared" si="2"/>
        <v>90.29653604916139</v>
      </c>
      <c r="J29" s="34" t="s">
        <v>0</v>
      </c>
    </row>
    <row r="30" spans="1:10" ht="15">
      <c r="A30" s="6" t="s">
        <v>37</v>
      </c>
      <c r="B30" s="12"/>
      <c r="C30" s="12"/>
      <c r="D30" s="12">
        <v>0</v>
      </c>
      <c r="E30" s="26">
        <v>11224297484</v>
      </c>
      <c r="F30" s="26">
        <f>+E30</f>
        <v>11224297484</v>
      </c>
      <c r="G30" s="25">
        <f>+F30</f>
        <v>11224297484</v>
      </c>
      <c r="H30" s="35">
        <f>+F30-G30</f>
        <v>0</v>
      </c>
      <c r="I30" s="32"/>
      <c r="J30" s="34"/>
    </row>
    <row r="31" spans="1:10" ht="15">
      <c r="A31" s="6" t="s">
        <v>29</v>
      </c>
      <c r="B31" s="11">
        <v>186018000</v>
      </c>
      <c r="C31" s="11">
        <v>483000000</v>
      </c>
      <c r="D31" s="11">
        <v>420196365</v>
      </c>
      <c r="E31" s="11">
        <v>0</v>
      </c>
      <c r="F31" s="11">
        <f t="shared" si="0"/>
        <v>420196365</v>
      </c>
      <c r="G31" s="23">
        <f>148426722-466999</f>
        <v>147959723</v>
      </c>
      <c r="H31" s="31">
        <f t="shared" si="1"/>
        <v>272236642</v>
      </c>
      <c r="I31" s="32">
        <f t="shared" si="2"/>
        <v>35.212042588707305</v>
      </c>
      <c r="J31" s="33" t="s">
        <v>0</v>
      </c>
    </row>
    <row r="32" spans="1:10" ht="15">
      <c r="A32" s="9" t="s">
        <v>30</v>
      </c>
      <c r="B32" s="11">
        <f>+B33+B34+B35+B36+B37</f>
        <v>3435333324</v>
      </c>
      <c r="C32" s="11">
        <f>+C33+C34+C35+C36+C37</f>
        <v>2743173481</v>
      </c>
      <c r="D32" s="12">
        <f>SUM(D33:D37)</f>
        <v>2874467546</v>
      </c>
      <c r="E32" s="12">
        <f>SUM(E33:E37)</f>
        <v>0</v>
      </c>
      <c r="F32" s="12">
        <f t="shared" si="0"/>
        <v>2874467546</v>
      </c>
      <c r="G32" s="25">
        <f>SUM(G33:G37)</f>
        <v>1737862003</v>
      </c>
      <c r="H32" s="35">
        <f t="shared" si="1"/>
        <v>1136605543</v>
      </c>
      <c r="I32" s="32">
        <f t="shared" si="2"/>
        <v>60.45857102886212</v>
      </c>
      <c r="J32" s="33"/>
    </row>
    <row r="33" spans="1:14" ht="15">
      <c r="A33" s="6" t="s">
        <v>31</v>
      </c>
      <c r="B33" s="11">
        <v>594000000</v>
      </c>
      <c r="C33" s="11">
        <f>438940542+50000000</f>
        <v>488940542</v>
      </c>
      <c r="D33" s="11">
        <v>696758760</v>
      </c>
      <c r="E33" s="11">
        <v>0</v>
      </c>
      <c r="F33" s="11">
        <f t="shared" si="0"/>
        <v>696758760</v>
      </c>
      <c r="G33" s="23">
        <f>4723029-41373+248164781-2727407</f>
        <v>250119030</v>
      </c>
      <c r="H33" s="31">
        <f t="shared" si="1"/>
        <v>446639730</v>
      </c>
      <c r="I33" s="32">
        <f t="shared" si="2"/>
        <v>35.89750776868597</v>
      </c>
      <c r="J33" s="33"/>
      <c r="K33" s="14"/>
      <c r="L33" s="14"/>
      <c r="M33" s="14"/>
      <c r="N33" s="14"/>
    </row>
    <row r="34" spans="1:14" ht="29.25">
      <c r="A34" s="6" t="s">
        <v>20</v>
      </c>
      <c r="B34" s="11">
        <v>1015350000</v>
      </c>
      <c r="C34" s="11">
        <f>200328232+500000000</f>
        <v>700328232</v>
      </c>
      <c r="D34" s="11">
        <v>387961484</v>
      </c>
      <c r="E34" s="11">
        <v>0</v>
      </c>
      <c r="F34" s="11">
        <f t="shared" si="0"/>
        <v>387961484</v>
      </c>
      <c r="G34" s="23">
        <f>48480330+17241938</f>
        <v>65722268</v>
      </c>
      <c r="H34" s="31">
        <f t="shared" si="1"/>
        <v>322239216</v>
      </c>
      <c r="I34" s="32">
        <f t="shared" si="2"/>
        <v>16.9404105073482</v>
      </c>
      <c r="J34" s="34" t="s">
        <v>0</v>
      </c>
      <c r="K34" s="14"/>
      <c r="L34" s="14"/>
      <c r="M34" s="14"/>
      <c r="N34" s="14"/>
    </row>
    <row r="35" spans="1:14" ht="29.25">
      <c r="A35" s="6" t="s">
        <v>24</v>
      </c>
      <c r="B35" s="11">
        <v>1186582000</v>
      </c>
      <c r="C35" s="11">
        <v>751381744</v>
      </c>
      <c r="D35" s="11">
        <v>771207094</v>
      </c>
      <c r="E35" s="11">
        <v>0</v>
      </c>
      <c r="F35" s="11">
        <f t="shared" si="0"/>
        <v>771207094</v>
      </c>
      <c r="G35" s="23">
        <v>777087147</v>
      </c>
      <c r="H35" s="31">
        <f t="shared" si="1"/>
        <v>-5880053</v>
      </c>
      <c r="I35" s="32">
        <f t="shared" si="2"/>
        <v>100.7624479916934</v>
      </c>
      <c r="J35" s="34" t="s">
        <v>0</v>
      </c>
      <c r="K35" s="14"/>
      <c r="L35" s="14"/>
      <c r="M35" s="14"/>
      <c r="N35" s="14"/>
    </row>
    <row r="36" spans="1:14" ht="15">
      <c r="A36" s="6" t="s">
        <v>21</v>
      </c>
      <c r="B36" s="11">
        <v>200000000</v>
      </c>
      <c r="C36" s="11">
        <v>121750963</v>
      </c>
      <c r="D36" s="11">
        <v>391540208</v>
      </c>
      <c r="E36" s="11">
        <v>0</v>
      </c>
      <c r="F36" s="11">
        <f t="shared" si="0"/>
        <v>391540208</v>
      </c>
      <c r="G36" s="23">
        <v>18039345</v>
      </c>
      <c r="H36" s="31">
        <f t="shared" si="1"/>
        <v>373500863</v>
      </c>
      <c r="I36" s="32">
        <f t="shared" si="2"/>
        <v>4.607277779246621</v>
      </c>
      <c r="J36" s="34" t="s">
        <v>0</v>
      </c>
      <c r="K36" s="14"/>
      <c r="L36" s="14"/>
      <c r="M36" s="14"/>
      <c r="N36" s="14"/>
    </row>
    <row r="37" spans="1:14" ht="15">
      <c r="A37" s="6" t="s">
        <v>15</v>
      </c>
      <c r="B37" s="11">
        <v>439401324</v>
      </c>
      <c r="C37" s="11">
        <v>680772000</v>
      </c>
      <c r="D37" s="11">
        <v>627000000</v>
      </c>
      <c r="E37" s="11">
        <v>0</v>
      </c>
      <c r="F37" s="11">
        <f t="shared" si="0"/>
        <v>627000000</v>
      </c>
      <c r="G37" s="23">
        <v>626894213</v>
      </c>
      <c r="H37" s="31">
        <f t="shared" si="1"/>
        <v>105787</v>
      </c>
      <c r="I37" s="32">
        <f t="shared" si="2"/>
        <v>99.98312807017544</v>
      </c>
      <c r="J37" s="34" t="s">
        <v>0</v>
      </c>
      <c r="K37" s="14"/>
      <c r="L37" s="14"/>
      <c r="M37" s="14"/>
      <c r="N37" s="14"/>
    </row>
    <row r="38" spans="1:14" ht="15">
      <c r="A38" s="6"/>
      <c r="B38" s="11"/>
      <c r="C38" s="11"/>
      <c r="D38" s="11"/>
      <c r="E38" s="11"/>
      <c r="F38" s="11" t="s">
        <v>0</v>
      </c>
      <c r="G38" s="23"/>
      <c r="H38" s="31" t="s">
        <v>0</v>
      </c>
      <c r="I38" s="32" t="s">
        <v>0</v>
      </c>
      <c r="J38" s="34" t="s">
        <v>0</v>
      </c>
      <c r="K38" s="14"/>
      <c r="L38" s="14"/>
      <c r="M38" s="14"/>
      <c r="N38" s="14"/>
    </row>
    <row r="39" spans="1:14" ht="30">
      <c r="A39" s="9" t="s">
        <v>32</v>
      </c>
      <c r="B39" s="12" t="e">
        <f>+B9+B12+B19+B29+B20+B18</f>
        <v>#REF!</v>
      </c>
      <c r="C39" s="12" t="e">
        <f>+C9+C12+C19+C29+C20+C18</f>
        <v>#REF!</v>
      </c>
      <c r="D39" s="12">
        <f>+D9+D12+D19+D29+D20+D18</f>
        <v>19377712509</v>
      </c>
      <c r="E39" s="12">
        <f>+E9+E12+E19+E29+E20+E18</f>
        <v>14952872261</v>
      </c>
      <c r="F39" s="12">
        <f t="shared" si="0"/>
        <v>34330584770</v>
      </c>
      <c r="G39" s="25">
        <f>+G9+G12+G19+G29+G20+G18</f>
        <v>13431293076</v>
      </c>
      <c r="H39" s="35">
        <f t="shared" si="1"/>
        <v>20899291694</v>
      </c>
      <c r="I39" s="32">
        <f t="shared" si="2"/>
        <v>39.123403128679065</v>
      </c>
      <c r="J39" s="34" t="s">
        <v>0</v>
      </c>
      <c r="K39" s="14"/>
      <c r="L39" s="14"/>
      <c r="M39" s="14"/>
      <c r="N39" s="14"/>
    </row>
    <row r="40" spans="1:14" ht="15">
      <c r="A40" s="6"/>
      <c r="B40" s="11" t="s">
        <v>0</v>
      </c>
      <c r="C40" s="11" t="s">
        <v>0</v>
      </c>
      <c r="D40" s="11" t="s">
        <v>0</v>
      </c>
      <c r="E40" s="11" t="s">
        <v>0</v>
      </c>
      <c r="F40" s="11" t="s">
        <v>0</v>
      </c>
      <c r="G40" s="23" t="s">
        <v>0</v>
      </c>
      <c r="H40" s="31" t="s">
        <v>0</v>
      </c>
      <c r="I40" s="32" t="s">
        <v>0</v>
      </c>
      <c r="J40" s="33" t="s">
        <v>0</v>
      </c>
      <c r="K40" s="14"/>
      <c r="L40" s="14"/>
      <c r="M40" s="14"/>
      <c r="N40" s="14"/>
    </row>
    <row r="41" spans="1:14" ht="15">
      <c r="A41" s="9" t="s">
        <v>33</v>
      </c>
      <c r="B41" s="11">
        <f>+'[1]Hoja2'!$C$40</f>
        <v>1637500000</v>
      </c>
      <c r="C41" s="11">
        <f>+'[1]Hoja2'!$C$40</f>
        <v>1637500000</v>
      </c>
      <c r="D41" s="12">
        <v>4573454219</v>
      </c>
      <c r="E41" s="12">
        <v>0</v>
      </c>
      <c r="F41" s="12">
        <f t="shared" si="0"/>
        <v>4573454219</v>
      </c>
      <c r="G41" s="25">
        <v>305919122</v>
      </c>
      <c r="H41" s="35">
        <f t="shared" si="1"/>
        <v>4267535097</v>
      </c>
      <c r="I41" s="32">
        <f t="shared" si="2"/>
        <v>6.689016820789127</v>
      </c>
      <c r="J41" s="33"/>
      <c r="K41" s="14"/>
      <c r="L41" s="14"/>
      <c r="M41" s="14"/>
      <c r="N41" s="14"/>
    </row>
    <row r="42" spans="1:14" ht="15">
      <c r="A42" s="9" t="s">
        <v>0</v>
      </c>
      <c r="B42" s="11"/>
      <c r="C42" s="11"/>
      <c r="D42" s="11" t="s">
        <v>0</v>
      </c>
      <c r="E42" s="11" t="s">
        <v>0</v>
      </c>
      <c r="F42" s="11" t="s">
        <v>0</v>
      </c>
      <c r="G42" s="11" t="s">
        <v>0</v>
      </c>
      <c r="H42" s="31" t="s">
        <v>0</v>
      </c>
      <c r="I42" s="32" t="s">
        <v>0</v>
      </c>
      <c r="J42" s="33"/>
      <c r="K42" s="14"/>
      <c r="L42" s="14"/>
      <c r="M42" s="14"/>
      <c r="N42" s="14"/>
    </row>
    <row r="43" spans="1:14" ht="15.75" thickBot="1">
      <c r="A43" s="15" t="s">
        <v>34</v>
      </c>
      <c r="B43" s="16" t="e">
        <f>+B39+B41</f>
        <v>#REF!</v>
      </c>
      <c r="C43" s="16" t="e">
        <f>+C39+C41</f>
        <v>#REF!</v>
      </c>
      <c r="D43" s="17">
        <f>+D39+D41</f>
        <v>23951166728</v>
      </c>
      <c r="E43" s="17">
        <f>+E39+E41</f>
        <v>14952872261</v>
      </c>
      <c r="F43" s="17">
        <f t="shared" si="0"/>
        <v>38904038989</v>
      </c>
      <c r="G43" s="17">
        <f>+G39+G41</f>
        <v>13737212198</v>
      </c>
      <c r="H43" s="36">
        <f t="shared" si="1"/>
        <v>25166826791</v>
      </c>
      <c r="I43" s="32">
        <f t="shared" si="2"/>
        <v>35.31050388337354</v>
      </c>
      <c r="J43" s="33"/>
      <c r="K43" s="14"/>
      <c r="L43" s="14"/>
      <c r="M43" s="14"/>
      <c r="N43" s="14"/>
    </row>
    <row r="44" spans="1:14" ht="15">
      <c r="A44" s="33"/>
      <c r="B44" s="33"/>
      <c r="C44" s="33"/>
      <c r="D44" s="34" t="s">
        <v>0</v>
      </c>
      <c r="E44" s="34" t="s">
        <v>0</v>
      </c>
      <c r="F44" s="34" t="s">
        <v>35</v>
      </c>
      <c r="G44" s="34"/>
      <c r="H44" s="34"/>
      <c r="I44" s="33"/>
      <c r="J44" s="33"/>
      <c r="K44" s="14"/>
      <c r="L44" s="14"/>
      <c r="M44" s="14"/>
      <c r="N44" s="14"/>
    </row>
    <row r="45" spans="1:14" ht="15">
      <c r="A45" s="18"/>
      <c r="B45" s="33"/>
      <c r="C45" s="33"/>
      <c r="D45" s="33"/>
      <c r="E45" s="33"/>
      <c r="F45" s="34">
        <v>38799998282</v>
      </c>
      <c r="G45" s="34"/>
      <c r="H45" s="33"/>
      <c r="I45" s="33"/>
      <c r="J45" s="33"/>
      <c r="K45" s="14"/>
      <c r="L45" s="14"/>
      <c r="M45" s="14"/>
      <c r="N45" s="14"/>
    </row>
    <row r="46" spans="1:14" ht="15">
      <c r="A46" s="33"/>
      <c r="B46" s="33"/>
      <c r="C46" s="33"/>
      <c r="D46" s="33"/>
      <c r="E46" s="33"/>
      <c r="F46" s="34">
        <f>+F45-F43</f>
        <v>-104040707</v>
      </c>
      <c r="G46" s="34"/>
      <c r="H46" s="33"/>
      <c r="I46" s="33"/>
      <c r="J46" s="33"/>
      <c r="K46" s="14"/>
      <c r="L46" s="14"/>
      <c r="M46" s="14"/>
      <c r="N46" s="14"/>
    </row>
    <row r="47" spans="1:10" ht="15">
      <c r="A47" s="33"/>
      <c r="B47" s="33"/>
      <c r="C47" s="33"/>
      <c r="D47" s="33"/>
      <c r="E47" s="33"/>
      <c r="F47" s="34">
        <f>+F41-2680000000</f>
        <v>1893454219</v>
      </c>
      <c r="G47" s="34"/>
      <c r="H47" s="33"/>
      <c r="I47" s="33"/>
      <c r="J47" s="33"/>
    </row>
    <row r="48" spans="1:10" ht="15">
      <c r="A48" s="33"/>
      <c r="B48" s="33"/>
      <c r="C48" s="33"/>
      <c r="D48" s="33"/>
      <c r="E48" s="33"/>
      <c r="F48" s="34" t="s">
        <v>0</v>
      </c>
      <c r="G48" s="34"/>
      <c r="H48" s="33"/>
      <c r="I48" s="33"/>
      <c r="J48" s="33"/>
    </row>
    <row r="49" spans="1:10" ht="15">
      <c r="A49" s="33"/>
      <c r="B49" s="33"/>
      <c r="C49" s="33"/>
      <c r="D49" s="33"/>
      <c r="E49" s="33"/>
      <c r="F49" s="34" t="s">
        <v>0</v>
      </c>
      <c r="G49" s="34"/>
      <c r="H49" s="34"/>
      <c r="I49" s="33"/>
      <c r="J49" s="33"/>
    </row>
    <row r="50" spans="7:8" ht="15">
      <c r="G50" s="13"/>
      <c r="H50" s="13"/>
    </row>
    <row r="51" spans="7:8" ht="15">
      <c r="G51" s="13"/>
      <c r="H51" s="13"/>
    </row>
    <row r="52" spans="6:7" ht="15">
      <c r="F52" s="13"/>
      <c r="G52" s="13"/>
    </row>
    <row r="54" spans="6:7" ht="15">
      <c r="F54" s="13"/>
      <c r="G54" s="13"/>
    </row>
    <row r="56" ht="15">
      <c r="F56" s="13"/>
    </row>
    <row r="57" spans="5:9" ht="15">
      <c r="E57" s="13"/>
      <c r="F57" s="14"/>
      <c r="G57" s="14"/>
      <c r="H57" s="14"/>
      <c r="I57" s="14"/>
    </row>
    <row r="58" spans="5:9" ht="15">
      <c r="E58" s="13"/>
      <c r="F58" s="14"/>
      <c r="G58" s="14"/>
      <c r="H58" s="14"/>
      <c r="I58" s="14"/>
    </row>
    <row r="59" spans="5:9" ht="15">
      <c r="E59" s="13"/>
      <c r="F59" s="14"/>
      <c r="G59" s="14"/>
      <c r="H59" s="14"/>
      <c r="I59" s="14"/>
    </row>
    <row r="60" spans="6:9" ht="15">
      <c r="F60" s="14"/>
      <c r="G60" s="14"/>
      <c r="H60" s="14"/>
      <c r="I60" s="14"/>
    </row>
    <row r="61" spans="6:9" ht="15">
      <c r="F61" s="14"/>
      <c r="G61" s="14"/>
      <c r="H61" s="14"/>
      <c r="I61" s="14"/>
    </row>
    <row r="62" spans="6:9" ht="15">
      <c r="F62" s="14"/>
      <c r="G62" s="14"/>
      <c r="H62" s="14"/>
      <c r="I62" s="14"/>
    </row>
    <row r="63" spans="6:9" ht="15">
      <c r="F63" s="14"/>
      <c r="G63" s="14"/>
      <c r="H63" s="14"/>
      <c r="I63" s="14"/>
    </row>
    <row r="64" spans="6:9" ht="15">
      <c r="F64" s="14"/>
      <c r="G64" s="14"/>
      <c r="H64" s="14"/>
      <c r="I64" s="14"/>
    </row>
    <row r="65" spans="6:9" ht="15">
      <c r="F65" s="14"/>
      <c r="G65" s="14"/>
      <c r="H65" s="14"/>
      <c r="I65" s="14"/>
    </row>
    <row r="66" spans="6:9" ht="15">
      <c r="F66" s="14"/>
      <c r="G66" s="14"/>
      <c r="H66" s="14"/>
      <c r="I66" s="14"/>
    </row>
    <row r="67" spans="6:9" ht="15">
      <c r="F67" s="14"/>
      <c r="G67" s="14"/>
      <c r="H67" s="14"/>
      <c r="I67" s="14"/>
    </row>
    <row r="68" spans="6:9" ht="15">
      <c r="F68" s="14"/>
      <c r="G68" s="14"/>
      <c r="H68" s="14"/>
      <c r="I68" s="14"/>
    </row>
    <row r="69" spans="6:9" ht="15">
      <c r="F69" s="14"/>
      <c r="G69" s="14"/>
      <c r="H69" s="14"/>
      <c r="I69" s="14"/>
    </row>
    <row r="70" spans="6:9" ht="15">
      <c r="F70" s="14"/>
      <c r="G70" s="14"/>
      <c r="H70" s="14"/>
      <c r="I70" s="14"/>
    </row>
    <row r="71" spans="6:9" ht="15">
      <c r="F71" s="14"/>
      <c r="G71" s="14"/>
      <c r="H71" s="14"/>
      <c r="I71" s="14"/>
    </row>
    <row r="72" spans="6:9" ht="15">
      <c r="F72" s="14"/>
      <c r="G72" s="14"/>
      <c r="H72" s="14"/>
      <c r="I72" s="14"/>
    </row>
    <row r="73" spans="6:9" ht="15">
      <c r="F73" s="14"/>
      <c r="G73" s="14"/>
      <c r="H73" s="14"/>
      <c r="I73" s="14"/>
    </row>
    <row r="74" spans="6:9" ht="15">
      <c r="F74" s="14"/>
      <c r="G74" s="14"/>
      <c r="H74" s="14"/>
      <c r="I74" s="14"/>
    </row>
    <row r="75" spans="6:9" ht="15">
      <c r="F75" s="14"/>
      <c r="G75" s="14"/>
      <c r="H75" s="14"/>
      <c r="I75" s="14"/>
    </row>
    <row r="76" spans="6:9" ht="15">
      <c r="F76" s="14"/>
      <c r="G76" s="14"/>
      <c r="H76" s="14"/>
      <c r="I76" s="14"/>
    </row>
    <row r="77" spans="6:9" ht="15">
      <c r="F77" s="14"/>
      <c r="G77" s="14"/>
      <c r="H77" s="14"/>
      <c r="I77" s="14"/>
    </row>
    <row r="78" spans="6:9" ht="15">
      <c r="F78" s="14"/>
      <c r="G78" s="14"/>
      <c r="H78" s="14"/>
      <c r="I78" s="14"/>
    </row>
    <row r="79" spans="6:9" ht="15">
      <c r="F79" s="14"/>
      <c r="G79" s="14"/>
      <c r="H79" s="14"/>
      <c r="I79" s="14"/>
    </row>
    <row r="80" spans="6:9" ht="15">
      <c r="F80" s="14"/>
      <c r="G80" s="14"/>
      <c r="H80" s="14"/>
      <c r="I80" s="14"/>
    </row>
    <row r="81" spans="6:9" ht="15">
      <c r="F81" s="14"/>
      <c r="G81" s="14"/>
      <c r="H81" s="14"/>
      <c r="I81" s="14"/>
    </row>
    <row r="82" spans="6:9" ht="15">
      <c r="F82" s="14"/>
      <c r="G82" s="14"/>
      <c r="H82" s="14"/>
      <c r="I82" s="14"/>
    </row>
    <row r="83" spans="6:9" ht="15">
      <c r="F83" s="14"/>
      <c r="G83" s="14"/>
      <c r="H83" s="14"/>
      <c r="I83" s="14"/>
    </row>
    <row r="84" spans="6:9" ht="15">
      <c r="F84" s="14"/>
      <c r="G84" s="14"/>
      <c r="H84" s="14"/>
      <c r="I84" s="14"/>
    </row>
    <row r="85" spans="6:9" ht="15">
      <c r="F85" s="14"/>
      <c r="G85" s="14"/>
      <c r="H85" s="14"/>
      <c r="I85" s="14"/>
    </row>
    <row r="86" spans="6:9" ht="15">
      <c r="F86" s="14"/>
      <c r="G86" s="14"/>
      <c r="H86" s="14"/>
      <c r="I86" s="14"/>
    </row>
    <row r="87" spans="6:9" ht="15">
      <c r="F87" s="14"/>
      <c r="G87" s="14"/>
      <c r="H87" s="14"/>
      <c r="I87" s="14"/>
    </row>
    <row r="88" spans="6:9" ht="15">
      <c r="F88" s="14"/>
      <c r="G88" s="14"/>
      <c r="H88" s="14"/>
      <c r="I88" s="14"/>
    </row>
    <row r="89" spans="6:9" ht="15">
      <c r="F89" s="14"/>
      <c r="G89" s="14"/>
      <c r="H89" s="14"/>
      <c r="I89" s="14"/>
    </row>
    <row r="90" spans="6:9" ht="15">
      <c r="F90" s="14"/>
      <c r="G90" s="14"/>
      <c r="H90" s="14"/>
      <c r="I90" s="14"/>
    </row>
    <row r="91" spans="6:9" ht="15">
      <c r="F91" s="14"/>
      <c r="G91" s="14"/>
      <c r="H91" s="14"/>
      <c r="I91" s="14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9"/>
  <sheetViews>
    <sheetView zoomScale="60" zoomScaleNormal="60" zoomScalePageLayoutView="0" workbookViewId="0" topLeftCell="A1">
      <pane xSplit="2" ySplit="6" topLeftCell="C7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9" sqref="B19:B21"/>
    </sheetView>
  </sheetViews>
  <sheetFormatPr defaultColWidth="11.421875" defaultRowHeight="15"/>
  <cols>
    <col min="1" max="1" width="18.140625" style="38" customWidth="1"/>
    <col min="2" max="2" width="21.421875" style="38" customWidth="1"/>
    <col min="3" max="3" width="20.7109375" style="38" customWidth="1"/>
    <col min="4" max="4" width="11.140625" style="38" customWidth="1"/>
    <col min="5" max="5" width="20.7109375" style="38" customWidth="1"/>
    <col min="6" max="6" width="8.7109375" style="38" customWidth="1"/>
    <col min="7" max="7" width="30.00390625" style="38" customWidth="1"/>
    <col min="8" max="8" width="23.00390625" style="38" customWidth="1"/>
    <col min="9" max="9" width="14.421875" style="55" customWidth="1"/>
    <col min="10" max="10" width="14.421875" style="60" customWidth="1"/>
    <col min="11" max="11" width="19.421875" style="38" customWidth="1"/>
    <col min="12" max="12" width="20.7109375" style="38" customWidth="1"/>
    <col min="13" max="13" width="35.140625" style="38" customWidth="1"/>
    <col min="14" max="14" width="23.140625" style="41" customWidth="1"/>
    <col min="15" max="15" width="23.140625" style="68" customWidth="1"/>
    <col min="16" max="16" width="24.8515625" style="38" customWidth="1"/>
    <col min="17" max="18" width="11.421875" style="38" customWidth="1"/>
    <col min="19" max="19" width="8.00390625" style="38" hidden="1" customWidth="1"/>
    <col min="20" max="16384" width="11.421875" style="38" customWidth="1"/>
  </cols>
  <sheetData>
    <row r="1" spans="1:14" ht="31.5" customHeight="1">
      <c r="A1" s="148" t="s">
        <v>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37" t="s">
        <v>44</v>
      </c>
    </row>
    <row r="2" spans="1:14" ht="31.5" customHeight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39" t="s">
        <v>45</v>
      </c>
    </row>
    <row r="3" spans="1:14" ht="31.5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40" t="s">
        <v>46</v>
      </c>
    </row>
    <row r="4" spans="1:14" ht="15.75" thickBot="1">
      <c r="A4" s="69"/>
      <c r="B4" s="70"/>
      <c r="C4" s="70"/>
      <c r="D4" s="70"/>
      <c r="E4" s="70"/>
      <c r="F4" s="70"/>
      <c r="G4" s="70"/>
      <c r="H4" s="70"/>
      <c r="I4" s="71"/>
      <c r="J4" s="72"/>
      <c r="K4" s="70"/>
      <c r="L4" s="70"/>
      <c r="M4" s="70"/>
      <c r="N4" s="73"/>
    </row>
    <row r="5" spans="1:19" s="42" customFormat="1" ht="37.5" customHeight="1">
      <c r="A5" s="157" t="s">
        <v>47</v>
      </c>
      <c r="B5" s="159" t="s">
        <v>2</v>
      </c>
      <c r="C5" s="159" t="s">
        <v>4</v>
      </c>
      <c r="D5" s="159"/>
      <c r="E5" s="159" t="s">
        <v>48</v>
      </c>
      <c r="F5" s="159"/>
      <c r="G5" s="159" t="s">
        <v>49</v>
      </c>
      <c r="H5" s="159"/>
      <c r="I5" s="159"/>
      <c r="J5" s="159"/>
      <c r="K5" s="159"/>
      <c r="L5" s="159" t="s">
        <v>105</v>
      </c>
      <c r="M5" s="159" t="s">
        <v>50</v>
      </c>
      <c r="N5" s="142" t="s">
        <v>51</v>
      </c>
      <c r="O5" s="68"/>
      <c r="S5" s="43" t="s">
        <v>52</v>
      </c>
    </row>
    <row r="6" spans="1:19" s="42" customFormat="1" ht="51" customHeight="1">
      <c r="A6" s="158"/>
      <c r="B6" s="160"/>
      <c r="C6" s="44" t="s">
        <v>53</v>
      </c>
      <c r="D6" s="44" t="s">
        <v>54</v>
      </c>
      <c r="E6" s="54" t="s">
        <v>51</v>
      </c>
      <c r="F6" s="54" t="s">
        <v>54</v>
      </c>
      <c r="G6" s="54" t="s">
        <v>55</v>
      </c>
      <c r="H6" s="54" t="s">
        <v>56</v>
      </c>
      <c r="I6" s="56" t="s">
        <v>57</v>
      </c>
      <c r="J6" s="61" t="s">
        <v>58</v>
      </c>
      <c r="K6" s="44" t="s">
        <v>59</v>
      </c>
      <c r="L6" s="161"/>
      <c r="M6" s="161"/>
      <c r="N6" s="143"/>
      <c r="O6" s="68"/>
      <c r="S6" s="43" t="s">
        <v>60</v>
      </c>
    </row>
    <row r="7" spans="1:19" s="46" customFormat="1" ht="36" customHeight="1">
      <c r="A7" s="125" t="s">
        <v>52</v>
      </c>
      <c r="B7" s="128">
        <f>'[2]PROYECTO 1.1'!$H$39</f>
        <v>1350000000</v>
      </c>
      <c r="C7" s="29">
        <f>3000000*11</f>
        <v>33000000</v>
      </c>
      <c r="D7" s="137">
        <f>(+C7+C8+C9+C10)/B7</f>
        <v>0.10185185185185185</v>
      </c>
      <c r="E7" s="140">
        <f>SUM(H7:H10)</f>
        <v>40239681</v>
      </c>
      <c r="F7" s="137">
        <f>E7/B7</f>
        <v>0.02980717111111111</v>
      </c>
      <c r="G7" s="45" t="s">
        <v>106</v>
      </c>
      <c r="H7" s="29">
        <v>8415000</v>
      </c>
      <c r="I7" s="57">
        <v>42445</v>
      </c>
      <c r="J7" s="62">
        <v>0.6666666666666666</v>
      </c>
      <c r="K7" s="58">
        <v>42451</v>
      </c>
      <c r="L7" s="145">
        <f>SUM(N7:N15)</f>
        <v>175327428</v>
      </c>
      <c r="M7" s="65" t="s">
        <v>107</v>
      </c>
      <c r="N7" s="74">
        <v>22437428</v>
      </c>
      <c r="O7" s="68"/>
      <c r="P7" s="96"/>
      <c r="S7" s="46" t="s">
        <v>61</v>
      </c>
    </row>
    <row r="8" spans="1:19" s="46" customFormat="1" ht="52.5" customHeight="1">
      <c r="A8" s="126"/>
      <c r="B8" s="129"/>
      <c r="C8" s="29">
        <f>3500000*11</f>
        <v>38500000</v>
      </c>
      <c r="D8" s="138"/>
      <c r="E8" s="144"/>
      <c r="F8" s="138"/>
      <c r="G8" s="93" t="s">
        <v>108</v>
      </c>
      <c r="H8" s="29">
        <v>8415000</v>
      </c>
      <c r="I8" s="57">
        <v>42445</v>
      </c>
      <c r="J8" s="62">
        <v>0.6666666666666666</v>
      </c>
      <c r="K8" s="58">
        <v>42451</v>
      </c>
      <c r="L8" s="146"/>
      <c r="M8" s="93" t="s">
        <v>109</v>
      </c>
      <c r="N8" s="74">
        <v>31500000</v>
      </c>
      <c r="O8" s="68"/>
      <c r="S8" s="47" t="s">
        <v>62</v>
      </c>
    </row>
    <row r="9" spans="1:19" s="46" customFormat="1" ht="36" customHeight="1">
      <c r="A9" s="126"/>
      <c r="B9" s="129"/>
      <c r="C9" s="29">
        <v>44000000</v>
      </c>
      <c r="D9" s="138"/>
      <c r="E9" s="144"/>
      <c r="F9" s="138"/>
      <c r="G9" s="93" t="s">
        <v>106</v>
      </c>
      <c r="H9" s="29">
        <v>8415000</v>
      </c>
      <c r="I9" s="58">
        <v>42447</v>
      </c>
      <c r="J9" s="63">
        <v>0.6875</v>
      </c>
      <c r="K9" s="58">
        <v>42459</v>
      </c>
      <c r="L9" s="146"/>
      <c r="M9" s="93" t="s">
        <v>110</v>
      </c>
      <c r="N9" s="74">
        <f>4000000*10</f>
        <v>40000000</v>
      </c>
      <c r="O9" s="68"/>
      <c r="S9" s="47"/>
    </row>
    <row r="10" spans="1:19" s="46" customFormat="1" ht="45">
      <c r="A10" s="126"/>
      <c r="B10" s="129"/>
      <c r="C10" s="29">
        <v>22000000</v>
      </c>
      <c r="D10" s="139"/>
      <c r="E10" s="141"/>
      <c r="F10" s="139"/>
      <c r="G10" s="93" t="s">
        <v>75</v>
      </c>
      <c r="H10" s="74">
        <v>14994681</v>
      </c>
      <c r="I10" s="58">
        <v>42466</v>
      </c>
      <c r="J10" s="63">
        <v>0.6875</v>
      </c>
      <c r="K10" s="58">
        <v>42480</v>
      </c>
      <c r="L10" s="146"/>
      <c r="M10" s="93" t="s">
        <v>111</v>
      </c>
      <c r="N10" s="74">
        <v>30000000</v>
      </c>
      <c r="O10" s="68"/>
      <c r="S10" s="47"/>
    </row>
    <row r="11" spans="1:19" s="46" customFormat="1" ht="36" customHeight="1">
      <c r="A11" s="126"/>
      <c r="B11" s="129"/>
      <c r="C11" s="29"/>
      <c r="D11" s="29"/>
      <c r="E11" s="65"/>
      <c r="F11" s="29"/>
      <c r="G11" s="93"/>
      <c r="H11" s="97"/>
      <c r="I11" s="58"/>
      <c r="J11" s="63"/>
      <c r="K11" s="58"/>
      <c r="L11" s="146"/>
      <c r="M11" s="93" t="s">
        <v>112</v>
      </c>
      <c r="N11" s="74">
        <v>8415000</v>
      </c>
      <c r="O11" s="68"/>
      <c r="S11" s="47"/>
    </row>
    <row r="12" spans="1:19" s="46" customFormat="1" ht="36" customHeight="1">
      <c r="A12" s="126"/>
      <c r="B12" s="129"/>
      <c r="C12" s="29"/>
      <c r="D12" s="29"/>
      <c r="E12" s="65"/>
      <c r="F12" s="29"/>
      <c r="G12" s="93"/>
      <c r="H12" s="97"/>
      <c r="I12" s="58"/>
      <c r="J12" s="63"/>
      <c r="K12" s="58"/>
      <c r="L12" s="146"/>
      <c r="M12" s="93" t="s">
        <v>113</v>
      </c>
      <c r="N12" s="74">
        <v>8415000</v>
      </c>
      <c r="O12" s="68"/>
      <c r="S12" s="47"/>
    </row>
    <row r="13" spans="1:19" s="46" customFormat="1" ht="47.25" customHeight="1">
      <c r="A13" s="126"/>
      <c r="B13" s="129"/>
      <c r="C13" s="29"/>
      <c r="D13" s="29"/>
      <c r="E13" s="65"/>
      <c r="F13" s="29"/>
      <c r="G13" s="93"/>
      <c r="H13" s="97"/>
      <c r="I13" s="58"/>
      <c r="J13" s="63"/>
      <c r="K13" s="58"/>
      <c r="L13" s="146"/>
      <c r="M13" s="93" t="s">
        <v>114</v>
      </c>
      <c r="N13" s="74">
        <v>8415000</v>
      </c>
      <c r="O13" s="68"/>
      <c r="S13" s="47"/>
    </row>
    <row r="14" spans="1:19" s="46" customFormat="1" ht="36" customHeight="1">
      <c r="A14" s="126"/>
      <c r="B14" s="129"/>
      <c r="C14" s="29"/>
      <c r="D14" s="29"/>
      <c r="E14" s="65"/>
      <c r="F14" s="29"/>
      <c r="G14" s="93"/>
      <c r="H14" s="97"/>
      <c r="I14" s="58"/>
      <c r="J14" s="63"/>
      <c r="K14" s="58"/>
      <c r="L14" s="146"/>
      <c r="M14" s="93" t="s">
        <v>115</v>
      </c>
      <c r="N14" s="74">
        <v>8145000</v>
      </c>
      <c r="O14" s="68"/>
      <c r="S14" s="47"/>
    </row>
    <row r="15" spans="1:19" s="46" customFormat="1" ht="52.5" customHeight="1">
      <c r="A15" s="127"/>
      <c r="B15" s="130"/>
      <c r="C15" s="29"/>
      <c r="D15" s="29"/>
      <c r="E15" s="65"/>
      <c r="F15" s="29"/>
      <c r="G15" s="93"/>
      <c r="H15" s="29"/>
      <c r="I15" s="58"/>
      <c r="J15" s="63"/>
      <c r="K15" s="58"/>
      <c r="L15" s="147"/>
      <c r="M15" s="93" t="s">
        <v>116</v>
      </c>
      <c r="N15" s="74">
        <v>18000000</v>
      </c>
      <c r="O15" s="68"/>
      <c r="S15" s="47"/>
    </row>
    <row r="16" spans="1:19" s="46" customFormat="1" ht="36" customHeight="1">
      <c r="A16" s="125" t="s">
        <v>60</v>
      </c>
      <c r="B16" s="128">
        <f>'[2]PROYECTO 1.2'!$G$21</f>
        <v>350000000</v>
      </c>
      <c r="C16" s="29">
        <f>3000000*11</f>
        <v>33000000</v>
      </c>
      <c r="D16" s="137">
        <f>(C16+C17+C18)/B16</f>
        <v>0.23885714285714285</v>
      </c>
      <c r="E16" s="48">
        <f>H16</f>
        <v>5000000</v>
      </c>
      <c r="F16" s="98">
        <f>E16/B16</f>
        <v>0.014285714285714285</v>
      </c>
      <c r="G16" s="66" t="s">
        <v>75</v>
      </c>
      <c r="H16" s="75">
        <v>5000000</v>
      </c>
      <c r="I16" s="57"/>
      <c r="J16" s="62"/>
      <c r="K16" s="58"/>
      <c r="L16" s="134">
        <f>SUM(N16:N18)</f>
        <v>20924907</v>
      </c>
      <c r="M16" s="65" t="s">
        <v>107</v>
      </c>
      <c r="N16" s="75">
        <v>3500000</v>
      </c>
      <c r="O16" s="68"/>
      <c r="S16" s="49" t="s">
        <v>63</v>
      </c>
    </row>
    <row r="17" spans="1:15" s="47" customFormat="1" ht="36" customHeight="1">
      <c r="A17" s="126"/>
      <c r="B17" s="129"/>
      <c r="C17" s="29">
        <f>2600000*11</f>
        <v>28600000</v>
      </c>
      <c r="D17" s="138"/>
      <c r="E17" s="65"/>
      <c r="F17" s="29"/>
      <c r="G17" s="93"/>
      <c r="H17" s="29"/>
      <c r="I17" s="57"/>
      <c r="J17" s="62"/>
      <c r="K17" s="58"/>
      <c r="L17" s="134"/>
      <c r="M17" s="93" t="s">
        <v>117</v>
      </c>
      <c r="N17" s="74">
        <v>17424907</v>
      </c>
      <c r="O17" s="68"/>
    </row>
    <row r="18" spans="1:15" s="47" customFormat="1" ht="36" customHeight="1">
      <c r="A18" s="127"/>
      <c r="B18" s="130"/>
      <c r="C18" s="29">
        <v>22000000</v>
      </c>
      <c r="D18" s="139"/>
      <c r="E18" s="65"/>
      <c r="F18" s="29"/>
      <c r="G18" s="93"/>
      <c r="H18" s="29"/>
      <c r="I18" s="57"/>
      <c r="J18" s="62"/>
      <c r="K18" s="58"/>
      <c r="L18" s="134"/>
      <c r="M18" s="93"/>
      <c r="N18" s="75"/>
      <c r="O18" s="68"/>
    </row>
    <row r="19" spans="1:19" s="47" customFormat="1" ht="36" customHeight="1">
      <c r="A19" s="125" t="s">
        <v>64</v>
      </c>
      <c r="B19" s="128">
        <f>'[2]PROYECTO 1.3'!$G$35</f>
        <v>300000000</v>
      </c>
      <c r="C19" s="29"/>
      <c r="D19" s="29"/>
      <c r="E19" s="65">
        <f>+H19</f>
        <v>4980080</v>
      </c>
      <c r="F19" s="98">
        <f>+E19/B19</f>
        <v>0.016600266666666665</v>
      </c>
      <c r="G19" s="93" t="s">
        <v>75</v>
      </c>
      <c r="H19" s="74">
        <v>4980080</v>
      </c>
      <c r="I19" s="58"/>
      <c r="J19" s="63"/>
      <c r="K19" s="58"/>
      <c r="L19" s="131">
        <f>SUM(N19:N21)</f>
        <v>16084064</v>
      </c>
      <c r="M19" s="93" t="s">
        <v>65</v>
      </c>
      <c r="N19" s="74">
        <f>1100000*11</f>
        <v>12100000</v>
      </c>
      <c r="O19" s="68"/>
      <c r="S19" s="52"/>
    </row>
    <row r="20" spans="1:19" s="47" customFormat="1" ht="36" customHeight="1">
      <c r="A20" s="126"/>
      <c r="B20" s="129"/>
      <c r="C20" s="29"/>
      <c r="D20" s="29"/>
      <c r="E20" s="65"/>
      <c r="F20" s="29"/>
      <c r="G20" s="93"/>
      <c r="H20" s="29"/>
      <c r="I20" s="58"/>
      <c r="J20" s="63"/>
      <c r="K20" s="58"/>
      <c r="L20" s="132"/>
      <c r="M20" s="65" t="s">
        <v>107</v>
      </c>
      <c r="N20" s="74">
        <v>3984064</v>
      </c>
      <c r="O20" s="68"/>
      <c r="S20" s="52"/>
    </row>
    <row r="21" spans="1:19" s="47" customFormat="1" ht="36" customHeight="1">
      <c r="A21" s="127"/>
      <c r="B21" s="130"/>
      <c r="C21" s="29"/>
      <c r="D21" s="29"/>
      <c r="E21" s="65"/>
      <c r="F21" s="29"/>
      <c r="G21" s="93"/>
      <c r="H21" s="29"/>
      <c r="I21" s="58"/>
      <c r="J21" s="63"/>
      <c r="K21" s="58"/>
      <c r="L21" s="133"/>
      <c r="M21" s="93"/>
      <c r="N21" s="74"/>
      <c r="O21" s="68"/>
      <c r="S21" s="52"/>
    </row>
    <row r="22" spans="1:15" s="47" customFormat="1" ht="36" customHeight="1">
      <c r="A22" s="125" t="s">
        <v>66</v>
      </c>
      <c r="B22" s="128">
        <f>'[3]PROYECTO 2.1'!$E$21</f>
        <v>3677074400</v>
      </c>
      <c r="C22" s="29">
        <v>53132354</v>
      </c>
      <c r="D22" s="137">
        <f>(+C22+C23+C24+C25)/B22</f>
        <v>0.056148097520137205</v>
      </c>
      <c r="E22" s="140">
        <f>SUM(H22:H23)</f>
        <v>28000000</v>
      </c>
      <c r="F22" s="137">
        <f>+E22/B22</f>
        <v>0.007614749377929367</v>
      </c>
      <c r="G22" s="93" t="s">
        <v>118</v>
      </c>
      <c r="H22" s="29">
        <v>4000000</v>
      </c>
      <c r="I22" s="58">
        <v>42429</v>
      </c>
      <c r="J22" s="63">
        <v>0.6875</v>
      </c>
      <c r="K22" s="58">
        <v>42443</v>
      </c>
      <c r="L22" s="131">
        <f>SUM(N22:N32)</f>
        <v>101497993</v>
      </c>
      <c r="M22" s="93"/>
      <c r="N22" s="74"/>
      <c r="O22" s="68"/>
    </row>
    <row r="23" spans="1:15" s="47" customFormat="1" ht="36" customHeight="1">
      <c r="A23" s="126"/>
      <c r="B23" s="129"/>
      <c r="C23" s="29">
        <v>49328378</v>
      </c>
      <c r="D23" s="138"/>
      <c r="E23" s="141"/>
      <c r="F23" s="139"/>
      <c r="G23" s="93" t="s">
        <v>77</v>
      </c>
      <c r="H23" s="74">
        <v>24000000</v>
      </c>
      <c r="I23" s="58">
        <v>42466</v>
      </c>
      <c r="J23" s="63">
        <v>0.6875</v>
      </c>
      <c r="K23" s="58">
        <v>42480</v>
      </c>
      <c r="L23" s="132"/>
      <c r="M23" s="93" t="s">
        <v>79</v>
      </c>
      <c r="N23" s="74">
        <v>27147993</v>
      </c>
      <c r="O23" s="68"/>
    </row>
    <row r="24" spans="1:15" s="47" customFormat="1" ht="36" customHeight="1">
      <c r="A24" s="126"/>
      <c r="B24" s="129"/>
      <c r="C24" s="29">
        <v>34000000</v>
      </c>
      <c r="D24" s="138"/>
      <c r="E24" s="65"/>
      <c r="F24" s="29"/>
      <c r="G24" s="93"/>
      <c r="H24" s="29"/>
      <c r="I24" s="58"/>
      <c r="J24" s="63"/>
      <c r="K24" s="58"/>
      <c r="L24" s="132"/>
      <c r="M24" s="93" t="s">
        <v>80</v>
      </c>
      <c r="N24" s="74">
        <v>55400000</v>
      </c>
      <c r="O24" s="68"/>
    </row>
    <row r="25" spans="1:15" s="47" customFormat="1" ht="36" customHeight="1">
      <c r="A25" s="126"/>
      <c r="B25" s="129"/>
      <c r="C25" s="29">
        <v>70000000</v>
      </c>
      <c r="D25" s="139"/>
      <c r="E25" s="65"/>
      <c r="F25" s="29"/>
      <c r="G25" s="93"/>
      <c r="H25" s="29"/>
      <c r="I25" s="58"/>
      <c r="J25" s="63"/>
      <c r="K25" s="58"/>
      <c r="L25" s="132"/>
      <c r="M25" s="93" t="s">
        <v>81</v>
      </c>
      <c r="N25" s="74">
        <v>12650000</v>
      </c>
      <c r="O25" s="68"/>
    </row>
    <row r="26" spans="1:15" s="47" customFormat="1" ht="36" customHeight="1">
      <c r="A26" s="126"/>
      <c r="B26" s="129"/>
      <c r="C26" s="29"/>
      <c r="D26" s="29"/>
      <c r="E26" s="65"/>
      <c r="F26" s="29"/>
      <c r="G26" s="93"/>
      <c r="H26" s="29"/>
      <c r="I26" s="58"/>
      <c r="J26" s="63"/>
      <c r="K26" s="58"/>
      <c r="L26" s="132"/>
      <c r="M26" s="93" t="s">
        <v>82</v>
      </c>
      <c r="N26" s="74">
        <v>6300000</v>
      </c>
      <c r="O26" s="68"/>
    </row>
    <row r="27" spans="1:16" s="47" customFormat="1" ht="36" customHeight="1">
      <c r="A27" s="126"/>
      <c r="B27" s="129"/>
      <c r="C27" s="29"/>
      <c r="D27" s="29"/>
      <c r="E27" s="65"/>
      <c r="F27" s="29"/>
      <c r="G27" s="93"/>
      <c r="H27" s="29"/>
      <c r="I27" s="58"/>
      <c r="J27" s="63"/>
      <c r="K27" s="58"/>
      <c r="L27" s="132"/>
      <c r="M27" s="93"/>
      <c r="N27" s="74"/>
      <c r="O27" s="68">
        <v>138845373</v>
      </c>
      <c r="P27" s="47" t="s">
        <v>83</v>
      </c>
    </row>
    <row r="28" spans="1:15" s="47" customFormat="1" ht="36" customHeight="1">
      <c r="A28" s="126"/>
      <c r="B28" s="129"/>
      <c r="C28" s="29"/>
      <c r="D28" s="29"/>
      <c r="E28" s="65"/>
      <c r="F28" s="29"/>
      <c r="G28" s="93"/>
      <c r="H28" s="29"/>
      <c r="I28" s="58"/>
      <c r="J28" s="63"/>
      <c r="K28" s="58"/>
      <c r="L28" s="132"/>
      <c r="M28" s="93"/>
      <c r="N28" s="74"/>
      <c r="O28" s="68"/>
    </row>
    <row r="29" spans="1:15" s="47" customFormat="1" ht="36" customHeight="1">
      <c r="A29" s="126"/>
      <c r="B29" s="129"/>
      <c r="C29" s="29"/>
      <c r="D29" s="29"/>
      <c r="E29" s="65"/>
      <c r="F29" s="29"/>
      <c r="G29" s="93"/>
      <c r="H29" s="29"/>
      <c r="I29" s="58"/>
      <c r="J29" s="63"/>
      <c r="K29" s="58"/>
      <c r="L29" s="132"/>
      <c r="M29" s="93"/>
      <c r="N29" s="74"/>
      <c r="O29" s="68"/>
    </row>
    <row r="30" spans="1:15" s="47" customFormat="1" ht="36" customHeight="1">
      <c r="A30" s="126"/>
      <c r="B30" s="129"/>
      <c r="C30" s="29"/>
      <c r="D30" s="29"/>
      <c r="E30" s="65"/>
      <c r="F30" s="29"/>
      <c r="G30" s="93"/>
      <c r="H30" s="29"/>
      <c r="I30" s="58"/>
      <c r="J30" s="63"/>
      <c r="K30" s="58"/>
      <c r="L30" s="132"/>
      <c r="M30" s="93"/>
      <c r="N30" s="74"/>
      <c r="O30" s="68"/>
    </row>
    <row r="31" spans="1:15" s="47" customFormat="1" ht="36" customHeight="1">
      <c r="A31" s="126"/>
      <c r="B31" s="129"/>
      <c r="C31" s="29"/>
      <c r="D31" s="29"/>
      <c r="E31" s="65"/>
      <c r="F31" s="29"/>
      <c r="G31" s="93"/>
      <c r="H31" s="29"/>
      <c r="I31" s="58"/>
      <c r="J31" s="63"/>
      <c r="K31" s="58"/>
      <c r="L31" s="132"/>
      <c r="M31" s="93"/>
      <c r="N31" s="74"/>
      <c r="O31" s="68"/>
    </row>
    <row r="32" spans="1:15" s="47" customFormat="1" ht="36" customHeight="1">
      <c r="A32" s="127"/>
      <c r="B32" s="130"/>
      <c r="C32" s="29"/>
      <c r="D32" s="29"/>
      <c r="E32" s="65"/>
      <c r="F32" s="29"/>
      <c r="G32" s="93"/>
      <c r="H32" s="29"/>
      <c r="I32" s="58"/>
      <c r="J32" s="63"/>
      <c r="K32" s="58"/>
      <c r="L32" s="133"/>
      <c r="M32" s="93"/>
      <c r="N32" s="74"/>
      <c r="O32" s="68"/>
    </row>
    <row r="33" spans="1:19" s="47" customFormat="1" ht="36" customHeight="1">
      <c r="A33" s="125" t="s">
        <v>67</v>
      </c>
      <c r="B33" s="128">
        <f>'[3]FUENTES Y USOS'!$J$9</f>
        <v>3879818414.6</v>
      </c>
      <c r="C33" s="29"/>
      <c r="D33" s="29"/>
      <c r="E33" s="65"/>
      <c r="F33" s="29"/>
      <c r="G33" s="93"/>
      <c r="H33" s="29"/>
      <c r="I33" s="58"/>
      <c r="J33" s="63"/>
      <c r="K33" s="58"/>
      <c r="L33" s="131">
        <f>SUM(N33:N39)</f>
        <v>2219720101</v>
      </c>
      <c r="M33" s="53" t="s">
        <v>119</v>
      </c>
      <c r="N33" s="74">
        <v>35564105</v>
      </c>
      <c r="O33" s="68"/>
      <c r="S33" s="52"/>
    </row>
    <row r="34" spans="1:19" s="47" customFormat="1" ht="49.5" customHeight="1">
      <c r="A34" s="126"/>
      <c r="B34" s="129"/>
      <c r="C34" s="29"/>
      <c r="D34" s="29"/>
      <c r="E34" s="65"/>
      <c r="F34" s="29"/>
      <c r="G34" s="93"/>
      <c r="H34" s="29"/>
      <c r="I34" s="58"/>
      <c r="J34" s="63"/>
      <c r="K34" s="58"/>
      <c r="L34" s="132"/>
      <c r="M34" s="53" t="s">
        <v>78</v>
      </c>
      <c r="N34" s="74">
        <v>121523950</v>
      </c>
      <c r="O34" s="68"/>
      <c r="S34" s="52"/>
    </row>
    <row r="35" spans="1:19" s="47" customFormat="1" ht="36" customHeight="1">
      <c r="A35" s="126"/>
      <c r="B35" s="129"/>
      <c r="C35" s="29"/>
      <c r="D35" s="29"/>
      <c r="E35" s="65"/>
      <c r="F35" s="29"/>
      <c r="G35" s="93"/>
      <c r="H35" s="29"/>
      <c r="I35" s="58"/>
      <c r="J35" s="63"/>
      <c r="K35" s="58"/>
      <c r="L35" s="132"/>
      <c r="M35" s="53" t="s">
        <v>120</v>
      </c>
      <c r="N35" s="74">
        <v>1962431305</v>
      </c>
      <c r="O35" s="68"/>
      <c r="S35" s="52"/>
    </row>
    <row r="36" spans="1:19" s="47" customFormat="1" ht="36" customHeight="1">
      <c r="A36" s="126"/>
      <c r="B36" s="129"/>
      <c r="C36" s="29"/>
      <c r="D36" s="29"/>
      <c r="E36" s="65"/>
      <c r="F36" s="29"/>
      <c r="G36" s="93"/>
      <c r="H36" s="29"/>
      <c r="I36" s="58"/>
      <c r="J36" s="63"/>
      <c r="K36" s="58"/>
      <c r="L36" s="132"/>
      <c r="M36" s="53" t="s">
        <v>121</v>
      </c>
      <c r="N36" s="74">
        <v>35564105</v>
      </c>
      <c r="O36" s="68"/>
      <c r="S36" s="52"/>
    </row>
    <row r="37" spans="1:19" s="47" customFormat="1" ht="36" customHeight="1">
      <c r="A37" s="126"/>
      <c r="B37" s="129"/>
      <c r="C37" s="29"/>
      <c r="D37" s="29"/>
      <c r="E37" s="65"/>
      <c r="F37" s="29"/>
      <c r="G37" s="93"/>
      <c r="H37" s="29"/>
      <c r="I37" s="58"/>
      <c r="J37" s="63"/>
      <c r="K37" s="58"/>
      <c r="L37" s="132"/>
      <c r="M37" s="53" t="s">
        <v>122</v>
      </c>
      <c r="N37" s="74">
        <v>45589873</v>
      </c>
      <c r="O37" s="68"/>
      <c r="S37" s="52"/>
    </row>
    <row r="38" spans="1:19" s="47" customFormat="1" ht="36" customHeight="1">
      <c r="A38" s="126"/>
      <c r="B38" s="129"/>
      <c r="C38" s="29"/>
      <c r="D38" s="29"/>
      <c r="E38" s="65"/>
      <c r="F38" s="29"/>
      <c r="G38" s="93"/>
      <c r="H38" s="29"/>
      <c r="I38" s="58"/>
      <c r="J38" s="63"/>
      <c r="K38" s="58"/>
      <c r="L38" s="132"/>
      <c r="M38" s="53" t="s">
        <v>123</v>
      </c>
      <c r="N38" s="74">
        <v>19046763</v>
      </c>
      <c r="O38" s="68"/>
      <c r="S38" s="52"/>
    </row>
    <row r="39" spans="1:19" s="47" customFormat="1" ht="36" customHeight="1">
      <c r="A39" s="127"/>
      <c r="B39" s="130"/>
      <c r="C39" s="29"/>
      <c r="D39" s="29"/>
      <c r="E39" s="65"/>
      <c r="F39" s="29"/>
      <c r="G39" s="93"/>
      <c r="H39" s="29"/>
      <c r="I39" s="58"/>
      <c r="J39" s="63"/>
      <c r="K39" s="58"/>
      <c r="L39" s="133"/>
      <c r="M39" s="53"/>
      <c r="N39" s="74"/>
      <c r="O39" s="68"/>
      <c r="S39" s="52"/>
    </row>
    <row r="40" spans="1:19" s="47" customFormat="1" ht="36" customHeight="1">
      <c r="A40" s="125" t="s">
        <v>86</v>
      </c>
      <c r="B40" s="128">
        <v>1528730952</v>
      </c>
      <c r="C40" s="82">
        <f>109811113+30120000</f>
        <v>139931113</v>
      </c>
      <c r="D40" s="84">
        <f>+C40/B78</f>
        <v>0.006670085930264739</v>
      </c>
      <c r="E40" s="65">
        <v>0</v>
      </c>
      <c r="F40" s="29"/>
      <c r="G40" s="93"/>
      <c r="H40" s="29"/>
      <c r="I40" s="58"/>
      <c r="J40" s="63"/>
      <c r="K40" s="58"/>
      <c r="L40" s="131">
        <f>SUM(N40:N46)</f>
        <v>152400000</v>
      </c>
      <c r="M40" s="53" t="s">
        <v>90</v>
      </c>
      <c r="N40" s="74">
        <v>23400000</v>
      </c>
      <c r="O40" s="68"/>
      <c r="S40" s="52"/>
    </row>
    <row r="41" spans="1:19" s="47" customFormat="1" ht="36" customHeight="1">
      <c r="A41" s="126"/>
      <c r="B41" s="129"/>
      <c r="C41" s="29">
        <v>0</v>
      </c>
      <c r="D41" s="29"/>
      <c r="E41" s="65">
        <v>0</v>
      </c>
      <c r="F41" s="29"/>
      <c r="G41" s="93"/>
      <c r="H41" s="29"/>
      <c r="I41" s="58"/>
      <c r="J41" s="63"/>
      <c r="K41" s="58"/>
      <c r="L41" s="132"/>
      <c r="M41" s="53" t="s">
        <v>91</v>
      </c>
      <c r="N41" s="74">
        <v>18900000</v>
      </c>
      <c r="O41" s="68"/>
      <c r="S41" s="52"/>
    </row>
    <row r="42" spans="1:19" s="47" customFormat="1" ht="36" customHeight="1">
      <c r="A42" s="126"/>
      <c r="B42" s="129"/>
      <c r="C42" s="29">
        <v>0</v>
      </c>
      <c r="D42" s="29"/>
      <c r="E42" s="65">
        <v>0</v>
      </c>
      <c r="F42" s="29"/>
      <c r="G42" s="93"/>
      <c r="H42" s="29"/>
      <c r="I42" s="58"/>
      <c r="J42" s="63"/>
      <c r="K42" s="58"/>
      <c r="L42" s="132"/>
      <c r="M42" s="53" t="s">
        <v>87</v>
      </c>
      <c r="N42" s="74">
        <v>21000000</v>
      </c>
      <c r="O42" s="68"/>
      <c r="S42" s="52"/>
    </row>
    <row r="43" spans="1:19" s="47" customFormat="1" ht="36" customHeight="1">
      <c r="A43" s="126"/>
      <c r="B43" s="129"/>
      <c r="C43" s="29">
        <v>0</v>
      </c>
      <c r="D43" s="29"/>
      <c r="E43" s="65">
        <v>0</v>
      </c>
      <c r="F43" s="29"/>
      <c r="G43" s="93"/>
      <c r="H43" s="29"/>
      <c r="I43" s="58"/>
      <c r="J43" s="63"/>
      <c r="K43" s="58"/>
      <c r="L43" s="132"/>
      <c r="M43" s="53" t="s">
        <v>89</v>
      </c>
      <c r="N43" s="74">
        <v>23400000</v>
      </c>
      <c r="O43" s="68"/>
      <c r="S43" s="52"/>
    </row>
    <row r="44" spans="1:19" s="47" customFormat="1" ht="36" customHeight="1">
      <c r="A44" s="126"/>
      <c r="B44" s="129"/>
      <c r="C44" s="29"/>
      <c r="D44" s="29"/>
      <c r="E44" s="65"/>
      <c r="F44" s="29"/>
      <c r="G44" s="93"/>
      <c r="H44" s="29"/>
      <c r="I44" s="58"/>
      <c r="J44" s="63"/>
      <c r="K44" s="58"/>
      <c r="L44" s="132"/>
      <c r="M44" s="53" t="s">
        <v>92</v>
      </c>
      <c r="N44" s="74">
        <v>20800000</v>
      </c>
      <c r="O44" s="68"/>
      <c r="S44" s="52"/>
    </row>
    <row r="45" spans="1:19" s="47" customFormat="1" ht="48" customHeight="1">
      <c r="A45" s="126"/>
      <c r="B45" s="129"/>
      <c r="C45" s="29"/>
      <c r="D45" s="29"/>
      <c r="E45" s="65"/>
      <c r="F45" s="29"/>
      <c r="G45" s="93"/>
      <c r="H45" s="29"/>
      <c r="I45" s="58"/>
      <c r="J45" s="63"/>
      <c r="K45" s="58"/>
      <c r="L45" s="132"/>
      <c r="M45" s="53" t="s">
        <v>93</v>
      </c>
      <c r="N45" s="74">
        <v>18900000</v>
      </c>
      <c r="O45" s="68"/>
      <c r="S45" s="52"/>
    </row>
    <row r="46" spans="1:19" s="47" customFormat="1" ht="36" customHeight="1">
      <c r="A46" s="127"/>
      <c r="B46" s="130"/>
      <c r="C46" s="29">
        <v>0</v>
      </c>
      <c r="D46" s="29"/>
      <c r="E46" s="65">
        <v>0</v>
      </c>
      <c r="F46" s="29"/>
      <c r="G46" s="93"/>
      <c r="H46" s="29"/>
      <c r="I46" s="58"/>
      <c r="J46" s="63"/>
      <c r="K46" s="58"/>
      <c r="L46" s="133"/>
      <c r="M46" s="53" t="s">
        <v>88</v>
      </c>
      <c r="N46" s="74">
        <v>26000000</v>
      </c>
      <c r="O46" s="68"/>
      <c r="S46" s="52"/>
    </row>
    <row r="47" spans="1:15" s="47" customFormat="1" ht="36" customHeight="1">
      <c r="A47" s="95" t="s">
        <v>68</v>
      </c>
      <c r="B47" s="51">
        <f>+'[4]FUENTES Y USOS'!$J$11</f>
        <v>1073210483</v>
      </c>
      <c r="C47" s="29"/>
      <c r="D47" s="29"/>
      <c r="E47" s="65"/>
      <c r="F47" s="29"/>
      <c r="G47" s="93"/>
      <c r="H47" s="29"/>
      <c r="I47" s="58"/>
      <c r="J47" s="63"/>
      <c r="K47" s="58"/>
      <c r="L47" s="29"/>
      <c r="M47" s="93"/>
      <c r="N47" s="74"/>
      <c r="O47" s="68"/>
    </row>
    <row r="48" spans="1:15" s="47" customFormat="1" ht="36" customHeight="1">
      <c r="A48" s="125" t="s">
        <v>69</v>
      </c>
      <c r="B48" s="128">
        <v>289000000</v>
      </c>
      <c r="C48" s="29"/>
      <c r="D48" s="29"/>
      <c r="E48" s="65">
        <f>+H48</f>
        <v>7000000</v>
      </c>
      <c r="F48" s="83">
        <f>+E48/B48</f>
        <v>0.02422145328719723</v>
      </c>
      <c r="G48" s="93" t="s">
        <v>75</v>
      </c>
      <c r="H48" s="74">
        <v>7000000</v>
      </c>
      <c r="I48" s="58"/>
      <c r="J48" s="63"/>
      <c r="K48" s="58"/>
      <c r="L48" s="131">
        <f>SUM(N48:N50)</f>
        <v>41945418</v>
      </c>
      <c r="M48" s="65" t="s">
        <v>107</v>
      </c>
      <c r="N48" s="74">
        <v>18545418</v>
      </c>
      <c r="O48" s="68"/>
    </row>
    <row r="49" spans="1:15" s="47" customFormat="1" ht="36" customHeight="1">
      <c r="A49" s="126"/>
      <c r="B49" s="129"/>
      <c r="C49" s="28"/>
      <c r="D49" s="28"/>
      <c r="E49" s="85"/>
      <c r="F49" s="28"/>
      <c r="G49" s="86"/>
      <c r="H49" s="97"/>
      <c r="I49" s="87"/>
      <c r="J49" s="88"/>
      <c r="K49" s="87"/>
      <c r="L49" s="132"/>
      <c r="M49" s="85" t="s">
        <v>124</v>
      </c>
      <c r="N49" s="89">
        <v>23400000</v>
      </c>
      <c r="O49" s="68" t="s">
        <v>3</v>
      </c>
    </row>
    <row r="50" spans="1:15" s="47" customFormat="1" ht="36" customHeight="1">
      <c r="A50" s="127"/>
      <c r="B50" s="130"/>
      <c r="C50" s="28"/>
      <c r="D50" s="28"/>
      <c r="E50" s="85"/>
      <c r="F50" s="28"/>
      <c r="G50" s="86"/>
      <c r="H50" s="97"/>
      <c r="I50" s="87"/>
      <c r="J50" s="88"/>
      <c r="K50" s="87"/>
      <c r="L50" s="133"/>
      <c r="M50" s="85"/>
      <c r="N50" s="89"/>
      <c r="O50" s="68"/>
    </row>
    <row r="51" spans="1:15" s="47" customFormat="1" ht="36" customHeight="1">
      <c r="A51" s="94" t="s">
        <v>94</v>
      </c>
      <c r="B51" s="67">
        <v>1000000000</v>
      </c>
      <c r="C51" s="28">
        <v>0</v>
      </c>
      <c r="D51" s="28"/>
      <c r="E51" s="85">
        <v>0</v>
      </c>
      <c r="F51" s="28"/>
      <c r="G51" s="86"/>
      <c r="H51" s="29"/>
      <c r="I51" s="87"/>
      <c r="J51" s="88"/>
      <c r="K51" s="87"/>
      <c r="L51" s="28"/>
      <c r="M51" s="65" t="s">
        <v>107</v>
      </c>
      <c r="N51" s="89">
        <v>24900398</v>
      </c>
      <c r="O51" s="68"/>
    </row>
    <row r="52" spans="1:15" s="47" customFormat="1" ht="36" customHeight="1">
      <c r="A52" s="135" t="s">
        <v>95</v>
      </c>
      <c r="B52" s="136">
        <v>2132498061</v>
      </c>
      <c r="C52" s="29">
        <f>528318156+6702228</f>
        <v>535020384</v>
      </c>
      <c r="D52" s="83">
        <f>+C52/B78</f>
        <v>0.025502776753610453</v>
      </c>
      <c r="E52" s="65">
        <f>+H52</f>
        <v>9957580</v>
      </c>
      <c r="F52" s="83">
        <f>+E52/B52</f>
        <v>0.004669443870598671</v>
      </c>
      <c r="G52" s="93" t="s">
        <v>75</v>
      </c>
      <c r="H52" s="74">
        <f>4980080+4977500</f>
        <v>9957580</v>
      </c>
      <c r="I52" s="29"/>
      <c r="J52" s="29"/>
      <c r="K52" s="29"/>
      <c r="L52" s="131">
        <f>SUM(N52:N61)</f>
        <v>216159219</v>
      </c>
      <c r="M52" s="93" t="s">
        <v>96</v>
      </c>
      <c r="N52" s="74">
        <v>11500000</v>
      </c>
      <c r="O52" s="68"/>
    </row>
    <row r="53" spans="1:15" s="47" customFormat="1" ht="51" customHeight="1">
      <c r="A53" s="135"/>
      <c r="B53" s="136"/>
      <c r="C53" s="29"/>
      <c r="D53" s="83"/>
      <c r="E53" s="65">
        <v>0</v>
      </c>
      <c r="F53" s="29"/>
      <c r="G53" s="93"/>
      <c r="H53" s="29"/>
      <c r="I53" s="29"/>
      <c r="J53" s="29"/>
      <c r="K53" s="29"/>
      <c r="L53" s="132"/>
      <c r="M53" s="93" t="s">
        <v>97</v>
      </c>
      <c r="N53" s="74">
        <v>26000000</v>
      </c>
      <c r="O53" s="68"/>
    </row>
    <row r="54" spans="1:15" s="47" customFormat="1" ht="58.5" customHeight="1">
      <c r="A54" s="135"/>
      <c r="B54" s="136"/>
      <c r="C54" s="29"/>
      <c r="D54" s="83"/>
      <c r="E54" s="65">
        <v>0</v>
      </c>
      <c r="F54" s="29"/>
      <c r="G54" s="93"/>
      <c r="H54" s="29"/>
      <c r="I54" s="29"/>
      <c r="J54" s="29"/>
      <c r="K54" s="29"/>
      <c r="L54" s="132"/>
      <c r="M54" s="93" t="s">
        <v>98</v>
      </c>
      <c r="N54" s="74">
        <v>22050000</v>
      </c>
      <c r="O54" s="68"/>
    </row>
    <row r="55" spans="1:15" s="47" customFormat="1" ht="36" customHeight="1">
      <c r="A55" s="135"/>
      <c r="B55" s="136"/>
      <c r="C55" s="29"/>
      <c r="D55" s="83"/>
      <c r="E55" s="65">
        <v>0</v>
      </c>
      <c r="F55" s="29"/>
      <c r="G55" s="93"/>
      <c r="H55" s="29"/>
      <c r="I55" s="29"/>
      <c r="J55" s="29"/>
      <c r="K55" s="29"/>
      <c r="L55" s="132"/>
      <c r="M55" s="93" t="s">
        <v>99</v>
      </c>
      <c r="N55" s="74">
        <v>18900000</v>
      </c>
      <c r="O55" s="68"/>
    </row>
    <row r="56" spans="1:15" s="47" customFormat="1" ht="49.5" customHeight="1">
      <c r="A56" s="135"/>
      <c r="B56" s="136"/>
      <c r="C56" s="29"/>
      <c r="D56" s="83"/>
      <c r="E56" s="65">
        <v>0</v>
      </c>
      <c r="F56" s="29"/>
      <c r="G56" s="93"/>
      <c r="H56" s="29"/>
      <c r="I56" s="29"/>
      <c r="J56" s="29"/>
      <c r="K56" s="29"/>
      <c r="L56" s="132"/>
      <c r="M56" s="93" t="s">
        <v>100</v>
      </c>
      <c r="N56" s="74">
        <v>23100000</v>
      </c>
      <c r="O56" s="68"/>
    </row>
    <row r="57" spans="1:15" s="47" customFormat="1" ht="49.5" customHeight="1">
      <c r="A57" s="135"/>
      <c r="B57" s="136"/>
      <c r="C57" s="29"/>
      <c r="D57" s="83"/>
      <c r="E57" s="65"/>
      <c r="F57" s="29"/>
      <c r="G57" s="93"/>
      <c r="H57" s="29"/>
      <c r="I57" s="29"/>
      <c r="J57" s="29"/>
      <c r="K57" s="29"/>
      <c r="L57" s="132"/>
      <c r="M57" s="93" t="s">
        <v>103</v>
      </c>
      <c r="N57" s="74">
        <v>11500000</v>
      </c>
      <c r="O57" s="68"/>
    </row>
    <row r="58" spans="1:15" s="47" customFormat="1" ht="36" customHeight="1">
      <c r="A58" s="135"/>
      <c r="B58" s="136"/>
      <c r="C58" s="29"/>
      <c r="D58" s="83"/>
      <c r="E58" s="65">
        <v>0</v>
      </c>
      <c r="F58" s="29"/>
      <c r="G58" s="93"/>
      <c r="H58" s="29"/>
      <c r="I58" s="29"/>
      <c r="J58" s="29"/>
      <c r="K58" s="29"/>
      <c r="L58" s="132"/>
      <c r="M58" s="93" t="s">
        <v>101</v>
      </c>
      <c r="N58" s="74">
        <v>34000000</v>
      </c>
      <c r="O58" s="68"/>
    </row>
    <row r="59" spans="1:15" s="47" customFormat="1" ht="36" customHeight="1">
      <c r="A59" s="135"/>
      <c r="B59" s="136"/>
      <c r="C59" s="29"/>
      <c r="D59" s="83"/>
      <c r="E59" s="65"/>
      <c r="F59" s="29"/>
      <c r="G59" s="93"/>
      <c r="H59" s="29"/>
      <c r="I59" s="29"/>
      <c r="J59" s="29"/>
      <c r="K59" s="29"/>
      <c r="L59" s="132"/>
      <c r="M59" s="93" t="s">
        <v>102</v>
      </c>
      <c r="N59" s="74">
        <v>21000000</v>
      </c>
      <c r="O59" s="68"/>
    </row>
    <row r="60" spans="1:15" s="47" customFormat="1" ht="36" customHeight="1">
      <c r="A60" s="135"/>
      <c r="B60" s="136"/>
      <c r="C60" s="29"/>
      <c r="D60" s="83"/>
      <c r="E60" s="65"/>
      <c r="F60" s="29"/>
      <c r="G60" s="93"/>
      <c r="H60" s="29"/>
      <c r="I60" s="29"/>
      <c r="J60" s="29"/>
      <c r="K60" s="29"/>
      <c r="L60" s="132"/>
      <c r="M60" s="93" t="s">
        <v>104</v>
      </c>
      <c r="N60" s="74">
        <f>14094450*2</f>
        <v>28188900</v>
      </c>
      <c r="O60" s="68"/>
    </row>
    <row r="61" spans="1:15" s="47" customFormat="1" ht="36" customHeight="1">
      <c r="A61" s="135"/>
      <c r="B61" s="136"/>
      <c r="C61" s="29"/>
      <c r="D61" s="83"/>
      <c r="E61" s="65"/>
      <c r="F61" s="29"/>
      <c r="G61" s="93"/>
      <c r="H61" s="29"/>
      <c r="I61" s="29"/>
      <c r="J61" s="29"/>
      <c r="K61" s="29"/>
      <c r="L61" s="132"/>
      <c r="M61" s="65" t="s">
        <v>107</v>
      </c>
      <c r="N61" s="74">
        <v>19920319</v>
      </c>
      <c r="O61" s="68"/>
    </row>
    <row r="62" spans="1:15" s="47" customFormat="1" ht="36" customHeight="1">
      <c r="A62" s="135"/>
      <c r="B62" s="136"/>
      <c r="C62" s="29"/>
      <c r="D62" s="83"/>
      <c r="E62" s="65"/>
      <c r="F62" s="29"/>
      <c r="G62" s="93"/>
      <c r="H62" s="29"/>
      <c r="I62" s="29"/>
      <c r="J62" s="29"/>
      <c r="K62" s="29"/>
      <c r="L62" s="132"/>
      <c r="M62" s="93"/>
      <c r="N62" s="29"/>
      <c r="O62" s="68"/>
    </row>
    <row r="63" spans="1:15" s="47" customFormat="1" ht="36" customHeight="1">
      <c r="A63" s="125" t="s">
        <v>76</v>
      </c>
      <c r="B63" s="128">
        <v>520000000</v>
      </c>
      <c r="C63" s="29">
        <v>18500000</v>
      </c>
      <c r="D63" s="29"/>
      <c r="E63" s="65">
        <f>+H63</f>
        <v>2000000</v>
      </c>
      <c r="F63" s="83">
        <f>+E63/B63</f>
        <v>0.0038461538461538464</v>
      </c>
      <c r="G63" s="93" t="s">
        <v>75</v>
      </c>
      <c r="H63" s="29">
        <v>2000000</v>
      </c>
      <c r="I63" s="58"/>
      <c r="J63" s="63"/>
      <c r="K63" s="58"/>
      <c r="L63" s="134">
        <f>SUM(N63:N64)</f>
        <v>21984064</v>
      </c>
      <c r="M63" s="65" t="s">
        <v>107</v>
      </c>
      <c r="N63" s="29">
        <v>3984064</v>
      </c>
      <c r="O63" s="68"/>
    </row>
    <row r="64" spans="1:15" s="47" customFormat="1" ht="45.75" customHeight="1">
      <c r="A64" s="126"/>
      <c r="B64" s="129"/>
      <c r="C64" s="29">
        <v>23200000</v>
      </c>
      <c r="D64" s="29"/>
      <c r="E64" s="65"/>
      <c r="F64" s="29"/>
      <c r="G64" s="93"/>
      <c r="H64" s="29"/>
      <c r="I64" s="58"/>
      <c r="J64" s="63"/>
      <c r="K64" s="58"/>
      <c r="L64" s="134"/>
      <c r="M64" s="93" t="s">
        <v>116</v>
      </c>
      <c r="N64" s="29">
        <v>18000000</v>
      </c>
      <c r="O64" s="68"/>
    </row>
    <row r="65" spans="1:15" s="47" customFormat="1" ht="36" customHeight="1">
      <c r="A65" s="127"/>
      <c r="B65" s="130"/>
      <c r="C65" s="29">
        <v>69120754</v>
      </c>
      <c r="D65" s="29"/>
      <c r="E65" s="65"/>
      <c r="F65" s="29"/>
      <c r="G65" s="93"/>
      <c r="H65" s="29"/>
      <c r="I65" s="58"/>
      <c r="J65" s="63"/>
      <c r="K65" s="58"/>
      <c r="L65" s="134"/>
      <c r="M65" s="50"/>
      <c r="N65" s="50"/>
      <c r="O65" s="68"/>
    </row>
    <row r="66" spans="1:15" s="47" customFormat="1" ht="36" customHeight="1">
      <c r="A66" s="125" t="s">
        <v>70</v>
      </c>
      <c r="B66" s="128">
        <f>'[2]PROYECTO 5.1'!$F$24</f>
        <v>700000000</v>
      </c>
      <c r="C66" s="29">
        <f>3400000*11</f>
        <v>37400000</v>
      </c>
      <c r="D66" s="29"/>
      <c r="E66" s="65">
        <f>+H66</f>
        <v>9960159</v>
      </c>
      <c r="F66" s="83">
        <f>E66/B66</f>
        <v>0.014228798571428572</v>
      </c>
      <c r="G66" s="93" t="s">
        <v>75</v>
      </c>
      <c r="H66" s="74">
        <v>9960159</v>
      </c>
      <c r="I66" s="58"/>
      <c r="J66" s="63"/>
      <c r="K66" s="58"/>
      <c r="L66" s="131">
        <f>SUM(N66:N69)</f>
        <v>4980080</v>
      </c>
      <c r="M66" s="65" t="s">
        <v>107</v>
      </c>
      <c r="N66" s="74">
        <v>4980080</v>
      </c>
      <c r="O66" s="68"/>
    </row>
    <row r="67" spans="1:15" s="47" customFormat="1" ht="36" customHeight="1">
      <c r="A67" s="126"/>
      <c r="B67" s="129"/>
      <c r="C67" s="29">
        <f>2600000*11</f>
        <v>28600000</v>
      </c>
      <c r="D67" s="29"/>
      <c r="E67" s="65"/>
      <c r="F67" s="29"/>
      <c r="G67" s="93"/>
      <c r="H67" s="29"/>
      <c r="I67" s="58"/>
      <c r="J67" s="63"/>
      <c r="K67" s="58"/>
      <c r="L67" s="132"/>
      <c r="M67" s="93"/>
      <c r="N67" s="74"/>
      <c r="O67" s="68"/>
    </row>
    <row r="68" spans="1:15" s="47" customFormat="1" ht="36" customHeight="1">
      <c r="A68" s="126"/>
      <c r="B68" s="129"/>
      <c r="C68" s="29">
        <f>2600000*11</f>
        <v>28600000</v>
      </c>
      <c r="D68" s="29"/>
      <c r="E68" s="65"/>
      <c r="F68" s="29"/>
      <c r="G68" s="93"/>
      <c r="H68" s="29"/>
      <c r="I68" s="58"/>
      <c r="J68" s="63"/>
      <c r="K68" s="58"/>
      <c r="L68" s="132"/>
      <c r="M68" s="93"/>
      <c r="N68" s="74"/>
      <c r="O68" s="68"/>
    </row>
    <row r="69" spans="1:15" s="47" customFormat="1" ht="36" customHeight="1">
      <c r="A69" s="127"/>
      <c r="B69" s="130"/>
      <c r="C69" s="29">
        <v>35200000</v>
      </c>
      <c r="D69" s="29"/>
      <c r="E69" s="65"/>
      <c r="F69" s="29"/>
      <c r="G69" s="93"/>
      <c r="H69" s="29"/>
      <c r="I69" s="58"/>
      <c r="J69" s="63"/>
      <c r="K69" s="58"/>
      <c r="L69" s="133"/>
      <c r="M69" s="93"/>
      <c r="N69" s="74"/>
      <c r="O69" s="68"/>
    </row>
    <row r="70" spans="1:15" s="47" customFormat="1" ht="36" customHeight="1">
      <c r="A70" s="125" t="s">
        <v>63</v>
      </c>
      <c r="B70" s="128">
        <f>'[2]PROYECTO 6.1'!$F$23</f>
        <v>250000000.4</v>
      </c>
      <c r="C70" s="29">
        <v>22242372</v>
      </c>
      <c r="D70" s="29"/>
      <c r="E70" s="65">
        <f>+H70</f>
        <v>5000000</v>
      </c>
      <c r="F70" s="83">
        <f>+E70/B70</f>
        <v>0.019999999968</v>
      </c>
      <c r="G70" s="93" t="s">
        <v>75</v>
      </c>
      <c r="H70" s="74">
        <v>5000000</v>
      </c>
      <c r="I70" s="58"/>
      <c r="J70" s="63"/>
      <c r="K70" s="58"/>
      <c r="L70" s="131">
        <f>SUM(N70:N73)</f>
        <v>26500000</v>
      </c>
      <c r="M70" s="65" t="s">
        <v>107</v>
      </c>
      <c r="N70" s="74">
        <v>5000000</v>
      </c>
      <c r="O70" s="68"/>
    </row>
    <row r="71" spans="1:15" s="47" customFormat="1" ht="36" customHeight="1">
      <c r="A71" s="126"/>
      <c r="B71" s="129"/>
      <c r="C71" s="29"/>
      <c r="D71" s="29"/>
      <c r="E71" s="65"/>
      <c r="F71" s="29"/>
      <c r="G71" s="93"/>
      <c r="H71" s="29"/>
      <c r="I71" s="58"/>
      <c r="J71" s="63"/>
      <c r="K71" s="58"/>
      <c r="L71" s="132"/>
      <c r="M71" s="93" t="s">
        <v>125</v>
      </c>
      <c r="N71" s="74">
        <v>21500000</v>
      </c>
      <c r="O71" s="68"/>
    </row>
    <row r="72" spans="1:15" s="47" customFormat="1" ht="36" customHeight="1">
      <c r="A72" s="126"/>
      <c r="B72" s="129"/>
      <c r="C72" s="29"/>
      <c r="D72" s="29"/>
      <c r="E72" s="65"/>
      <c r="F72" s="29"/>
      <c r="G72" s="93"/>
      <c r="H72" s="29"/>
      <c r="I72" s="58"/>
      <c r="J72" s="63"/>
      <c r="K72" s="58"/>
      <c r="L72" s="132"/>
      <c r="M72" s="93"/>
      <c r="N72" s="74"/>
      <c r="O72" s="68"/>
    </row>
    <row r="73" spans="1:15" s="47" customFormat="1" ht="36" customHeight="1">
      <c r="A73" s="127"/>
      <c r="B73" s="130"/>
      <c r="C73" s="29"/>
      <c r="D73" s="29"/>
      <c r="E73" s="65"/>
      <c r="F73" s="29"/>
      <c r="G73" s="93"/>
      <c r="H73" s="29"/>
      <c r="I73" s="58"/>
      <c r="J73" s="63"/>
      <c r="K73" s="58"/>
      <c r="L73" s="133"/>
      <c r="M73" s="93"/>
      <c r="N73" s="74"/>
      <c r="O73" s="68"/>
    </row>
    <row r="74" spans="1:15" s="47" customFormat="1" ht="36" customHeight="1">
      <c r="A74" s="125" t="s">
        <v>71</v>
      </c>
      <c r="B74" s="128">
        <f>'[2]PROYECTO 6.2'!$F$27+7</f>
        <v>3928574777</v>
      </c>
      <c r="C74" s="29">
        <v>6357628</v>
      </c>
      <c r="D74" s="29"/>
      <c r="E74" s="65">
        <f>+H74</f>
        <v>3728574770</v>
      </c>
      <c r="F74" s="83">
        <f>+E74/B74</f>
        <v>0.9490909507002621</v>
      </c>
      <c r="G74" s="93" t="s">
        <v>73</v>
      </c>
      <c r="H74" s="29">
        <v>3728574770</v>
      </c>
      <c r="I74" s="58">
        <v>42464</v>
      </c>
      <c r="J74" s="63">
        <v>0.6875</v>
      </c>
      <c r="K74" s="57" t="s">
        <v>74</v>
      </c>
      <c r="L74" s="131">
        <f>SUM(N74:N77)</f>
        <v>703202780</v>
      </c>
      <c r="M74" s="93" t="s">
        <v>125</v>
      </c>
      <c r="N74" s="74">
        <v>19333930</v>
      </c>
      <c r="O74" s="68"/>
    </row>
    <row r="75" spans="1:15" s="47" customFormat="1" ht="36" customHeight="1">
      <c r="A75" s="126"/>
      <c r="B75" s="129"/>
      <c r="C75" s="29">
        <v>10083036</v>
      </c>
      <c r="D75" s="29"/>
      <c r="E75" s="65"/>
      <c r="F75" s="29"/>
      <c r="G75" s="93"/>
      <c r="H75" s="29"/>
      <c r="I75" s="58"/>
      <c r="J75" s="63"/>
      <c r="K75" s="57"/>
      <c r="L75" s="132"/>
      <c r="M75" s="93" t="s">
        <v>126</v>
      </c>
      <c r="N75" s="74">
        <v>683868850</v>
      </c>
      <c r="O75" s="68"/>
    </row>
    <row r="76" spans="1:15" s="47" customFormat="1" ht="36" customHeight="1" thickBot="1">
      <c r="A76" s="126"/>
      <c r="B76" s="129"/>
      <c r="C76" s="29"/>
      <c r="D76" s="29"/>
      <c r="E76" s="65"/>
      <c r="F76" s="29"/>
      <c r="G76" s="93"/>
      <c r="H76" s="29"/>
      <c r="I76" s="58"/>
      <c r="J76" s="63"/>
      <c r="K76" s="57"/>
      <c r="L76" s="132"/>
      <c r="M76" s="93"/>
      <c r="N76" s="74"/>
      <c r="O76" s="68"/>
    </row>
    <row r="77" spans="1:16" s="47" customFormat="1" ht="36" customHeight="1">
      <c r="A77" s="127"/>
      <c r="B77" s="130"/>
      <c r="C77" s="29"/>
      <c r="D77" s="29"/>
      <c r="E77" s="65"/>
      <c r="F77" s="29"/>
      <c r="G77" s="93"/>
      <c r="H77" s="29"/>
      <c r="I77" s="58"/>
      <c r="J77" s="63"/>
      <c r="K77" s="58"/>
      <c r="L77" s="133"/>
      <c r="M77" s="93"/>
      <c r="N77" s="74"/>
      <c r="O77" s="90" t="s">
        <v>84</v>
      </c>
      <c r="P77" s="99" t="s">
        <v>85</v>
      </c>
    </row>
    <row r="78" spans="1:16" s="30" customFormat="1" ht="15.75" thickBot="1">
      <c r="A78" s="76" t="s">
        <v>72</v>
      </c>
      <c r="B78" s="77">
        <f>SUM(B7:B77)</f>
        <v>20978907088</v>
      </c>
      <c r="C78" s="77">
        <f>SUM(C7:C77)</f>
        <v>1381816019</v>
      </c>
      <c r="D78" s="77"/>
      <c r="E78" s="77"/>
      <c r="F78" s="77"/>
      <c r="G78" s="77"/>
      <c r="H78" s="77">
        <f>SUM(H7:H77)</f>
        <v>3840712270</v>
      </c>
      <c r="I78" s="78"/>
      <c r="J78" s="79"/>
      <c r="K78" s="77"/>
      <c r="L78" s="77">
        <f>SUM(L7:L74)</f>
        <v>3700726054</v>
      </c>
      <c r="M78" s="77"/>
      <c r="N78" s="92"/>
      <c r="O78" s="91">
        <f>+C78+H78+L78</f>
        <v>8923254343</v>
      </c>
      <c r="P78" s="81">
        <f>+B78-O78</f>
        <v>12055652745</v>
      </c>
    </row>
    <row r="79" spans="3:16" s="30" customFormat="1" ht="15">
      <c r="C79" s="119">
        <f>+C78/B78</f>
        <v>0.06586692115102617</v>
      </c>
      <c r="H79" s="119">
        <f>+H78/B78</f>
        <v>0.18307494541490674</v>
      </c>
      <c r="I79" s="59"/>
      <c r="J79" s="64"/>
      <c r="L79" s="119">
        <f>+L78/B78</f>
        <v>0.1764022328940494</v>
      </c>
      <c r="N79" s="80"/>
      <c r="O79" s="121">
        <f>+O78/B78</f>
        <v>0.4253440994599823</v>
      </c>
      <c r="P79" s="123">
        <f>+P78/B78</f>
        <v>0.5746559005400177</v>
      </c>
    </row>
    <row r="80" spans="3:16" s="30" customFormat="1" ht="15.75" thickBot="1">
      <c r="C80" s="120"/>
      <c r="H80" s="120"/>
      <c r="I80" s="59"/>
      <c r="J80" s="64"/>
      <c r="L80" s="120"/>
      <c r="N80" s="80"/>
      <c r="O80" s="122"/>
      <c r="P80" s="124"/>
    </row>
    <row r="81" spans="2:12" ht="15">
      <c r="B81" s="100"/>
      <c r="L81" s="68"/>
    </row>
    <row r="82" spans="1:2" ht="15">
      <c r="A82" s="101" t="s">
        <v>127</v>
      </c>
      <c r="B82" s="102">
        <f>'[2]PROYECTO 2.4'!$F$15+'[2]PROYECTO 2.4'!$F$16</f>
        <v>765889435</v>
      </c>
    </row>
    <row r="83" spans="2:16" ht="30">
      <c r="B83" s="103"/>
      <c r="O83" s="104" t="s">
        <v>84</v>
      </c>
      <c r="P83" s="105" t="s">
        <v>85</v>
      </c>
    </row>
    <row r="84" spans="1:16" ht="15.75" thickBot="1">
      <c r="A84" s="101" t="s">
        <v>128</v>
      </c>
      <c r="B84" s="102">
        <f>+B7+B16+B19+B22+B33+B48+B66+B70+B74+B82</f>
        <v>15490357027</v>
      </c>
      <c r="C84" s="77">
        <f>+C7+C8+C9+C10+C16+C17+C18+C22+C23+C24+C25+C66+C67+C68+C69+C70+C74+C75</f>
        <v>596043768</v>
      </c>
      <c r="D84" s="103"/>
      <c r="E84" s="103">
        <f>+E7+E16+E19+E22+E48+E52+E63+E66+E70+E74</f>
        <v>3840712270</v>
      </c>
      <c r="F84" s="103"/>
      <c r="G84" s="103"/>
      <c r="H84" s="77">
        <f>SUM(H7:H77)</f>
        <v>3840712270</v>
      </c>
      <c r="I84" s="103"/>
      <c r="J84" s="103"/>
      <c r="K84" s="103"/>
      <c r="L84" s="77">
        <f>+L7+L16+L19+L22+L33+L48+L52+L66+L70+L74+L63</f>
        <v>3548326054</v>
      </c>
      <c r="O84" s="106">
        <f>+C84+H84+L84</f>
        <v>7985082092</v>
      </c>
      <c r="P84" s="107">
        <f>+B84-O84</f>
        <v>7505274935</v>
      </c>
    </row>
    <row r="85" spans="2:16" ht="15">
      <c r="B85" s="103"/>
      <c r="C85" s="119">
        <f>+C84/B84</f>
        <v>0.03847837509239354</v>
      </c>
      <c r="H85" s="119">
        <f>H84/B84</f>
        <v>0.2479421399587861</v>
      </c>
      <c r="L85" s="119">
        <f>+L84/B84</f>
        <v>0.22906677023745786</v>
      </c>
      <c r="O85" s="108">
        <f>+O84/B84</f>
        <v>0.5154872852886375</v>
      </c>
      <c r="P85" s="108">
        <f>+P84/B84</f>
        <v>0.4845127147113625</v>
      </c>
    </row>
    <row r="86" spans="2:12" ht="15">
      <c r="B86" s="103"/>
      <c r="C86" s="120"/>
      <c r="H86" s="120"/>
      <c r="L86" s="120"/>
    </row>
    <row r="87" ht="15">
      <c r="B87" s="109"/>
    </row>
    <row r="89" ht="15">
      <c r="B89" s="103"/>
    </row>
  </sheetData>
  <sheetProtection/>
  <mergeCells count="60">
    <mergeCell ref="A1:M3"/>
    <mergeCell ref="A5:A6"/>
    <mergeCell ref="B5:B6"/>
    <mergeCell ref="C5:D5"/>
    <mergeCell ref="E5:F5"/>
    <mergeCell ref="G5:K5"/>
    <mergeCell ref="L5:L6"/>
    <mergeCell ref="M5:M6"/>
    <mergeCell ref="N5:N6"/>
    <mergeCell ref="A7:A15"/>
    <mergeCell ref="B7:B15"/>
    <mergeCell ref="D7:D10"/>
    <mergeCell ref="E7:E10"/>
    <mergeCell ref="F7:F10"/>
    <mergeCell ref="L7:L15"/>
    <mergeCell ref="A16:A18"/>
    <mergeCell ref="B16:B18"/>
    <mergeCell ref="D16:D18"/>
    <mergeCell ref="L16:L18"/>
    <mergeCell ref="A19:A21"/>
    <mergeCell ref="B19:B21"/>
    <mergeCell ref="L19:L21"/>
    <mergeCell ref="A22:A32"/>
    <mergeCell ref="B22:B32"/>
    <mergeCell ref="D22:D25"/>
    <mergeCell ref="E22:E23"/>
    <mergeCell ref="F22:F23"/>
    <mergeCell ref="L22:L32"/>
    <mergeCell ref="A33:A39"/>
    <mergeCell ref="B33:B39"/>
    <mergeCell ref="L33:L39"/>
    <mergeCell ref="A40:A46"/>
    <mergeCell ref="B40:B46"/>
    <mergeCell ref="L40:L46"/>
    <mergeCell ref="A48:A50"/>
    <mergeCell ref="B48:B50"/>
    <mergeCell ref="L48:L50"/>
    <mergeCell ref="A52:A62"/>
    <mergeCell ref="B52:B62"/>
    <mergeCell ref="L52:L62"/>
    <mergeCell ref="A63:A65"/>
    <mergeCell ref="B63:B65"/>
    <mergeCell ref="L63:L65"/>
    <mergeCell ref="A66:A69"/>
    <mergeCell ref="B66:B69"/>
    <mergeCell ref="L66:L69"/>
    <mergeCell ref="A70:A73"/>
    <mergeCell ref="B70:B73"/>
    <mergeCell ref="L70:L73"/>
    <mergeCell ref="A74:A77"/>
    <mergeCell ref="B74:B77"/>
    <mergeCell ref="L74:L77"/>
    <mergeCell ref="C79:C80"/>
    <mergeCell ref="H79:H80"/>
    <mergeCell ref="L79:L80"/>
    <mergeCell ref="O79:O80"/>
    <mergeCell ref="P79:P80"/>
    <mergeCell ref="C85:C86"/>
    <mergeCell ref="H85:H86"/>
    <mergeCell ref="L85:L86"/>
  </mergeCells>
  <dataValidations count="1">
    <dataValidation type="list" allowBlank="1" showInputMessage="1" showErrorMessage="1" sqref="A7 A16">
      <formula1>$S$5:$S$16</formula1>
    </dataValidation>
  </dataValidations>
  <printOptions/>
  <pageMargins left="0.3" right="0.27" top="0.78" bottom="0.3937007874015748" header="0.31496062992125984" footer="0.31496062992125984"/>
  <pageSetup horizontalDpi="600" verticalDpi="600" orientation="landscape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Cuellar</dc:creator>
  <cp:keywords/>
  <dc:description/>
  <cp:lastModifiedBy>Vitelio Barrera Alvarez</cp:lastModifiedBy>
  <cp:lastPrinted>2016-04-27T19:05:03Z</cp:lastPrinted>
  <dcterms:created xsi:type="dcterms:W3CDTF">2014-06-07T11:59:39Z</dcterms:created>
  <dcterms:modified xsi:type="dcterms:W3CDTF">2016-07-08T19:39:34Z</dcterms:modified>
  <cp:category/>
  <cp:version/>
  <cp:contentType/>
  <cp:contentStatus/>
</cp:coreProperties>
</file>