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INVERS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<sst xmlns="http://schemas.openxmlformats.org/spreadsheetml/2006/main" count="309" uniqueCount="89">
  <si>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</si>
  <si>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</si>
  <si>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</si>
  <si>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</si>
  <si>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</si>
  <si>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</si>
  <si>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</si>
  <si>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</si>
  <si>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</si>
  <si>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</si>
  <si>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</si>
  <si>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</si>
  <si>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</si>
  <si>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</si>
  <si>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</si>
  <si>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</si>
  <si>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</si>
  <si>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</si>
  <si>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</si>
  <si>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</si>
  <si>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</si>
  <si>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</si>
  <si>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</si>
  <si>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</si>
  <si>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</si>
  <si>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</si>
  <si>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</si>
  <si>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</si>
  <si>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</si>
  <si>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</si>
  <si>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</si>
  <si>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</si>
  <si>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</si>
  <si>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</si>
  <si>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</si>
  <si>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</si>
  <si>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</si>
  <si>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</si>
  <si>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</si>
  <si>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</si>
  <si>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</si>
  <si>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</si>
  <si>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</si>
  <si>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</si>
  <si>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</si>
  <si>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</si>
  <si>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</si>
  <si>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</si>
  <si>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</si>
  <si>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</si>
  <si>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</si>
  <si>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</si>
  <si>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</si>
  <si>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</si>
  <si>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</si>
  <si>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</si>
  <si>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</si>
  <si>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</si>
  <si>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</si>
  <si>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</si>
  <si>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</si>
  <si>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</si>
  <si>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</si>
  <si>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</si>
  <si>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</si>
  <si>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</si>
  <si>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</si>
  <si>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</si>
  <si>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</si>
  <si>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</si>
  <si>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</si>
  <si>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</si>
  <si>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</si>
  <si>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</si>
  <si>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</si>
  <si>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SALDO PÓR EJECUTAR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</si>
  <si>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</si>
  <si>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</si>
  <si>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</si>
  <si>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</si>
  <si>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</si>
  <si>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</si>
  <si>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</si>
  <si>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</si>
  <si>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EJECUCION PRESUPUESTAL GASTOS DE INVERSION RECURSOS PROPIOS A DICIEMBRE 31 DE 2015</t>
  </si>
  <si>
    <t>EJECUCION PRESUPUESTAL GASTOS DE INVERSION RECURSOS NACION  A DICIEMBRE 31 DE 2015</t>
  </si>
  <si>
    <t>EJECUCION PRESUPUESTAL A DICIEMBRE 31 DE 2015</t>
  </si>
  <si>
    <t>Horas extras</t>
  </si>
  <si>
    <t>EJECUCION PRESUPUESTAL A 31 DE DICIEMBRE DE  2015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</si>
</sst>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4" fontId="0" fillId="0" borderId="11" xfId="0" applyNumberForma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center" wrapText="1"/>
    </xf>
    <xf numFmtId="4" fontId="0" fillId="0" borderId="13" xfId="0" applyNumberFormat="1" applyFill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wrapText="1"/>
      <protection locked="0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1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6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20" xfId="0" applyNumberFormat="1" applyBorder="1" applyAlignment="1">
      <alignment/>
    </xf>
    <xf numFmtId="3" fontId="0" fillId="0" borderId="20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4" fontId="1" fillId="0" borderId="13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4" fontId="26" fillId="0" borderId="30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SEPTIEMBRE%20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2152968036.5039997</v>
          </cell>
        </row>
      </sheetData>
      <sheetData sheetId="2">
        <row r="42">
          <cell r="J42">
            <v>239775769</v>
          </cell>
        </row>
      </sheetData>
      <sheetData sheetId="3">
        <row r="41">
          <cell r="I41">
            <v>74615651</v>
          </cell>
        </row>
      </sheetData>
      <sheetData sheetId="4">
        <row r="34">
          <cell r="I34">
            <v>1867301538.748</v>
          </cell>
        </row>
      </sheetData>
      <sheetData sheetId="5">
        <row r="151">
          <cell r="I151">
            <v>2545829270.4040008</v>
          </cell>
        </row>
      </sheetData>
      <sheetData sheetId="6">
        <row r="79">
          <cell r="I79">
            <v>680897977.232</v>
          </cell>
        </row>
      </sheetData>
      <sheetData sheetId="7">
        <row r="31">
          <cell r="J31">
            <v>4589240858</v>
          </cell>
        </row>
      </sheetData>
      <sheetData sheetId="8">
        <row r="51">
          <cell r="J51">
            <v>248571160</v>
          </cell>
        </row>
      </sheetData>
      <sheetData sheetId="9">
        <row r="103">
          <cell r="J103">
            <v>6495999029.863999</v>
          </cell>
        </row>
      </sheetData>
      <sheetData sheetId="11">
        <row r="127">
          <cell r="H127">
            <v>347571279.988</v>
          </cell>
        </row>
      </sheetData>
      <sheetData sheetId="12">
        <row r="131">
          <cell r="I131">
            <v>739699515.0080001</v>
          </cell>
        </row>
      </sheetData>
      <sheetData sheetId="13">
        <row r="72">
          <cell r="I72">
            <v>560766328.9560002</v>
          </cell>
        </row>
      </sheetData>
      <sheetData sheetId="14">
        <row r="47">
          <cell r="I47">
            <v>278664190.78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INVERSION"/>
      <sheetName val="ADICIONES2014"/>
    </sheetNames>
    <sheetDataSet>
      <sheetData sheetId="2">
        <row r="44">
          <cell r="C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8">
        <row r="2">
          <cell r="F2">
            <v>250000000</v>
          </cell>
        </row>
      </sheetData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126">
          <cell r="B126">
            <v>23000000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8"/>
  <sheetViews>
    <sheetView tabSelected="1" zoomScalePageLayoutView="0" workbookViewId="0" topLeftCell="A34">
      <selection activeCell="A37" sqref="A37:V61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92" customWidth="1"/>
    <col min="9" max="9" width="19.7109375" style="92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16.00390625" style="0" customWidth="1"/>
    <col min="20" max="20" width="18.8515625" style="0" customWidth="1"/>
    <col min="21" max="21" width="0" style="0" hidden="1" customWidth="1"/>
    <col min="22" max="22" width="18.57421875" style="0" customWidth="1"/>
    <col min="23" max="23" width="15.28125" style="0" bestFit="1" customWidth="1"/>
    <col min="24" max="25" width="13.7109375" style="0" bestFit="1" customWidth="1"/>
    <col min="26" max="26" width="14.28125" style="0" customWidth="1"/>
    <col min="27" max="27" width="14.28125" style="0" bestFit="1" customWidth="1"/>
    <col min="28" max="28" width="13.7109375" style="0" bestFit="1" customWidth="1"/>
    <col min="29" max="29" width="14.28125" style="0" bestFit="1" customWidth="1"/>
  </cols>
  <sheetData>
    <row r="1" spans="1:22" ht="12.7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</row>
    <row r="2" spans="1:22" ht="12.75">
      <c r="A2" s="140" t="s">
        <v>86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12.75">
      <c r="A3" s="140" t="s">
        <v>80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7" ht="13.5" thickBot="1">
      <c r="A4" s="60"/>
      <c r="B4" s="61"/>
      <c r="C4" s="61"/>
      <c r="D4" s="61"/>
      <c r="E4" s="61"/>
      <c r="F4" s="61"/>
      <c r="G4" s="61"/>
      <c r="H4" s="90"/>
      <c r="I4" s="90"/>
      <c r="J4" s="61"/>
      <c r="K4" s="61"/>
      <c r="L4" s="61"/>
      <c r="M4" s="111"/>
      <c r="N4" s="35"/>
      <c r="S4" s="119"/>
      <c r="T4" s="119"/>
      <c r="U4" s="119"/>
      <c r="V4" s="119"/>
      <c r="W4" s="86"/>
      <c r="AA4" s="86"/>
    </row>
    <row r="5" spans="1:22" ht="12.75">
      <c r="A5" s="55"/>
      <c r="B5" s="56" t="s">
        <v>6</v>
      </c>
      <c r="C5" s="57"/>
      <c r="D5" s="57" t="s">
        <v>7</v>
      </c>
      <c r="E5" s="57"/>
      <c r="F5" s="43"/>
      <c r="G5" s="56" t="s">
        <v>3</v>
      </c>
      <c r="H5" s="91" t="s">
        <v>2</v>
      </c>
      <c r="I5" s="91" t="s">
        <v>3</v>
      </c>
      <c r="J5" s="58" t="s">
        <v>78</v>
      </c>
      <c r="K5" s="58" t="s">
        <v>35</v>
      </c>
      <c r="L5" s="59" t="s">
        <v>36</v>
      </c>
      <c r="M5" s="112" t="s">
        <v>48</v>
      </c>
      <c r="N5" s="113" t="s">
        <v>79</v>
      </c>
      <c r="S5" s="125" t="s">
        <v>35</v>
      </c>
      <c r="T5" s="120" t="s">
        <v>81</v>
      </c>
      <c r="U5" s="120"/>
      <c r="V5" s="121" t="s">
        <v>76</v>
      </c>
    </row>
    <row r="6" spans="1:30" ht="12.75">
      <c r="A6" s="48"/>
      <c r="B6" s="3"/>
      <c r="C6" s="3"/>
      <c r="D6" s="3" t="s">
        <v>8</v>
      </c>
      <c r="E6" s="3"/>
      <c r="F6" s="19" t="s">
        <v>9</v>
      </c>
      <c r="G6" s="19" t="s">
        <v>4</v>
      </c>
      <c r="H6" s="10" t="s">
        <v>10</v>
      </c>
      <c r="I6" s="10" t="s">
        <v>5</v>
      </c>
      <c r="J6" s="10" t="s">
        <v>1</v>
      </c>
      <c r="K6" s="29"/>
      <c r="L6" s="14" t="s">
        <v>40</v>
      </c>
      <c r="M6" s="114" t="s">
        <v>78</v>
      </c>
      <c r="N6" s="113" t="s">
        <v>35</v>
      </c>
      <c r="S6" s="126"/>
      <c r="T6" s="19" t="s">
        <v>82</v>
      </c>
      <c r="U6" s="19"/>
      <c r="V6" s="122"/>
      <c r="W6" s="1"/>
      <c r="X6" s="1"/>
      <c r="Y6" s="1"/>
      <c r="Z6" s="1"/>
      <c r="AA6" s="1"/>
      <c r="AB6" s="1"/>
      <c r="AC6" s="1"/>
      <c r="AD6" s="1"/>
    </row>
    <row r="7" spans="1:30" ht="13.5" thickBot="1">
      <c r="A7" s="49"/>
      <c r="B7" s="50"/>
      <c r="C7" s="50"/>
      <c r="D7" s="50" t="s">
        <v>11</v>
      </c>
      <c r="E7" s="50"/>
      <c r="F7" s="51"/>
      <c r="G7" s="52" t="s">
        <v>1</v>
      </c>
      <c r="H7" s="130" t="s">
        <v>26</v>
      </c>
      <c r="I7" s="53" t="s">
        <v>1</v>
      </c>
      <c r="J7" s="53" t="s">
        <v>1</v>
      </c>
      <c r="K7" s="53"/>
      <c r="L7" s="54"/>
      <c r="M7" s="111"/>
      <c r="N7" s="35"/>
      <c r="S7" s="127"/>
      <c r="T7" s="61"/>
      <c r="U7" s="61"/>
      <c r="V7" s="123"/>
      <c r="W7" s="1"/>
      <c r="X7" s="1"/>
      <c r="Y7" s="1"/>
      <c r="Z7" s="1"/>
      <c r="AA7" s="1"/>
      <c r="AB7" s="1"/>
      <c r="AC7" s="1"/>
      <c r="AD7" s="1"/>
    </row>
    <row r="8" spans="1:30" ht="12.75">
      <c r="A8" s="43"/>
      <c r="B8" s="43"/>
      <c r="C8" s="43"/>
      <c r="D8" s="43"/>
      <c r="E8" s="43"/>
      <c r="F8" s="43"/>
      <c r="G8" s="44" t="s">
        <v>1</v>
      </c>
      <c r="H8" s="131" t="s">
        <v>1</v>
      </c>
      <c r="I8" s="45" t="s">
        <v>26</v>
      </c>
      <c r="J8" s="45" t="s">
        <v>1</v>
      </c>
      <c r="K8" s="46" t="s">
        <v>1</v>
      </c>
      <c r="L8" s="47"/>
      <c r="M8" s="115"/>
      <c r="N8" s="35"/>
      <c r="S8" s="44"/>
      <c r="T8" s="85"/>
      <c r="U8" s="85"/>
      <c r="V8" s="85"/>
      <c r="W8" s="1"/>
      <c r="X8" s="1"/>
      <c r="Y8" s="1"/>
      <c r="Z8" s="1"/>
      <c r="AA8" s="1"/>
      <c r="AB8" s="1"/>
      <c r="AC8" s="1"/>
      <c r="AD8" s="1"/>
    </row>
    <row r="9" spans="1:30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4249696384</v>
      </c>
      <c r="H9" s="13">
        <f>SUM(H10+H23+H27)</f>
        <v>937378359</v>
      </c>
      <c r="I9" s="20">
        <f>+G9+H9</f>
        <v>5187074743</v>
      </c>
      <c r="J9" s="21">
        <f>SUM(J10+J23+J27)</f>
        <v>2514035997</v>
      </c>
      <c r="K9" s="21">
        <f>SUM(K10+K23+K27)</f>
        <v>2514035997</v>
      </c>
      <c r="L9" s="33">
        <f aca="true" t="shared" si="0" ref="L9:L31">+I9-J9</f>
        <v>2673038746</v>
      </c>
      <c r="M9" s="80">
        <f aca="true" t="shared" si="1" ref="M9:M31">+J9/I9*100</f>
        <v>48.46731773805096</v>
      </c>
      <c r="N9" s="35">
        <f>+K9/I9*100</f>
        <v>48.46731773805096</v>
      </c>
      <c r="S9" s="4">
        <f>SUM(S10+S23+S27)</f>
        <v>4800433953</v>
      </c>
      <c r="T9" s="39">
        <f>+I9-S9</f>
        <v>386640790</v>
      </c>
      <c r="U9" s="2"/>
      <c r="V9" s="35">
        <f>+S9/I9*100</f>
        <v>92.54607251376558</v>
      </c>
      <c r="W9" s="1"/>
      <c r="X9" s="1"/>
      <c r="Y9" s="1"/>
      <c r="Z9" s="1"/>
      <c r="AA9" s="1"/>
      <c r="AB9" s="1"/>
      <c r="AC9" s="1"/>
      <c r="AD9" s="1"/>
    </row>
    <row r="10" spans="1:30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1845872393</v>
      </c>
      <c r="H10" s="13">
        <f>SUM(H11+H18+H19+H20+H21+H22)</f>
        <v>172400000</v>
      </c>
      <c r="I10" s="20">
        <f>+G10+H10</f>
        <v>2018272393</v>
      </c>
      <c r="J10" s="21">
        <f>SUM(J11+J18+J19+J20+J21+J22)</f>
        <v>874418338</v>
      </c>
      <c r="K10" s="21">
        <f>SUM(K11+K18+K19+K20+K21+K22)</f>
        <v>874418338</v>
      </c>
      <c r="L10" s="33">
        <f t="shared" si="0"/>
        <v>1143854055</v>
      </c>
      <c r="M10" s="80">
        <f t="shared" si="1"/>
        <v>43.32509036108091</v>
      </c>
      <c r="N10" s="35">
        <f aca="true" t="shared" si="2" ref="N10:N31">+K10/I10*100</f>
        <v>43.32509036108091</v>
      </c>
      <c r="S10" s="4">
        <f>SUM(S11+S18+S19+S20+S21+S22)</f>
        <v>1904119012</v>
      </c>
      <c r="T10" s="39">
        <f aca="true" t="shared" si="3" ref="T10:T31">+I10-S10</f>
        <v>114153381</v>
      </c>
      <c r="U10" s="2"/>
      <c r="V10" s="35">
        <f aca="true" t="shared" si="4" ref="V10:V31">+S10/I10*100</f>
        <v>94.34400522962511</v>
      </c>
      <c r="W10" s="1"/>
      <c r="X10" s="1"/>
      <c r="Y10" s="1"/>
      <c r="Z10" s="1"/>
      <c r="AA10" s="1"/>
      <c r="AB10" s="1"/>
      <c r="AC10" s="1"/>
      <c r="AD10" s="1"/>
    </row>
    <row r="11" spans="1:30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1013184503</v>
      </c>
      <c r="H11" s="13">
        <f>+H12+H13+H14+H15+H16+H17</f>
        <v>-97200000</v>
      </c>
      <c r="I11" s="20">
        <f aca="true" t="shared" si="5" ref="I11:I31">+G11+H11</f>
        <v>915984503</v>
      </c>
      <c r="J11" s="21">
        <f>SUM(J12:J17)</f>
        <v>463627287</v>
      </c>
      <c r="K11" s="21">
        <f>SUM(K12:K17)</f>
        <v>463627287</v>
      </c>
      <c r="L11" s="33">
        <f t="shared" si="0"/>
        <v>452357216</v>
      </c>
      <c r="M11" s="80">
        <f t="shared" si="1"/>
        <v>50.61518895587691</v>
      </c>
      <c r="N11" s="35">
        <f t="shared" si="2"/>
        <v>50.61518895587691</v>
      </c>
      <c r="S11" s="4">
        <f>SUM(S12:S17)</f>
        <v>872912875</v>
      </c>
      <c r="T11" s="39">
        <f t="shared" si="3"/>
        <v>43071628</v>
      </c>
      <c r="U11" s="2"/>
      <c r="V11" s="35">
        <f t="shared" si="4"/>
        <v>95.29777765246756</v>
      </c>
      <c r="W11" s="1"/>
      <c r="X11" s="1"/>
      <c r="Y11" s="1"/>
      <c r="Z11" s="1"/>
      <c r="AA11" s="1"/>
      <c r="AB11" s="1"/>
      <c r="AC11" s="1"/>
      <c r="AD11" s="1"/>
    </row>
    <row r="12" spans="1:30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620313109</v>
      </c>
      <c r="H12" s="13">
        <v>-66000000</v>
      </c>
      <c r="I12" s="20">
        <f t="shared" si="5"/>
        <v>554313109</v>
      </c>
      <c r="J12" s="21">
        <v>280609080</v>
      </c>
      <c r="K12" s="21">
        <v>280609080</v>
      </c>
      <c r="L12" s="33">
        <f t="shared" si="0"/>
        <v>273704029</v>
      </c>
      <c r="M12" s="80">
        <f t="shared" si="1"/>
        <v>50.62284752857974</v>
      </c>
      <c r="N12" s="35">
        <f t="shared" si="2"/>
        <v>50.62284752857974</v>
      </c>
      <c r="S12" s="4">
        <v>553811864</v>
      </c>
      <c r="T12" s="39">
        <f t="shared" si="3"/>
        <v>501245</v>
      </c>
      <c r="U12" s="2"/>
      <c r="V12" s="35">
        <f t="shared" si="4"/>
        <v>99.90957367021245</v>
      </c>
      <c r="W12" s="7"/>
      <c r="X12" s="1"/>
      <c r="Y12" s="1"/>
      <c r="Z12" s="1"/>
      <c r="AA12" s="1"/>
      <c r="AB12" s="1"/>
      <c r="AC12" s="1"/>
      <c r="AD12" s="1"/>
    </row>
    <row r="13" spans="1:30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123837126</v>
      </c>
      <c r="H13" s="13">
        <v>-34500000</v>
      </c>
      <c r="I13" s="20">
        <f t="shared" si="5"/>
        <v>89337126</v>
      </c>
      <c r="J13" s="22">
        <v>41107639</v>
      </c>
      <c r="K13" s="22">
        <v>41107639</v>
      </c>
      <c r="L13" s="33">
        <f t="shared" si="0"/>
        <v>48229487</v>
      </c>
      <c r="M13" s="80">
        <f t="shared" si="1"/>
        <v>46.01406026873979</v>
      </c>
      <c r="N13" s="35">
        <f t="shared" si="2"/>
        <v>46.01406026873979</v>
      </c>
      <c r="S13" s="4">
        <v>79622989</v>
      </c>
      <c r="T13" s="39">
        <f t="shared" si="3"/>
        <v>9714137</v>
      </c>
      <c r="U13" s="2"/>
      <c r="V13" s="35">
        <f t="shared" si="4"/>
        <v>89.12642768472314</v>
      </c>
      <c r="W13" s="7"/>
      <c r="X13" s="1"/>
      <c r="Y13" s="1"/>
      <c r="Z13" s="1"/>
      <c r="AA13" s="1"/>
      <c r="AB13" s="1"/>
      <c r="AC13" s="1"/>
      <c r="AD13" s="1"/>
    </row>
    <row r="14" spans="1:30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9850000</v>
      </c>
      <c r="H14" s="13">
        <f>5500000+900000</f>
        <v>6400000</v>
      </c>
      <c r="I14" s="20">
        <f t="shared" si="5"/>
        <v>16250000</v>
      </c>
      <c r="J14" s="21">
        <v>27219355</v>
      </c>
      <c r="K14" s="21">
        <v>27219355</v>
      </c>
      <c r="L14" s="33">
        <f t="shared" si="0"/>
        <v>-10969355</v>
      </c>
      <c r="M14" s="80">
        <f t="shared" si="1"/>
        <v>167.50372307692308</v>
      </c>
      <c r="N14" s="35">
        <f t="shared" si="2"/>
        <v>167.50372307692308</v>
      </c>
      <c r="S14" s="4">
        <v>15796596</v>
      </c>
      <c r="T14" s="39">
        <f t="shared" si="3"/>
        <v>453404</v>
      </c>
      <c r="U14" s="2"/>
      <c r="V14" s="35">
        <f t="shared" si="4"/>
        <v>97.20982153846154</v>
      </c>
      <c r="W14" s="1"/>
      <c r="X14" s="1"/>
      <c r="Y14" s="1"/>
      <c r="Z14" s="1"/>
      <c r="AA14" s="1"/>
      <c r="AB14" s="1"/>
      <c r="AC14" s="1"/>
      <c r="AD14" s="1"/>
    </row>
    <row r="15" spans="1:30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87</v>
      </c>
      <c r="G15" s="4">
        <v>0</v>
      </c>
      <c r="H15" s="13">
        <v>1000000</v>
      </c>
      <c r="I15" s="20">
        <f t="shared" si="5"/>
        <v>1000000</v>
      </c>
      <c r="J15" s="21"/>
      <c r="K15" s="21"/>
      <c r="L15" s="33"/>
      <c r="M15" s="80"/>
      <c r="N15" s="35"/>
      <c r="S15" s="4">
        <v>566521</v>
      </c>
      <c r="T15" s="39">
        <f t="shared" si="3"/>
        <v>433479</v>
      </c>
      <c r="U15" s="2"/>
      <c r="V15" s="35">
        <f t="shared" si="4"/>
        <v>56.652100000000004</v>
      </c>
      <c r="W15" s="1"/>
      <c r="X15" s="1"/>
      <c r="Y15" s="1"/>
      <c r="Z15" s="1"/>
      <c r="AA15" s="1"/>
      <c r="AB15" s="1"/>
      <c r="AC15" s="1"/>
      <c r="AD15" s="1"/>
    </row>
    <row r="16" spans="1:30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57798297</v>
      </c>
      <c r="H16" s="13">
        <v>-4900000</v>
      </c>
      <c r="I16" s="20">
        <f t="shared" si="5"/>
        <v>52898297</v>
      </c>
      <c r="J16" s="21">
        <v>27788267</v>
      </c>
      <c r="K16" s="21">
        <v>27788267</v>
      </c>
      <c r="L16" s="33">
        <f t="shared" si="0"/>
        <v>25110030</v>
      </c>
      <c r="M16" s="80">
        <f t="shared" si="1"/>
        <v>52.53149642983781</v>
      </c>
      <c r="N16" s="35">
        <f t="shared" si="2"/>
        <v>52.53149642983781</v>
      </c>
      <c r="S16" s="4">
        <v>47868124</v>
      </c>
      <c r="T16" s="39">
        <f t="shared" si="3"/>
        <v>5030173</v>
      </c>
      <c r="U16" s="2"/>
      <c r="V16" s="35">
        <f t="shared" si="4"/>
        <v>90.49086022561369</v>
      </c>
      <c r="W16" s="7"/>
      <c r="X16" s="1"/>
      <c r="Y16" s="1"/>
      <c r="Z16" s="1"/>
      <c r="AA16" s="1"/>
      <c r="AB16" s="1"/>
      <c r="AC16" s="1"/>
      <c r="AD16" s="1"/>
    </row>
    <row r="17" spans="1:30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f>41798618+9946815+6402264+6218100+18532809+62006343+43137066+13343956</f>
        <v>201385971</v>
      </c>
      <c r="H17" s="13">
        <v>800000</v>
      </c>
      <c r="I17" s="20">
        <f t="shared" si="5"/>
        <v>202185971</v>
      </c>
      <c r="J17" s="21">
        <f>27426668+5021569+4212743+4351738+8459317+29105125+3195198+5130588</f>
        <v>86902946</v>
      </c>
      <c r="K17" s="21">
        <f>27426668+5021569+4212743+4351738+8459317+29105125+3195198+5130588</f>
        <v>86902946</v>
      </c>
      <c r="L17" s="33">
        <f t="shared" si="0"/>
        <v>115283025</v>
      </c>
      <c r="M17" s="80">
        <f t="shared" si="1"/>
        <v>42.98168936755755</v>
      </c>
      <c r="N17" s="35">
        <f t="shared" si="2"/>
        <v>42.98168936755755</v>
      </c>
      <c r="O17" s="1"/>
      <c r="S17" s="4">
        <f>39041578+7902995+6162917+5754963+14837830+48439618+43893886+9212994</f>
        <v>175246781</v>
      </c>
      <c r="T17" s="39">
        <f t="shared" si="3"/>
        <v>26939190</v>
      </c>
      <c r="U17" s="2"/>
      <c r="V17" s="35">
        <f t="shared" si="4"/>
        <v>86.67603401622756</v>
      </c>
      <c r="W17" s="7"/>
      <c r="X17" s="1"/>
      <c r="Y17" s="1"/>
      <c r="Z17" s="1"/>
      <c r="AA17" s="1"/>
      <c r="AB17" s="1"/>
      <c r="AC17" s="1"/>
      <c r="AD17" s="1"/>
    </row>
    <row r="18" spans="1:30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f>10040000+19076000+374050618</f>
        <v>403166618</v>
      </c>
      <c r="H18" s="13">
        <f>160000000+86500000-6000000</f>
        <v>240500000</v>
      </c>
      <c r="I18" s="20">
        <f t="shared" si="5"/>
        <v>643666618</v>
      </c>
      <c r="J18" s="21">
        <f>1057231+8089692+296851321</f>
        <v>305998244</v>
      </c>
      <c r="K18" s="21">
        <f>1057231+8089692+296851321</f>
        <v>305998244</v>
      </c>
      <c r="L18" s="33">
        <f t="shared" si="0"/>
        <v>337668374</v>
      </c>
      <c r="M18" s="80">
        <f t="shared" si="1"/>
        <v>47.53986542766461</v>
      </c>
      <c r="N18" s="35">
        <f t="shared" si="2"/>
        <v>47.53986542766461</v>
      </c>
      <c r="O18" s="7" t="s">
        <v>1</v>
      </c>
      <c r="S18" s="4">
        <f>16459719+3819657+553693851</f>
        <v>573973227</v>
      </c>
      <c r="T18" s="39">
        <f t="shared" si="3"/>
        <v>69693391</v>
      </c>
      <c r="U18" s="2"/>
      <c r="V18" s="35">
        <f t="shared" si="4"/>
        <v>89.17243973028286</v>
      </c>
      <c r="W18" s="7"/>
      <c r="X18" s="1"/>
      <c r="Y18" s="1"/>
      <c r="Z18" s="1"/>
      <c r="AA18" s="1"/>
      <c r="AB18" s="1"/>
      <c r="AC18" s="1"/>
      <c r="AD18" s="1"/>
    </row>
    <row r="19" spans="1:30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263109886</v>
      </c>
      <c r="H19" s="13">
        <v>8600000</v>
      </c>
      <c r="I19" s="20">
        <f t="shared" si="5"/>
        <v>271709886</v>
      </c>
      <c r="J19" s="21">
        <v>14234485</v>
      </c>
      <c r="K19" s="21">
        <v>14234485</v>
      </c>
      <c r="L19" s="33">
        <f t="shared" si="0"/>
        <v>257475401</v>
      </c>
      <c r="M19" s="80">
        <f t="shared" si="1"/>
        <v>5.238854282983285</v>
      </c>
      <c r="N19" s="35">
        <f t="shared" si="2"/>
        <v>5.238854282983285</v>
      </c>
      <c r="O19" s="1"/>
      <c r="S19" s="4">
        <v>271680682</v>
      </c>
      <c r="T19" s="39">
        <f t="shared" si="3"/>
        <v>29204</v>
      </c>
      <c r="U19" s="2"/>
      <c r="V19" s="35">
        <f t="shared" si="4"/>
        <v>99.98925177128079</v>
      </c>
      <c r="W19" s="1"/>
      <c r="X19" s="1"/>
      <c r="Y19" s="1"/>
      <c r="Z19" s="1"/>
      <c r="AA19" s="1"/>
      <c r="AB19" s="1"/>
      <c r="AC19" s="1"/>
      <c r="AD19" s="1"/>
    </row>
    <row r="20" spans="1:30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v>107711259</v>
      </c>
      <c r="H20" s="13">
        <v>20500000</v>
      </c>
      <c r="I20" s="20">
        <f t="shared" si="5"/>
        <v>128211259</v>
      </c>
      <c r="J20" s="21">
        <v>58847998</v>
      </c>
      <c r="K20" s="21">
        <v>58847998</v>
      </c>
      <c r="L20" s="33">
        <f t="shared" si="0"/>
        <v>69363261</v>
      </c>
      <c r="M20" s="80">
        <f t="shared" si="1"/>
        <v>45.899243528994596</v>
      </c>
      <c r="N20" s="35">
        <f t="shared" si="2"/>
        <v>45.899243528994596</v>
      </c>
      <c r="O20" s="1"/>
      <c r="S20" s="4">
        <v>127975940</v>
      </c>
      <c r="T20" s="39">
        <f t="shared" si="3"/>
        <v>235319</v>
      </c>
      <c r="U20" s="2"/>
      <c r="V20" s="35">
        <f t="shared" si="4"/>
        <v>99.81645995692156</v>
      </c>
      <c r="W20" s="1"/>
      <c r="X20" s="1"/>
      <c r="Y20" s="1"/>
      <c r="Z20" s="1"/>
      <c r="AA20" s="1"/>
      <c r="AB20" s="1"/>
      <c r="AC20" s="1"/>
      <c r="AD20" s="1"/>
    </row>
    <row r="21" spans="1:30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40220076</v>
      </c>
      <c r="H21" s="13">
        <v>0</v>
      </c>
      <c r="I21" s="20">
        <f t="shared" si="5"/>
        <v>40220076</v>
      </c>
      <c r="J21" s="21">
        <v>15733377</v>
      </c>
      <c r="K21" s="21">
        <v>15733377</v>
      </c>
      <c r="L21" s="33">
        <f t="shared" si="0"/>
        <v>24486699</v>
      </c>
      <c r="M21" s="80">
        <f t="shared" si="1"/>
        <v>39.11821797651501</v>
      </c>
      <c r="N21" s="35">
        <f t="shared" si="2"/>
        <v>39.11821797651501</v>
      </c>
      <c r="O21" s="1"/>
      <c r="S21" s="4">
        <v>39563223</v>
      </c>
      <c r="T21" s="39">
        <f t="shared" si="3"/>
        <v>656853</v>
      </c>
      <c r="U21" s="2"/>
      <c r="V21" s="35">
        <f t="shared" si="4"/>
        <v>98.36685291196366</v>
      </c>
      <c r="W21" s="1"/>
      <c r="X21" s="1"/>
      <c r="Y21" s="1"/>
      <c r="Z21" s="1"/>
      <c r="AA21" s="1"/>
      <c r="AB21" s="1"/>
      <c r="AC21" s="1"/>
      <c r="AD21" s="1"/>
    </row>
    <row r="22" spans="1:30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18480051</v>
      </c>
      <c r="H22" s="13">
        <v>0</v>
      </c>
      <c r="I22" s="20">
        <f t="shared" si="5"/>
        <v>18480051</v>
      </c>
      <c r="J22" s="21">
        <v>15976947</v>
      </c>
      <c r="K22" s="21">
        <v>15976947</v>
      </c>
      <c r="L22" s="33">
        <f t="shared" si="0"/>
        <v>2503104</v>
      </c>
      <c r="M22" s="80">
        <f t="shared" si="1"/>
        <v>86.45510231546439</v>
      </c>
      <c r="N22" s="35">
        <f t="shared" si="2"/>
        <v>86.45510231546439</v>
      </c>
      <c r="O22" s="1"/>
      <c r="S22" s="4">
        <v>18013065</v>
      </c>
      <c r="T22" s="39">
        <f t="shared" si="3"/>
        <v>466986</v>
      </c>
      <c r="U22" s="2"/>
      <c r="V22" s="35">
        <f t="shared" si="4"/>
        <v>97.4730264543101</v>
      </c>
      <c r="W22" s="1"/>
      <c r="X22" s="1"/>
      <c r="Y22" s="1"/>
      <c r="Z22" s="1"/>
      <c r="AA22" s="1"/>
      <c r="AB22" s="1"/>
      <c r="AC22" s="1"/>
      <c r="AD22" s="1"/>
    </row>
    <row r="23" spans="1:30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1060290336</v>
      </c>
      <c r="H23" s="13">
        <f>+H24+H25+H26</f>
        <v>346078359</v>
      </c>
      <c r="I23" s="20">
        <f t="shared" si="5"/>
        <v>1406368695</v>
      </c>
      <c r="J23" s="21">
        <f>SUM(J24:J26)</f>
        <v>837471929</v>
      </c>
      <c r="K23" s="21">
        <f>SUM(K24:K26)</f>
        <v>837471929</v>
      </c>
      <c r="L23" s="33">
        <f t="shared" si="0"/>
        <v>568896766</v>
      </c>
      <c r="M23" s="80">
        <f t="shared" si="1"/>
        <v>59.54853318176284</v>
      </c>
      <c r="N23" s="35">
        <f t="shared" si="2"/>
        <v>59.54853318176284</v>
      </c>
      <c r="O23" s="1"/>
      <c r="S23" s="4">
        <f>SUM(S24:S26)</f>
        <v>1320007988</v>
      </c>
      <c r="T23" s="39">
        <f t="shared" si="3"/>
        <v>86360707</v>
      </c>
      <c r="U23" s="2"/>
      <c r="V23" s="35">
        <f t="shared" si="4"/>
        <v>93.85931247566629</v>
      </c>
      <c r="W23" s="1"/>
      <c r="X23" s="1"/>
      <c r="Y23" s="1"/>
      <c r="Z23" s="1"/>
      <c r="AA23" s="1"/>
      <c r="AB23" s="1"/>
      <c r="AC23" s="7"/>
      <c r="AD23" s="1"/>
    </row>
    <row r="24" spans="1:30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f>60000000+145384974</f>
        <v>205384974</v>
      </c>
      <c r="H24" s="13">
        <f>330000000-9000000-220000000-20000000</f>
        <v>81000000</v>
      </c>
      <c r="I24" s="20">
        <f t="shared" si="5"/>
        <v>286384974</v>
      </c>
      <c r="J24" s="21">
        <f>134064120+89932764</f>
        <v>223996884</v>
      </c>
      <c r="K24" s="21">
        <f>134064120+89932764</f>
        <v>223996884</v>
      </c>
      <c r="L24" s="33">
        <f t="shared" si="0"/>
        <v>62388090</v>
      </c>
      <c r="M24" s="80">
        <f t="shared" si="1"/>
        <v>78.21530608655468</v>
      </c>
      <c r="N24" s="35">
        <f t="shared" si="2"/>
        <v>78.21530608655468</v>
      </c>
      <c r="O24" s="1"/>
      <c r="S24" s="4">
        <f>166764400+110628523</f>
        <v>277392923</v>
      </c>
      <c r="T24" s="39">
        <f t="shared" si="3"/>
        <v>8992051</v>
      </c>
      <c r="U24" s="2"/>
      <c r="V24" s="35">
        <f t="shared" si="4"/>
        <v>96.86015265591413</v>
      </c>
      <c r="W24" s="7"/>
      <c r="X24" s="1"/>
      <c r="Y24" s="1"/>
      <c r="Z24" s="1"/>
      <c r="AA24" s="1"/>
      <c r="AB24" s="1"/>
      <c r="AC24" s="1"/>
      <c r="AD24" s="1"/>
    </row>
    <row r="25" spans="1:30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f>514053027-327378359+85112028+54818400+165374000+70000000+35169766+120000000+5000000+106215500-20000000</f>
        <v>808364362</v>
      </c>
      <c r="H25" s="13">
        <f>327378359+20000000+20000000-72000000+10000000+9000000-15000000-6000000-20000000-4300000-24000000+10000000</f>
        <v>255078359</v>
      </c>
      <c r="I25" s="20">
        <f t="shared" si="5"/>
        <v>1063442721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33">
        <f t="shared" si="0"/>
        <v>492778810</v>
      </c>
      <c r="M25" s="80">
        <f t="shared" si="1"/>
        <v>53.66193211265583</v>
      </c>
      <c r="N25" s="35">
        <f t="shared" si="2"/>
        <v>53.66193211265583</v>
      </c>
      <c r="O25" s="1"/>
      <c r="S25" s="4">
        <f>446525234+83132435+24670184+148156094+72436198+29073722+107053936+602400+81822286</f>
        <v>993472489</v>
      </c>
      <c r="T25" s="39">
        <f t="shared" si="3"/>
        <v>69970232</v>
      </c>
      <c r="U25" s="2"/>
      <c r="V25" s="35">
        <f t="shared" si="4"/>
        <v>93.420404257015</v>
      </c>
      <c r="W25" s="1"/>
      <c r="X25" s="7"/>
      <c r="Y25" s="1"/>
      <c r="Z25" s="1"/>
      <c r="AA25" s="1"/>
      <c r="AB25" s="1"/>
      <c r="AC25" s="1"/>
      <c r="AD25" s="1"/>
    </row>
    <row r="26" spans="1:30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36" t="s">
        <v>22</v>
      </c>
      <c r="G26" s="13">
        <v>46541000</v>
      </c>
      <c r="H26" s="13">
        <v>10000000</v>
      </c>
      <c r="I26" s="20">
        <f t="shared" si="5"/>
        <v>56541000</v>
      </c>
      <c r="J26" s="21">
        <v>42811134</v>
      </c>
      <c r="K26" s="21">
        <v>42811134</v>
      </c>
      <c r="L26" s="33">
        <f t="shared" si="0"/>
        <v>13729866</v>
      </c>
      <c r="M26" s="80">
        <f t="shared" si="1"/>
        <v>75.7169735236377</v>
      </c>
      <c r="N26" s="35">
        <f t="shared" si="2"/>
        <v>75.7169735236377</v>
      </c>
      <c r="O26" s="1"/>
      <c r="S26" s="13">
        <v>49142576</v>
      </c>
      <c r="T26" s="39">
        <f t="shared" si="3"/>
        <v>7398424</v>
      </c>
      <c r="U26" s="2"/>
      <c r="V26" s="35">
        <f t="shared" si="4"/>
        <v>86.91493960135122</v>
      </c>
      <c r="W26" s="1"/>
      <c r="X26" s="7"/>
      <c r="Y26" s="1"/>
      <c r="Z26" s="1"/>
      <c r="AA26" s="1"/>
      <c r="AB26" s="1"/>
      <c r="AC26" s="1"/>
      <c r="AD26" s="1"/>
    </row>
    <row r="27" spans="1:30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1343533655</v>
      </c>
      <c r="H27" s="13">
        <f>+H28+H29+H30+H31</f>
        <v>418900000</v>
      </c>
      <c r="I27" s="20">
        <f t="shared" si="5"/>
        <v>1762433655</v>
      </c>
      <c r="J27" s="21">
        <f>SUM(J28:J31)</f>
        <v>802145730</v>
      </c>
      <c r="K27" s="21">
        <f>SUM(K28:K31)</f>
        <v>802145730</v>
      </c>
      <c r="L27" s="33">
        <f t="shared" si="0"/>
        <v>960287925</v>
      </c>
      <c r="M27" s="80">
        <f t="shared" si="1"/>
        <v>45.513527713472996</v>
      </c>
      <c r="N27" s="35">
        <f t="shared" si="2"/>
        <v>45.513527713472996</v>
      </c>
      <c r="O27" s="1"/>
      <c r="S27" s="4">
        <f>SUM(S28:S31)</f>
        <v>1576306953</v>
      </c>
      <c r="T27" s="39">
        <f t="shared" si="3"/>
        <v>186126702</v>
      </c>
      <c r="U27" s="2"/>
      <c r="V27" s="35">
        <f t="shared" si="4"/>
        <v>89.43922221004115</v>
      </c>
      <c r="W27" s="1"/>
      <c r="X27" s="1"/>
      <c r="Y27" s="1"/>
      <c r="Z27" s="1"/>
      <c r="AA27" s="1"/>
      <c r="AB27" s="1"/>
      <c r="AC27" s="7"/>
      <c r="AD27" s="1"/>
    </row>
    <row r="28" spans="1:30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20134000</v>
      </c>
      <c r="H28" s="13">
        <v>-4600000</v>
      </c>
      <c r="I28" s="20">
        <f t="shared" si="5"/>
        <v>15534000</v>
      </c>
      <c r="J28" s="21">
        <v>16797214</v>
      </c>
      <c r="K28" s="21">
        <v>16797214</v>
      </c>
      <c r="L28" s="33">
        <f t="shared" si="0"/>
        <v>-1263214</v>
      </c>
      <c r="M28" s="80">
        <f t="shared" si="1"/>
        <v>108.13192996008756</v>
      </c>
      <c r="N28" s="35">
        <f t="shared" si="2"/>
        <v>108.13192996008756</v>
      </c>
      <c r="O28" s="1"/>
      <c r="S28" s="4">
        <v>15440435</v>
      </c>
      <c r="T28" s="39">
        <f t="shared" si="3"/>
        <v>93565</v>
      </c>
      <c r="U28" s="2"/>
      <c r="V28" s="35">
        <f t="shared" si="4"/>
        <v>99.39767606540492</v>
      </c>
      <c r="W28" s="1"/>
      <c r="X28" s="1"/>
      <c r="Y28" s="1"/>
      <c r="Z28" s="1"/>
      <c r="AA28" s="1"/>
      <c r="AB28" s="1"/>
      <c r="AC28" s="1"/>
      <c r="AD28" s="1"/>
    </row>
    <row r="29" spans="1:30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1290399655</v>
      </c>
      <c r="H29" s="13">
        <v>120000000</v>
      </c>
      <c r="I29" s="20">
        <f t="shared" si="5"/>
        <v>1410399655</v>
      </c>
      <c r="J29" s="21">
        <v>740995272</v>
      </c>
      <c r="K29" s="21">
        <v>740995272</v>
      </c>
      <c r="L29" s="33">
        <f t="shared" si="0"/>
        <v>669404383</v>
      </c>
      <c r="M29" s="80">
        <f t="shared" si="1"/>
        <v>52.537964638115284</v>
      </c>
      <c r="N29" s="35">
        <f t="shared" si="2"/>
        <v>52.537964638115284</v>
      </c>
      <c r="O29" s="1"/>
      <c r="S29" s="4">
        <v>1408202648</v>
      </c>
      <c r="T29" s="39">
        <f t="shared" si="3"/>
        <v>2197007</v>
      </c>
      <c r="U29" s="2"/>
      <c r="V29" s="35">
        <f t="shared" si="4"/>
        <v>99.844228053218</v>
      </c>
      <c r="W29" s="1"/>
      <c r="X29" s="1"/>
      <c r="Y29" s="1"/>
      <c r="Z29" s="1"/>
      <c r="AA29" s="1"/>
      <c r="AB29" s="1"/>
      <c r="AC29" s="1"/>
      <c r="AD29" s="1"/>
    </row>
    <row r="30" spans="1:30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f>+'[6]ADICIONES2014'!B126</f>
        <v>23000000</v>
      </c>
      <c r="H30" s="13">
        <v>3500000</v>
      </c>
      <c r="I30" s="20">
        <f t="shared" si="5"/>
        <v>26500000</v>
      </c>
      <c r="J30" s="21">
        <v>21590305</v>
      </c>
      <c r="K30" s="21">
        <v>21590305</v>
      </c>
      <c r="L30" s="33">
        <f t="shared" si="0"/>
        <v>4909695</v>
      </c>
      <c r="M30" s="80">
        <f t="shared" si="1"/>
        <v>81.47284905660376</v>
      </c>
      <c r="N30" s="35">
        <f t="shared" si="2"/>
        <v>81.47284905660376</v>
      </c>
      <c r="O30" s="1"/>
      <c r="S30" s="4">
        <v>26025157</v>
      </c>
      <c r="T30" s="39">
        <f t="shared" si="3"/>
        <v>474843</v>
      </c>
      <c r="U30" s="2"/>
      <c r="V30" s="35">
        <f t="shared" si="4"/>
        <v>98.20813962264151</v>
      </c>
      <c r="W30" s="1"/>
      <c r="X30" s="1"/>
      <c r="Y30" s="1"/>
      <c r="Z30" s="1"/>
      <c r="AA30" s="1"/>
      <c r="AB30" s="1"/>
      <c r="AC30" s="1"/>
      <c r="AD30" s="1"/>
    </row>
    <row r="31" spans="1:30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</v>
      </c>
      <c r="H31" s="13">
        <v>300000000</v>
      </c>
      <c r="I31" s="20">
        <f t="shared" si="5"/>
        <v>310000000</v>
      </c>
      <c r="J31" s="21">
        <v>22762939</v>
      </c>
      <c r="K31" s="21">
        <v>22762939</v>
      </c>
      <c r="L31" s="33">
        <f t="shared" si="0"/>
        <v>287237061</v>
      </c>
      <c r="M31" s="80">
        <f t="shared" si="1"/>
        <v>7.342883548387097</v>
      </c>
      <c r="N31" s="35">
        <f t="shared" si="2"/>
        <v>7.342883548387097</v>
      </c>
      <c r="O31" s="1"/>
      <c r="S31" s="13">
        <v>126638713</v>
      </c>
      <c r="T31" s="39">
        <f t="shared" si="3"/>
        <v>183361287</v>
      </c>
      <c r="U31" s="2"/>
      <c r="V31" s="35">
        <f t="shared" si="4"/>
        <v>40.851197741935486</v>
      </c>
      <c r="W31" s="1"/>
      <c r="X31" s="1"/>
      <c r="Y31" s="1"/>
      <c r="Z31" s="1"/>
      <c r="AA31" s="1"/>
      <c r="AB31" s="1"/>
      <c r="AC31" s="1"/>
      <c r="AD31" s="1"/>
    </row>
    <row r="32" spans="6:30" ht="12.75">
      <c r="F32" s="18"/>
      <c r="G32" s="7" t="s">
        <v>1</v>
      </c>
      <c r="I32" s="32" t="s">
        <v>1</v>
      </c>
      <c r="J32" s="23"/>
      <c r="K32" s="23"/>
      <c r="L32" s="34" t="s">
        <v>1</v>
      </c>
      <c r="M32" s="110" t="s">
        <v>1</v>
      </c>
      <c r="N32" s="35"/>
      <c r="O32" s="1"/>
      <c r="S32" s="2"/>
      <c r="T32" s="2"/>
      <c r="U32" s="2"/>
      <c r="V32" s="35"/>
      <c r="W32" s="1"/>
      <c r="X32" s="1"/>
      <c r="Y32" s="1"/>
      <c r="Z32" s="1"/>
      <c r="AA32" s="1"/>
      <c r="AB32" s="1"/>
      <c r="AC32" s="1"/>
      <c r="AD32" s="1"/>
    </row>
    <row r="33" spans="1:30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20" t="s">
        <v>1</v>
      </c>
      <c r="J33" s="21" t="s">
        <v>1</v>
      </c>
      <c r="K33" s="41"/>
      <c r="L33" s="34" t="s">
        <v>1</v>
      </c>
      <c r="M33" s="110" t="s">
        <v>1</v>
      </c>
      <c r="N33" s="35"/>
      <c r="O33" s="1"/>
      <c r="S33" s="2"/>
      <c r="T33" s="2"/>
      <c r="U33" s="2"/>
      <c r="V33" s="35"/>
      <c r="W33" s="1"/>
      <c r="X33" s="1"/>
      <c r="Y33" s="1"/>
      <c r="Z33" s="1"/>
      <c r="AA33" s="1"/>
      <c r="AB33" s="1"/>
      <c r="AC33" s="7"/>
      <c r="AD33" s="1"/>
    </row>
    <row r="34" spans="7:30" ht="12.75">
      <c r="G34" s="86" t="s">
        <v>1</v>
      </c>
      <c r="I34" s="92" t="s">
        <v>1</v>
      </c>
      <c r="M34" s="35"/>
      <c r="N34" s="1"/>
      <c r="O34" s="1"/>
      <c r="S34" t="s">
        <v>1</v>
      </c>
      <c r="V34" s="1"/>
      <c r="W34" s="1"/>
      <c r="X34" s="1"/>
      <c r="Y34" s="1"/>
      <c r="Z34" s="1"/>
      <c r="AA34" s="1"/>
      <c r="AB34" s="1"/>
      <c r="AC34" s="1"/>
      <c r="AD34" s="1"/>
    </row>
    <row r="35" spans="13:30" ht="12.75">
      <c r="M35" s="89"/>
      <c r="N35" s="1"/>
      <c r="O35" s="1"/>
      <c r="S35" t="s">
        <v>1</v>
      </c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>
      <c r="A36" s="145" t="s">
        <v>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"/>
      <c r="X36" s="1"/>
      <c r="Y36" s="1"/>
      <c r="Z36" s="1"/>
      <c r="AA36" s="1"/>
      <c r="AB36" s="1"/>
      <c r="AC36" s="1"/>
      <c r="AD36" s="1"/>
    </row>
    <row r="37" spans="1:30" ht="12.75">
      <c r="A37" s="140" t="s">
        <v>88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"/>
      <c r="X37" s="1"/>
      <c r="Y37" s="1"/>
      <c r="Z37" s="1"/>
      <c r="AA37" s="1"/>
      <c r="AB37" s="1"/>
      <c r="AC37" s="1"/>
      <c r="AD37" s="1"/>
    </row>
    <row r="38" spans="1:30" ht="12.75">
      <c r="A38" s="140" t="s">
        <v>83</v>
      </c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"/>
      <c r="X38" s="1"/>
      <c r="Y38" s="1"/>
      <c r="Z38" s="1"/>
      <c r="AA38" s="1"/>
      <c r="AB38" s="1"/>
      <c r="AC38" s="1"/>
      <c r="AD38" s="1"/>
    </row>
    <row r="39" spans="6:30" ht="12.75">
      <c r="F39" s="18"/>
      <c r="I39" s="92" t="s">
        <v>1</v>
      </c>
      <c r="M39" s="1"/>
      <c r="N39" s="1"/>
      <c r="O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3.5" thickBot="1">
      <c r="A40" s="19" t="s">
        <v>49</v>
      </c>
      <c r="B40" s="19" t="s">
        <v>50</v>
      </c>
      <c r="C40" s="3" t="s">
        <v>51</v>
      </c>
      <c r="D40" s="3" t="s">
        <v>52</v>
      </c>
      <c r="E40" s="3" t="s">
        <v>53</v>
      </c>
      <c r="F40" s="2"/>
      <c r="G40" s="2"/>
      <c r="H40" s="132" t="s">
        <v>1</v>
      </c>
      <c r="I40" s="12"/>
      <c r="J40" s="19" t="s">
        <v>1</v>
      </c>
      <c r="K40" s="19"/>
      <c r="L40" s="14" t="s">
        <v>36</v>
      </c>
      <c r="M40" s="31" t="s">
        <v>48</v>
      </c>
      <c r="N40" s="113" t="s">
        <v>79</v>
      </c>
      <c r="O40" s="80"/>
      <c r="S40" s="2"/>
      <c r="T40" s="2"/>
      <c r="U40" s="2"/>
      <c r="V40" s="35"/>
      <c r="W40" s="1"/>
      <c r="X40" s="1"/>
      <c r="Y40" s="1"/>
      <c r="Z40" s="1"/>
      <c r="AA40" s="1"/>
      <c r="AB40" s="1"/>
      <c r="AC40" s="1"/>
      <c r="AD40" s="1"/>
    </row>
    <row r="41" spans="1:30" ht="12.75">
      <c r="A41" s="3"/>
      <c r="B41" s="19" t="s">
        <v>6</v>
      </c>
      <c r="C41" s="3"/>
      <c r="D41" s="3" t="s">
        <v>7</v>
      </c>
      <c r="E41" s="3"/>
      <c r="F41" s="2"/>
      <c r="G41" s="19" t="s">
        <v>3</v>
      </c>
      <c r="H41" s="10" t="s">
        <v>2</v>
      </c>
      <c r="I41" s="10" t="s">
        <v>3</v>
      </c>
      <c r="J41" s="10" t="s">
        <v>78</v>
      </c>
      <c r="K41" s="58" t="s">
        <v>35</v>
      </c>
      <c r="L41" s="14" t="s">
        <v>40</v>
      </c>
      <c r="M41" s="116" t="s">
        <v>78</v>
      </c>
      <c r="N41" s="113" t="s">
        <v>35</v>
      </c>
      <c r="O41" s="81"/>
      <c r="S41" s="125" t="s">
        <v>35</v>
      </c>
      <c r="T41" s="19" t="s">
        <v>81</v>
      </c>
      <c r="U41" s="19"/>
      <c r="V41" s="116" t="s">
        <v>76</v>
      </c>
      <c r="W41" s="1"/>
      <c r="X41" s="1"/>
      <c r="Y41" s="1"/>
      <c r="Z41" s="1"/>
      <c r="AA41" s="1"/>
      <c r="AB41" s="1"/>
      <c r="AC41" s="1"/>
      <c r="AD41" s="1"/>
    </row>
    <row r="42" spans="1:30" ht="12.75">
      <c r="A42" s="3"/>
      <c r="B42" s="3"/>
      <c r="C42" s="3"/>
      <c r="D42" s="3" t="s">
        <v>8</v>
      </c>
      <c r="E42" s="3"/>
      <c r="F42" s="19" t="s">
        <v>9</v>
      </c>
      <c r="G42" s="19" t="s">
        <v>4</v>
      </c>
      <c r="H42" s="10" t="s">
        <v>10</v>
      </c>
      <c r="I42" s="10" t="s">
        <v>5</v>
      </c>
      <c r="J42" s="10" t="s">
        <v>1</v>
      </c>
      <c r="K42" s="29"/>
      <c r="L42" s="12"/>
      <c r="M42" s="15"/>
      <c r="N42" s="16"/>
      <c r="O42" s="82"/>
      <c r="S42" s="19"/>
      <c r="T42" s="19" t="s">
        <v>82</v>
      </c>
      <c r="U42" s="19"/>
      <c r="V42" s="116"/>
      <c r="W42" s="1"/>
      <c r="X42" s="1"/>
      <c r="Y42" s="1"/>
      <c r="Z42" s="1"/>
      <c r="AA42" s="1"/>
      <c r="AB42" s="1"/>
      <c r="AC42" s="1"/>
      <c r="AD42" s="1"/>
    </row>
    <row r="43" spans="1:30" ht="12.75">
      <c r="A43" s="3"/>
      <c r="B43" s="3"/>
      <c r="C43" s="3"/>
      <c r="D43" s="3" t="s">
        <v>11</v>
      </c>
      <c r="E43" s="3"/>
      <c r="F43" s="2"/>
      <c r="G43" s="19" t="s">
        <v>1</v>
      </c>
      <c r="H43" s="10" t="s">
        <v>1</v>
      </c>
      <c r="I43" s="31" t="s">
        <v>1</v>
      </c>
      <c r="J43" s="14" t="s">
        <v>1</v>
      </c>
      <c r="K43" s="14" t="s">
        <v>1</v>
      </c>
      <c r="L43" s="12"/>
      <c r="M43" s="16"/>
      <c r="N43" s="16"/>
      <c r="O43" s="82"/>
      <c r="S43" s="2"/>
      <c r="T43" s="2"/>
      <c r="U43" s="2"/>
      <c r="V43" s="35"/>
      <c r="W43" s="1"/>
      <c r="X43" s="1"/>
      <c r="Y43" s="1"/>
      <c r="Z43" s="1"/>
      <c r="AA43" s="1"/>
      <c r="AB43" s="1"/>
      <c r="AC43" s="1"/>
      <c r="AD43" s="1"/>
    </row>
    <row r="44" spans="1:30" ht="12.75">
      <c r="A44" s="2"/>
      <c r="B44" s="2"/>
      <c r="C44" s="2"/>
      <c r="D44" s="2"/>
      <c r="E44" s="2"/>
      <c r="F44" s="2"/>
      <c r="G44" s="9" t="s">
        <v>1</v>
      </c>
      <c r="H44" s="15"/>
      <c r="I44" s="16" t="s">
        <v>1</v>
      </c>
      <c r="J44" s="15" t="s">
        <v>1</v>
      </c>
      <c r="K44" s="16" t="s">
        <v>1</v>
      </c>
      <c r="L44" s="12"/>
      <c r="M44" s="16"/>
      <c r="N44" s="16"/>
      <c r="O44" s="83"/>
      <c r="S44" s="2"/>
      <c r="T44" s="2"/>
      <c r="U44" s="2"/>
      <c r="V44" s="35"/>
      <c r="W44" s="1"/>
      <c r="X44" s="1"/>
      <c r="Y44" s="1"/>
      <c r="Z44" s="1"/>
      <c r="AA44" s="1"/>
      <c r="AB44" s="1"/>
      <c r="AC44" s="1"/>
      <c r="AD44" s="1"/>
    </row>
    <row r="45" spans="1:30" ht="12.75">
      <c r="A45" s="2" t="s">
        <v>12</v>
      </c>
      <c r="B45" s="2"/>
      <c r="C45" s="2"/>
      <c r="D45" s="2"/>
      <c r="E45" s="2"/>
      <c r="F45" s="3" t="s">
        <v>54</v>
      </c>
      <c r="G45" s="37">
        <f>+G46+G56+G59</f>
        <v>1740302000</v>
      </c>
      <c r="H45" s="38">
        <f>SUM(H46+H56+H58+H59)</f>
        <v>95000000</v>
      </c>
      <c r="I45" s="38">
        <f>+G45+H45</f>
        <v>1835302000</v>
      </c>
      <c r="J45" s="38">
        <f>SUM(J46+J56+J59)</f>
        <v>1357847803</v>
      </c>
      <c r="K45" s="38">
        <f>SUM(K46+K56+K59)</f>
        <v>1357847803</v>
      </c>
      <c r="L45" s="11">
        <f aca="true" t="shared" si="6" ref="L45:L60">+I45-J45</f>
        <v>477454197</v>
      </c>
      <c r="M45" s="40">
        <f aca="true" t="shared" si="7" ref="M45:M60">+J45/I45*100</f>
        <v>73.98497920233291</v>
      </c>
      <c r="N45" s="40">
        <f>+K45/I45*100</f>
        <v>73.98497920233291</v>
      </c>
      <c r="O45" s="84"/>
      <c r="S45" s="37">
        <f>SUM(S46+S56+S59)</f>
        <v>1835302000</v>
      </c>
      <c r="T45" s="39">
        <f>+I45-S45</f>
        <v>0</v>
      </c>
      <c r="U45" s="2"/>
      <c r="V45" s="35">
        <f>+S45/I45*100</f>
        <v>100</v>
      </c>
      <c r="W45" s="1"/>
      <c r="X45" s="1"/>
      <c r="Y45" s="1"/>
      <c r="Z45" s="1"/>
      <c r="AA45" s="1"/>
      <c r="AB45" s="1"/>
      <c r="AC45" s="1"/>
      <c r="AD45" s="1"/>
    </row>
    <row r="46" spans="1:30" ht="12.75">
      <c r="A46" s="2" t="s">
        <v>12</v>
      </c>
      <c r="B46" s="2">
        <v>1</v>
      </c>
      <c r="C46" s="2">
        <v>1</v>
      </c>
      <c r="D46" s="2">
        <v>0</v>
      </c>
      <c r="E46" s="2">
        <v>0</v>
      </c>
      <c r="F46" s="3" t="s">
        <v>13</v>
      </c>
      <c r="G46" s="37">
        <f>+G47+G52+G53+G54+G55</f>
        <v>1708062000</v>
      </c>
      <c r="H46" s="38">
        <f>+H47+H52+H53</f>
        <v>95000000</v>
      </c>
      <c r="I46" s="38">
        <f>+I47+I52+I53+I54+I55</f>
        <v>1803062000</v>
      </c>
      <c r="J46" s="37">
        <f>+J47+J52+J53+J54+J55</f>
        <v>1335473803</v>
      </c>
      <c r="K46" s="37">
        <f>+K47+K52+K53+K54+K55</f>
        <v>1335473803</v>
      </c>
      <c r="L46" s="11">
        <f t="shared" si="6"/>
        <v>467588197</v>
      </c>
      <c r="M46" s="40">
        <f t="shared" si="7"/>
        <v>74.06699287101608</v>
      </c>
      <c r="N46" s="40">
        <f aca="true" t="shared" si="8" ref="N46:N60">+K46/I46*100</f>
        <v>74.06699287101608</v>
      </c>
      <c r="O46" s="84"/>
      <c r="S46" s="37">
        <f>+S47+S52+S53+S54+S55</f>
        <v>1803062000</v>
      </c>
      <c r="T46" s="39">
        <f aca="true" t="shared" si="9" ref="T46:T60">+I46-S46</f>
        <v>0</v>
      </c>
      <c r="U46" s="2"/>
      <c r="V46" s="35">
        <f aca="true" t="shared" si="10" ref="V46:V60">+S46/I46*100</f>
        <v>100</v>
      </c>
      <c r="W46" s="1"/>
      <c r="X46" s="1"/>
      <c r="Y46" s="1"/>
      <c r="Z46" s="1"/>
      <c r="AA46" s="1"/>
      <c r="AB46" s="1"/>
      <c r="AC46" s="1"/>
      <c r="AD46" s="1"/>
    </row>
    <row r="47" spans="1:30" ht="12.75">
      <c r="A47" s="2" t="s">
        <v>12</v>
      </c>
      <c r="B47" s="2">
        <v>1</v>
      </c>
      <c r="C47" s="2">
        <v>1</v>
      </c>
      <c r="D47" s="2">
        <v>1</v>
      </c>
      <c r="E47" s="2">
        <v>0</v>
      </c>
      <c r="F47" s="8" t="s">
        <v>14</v>
      </c>
      <c r="G47" s="39">
        <f>SUM(G48:G51)</f>
        <v>1397370000</v>
      </c>
      <c r="H47" s="11">
        <f>SUM(H48:H51)</f>
        <v>95000000</v>
      </c>
      <c r="I47" s="11">
        <f>+G47+H47</f>
        <v>1492370000</v>
      </c>
      <c r="J47" s="11">
        <f>SUM(J48:J51)</f>
        <v>1097699750</v>
      </c>
      <c r="K47" s="11">
        <f>SUM(K48:K51)</f>
        <v>1097699750</v>
      </c>
      <c r="L47" s="11">
        <f t="shared" si="6"/>
        <v>394670250</v>
      </c>
      <c r="M47" s="40">
        <f t="shared" si="7"/>
        <v>73.55412866782366</v>
      </c>
      <c r="N47" s="40">
        <f t="shared" si="8"/>
        <v>73.55412866782366</v>
      </c>
      <c r="O47" s="83"/>
      <c r="S47" s="39">
        <f>SUM(S48:S51)</f>
        <v>1492370000</v>
      </c>
      <c r="T47" s="39">
        <f t="shared" si="9"/>
        <v>0</v>
      </c>
      <c r="U47" s="2"/>
      <c r="V47" s="35">
        <f t="shared" si="10"/>
        <v>100</v>
      </c>
      <c r="W47" s="1"/>
      <c r="X47" s="1"/>
      <c r="Y47" s="1"/>
      <c r="Z47" s="1"/>
      <c r="AA47" s="1"/>
      <c r="AB47" s="1"/>
      <c r="AC47" s="1"/>
      <c r="AD47" s="1"/>
    </row>
    <row r="48" spans="1:30" ht="12.75">
      <c r="A48" s="2" t="s">
        <v>12</v>
      </c>
      <c r="B48" s="2">
        <v>1</v>
      </c>
      <c r="C48" s="2">
        <v>1</v>
      </c>
      <c r="D48" s="2">
        <v>1</v>
      </c>
      <c r="E48" s="2">
        <v>1</v>
      </c>
      <c r="F48" s="2" t="s">
        <v>15</v>
      </c>
      <c r="G48" s="39">
        <v>1073349000</v>
      </c>
      <c r="H48" s="11">
        <v>95000000</v>
      </c>
      <c r="I48" s="11">
        <f>+G48+H48</f>
        <v>1168349000</v>
      </c>
      <c r="J48" s="38">
        <v>910042416</v>
      </c>
      <c r="K48" s="38">
        <v>910042416</v>
      </c>
      <c r="L48" s="11">
        <f t="shared" si="6"/>
        <v>258306584</v>
      </c>
      <c r="M48" s="40">
        <f t="shared" si="7"/>
        <v>77.89131637892444</v>
      </c>
      <c r="N48" s="40">
        <f t="shared" si="8"/>
        <v>77.89131637892444</v>
      </c>
      <c r="O48" s="83"/>
      <c r="S48" s="39">
        <f>+I48</f>
        <v>1168349000</v>
      </c>
      <c r="T48" s="39">
        <f t="shared" si="9"/>
        <v>0</v>
      </c>
      <c r="U48" s="2"/>
      <c r="V48" s="35">
        <f t="shared" si="10"/>
        <v>100</v>
      </c>
      <c r="W48" s="1"/>
      <c r="X48" s="1"/>
      <c r="Y48" s="1"/>
      <c r="Z48" s="1"/>
      <c r="AA48" s="1"/>
      <c r="AB48" s="1"/>
      <c r="AC48" s="1"/>
      <c r="AD48" s="1"/>
    </row>
    <row r="49" spans="1:30" ht="12.75">
      <c r="A49" s="2" t="s">
        <v>12</v>
      </c>
      <c r="B49" s="2">
        <v>1</v>
      </c>
      <c r="C49" s="2">
        <v>1</v>
      </c>
      <c r="D49" s="2">
        <v>9</v>
      </c>
      <c r="E49" s="2">
        <v>1</v>
      </c>
      <c r="F49" s="2" t="s">
        <v>55</v>
      </c>
      <c r="G49" s="39">
        <v>1386000</v>
      </c>
      <c r="H49" s="11">
        <v>0</v>
      </c>
      <c r="I49" s="11">
        <f aca="true" t="shared" si="11" ref="I49:I56">+G49+H49</f>
        <v>1386000</v>
      </c>
      <c r="J49" s="38">
        <v>805455</v>
      </c>
      <c r="K49" s="38">
        <v>805455</v>
      </c>
      <c r="L49" s="11">
        <f t="shared" si="6"/>
        <v>580545</v>
      </c>
      <c r="M49" s="40">
        <f t="shared" si="7"/>
        <v>58.11363636363637</v>
      </c>
      <c r="N49" s="40">
        <f t="shared" si="8"/>
        <v>58.11363636363637</v>
      </c>
      <c r="O49" s="83"/>
      <c r="S49" s="39">
        <f>+I49</f>
        <v>1386000</v>
      </c>
      <c r="T49" s="39">
        <f t="shared" si="9"/>
        <v>0</v>
      </c>
      <c r="U49" s="2"/>
      <c r="V49" s="35">
        <f t="shared" si="10"/>
        <v>100</v>
      </c>
      <c r="W49" s="1"/>
      <c r="X49" s="1"/>
      <c r="Y49" s="1"/>
      <c r="Z49" s="1"/>
      <c r="AA49" s="1"/>
      <c r="AB49" s="1"/>
      <c r="AC49" s="1"/>
      <c r="AD49" s="1"/>
    </row>
    <row r="50" spans="1:30" ht="12.75">
      <c r="A50" s="2" t="s">
        <v>12</v>
      </c>
      <c r="B50" s="2">
        <v>1</v>
      </c>
      <c r="C50" s="2">
        <v>1</v>
      </c>
      <c r="D50" s="2">
        <v>4</v>
      </c>
      <c r="E50" s="2">
        <v>2</v>
      </c>
      <c r="F50" s="2" t="s">
        <v>16</v>
      </c>
      <c r="G50" s="39">
        <v>114724000</v>
      </c>
      <c r="H50" s="11">
        <f>0</f>
        <v>0</v>
      </c>
      <c r="I50" s="11">
        <f t="shared" si="11"/>
        <v>114724000</v>
      </c>
      <c r="J50" s="38">
        <v>97076221</v>
      </c>
      <c r="K50" s="38">
        <v>97076221</v>
      </c>
      <c r="L50" s="11">
        <f t="shared" si="6"/>
        <v>17647779</v>
      </c>
      <c r="M50" s="40">
        <f t="shared" si="7"/>
        <v>84.61718646490708</v>
      </c>
      <c r="N50" s="40">
        <f t="shared" si="8"/>
        <v>84.61718646490708</v>
      </c>
      <c r="O50" s="83"/>
      <c r="S50" s="39">
        <f>+I50</f>
        <v>114724000</v>
      </c>
      <c r="T50" s="39">
        <f t="shared" si="9"/>
        <v>0</v>
      </c>
      <c r="U50" s="2"/>
      <c r="V50" s="35">
        <f t="shared" si="10"/>
        <v>100</v>
      </c>
      <c r="W50" s="1"/>
      <c r="X50" s="1"/>
      <c r="Y50" s="1"/>
      <c r="Z50" s="1"/>
      <c r="AA50" s="1"/>
      <c r="AB50" s="1"/>
      <c r="AC50" s="1"/>
      <c r="AD50" s="1"/>
    </row>
    <row r="51" spans="1:30" ht="12.75">
      <c r="A51" s="2" t="s">
        <v>12</v>
      </c>
      <c r="B51" s="2">
        <v>1</v>
      </c>
      <c r="C51" s="2">
        <v>1</v>
      </c>
      <c r="D51" s="2">
        <v>5</v>
      </c>
      <c r="E51" s="2">
        <v>0</v>
      </c>
      <c r="F51" s="2" t="s">
        <v>17</v>
      </c>
      <c r="G51" s="39">
        <f>12154000+59000000+18757000+118000000</f>
        <v>207911000</v>
      </c>
      <c r="H51" s="11">
        <v>0</v>
      </c>
      <c r="I51" s="11">
        <f t="shared" si="11"/>
        <v>207911000</v>
      </c>
      <c r="J51" s="38">
        <f>11820000+57319500+18076500+2559658</f>
        <v>89775658</v>
      </c>
      <c r="K51" s="38">
        <f>11820000+57319500+18076500+2559658</f>
        <v>89775658</v>
      </c>
      <c r="L51" s="11">
        <f t="shared" si="6"/>
        <v>118135342</v>
      </c>
      <c r="M51" s="40">
        <f t="shared" si="7"/>
        <v>43.17985003198484</v>
      </c>
      <c r="N51" s="40">
        <f t="shared" si="8"/>
        <v>43.17985003198484</v>
      </c>
      <c r="O51" s="83"/>
      <c r="S51" s="39">
        <f>12154000+18757000+118000000+59000000</f>
        <v>207911000</v>
      </c>
      <c r="T51" s="39">
        <f t="shared" si="9"/>
        <v>0</v>
      </c>
      <c r="U51" s="2"/>
      <c r="V51" s="35">
        <f t="shared" si="10"/>
        <v>100</v>
      </c>
      <c r="W51" s="1"/>
      <c r="X51" s="1"/>
      <c r="Y51" s="1"/>
      <c r="Z51" s="1"/>
      <c r="AA51" s="1"/>
      <c r="AB51" s="1"/>
      <c r="AC51" s="1"/>
      <c r="AD51" s="1"/>
    </row>
    <row r="52" spans="1:30" ht="12.75">
      <c r="A52" s="2" t="s">
        <v>12</v>
      </c>
      <c r="B52" s="2">
        <v>1</v>
      </c>
      <c r="C52" s="2">
        <v>5</v>
      </c>
      <c r="D52" s="2">
        <v>0</v>
      </c>
      <c r="E52" s="2">
        <v>1</v>
      </c>
      <c r="F52" s="2" t="s">
        <v>18</v>
      </c>
      <c r="G52" s="39">
        <v>76500000</v>
      </c>
      <c r="H52" s="11">
        <v>0</v>
      </c>
      <c r="I52" s="11">
        <f t="shared" si="11"/>
        <v>76500000</v>
      </c>
      <c r="J52" s="38">
        <f>+I52</f>
        <v>76500000</v>
      </c>
      <c r="K52" s="38">
        <f>+J52</f>
        <v>76500000</v>
      </c>
      <c r="L52" s="11">
        <f t="shared" si="6"/>
        <v>0</v>
      </c>
      <c r="M52" s="40">
        <f t="shared" si="7"/>
        <v>100</v>
      </c>
      <c r="N52" s="40">
        <f t="shared" si="8"/>
        <v>100</v>
      </c>
      <c r="O52" s="83"/>
      <c r="S52" s="39">
        <f>+I52</f>
        <v>76500000</v>
      </c>
      <c r="T52" s="39">
        <f t="shared" si="9"/>
        <v>0</v>
      </c>
      <c r="U52" s="2"/>
      <c r="V52" s="35">
        <f t="shared" si="10"/>
        <v>100</v>
      </c>
      <c r="W52" s="1"/>
      <c r="X52" s="1"/>
      <c r="Y52" s="1"/>
      <c r="Z52" s="1"/>
      <c r="AA52" s="1"/>
      <c r="AB52" s="1"/>
      <c r="AC52" s="1"/>
      <c r="AD52" s="1"/>
    </row>
    <row r="53" spans="1:30" ht="12.75">
      <c r="A53" s="2" t="s">
        <v>12</v>
      </c>
      <c r="B53" s="2">
        <v>1</v>
      </c>
      <c r="C53" s="2">
        <v>5</v>
      </c>
      <c r="D53" s="2">
        <v>0</v>
      </c>
      <c r="E53" s="2">
        <v>2</v>
      </c>
      <c r="F53" s="2" t="s">
        <v>19</v>
      </c>
      <c r="G53" s="4">
        <v>184192000</v>
      </c>
      <c r="H53" s="11">
        <f>0</f>
        <v>0</v>
      </c>
      <c r="I53" s="11">
        <f t="shared" si="11"/>
        <v>184192000</v>
      </c>
      <c r="J53" s="38">
        <v>121440353</v>
      </c>
      <c r="K53" s="38">
        <v>121440353</v>
      </c>
      <c r="L53" s="11">
        <f t="shared" si="6"/>
        <v>62751647</v>
      </c>
      <c r="M53" s="40">
        <f t="shared" si="7"/>
        <v>65.93139387161223</v>
      </c>
      <c r="N53" s="40">
        <f t="shared" si="8"/>
        <v>65.93139387161223</v>
      </c>
      <c r="O53" s="83"/>
      <c r="S53" s="39">
        <f>+I53</f>
        <v>184192000</v>
      </c>
      <c r="T53" s="39">
        <f t="shared" si="9"/>
        <v>0</v>
      </c>
      <c r="U53" s="2"/>
      <c r="V53" s="35">
        <f t="shared" si="10"/>
        <v>100</v>
      </c>
      <c r="W53" s="1"/>
      <c r="X53" s="1"/>
      <c r="Y53" s="1"/>
      <c r="Z53" s="1"/>
      <c r="AA53" s="1"/>
      <c r="AB53" s="1"/>
      <c r="AC53" s="1"/>
      <c r="AD53" s="1"/>
    </row>
    <row r="54" spans="1:30" ht="12.75">
      <c r="A54" s="2" t="s">
        <v>12</v>
      </c>
      <c r="B54" s="2">
        <v>1</v>
      </c>
      <c r="C54" s="2">
        <v>5</v>
      </c>
      <c r="D54" s="2">
        <v>0</v>
      </c>
      <c r="E54" s="2">
        <v>6</v>
      </c>
      <c r="F54" s="2" t="s">
        <v>37</v>
      </c>
      <c r="G54" s="39">
        <v>25000000</v>
      </c>
      <c r="H54" s="11"/>
      <c r="I54" s="11">
        <f t="shared" si="11"/>
        <v>25000000</v>
      </c>
      <c r="J54" s="38">
        <v>22149500</v>
      </c>
      <c r="K54" s="38">
        <v>22149500</v>
      </c>
      <c r="L54" s="11">
        <f t="shared" si="6"/>
        <v>2850500</v>
      </c>
      <c r="M54" s="40">
        <f t="shared" si="7"/>
        <v>88.598</v>
      </c>
      <c r="N54" s="40">
        <f t="shared" si="8"/>
        <v>88.598</v>
      </c>
      <c r="O54" s="83"/>
      <c r="S54" s="39">
        <f>+I54</f>
        <v>25000000</v>
      </c>
      <c r="T54" s="39">
        <f t="shared" si="9"/>
        <v>0</v>
      </c>
      <c r="U54" s="2"/>
      <c r="V54" s="35">
        <f t="shared" si="10"/>
        <v>100</v>
      </c>
      <c r="W54" s="1"/>
      <c r="X54" s="1"/>
      <c r="Y54" s="1"/>
      <c r="Z54" s="1"/>
      <c r="AA54" s="1"/>
      <c r="AB54" s="1"/>
      <c r="AC54" s="1"/>
      <c r="AD54" s="1"/>
    </row>
    <row r="55" spans="1:30" ht="12.75">
      <c r="A55" s="2" t="s">
        <v>12</v>
      </c>
      <c r="B55" s="2">
        <v>1</v>
      </c>
      <c r="C55" s="2">
        <v>5</v>
      </c>
      <c r="D55" s="2">
        <v>0</v>
      </c>
      <c r="E55" s="2">
        <v>7</v>
      </c>
      <c r="F55" s="2" t="s">
        <v>38</v>
      </c>
      <c r="G55" s="39">
        <f>+G54</f>
        <v>25000000</v>
      </c>
      <c r="H55" s="11"/>
      <c r="I55" s="11">
        <f t="shared" si="11"/>
        <v>25000000</v>
      </c>
      <c r="J55" s="38">
        <v>17684200</v>
      </c>
      <c r="K55" s="38">
        <v>17684200</v>
      </c>
      <c r="L55" s="11">
        <f t="shared" si="6"/>
        <v>7315800</v>
      </c>
      <c r="M55" s="40">
        <f t="shared" si="7"/>
        <v>70.7368</v>
      </c>
      <c r="N55" s="40">
        <f t="shared" si="8"/>
        <v>70.7368</v>
      </c>
      <c r="O55" s="83"/>
      <c r="S55" s="39">
        <f>+I55</f>
        <v>25000000</v>
      </c>
      <c r="T55" s="39">
        <f t="shared" si="9"/>
        <v>0</v>
      </c>
      <c r="U55" s="2"/>
      <c r="V55" s="35">
        <f t="shared" si="10"/>
        <v>100</v>
      </c>
      <c r="W55" s="1"/>
      <c r="X55" s="1"/>
      <c r="Y55" s="1"/>
      <c r="Z55" s="1"/>
      <c r="AA55" s="1"/>
      <c r="AB55" s="1"/>
      <c r="AC55" s="1"/>
      <c r="AD55" s="1"/>
    </row>
    <row r="56" spans="1:30" ht="12.75">
      <c r="A56" s="2" t="s">
        <v>12</v>
      </c>
      <c r="B56" s="2">
        <v>2</v>
      </c>
      <c r="C56" s="2">
        <v>0</v>
      </c>
      <c r="D56" s="2">
        <v>0</v>
      </c>
      <c r="E56" s="2">
        <v>0</v>
      </c>
      <c r="F56" s="3" t="s">
        <v>20</v>
      </c>
      <c r="G56" s="37">
        <f>SUM(G57:G58)</f>
        <v>22374000</v>
      </c>
      <c r="H56" s="38">
        <f>SUM(H57:H58)</f>
        <v>0</v>
      </c>
      <c r="I56" s="38">
        <f t="shared" si="11"/>
        <v>22374000</v>
      </c>
      <c r="J56" s="38">
        <f>+J57+J58</f>
        <v>22374000</v>
      </c>
      <c r="K56" s="38">
        <f>+K57+K58</f>
        <v>22374000</v>
      </c>
      <c r="L56" s="11">
        <f t="shared" si="6"/>
        <v>0</v>
      </c>
      <c r="M56" s="40">
        <f t="shared" si="7"/>
        <v>100</v>
      </c>
      <c r="N56" s="40">
        <f t="shared" si="8"/>
        <v>100</v>
      </c>
      <c r="O56" s="84"/>
      <c r="S56" s="37">
        <f>SUM(S57:S58)</f>
        <v>22374000</v>
      </c>
      <c r="T56" s="39">
        <f t="shared" si="9"/>
        <v>0</v>
      </c>
      <c r="U56" s="2"/>
      <c r="V56" s="35">
        <f t="shared" si="10"/>
        <v>100</v>
      </c>
      <c r="W56" s="1"/>
      <c r="X56" s="1"/>
      <c r="Y56" s="1"/>
      <c r="Z56" s="1"/>
      <c r="AA56" s="1"/>
      <c r="AB56" s="1"/>
      <c r="AC56" s="1"/>
      <c r="AD56" s="1"/>
    </row>
    <row r="57" spans="1:30" ht="12.75">
      <c r="A57" s="2" t="s">
        <v>12</v>
      </c>
      <c r="B57" s="2">
        <v>2</v>
      </c>
      <c r="C57" s="2">
        <v>0</v>
      </c>
      <c r="D57" s="2">
        <v>4</v>
      </c>
      <c r="E57" s="2">
        <v>0</v>
      </c>
      <c r="F57" s="2" t="s">
        <v>21</v>
      </c>
      <c r="G57" s="39">
        <v>21140000</v>
      </c>
      <c r="H57" s="11">
        <v>0</v>
      </c>
      <c r="I57" s="11">
        <f>+G57+H57</f>
        <v>21140000</v>
      </c>
      <c r="J57" s="38">
        <f>+I57</f>
        <v>21140000</v>
      </c>
      <c r="K57" s="38">
        <f>+J57</f>
        <v>21140000</v>
      </c>
      <c r="L57" s="11">
        <f t="shared" si="6"/>
        <v>0</v>
      </c>
      <c r="M57" s="40">
        <f t="shared" si="7"/>
        <v>100</v>
      </c>
      <c r="N57" s="40">
        <f t="shared" si="8"/>
        <v>100</v>
      </c>
      <c r="O57" s="83"/>
      <c r="S57" s="39">
        <f>+I57</f>
        <v>21140000</v>
      </c>
      <c r="T57" s="39">
        <f t="shared" si="9"/>
        <v>0</v>
      </c>
      <c r="U57" s="2"/>
      <c r="V57" s="35">
        <f t="shared" si="10"/>
        <v>100</v>
      </c>
      <c r="W57" s="1"/>
      <c r="X57" s="1"/>
      <c r="Y57" s="1"/>
      <c r="Z57" s="1"/>
      <c r="AA57" s="1"/>
      <c r="AB57" s="1"/>
      <c r="AC57" s="1"/>
      <c r="AD57" s="1"/>
    </row>
    <row r="58" spans="1:30" ht="12.75">
      <c r="A58" s="2" t="s">
        <v>12</v>
      </c>
      <c r="B58" s="2">
        <v>2</v>
      </c>
      <c r="C58" s="2">
        <v>0</v>
      </c>
      <c r="D58" s="2">
        <v>3</v>
      </c>
      <c r="E58" s="2">
        <v>50</v>
      </c>
      <c r="F58" s="2" t="s">
        <v>22</v>
      </c>
      <c r="G58" s="39">
        <v>1234000</v>
      </c>
      <c r="H58" s="11">
        <v>0</v>
      </c>
      <c r="I58" s="11">
        <f>+G58+H58</f>
        <v>1234000</v>
      </c>
      <c r="J58" s="38">
        <f>+I58</f>
        <v>1234000</v>
      </c>
      <c r="K58" s="38">
        <f>+J58</f>
        <v>1234000</v>
      </c>
      <c r="L58" s="11">
        <f t="shared" si="6"/>
        <v>0</v>
      </c>
      <c r="M58" s="40">
        <f t="shared" si="7"/>
        <v>100</v>
      </c>
      <c r="N58" s="40">
        <f t="shared" si="8"/>
        <v>100</v>
      </c>
      <c r="O58" s="83"/>
      <c r="S58" s="39">
        <f>+I58</f>
        <v>1234000</v>
      </c>
      <c r="T58" s="39">
        <f t="shared" si="9"/>
        <v>0</v>
      </c>
      <c r="U58" s="2"/>
      <c r="V58" s="35">
        <f t="shared" si="10"/>
        <v>100</v>
      </c>
      <c r="W58" s="1"/>
      <c r="X58" s="1"/>
      <c r="Y58" s="1"/>
      <c r="Z58" s="1"/>
      <c r="AA58" s="1"/>
      <c r="AB58" s="1"/>
      <c r="AC58" s="1"/>
      <c r="AD58" s="1"/>
    </row>
    <row r="59" spans="1:30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39">
        <f>+G60</f>
        <v>9866000</v>
      </c>
      <c r="H59" s="11">
        <f>+H60</f>
        <v>0</v>
      </c>
      <c r="I59" s="11">
        <f>+G59+H59</f>
        <v>9866000</v>
      </c>
      <c r="J59" s="38">
        <f>+J60</f>
        <v>0</v>
      </c>
      <c r="K59" s="38">
        <f>+K60</f>
        <v>0</v>
      </c>
      <c r="L59" s="11">
        <f t="shared" si="6"/>
        <v>9866000</v>
      </c>
      <c r="M59" s="40">
        <f t="shared" si="7"/>
        <v>0</v>
      </c>
      <c r="N59" s="40">
        <f t="shared" si="8"/>
        <v>0</v>
      </c>
      <c r="O59" s="83"/>
      <c r="S59" s="39">
        <f>+S60</f>
        <v>9866000</v>
      </c>
      <c r="T59" s="39">
        <f t="shared" si="9"/>
        <v>0</v>
      </c>
      <c r="U59" s="2"/>
      <c r="V59" s="35">
        <f t="shared" si="10"/>
        <v>100</v>
      </c>
      <c r="W59" s="1"/>
      <c r="X59" s="1"/>
      <c r="Y59" s="1"/>
      <c r="Z59" s="1"/>
      <c r="AA59" s="1"/>
      <c r="AB59" s="1"/>
      <c r="AC59" s="1"/>
      <c r="AD59" s="1"/>
    </row>
    <row r="60" spans="1:30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9">
        <v>9866000</v>
      </c>
      <c r="H60" s="11">
        <v>0</v>
      </c>
      <c r="I60" s="11">
        <f>+G60+H60</f>
        <v>9866000</v>
      </c>
      <c r="J60" s="38">
        <v>0</v>
      </c>
      <c r="K60" s="38">
        <v>0</v>
      </c>
      <c r="L60" s="11">
        <f t="shared" si="6"/>
        <v>9866000</v>
      </c>
      <c r="M60" s="40">
        <f t="shared" si="7"/>
        <v>0</v>
      </c>
      <c r="N60" s="40">
        <f t="shared" si="8"/>
        <v>0</v>
      </c>
      <c r="O60" s="83"/>
      <c r="S60" s="39">
        <f>+I60</f>
        <v>9866000</v>
      </c>
      <c r="T60" s="39">
        <f t="shared" si="9"/>
        <v>0</v>
      </c>
      <c r="U60" s="2"/>
      <c r="V60" s="35">
        <f t="shared" si="10"/>
        <v>100</v>
      </c>
      <c r="W60" s="1"/>
      <c r="X60" s="1"/>
      <c r="Y60" s="1"/>
      <c r="Z60" s="1"/>
      <c r="AA60" s="1"/>
      <c r="AB60" s="1"/>
      <c r="AC60" s="1"/>
      <c r="AD60" s="1"/>
    </row>
    <row r="61" spans="1:30" ht="12.75">
      <c r="A61" s="8" t="s">
        <v>1</v>
      </c>
      <c r="B61" s="8" t="s">
        <v>1</v>
      </c>
      <c r="C61" s="8" t="s">
        <v>1</v>
      </c>
      <c r="D61" s="8" t="s">
        <v>1</v>
      </c>
      <c r="E61" s="8" t="s">
        <v>1</v>
      </c>
      <c r="F61" s="8" t="s">
        <v>26</v>
      </c>
      <c r="G61" s="4" t="s">
        <v>1</v>
      </c>
      <c r="H61" s="13" t="s">
        <v>1</v>
      </c>
      <c r="I61" s="13" t="s">
        <v>1</v>
      </c>
      <c r="J61" s="38" t="s">
        <v>1</v>
      </c>
      <c r="K61" s="38"/>
      <c r="L61" s="12"/>
      <c r="M61" s="40" t="s">
        <v>1</v>
      </c>
      <c r="N61" s="15"/>
      <c r="O61" s="83"/>
      <c r="S61" s="2"/>
      <c r="T61" s="2"/>
      <c r="U61" s="2"/>
      <c r="V61" s="35"/>
      <c r="W61" s="1"/>
      <c r="X61" s="1"/>
      <c r="Y61" s="1"/>
      <c r="Z61" s="1"/>
      <c r="AA61" s="1"/>
      <c r="AB61" s="1"/>
      <c r="AC61" s="1"/>
      <c r="AD61" s="1"/>
    </row>
    <row r="62" spans="7:30" ht="12.75">
      <c r="G62" s="86" t="s">
        <v>1</v>
      </c>
      <c r="H62" s="124" t="s">
        <v>1</v>
      </c>
      <c r="I62" s="118" t="s">
        <v>1</v>
      </c>
      <c r="W62" s="1"/>
      <c r="X62" s="1"/>
      <c r="Y62" s="1"/>
      <c r="Z62" s="1"/>
      <c r="AA62" s="1"/>
      <c r="AB62" s="1"/>
      <c r="AC62" s="1"/>
      <c r="AD62" s="1"/>
    </row>
    <row r="63" spans="7:30" ht="12.75">
      <c r="G63" s="42" t="s">
        <v>1</v>
      </c>
      <c r="H63" s="133"/>
      <c r="I63" s="135" t="s">
        <v>1</v>
      </c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W63" s="1"/>
      <c r="X63" s="1"/>
      <c r="Y63" s="1"/>
      <c r="Z63" s="1"/>
      <c r="AA63" s="1"/>
      <c r="AB63" s="1"/>
      <c r="AC63" s="1"/>
      <c r="AD63" s="1"/>
    </row>
    <row r="64" spans="7:30" ht="15">
      <c r="G64" s="42" t="s">
        <v>1</v>
      </c>
      <c r="H64" s="133"/>
      <c r="I64" s="136"/>
      <c r="J64" s="117"/>
      <c r="K64" s="117"/>
      <c r="L64" s="117"/>
      <c r="M64" s="117"/>
      <c r="N64" s="117"/>
      <c r="O64" s="117"/>
      <c r="P64" s="117"/>
      <c r="Q64" s="117"/>
      <c r="R64" s="117"/>
      <c r="S64" s="137"/>
      <c r="T64" s="117"/>
      <c r="W64" s="1"/>
      <c r="X64" s="1"/>
      <c r="Y64" s="1"/>
      <c r="Z64" s="1"/>
      <c r="AA64" s="1"/>
      <c r="AB64" s="1"/>
      <c r="AC64" s="1"/>
      <c r="AD64" s="1"/>
    </row>
    <row r="65" spans="7:30" ht="12.75">
      <c r="G65" s="7" t="s">
        <v>26</v>
      </c>
      <c r="H65" s="133"/>
      <c r="I65" s="135"/>
      <c r="J65" s="117"/>
      <c r="K65" s="117"/>
      <c r="L65" s="117"/>
      <c r="M65" s="117"/>
      <c r="N65" s="117"/>
      <c r="O65" s="117"/>
      <c r="P65" s="117"/>
      <c r="Q65" s="117"/>
      <c r="R65" s="117"/>
      <c r="S65" s="137"/>
      <c r="T65" s="117"/>
      <c r="W65" s="1"/>
      <c r="X65" s="1"/>
      <c r="Y65" s="1"/>
      <c r="Z65" s="1"/>
      <c r="AA65" s="1"/>
      <c r="AB65" s="1"/>
      <c r="AC65" s="1"/>
      <c r="AD65" s="1"/>
    </row>
    <row r="66" spans="7:30" ht="12.75">
      <c r="G66" s="28"/>
      <c r="H66" s="133"/>
      <c r="I66" s="138"/>
      <c r="J66" s="117"/>
      <c r="K66" s="117"/>
      <c r="L66" s="117"/>
      <c r="M66" s="117"/>
      <c r="N66" s="117"/>
      <c r="O66" s="117"/>
      <c r="P66" s="117"/>
      <c r="Q66" s="117"/>
      <c r="R66" s="117"/>
      <c r="S66" s="137"/>
      <c r="T66" s="117"/>
      <c r="W66" s="1"/>
      <c r="X66" s="1"/>
      <c r="Y66" s="1"/>
      <c r="Z66" s="1"/>
      <c r="AA66" s="1"/>
      <c r="AB66" s="1"/>
      <c r="AC66" s="1"/>
      <c r="AD66" s="1"/>
    </row>
    <row r="67" spans="7:30" ht="12.75">
      <c r="G67" s="42"/>
      <c r="H67" s="133"/>
      <c r="I67" s="138"/>
      <c r="J67" s="117"/>
      <c r="K67" s="117"/>
      <c r="L67" s="117"/>
      <c r="M67" s="117"/>
      <c r="N67" s="117"/>
      <c r="O67" s="117"/>
      <c r="P67" s="117"/>
      <c r="Q67" s="117"/>
      <c r="R67" s="117"/>
      <c r="S67" s="137"/>
      <c r="T67" s="117"/>
      <c r="W67" s="1"/>
      <c r="X67" s="1"/>
      <c r="Y67" s="1"/>
      <c r="Z67" s="1"/>
      <c r="AA67" s="1"/>
      <c r="AB67" s="1"/>
      <c r="AC67" s="1"/>
      <c r="AD67" s="1"/>
    </row>
    <row r="68" spans="8:30" ht="12.75">
      <c r="H68" s="133"/>
      <c r="I68" s="138"/>
      <c r="J68" s="117"/>
      <c r="K68" s="117"/>
      <c r="L68" s="117"/>
      <c r="M68" s="117"/>
      <c r="N68" s="117"/>
      <c r="O68" s="117"/>
      <c r="P68" s="117"/>
      <c r="Q68" s="117"/>
      <c r="R68" s="117"/>
      <c r="S68" s="133"/>
      <c r="T68" s="117"/>
      <c r="W68" s="1"/>
      <c r="X68" s="1"/>
      <c r="Y68" s="1"/>
      <c r="Z68" s="1"/>
      <c r="AA68" s="1"/>
      <c r="AB68" s="1"/>
      <c r="AC68" s="1"/>
      <c r="AD68" s="1"/>
    </row>
    <row r="69" spans="8:30" ht="12.75">
      <c r="H69" s="133"/>
      <c r="I69" s="138"/>
      <c r="J69" s="117"/>
      <c r="K69" s="117"/>
      <c r="L69" s="117"/>
      <c r="M69" s="117"/>
      <c r="N69" s="117"/>
      <c r="O69" s="117"/>
      <c r="P69" s="117"/>
      <c r="Q69" s="117"/>
      <c r="R69" s="117"/>
      <c r="S69" s="133"/>
      <c r="T69" s="117"/>
      <c r="W69" s="1"/>
      <c r="X69" s="1"/>
      <c r="Y69" s="1"/>
      <c r="Z69" s="1"/>
      <c r="AA69" s="1"/>
      <c r="AB69" s="1"/>
      <c r="AC69" s="1"/>
      <c r="AD69" s="1"/>
    </row>
    <row r="70" spans="8:30" ht="12.75">
      <c r="H70" s="133"/>
      <c r="I70" s="133"/>
      <c r="J70" s="117"/>
      <c r="K70" s="117"/>
      <c r="L70" s="117"/>
      <c r="M70" s="117"/>
      <c r="N70" s="117"/>
      <c r="O70" s="117"/>
      <c r="P70" s="117"/>
      <c r="Q70" s="117"/>
      <c r="R70" s="117"/>
      <c r="S70" s="133"/>
      <c r="T70" s="117"/>
      <c r="W70" s="1"/>
      <c r="X70" s="1"/>
      <c r="Y70" s="1"/>
      <c r="Z70" s="1"/>
      <c r="AA70" s="1"/>
      <c r="AB70" s="1"/>
      <c r="AC70" s="1"/>
      <c r="AD70" s="1"/>
    </row>
    <row r="71" spans="8:30" ht="12.75">
      <c r="H71" s="133"/>
      <c r="I71" s="138"/>
      <c r="J71" s="117"/>
      <c r="K71" s="117"/>
      <c r="L71" s="117"/>
      <c r="M71" s="117"/>
      <c r="N71" s="117"/>
      <c r="O71" s="117"/>
      <c r="P71" s="117"/>
      <c r="Q71" s="117"/>
      <c r="R71" s="117"/>
      <c r="S71" s="133"/>
      <c r="T71" s="117"/>
      <c r="W71" s="1"/>
      <c r="X71" s="1"/>
      <c r="Y71" s="1"/>
      <c r="Z71" s="1"/>
      <c r="AA71" s="1"/>
      <c r="AB71" s="1"/>
      <c r="AC71" s="1"/>
      <c r="AD71" s="1"/>
    </row>
    <row r="72" spans="8:30" ht="12.75">
      <c r="H72" s="133"/>
      <c r="I72" s="139"/>
      <c r="J72" s="117"/>
      <c r="K72" s="117"/>
      <c r="L72" s="117"/>
      <c r="M72" s="117"/>
      <c r="N72" s="117"/>
      <c r="O72" s="117"/>
      <c r="P72" s="117"/>
      <c r="Q72" s="117"/>
      <c r="R72" s="117"/>
      <c r="S72" s="134"/>
      <c r="T72" s="117"/>
      <c r="W72" s="1"/>
      <c r="X72" s="1"/>
      <c r="Y72" s="1"/>
      <c r="Z72" s="1"/>
      <c r="AA72" s="1"/>
      <c r="AB72" s="1"/>
      <c r="AC72" s="1"/>
      <c r="AD72" s="1"/>
    </row>
    <row r="73" spans="8:30" ht="12.75">
      <c r="H73" s="133"/>
      <c r="I73" s="139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W73" s="1"/>
      <c r="X73" s="1"/>
      <c r="Y73" s="1"/>
      <c r="Z73" s="1"/>
      <c r="AA73" s="1"/>
      <c r="AB73" s="1"/>
      <c r="AC73" s="1"/>
      <c r="AD73" s="1"/>
    </row>
    <row r="74" spans="8:30" ht="12.75">
      <c r="H74" s="133"/>
      <c r="I74" s="133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W74" s="1"/>
      <c r="X74" s="1"/>
      <c r="Y74" s="1"/>
      <c r="Z74" s="1"/>
      <c r="AA74" s="1"/>
      <c r="AB74" s="1"/>
      <c r="AC74" s="1"/>
      <c r="AD74" s="1"/>
    </row>
    <row r="75" spans="8:30" ht="12.75">
      <c r="H75" s="133"/>
      <c r="I75" s="133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W75" s="1"/>
      <c r="X75" s="1"/>
      <c r="Y75" s="1"/>
      <c r="Z75" s="1"/>
      <c r="AA75" s="1"/>
      <c r="AB75" s="1"/>
      <c r="AC75" s="1"/>
      <c r="AD75" s="1"/>
    </row>
    <row r="76" spans="8:30" ht="12.75">
      <c r="H76" s="133"/>
      <c r="I76" s="133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W76" s="1"/>
      <c r="X76" s="1"/>
      <c r="Y76" s="1"/>
      <c r="Z76" s="1"/>
      <c r="AA76" s="1"/>
      <c r="AB76" s="1"/>
      <c r="AC76" s="1"/>
      <c r="AD76" s="1"/>
    </row>
    <row r="77" spans="8:30" ht="12.75">
      <c r="H77" s="133"/>
      <c r="I77" s="133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W77" s="1"/>
      <c r="X77" s="1"/>
      <c r="Y77" s="1"/>
      <c r="Z77" s="1"/>
      <c r="AA77" s="1"/>
      <c r="AB77" s="1"/>
      <c r="AC77" s="1"/>
      <c r="AD77" s="1"/>
    </row>
    <row r="78" spans="23:30" ht="12.75">
      <c r="W78" s="1"/>
      <c r="X78" s="1"/>
      <c r="Y78" s="1"/>
      <c r="Z78" s="1"/>
      <c r="AA78" s="1"/>
      <c r="AB78" s="1"/>
      <c r="AC78" s="1"/>
      <c r="AD78" s="1"/>
    </row>
    <row r="79" spans="23:30" ht="12.75">
      <c r="W79" s="1"/>
      <c r="X79" s="1"/>
      <c r="Y79" s="1"/>
      <c r="Z79" s="1"/>
      <c r="AA79" s="1"/>
      <c r="AB79" s="1"/>
      <c r="AC79" s="1"/>
      <c r="AD79" s="1"/>
    </row>
    <row r="80" spans="23:30" ht="12.75">
      <c r="W80" s="1"/>
      <c r="X80" s="1"/>
      <c r="Y80" s="1"/>
      <c r="Z80" s="1"/>
      <c r="AA80" s="1"/>
      <c r="AB80" s="1"/>
      <c r="AC80" s="1"/>
      <c r="AD80" s="1"/>
    </row>
    <row r="81" spans="23:30" ht="12.75">
      <c r="W81" s="1"/>
      <c r="X81" s="1"/>
      <c r="Y81" s="1"/>
      <c r="Z81" s="1"/>
      <c r="AA81" s="1"/>
      <c r="AB81" s="1"/>
      <c r="AC81" s="1"/>
      <c r="AD81" s="1"/>
    </row>
    <row r="82" spans="23:30" ht="12.75">
      <c r="W82" s="1"/>
      <c r="X82" s="1"/>
      <c r="Y82" s="1"/>
      <c r="Z82" s="1"/>
      <c r="AA82" s="1"/>
      <c r="AB82" s="1"/>
      <c r="AC82" s="1"/>
      <c r="AD82" s="1"/>
    </row>
    <row r="83" spans="23:30" ht="12.75">
      <c r="W83" s="1"/>
      <c r="X83" s="1"/>
      <c r="Y83" s="1"/>
      <c r="Z83" s="1"/>
      <c r="AA83" s="1"/>
      <c r="AB83" s="1"/>
      <c r="AC83" s="1"/>
      <c r="AD83" s="1"/>
    </row>
    <row r="84" spans="23:30" ht="12.75">
      <c r="W84" s="1"/>
      <c r="X84" s="1"/>
      <c r="Y84" s="1"/>
      <c r="Z84" s="1"/>
      <c r="AA84" s="1"/>
      <c r="AB84" s="1"/>
      <c r="AC84" s="1"/>
      <c r="AD84" s="1"/>
    </row>
    <row r="85" spans="23:30" ht="12.75">
      <c r="W85" s="1"/>
      <c r="X85" s="1"/>
      <c r="Y85" s="1"/>
      <c r="Z85" s="1"/>
      <c r="AA85" s="1"/>
      <c r="AB85" s="1"/>
      <c r="AC85" s="1"/>
      <c r="AD85" s="1"/>
    </row>
    <row r="86" spans="23:30" ht="12.75">
      <c r="W86" s="1"/>
      <c r="X86" s="1"/>
      <c r="Y86" s="1"/>
      <c r="Z86" s="1"/>
      <c r="AA86" s="1"/>
      <c r="AB86" s="1"/>
      <c r="AC86" s="1"/>
      <c r="AD86" s="1"/>
    </row>
    <row r="87" spans="23:30" ht="12.75">
      <c r="W87" s="1"/>
      <c r="X87" s="1"/>
      <c r="Y87" s="1"/>
      <c r="Z87" s="1"/>
      <c r="AA87" s="1"/>
      <c r="AB87" s="1"/>
      <c r="AC87" s="1"/>
      <c r="AD87" s="1"/>
    </row>
    <row r="88" spans="23:30" ht="12.75">
      <c r="W88" s="1"/>
      <c r="X88" s="1"/>
      <c r="Y88" s="1"/>
      <c r="Z88" s="1"/>
      <c r="AA88" s="1"/>
      <c r="AB88" s="1"/>
      <c r="AC88" s="1"/>
      <c r="AD88" s="1"/>
    </row>
    <row r="89" spans="23:30" ht="12.75">
      <c r="W89" s="1"/>
      <c r="X89" s="1"/>
      <c r="Y89" s="1"/>
      <c r="Z89" s="1"/>
      <c r="AA89" s="1"/>
      <c r="AB89" s="1"/>
      <c r="AC89" s="1"/>
      <c r="AD89" s="1"/>
    </row>
    <row r="90" spans="23:30" ht="12.75">
      <c r="W90" s="1"/>
      <c r="X90" s="1"/>
      <c r="Y90" s="1"/>
      <c r="Z90" s="1"/>
      <c r="AA90" s="1"/>
      <c r="AB90" s="1"/>
      <c r="AC90" s="1"/>
      <c r="AD90" s="1"/>
    </row>
    <row r="91" spans="23:30" ht="12.75">
      <c r="W91" s="1"/>
      <c r="X91" s="1"/>
      <c r="Y91" s="1"/>
      <c r="Z91" s="1"/>
      <c r="AA91" s="1"/>
      <c r="AB91" s="1"/>
      <c r="AC91" s="1"/>
      <c r="AD91" s="1"/>
    </row>
    <row r="92" spans="23:30" ht="12.75">
      <c r="W92" s="1"/>
      <c r="X92" s="1"/>
      <c r="Y92" s="1"/>
      <c r="Z92" s="1"/>
      <c r="AA92" s="1"/>
      <c r="AB92" s="1"/>
      <c r="AC92" s="1"/>
      <c r="AD92" s="1"/>
    </row>
    <row r="93" spans="23:30" ht="12.75">
      <c r="W93" s="1"/>
      <c r="X93" s="1"/>
      <c r="Y93" s="1"/>
      <c r="Z93" s="1"/>
      <c r="AA93" s="1"/>
      <c r="AB93" s="1"/>
      <c r="AC93" s="1"/>
      <c r="AD93" s="1"/>
    </row>
    <row r="94" spans="23:30" ht="12.75">
      <c r="W94" s="1"/>
      <c r="X94" s="1"/>
      <c r="Y94" s="1"/>
      <c r="Z94" s="1"/>
      <c r="AA94" s="1"/>
      <c r="AB94" s="1"/>
      <c r="AC94" s="1"/>
      <c r="AD94" s="1"/>
    </row>
    <row r="95" spans="23:30" ht="12.75">
      <c r="W95" s="1"/>
      <c r="X95" s="1"/>
      <c r="Y95" s="1"/>
      <c r="Z95" s="1"/>
      <c r="AA95" s="1"/>
      <c r="AB95" s="1"/>
      <c r="AC95" s="1"/>
      <c r="AD95" s="1"/>
    </row>
    <row r="96" spans="23:30" ht="12.75">
      <c r="W96" s="1"/>
      <c r="X96" s="1"/>
      <c r="Y96" s="1"/>
      <c r="Z96" s="1"/>
      <c r="AA96" s="1"/>
      <c r="AB96" s="1"/>
      <c r="AC96" s="1"/>
      <c r="AD96" s="1"/>
    </row>
    <row r="97" spans="23:30" ht="12.75">
      <c r="W97" s="1"/>
      <c r="X97" s="1"/>
      <c r="Y97" s="1"/>
      <c r="Z97" s="1"/>
      <c r="AA97" s="1"/>
      <c r="AB97" s="1"/>
      <c r="AC97" s="1"/>
      <c r="AD97" s="1"/>
    </row>
    <row r="98" spans="23:30" ht="12.75">
      <c r="W98" s="1"/>
      <c r="X98" s="1"/>
      <c r="Y98" s="1"/>
      <c r="Z98" s="1"/>
      <c r="AA98" s="1"/>
      <c r="AB98" s="1"/>
      <c r="AC98" s="1"/>
      <c r="AD98" s="1"/>
    </row>
    <row r="99" spans="23:30" ht="12.75">
      <c r="W99" s="1"/>
      <c r="X99" s="1"/>
      <c r="Y99" s="1"/>
      <c r="Z99" s="1"/>
      <c r="AA99" s="1"/>
      <c r="AB99" s="1"/>
      <c r="AC99" s="1"/>
      <c r="AD99" s="1"/>
    </row>
    <row r="100" spans="23:30" ht="12.75">
      <c r="W100" s="1"/>
      <c r="X100" s="1"/>
      <c r="Y100" s="1"/>
      <c r="Z100" s="1"/>
      <c r="AA100" s="1"/>
      <c r="AB100" s="1"/>
      <c r="AC100" s="1"/>
      <c r="AD100" s="1"/>
    </row>
    <row r="101" spans="23:30" ht="12.75">
      <c r="W101" s="1"/>
      <c r="X101" s="1"/>
      <c r="Y101" s="1"/>
      <c r="Z101" s="1"/>
      <c r="AA101" s="1"/>
      <c r="AB101" s="1"/>
      <c r="AC101" s="1"/>
      <c r="AD101" s="1"/>
    </row>
    <row r="102" spans="23:30" ht="12.75">
      <c r="W102" s="1"/>
      <c r="X102" s="1"/>
      <c r="Y102" s="1"/>
      <c r="Z102" s="1"/>
      <c r="AA102" s="1"/>
      <c r="AB102" s="1"/>
      <c r="AC102" s="1"/>
      <c r="AD102" s="1"/>
    </row>
    <row r="103" spans="23:30" ht="12.75">
      <c r="W103" s="1"/>
      <c r="X103" s="1"/>
      <c r="Y103" s="1"/>
      <c r="Z103" s="1"/>
      <c r="AA103" s="1"/>
      <c r="AB103" s="1"/>
      <c r="AC103" s="1"/>
      <c r="AD103" s="1"/>
    </row>
    <row r="104" spans="23:30" ht="12.75">
      <c r="W104" s="1"/>
      <c r="X104" s="1"/>
      <c r="Y104" s="1"/>
      <c r="Z104" s="1"/>
      <c r="AA104" s="1"/>
      <c r="AB104" s="1"/>
      <c r="AC104" s="1"/>
      <c r="AD104" s="1"/>
    </row>
    <row r="105" spans="23:30" ht="12.75">
      <c r="W105" s="1"/>
      <c r="X105" s="1"/>
      <c r="Y105" s="1"/>
      <c r="Z105" s="1"/>
      <c r="AA105" s="1"/>
      <c r="AB105" s="1"/>
      <c r="AC105" s="1"/>
      <c r="AD105" s="1"/>
    </row>
    <row r="106" spans="23:30" ht="12.75">
      <c r="W106" s="1"/>
      <c r="X106" s="1"/>
      <c r="Y106" s="1"/>
      <c r="Z106" s="1"/>
      <c r="AA106" s="1"/>
      <c r="AB106" s="1"/>
      <c r="AC106" s="1"/>
      <c r="AD106" s="1"/>
    </row>
    <row r="107" spans="23:30" ht="12.75">
      <c r="W107" s="1"/>
      <c r="X107" s="1"/>
      <c r="Y107" s="1"/>
      <c r="Z107" s="1"/>
      <c r="AA107" s="1"/>
      <c r="AB107" s="1"/>
      <c r="AC107" s="1"/>
      <c r="AD107" s="1"/>
    </row>
    <row r="108" spans="23:30" ht="12.75">
      <c r="W108" s="1"/>
      <c r="X108" s="1"/>
      <c r="Y108" s="1"/>
      <c r="Z108" s="1"/>
      <c r="AA108" s="1"/>
      <c r="AB108" s="1"/>
      <c r="AC108" s="1"/>
      <c r="AD108" s="1"/>
    </row>
    <row r="109" spans="23:30" ht="12.75">
      <c r="W109" s="1"/>
      <c r="X109" s="1"/>
      <c r="Y109" s="1"/>
      <c r="Z109" s="1"/>
      <c r="AA109" s="1"/>
      <c r="AB109" s="1"/>
      <c r="AC109" s="1"/>
      <c r="AD109" s="1"/>
    </row>
    <row r="110" spans="23:30" ht="12.75">
      <c r="W110" s="1"/>
      <c r="X110" s="1"/>
      <c r="Y110" s="1"/>
      <c r="Z110" s="1"/>
      <c r="AA110" s="1"/>
      <c r="AB110" s="1"/>
      <c r="AC110" s="1"/>
      <c r="AD110" s="1"/>
    </row>
    <row r="111" spans="23:30" ht="12.75">
      <c r="W111" s="1"/>
      <c r="X111" s="1"/>
      <c r="Y111" s="1"/>
      <c r="Z111" s="1"/>
      <c r="AA111" s="1"/>
      <c r="AB111" s="1"/>
      <c r="AC111" s="1"/>
      <c r="AD111" s="1"/>
    </row>
    <row r="112" spans="23:30" ht="12.75">
      <c r="W112" s="1"/>
      <c r="X112" s="1"/>
      <c r="Y112" s="1"/>
      <c r="Z112" s="1"/>
      <c r="AA112" s="1"/>
      <c r="AB112" s="1"/>
      <c r="AC112" s="1"/>
      <c r="AD112" s="1"/>
    </row>
    <row r="113" spans="23:30" ht="12.75">
      <c r="W113" s="1"/>
      <c r="X113" s="1"/>
      <c r="Y113" s="1"/>
      <c r="Z113" s="1"/>
      <c r="AA113" s="1"/>
      <c r="AB113" s="1"/>
      <c r="AC113" s="1"/>
      <c r="AD113" s="1"/>
    </row>
    <row r="114" spans="23:30" ht="12.75">
      <c r="W114" s="1"/>
      <c r="X114" s="1"/>
      <c r="Y114" s="1"/>
      <c r="Z114" s="1"/>
      <c r="AA114" s="1"/>
      <c r="AB114" s="1"/>
      <c r="AC114" s="1"/>
      <c r="AD114" s="1"/>
    </row>
    <row r="115" spans="23:30" ht="12.75">
      <c r="W115" s="1"/>
      <c r="X115" s="1"/>
      <c r="Y115" s="1"/>
      <c r="Z115" s="1"/>
      <c r="AA115" s="1"/>
      <c r="AB115" s="1"/>
      <c r="AC115" s="1"/>
      <c r="AD115" s="1"/>
    </row>
    <row r="116" spans="23:30" ht="12.75">
      <c r="W116" s="1"/>
      <c r="X116" s="1"/>
      <c r="Y116" s="1"/>
      <c r="Z116" s="1"/>
      <c r="AA116" s="1"/>
      <c r="AB116" s="1"/>
      <c r="AC116" s="1"/>
      <c r="AD116" s="1"/>
    </row>
    <row r="117" spans="23:30" ht="12.75">
      <c r="W117" s="1"/>
      <c r="X117" s="1"/>
      <c r="Y117" s="1"/>
      <c r="Z117" s="1"/>
      <c r="AA117" s="1"/>
      <c r="AB117" s="1"/>
      <c r="AC117" s="1"/>
      <c r="AD117" s="1"/>
    </row>
    <row r="118" spans="23:30" ht="12.75">
      <c r="W118" s="1"/>
      <c r="X118" s="1"/>
      <c r="Y118" s="1"/>
      <c r="Z118" s="1"/>
      <c r="AA118" s="1"/>
      <c r="AB118" s="1"/>
      <c r="AC118" s="1"/>
      <c r="AD118" s="1"/>
    </row>
    <row r="119" spans="23:30" ht="12.75">
      <c r="W119" s="1"/>
      <c r="X119" s="1"/>
      <c r="Y119" s="1"/>
      <c r="Z119" s="1"/>
      <c r="AA119" s="1"/>
      <c r="AB119" s="1"/>
      <c r="AC119" s="1"/>
      <c r="AD119" s="1"/>
    </row>
    <row r="120" spans="23:30" ht="12.75">
      <c r="W120" s="1"/>
      <c r="X120" s="1"/>
      <c r="Y120" s="1"/>
      <c r="Z120" s="1"/>
      <c r="AA120" s="1"/>
      <c r="AB120" s="1"/>
      <c r="AC120" s="1"/>
      <c r="AD120" s="1"/>
    </row>
    <row r="121" spans="23:30" ht="12.75">
      <c r="W121" s="1"/>
      <c r="X121" s="1"/>
      <c r="Y121" s="1"/>
      <c r="Z121" s="1"/>
      <c r="AA121" s="1"/>
      <c r="AB121" s="1"/>
      <c r="AC121" s="1"/>
      <c r="AD121" s="1"/>
    </row>
    <row r="122" spans="23:30" ht="12.75">
      <c r="W122" s="1"/>
      <c r="X122" s="1"/>
      <c r="Y122" s="1"/>
      <c r="Z122" s="1"/>
      <c r="AA122" s="1"/>
      <c r="AB122" s="1"/>
      <c r="AC122" s="1"/>
      <c r="AD122" s="1"/>
    </row>
    <row r="123" spans="23:30" ht="12.75">
      <c r="W123" s="1"/>
      <c r="X123" s="1"/>
      <c r="Y123" s="1"/>
      <c r="Z123" s="1"/>
      <c r="AA123" s="1"/>
      <c r="AB123" s="1"/>
      <c r="AC123" s="1"/>
      <c r="AD123" s="1"/>
    </row>
    <row r="124" spans="23:30" ht="12.75">
      <c r="W124" s="1"/>
      <c r="X124" s="1"/>
      <c r="Y124" s="1"/>
      <c r="Z124" s="1"/>
      <c r="AA124" s="1"/>
      <c r="AB124" s="1"/>
      <c r="AC124" s="1"/>
      <c r="AD124" s="1"/>
    </row>
    <row r="125" spans="23:30" ht="12.75">
      <c r="W125" s="1"/>
      <c r="X125" s="1"/>
      <c r="Y125" s="1"/>
      <c r="Z125" s="1"/>
      <c r="AA125" s="1"/>
      <c r="AB125" s="1"/>
      <c r="AC125" s="1"/>
      <c r="AD125" s="1"/>
    </row>
    <row r="126" spans="23:30" ht="12.75">
      <c r="W126" s="1"/>
      <c r="X126" s="1"/>
      <c r="Y126" s="1"/>
      <c r="Z126" s="1"/>
      <c r="AA126" s="1"/>
      <c r="AB126" s="1"/>
      <c r="AC126" s="1"/>
      <c r="AD126" s="1"/>
    </row>
    <row r="127" spans="23:30" ht="12.75">
      <c r="W127" s="1"/>
      <c r="X127" s="1"/>
      <c r="Y127" s="1"/>
      <c r="Z127" s="1"/>
      <c r="AA127" s="1"/>
      <c r="AB127" s="1"/>
      <c r="AC127" s="1"/>
      <c r="AD127" s="1"/>
    </row>
    <row r="128" spans="23:30" ht="12.75">
      <c r="W128" s="1"/>
      <c r="X128" s="1"/>
      <c r="Y128" s="1"/>
      <c r="Z128" s="1"/>
      <c r="AA128" s="1"/>
      <c r="AB128" s="1"/>
      <c r="AC128" s="1"/>
      <c r="AD128" s="1"/>
    </row>
    <row r="129" spans="23:30" ht="12.75">
      <c r="W129" s="1"/>
      <c r="X129" s="1"/>
      <c r="Y129" s="1"/>
      <c r="Z129" s="1"/>
      <c r="AA129" s="1"/>
      <c r="AB129" s="1"/>
      <c r="AC129" s="1"/>
      <c r="AD129" s="1"/>
    </row>
    <row r="130" spans="23:30" ht="12.75">
      <c r="W130" s="1"/>
      <c r="X130" s="1"/>
      <c r="Y130" s="1"/>
      <c r="Z130" s="1"/>
      <c r="AA130" s="1"/>
      <c r="AB130" s="1"/>
      <c r="AC130" s="1"/>
      <c r="AD130" s="1"/>
    </row>
    <row r="131" spans="23:30" ht="12.75">
      <c r="W131" s="1"/>
      <c r="X131" s="1"/>
      <c r="Y131" s="1"/>
      <c r="Z131" s="1"/>
      <c r="AA131" s="1"/>
      <c r="AB131" s="1"/>
      <c r="AC131" s="1"/>
      <c r="AD131" s="1"/>
    </row>
    <row r="132" spans="23:30" ht="12.75">
      <c r="W132" s="1"/>
      <c r="X132" s="1"/>
      <c r="Y132" s="1"/>
      <c r="Z132" s="1"/>
      <c r="AA132" s="1"/>
      <c r="AB132" s="1"/>
      <c r="AC132" s="1"/>
      <c r="AD132" s="1"/>
    </row>
    <row r="133" spans="23:30" ht="12.75">
      <c r="W133" s="1"/>
      <c r="X133" s="1"/>
      <c r="Y133" s="1"/>
      <c r="Z133" s="1"/>
      <c r="AA133" s="1"/>
      <c r="AB133" s="1"/>
      <c r="AC133" s="1"/>
      <c r="AD133" s="1"/>
    </row>
    <row r="134" spans="23:30" ht="12.75">
      <c r="W134" s="1"/>
      <c r="X134" s="1"/>
      <c r="Y134" s="1"/>
      <c r="Z134" s="1"/>
      <c r="AA134" s="1"/>
      <c r="AB134" s="1"/>
      <c r="AC134" s="1"/>
      <c r="AD134" s="1"/>
    </row>
    <row r="135" spans="23:30" ht="12.75">
      <c r="W135" s="1"/>
      <c r="X135" s="1"/>
      <c r="Y135" s="1"/>
      <c r="Z135" s="1"/>
      <c r="AA135" s="1"/>
      <c r="AB135" s="1"/>
      <c r="AC135" s="1"/>
      <c r="AD135" s="1"/>
    </row>
    <row r="136" spans="23:30" ht="12.75">
      <c r="W136" s="1"/>
      <c r="X136" s="1"/>
      <c r="Y136" s="1"/>
      <c r="Z136" s="1"/>
      <c r="AA136" s="1"/>
      <c r="AB136" s="1"/>
      <c r="AC136" s="1"/>
      <c r="AD136" s="1"/>
    </row>
    <row r="137" spans="23:30" ht="12.75">
      <c r="W137" s="1"/>
      <c r="X137" s="1"/>
      <c r="Y137" s="1"/>
      <c r="Z137" s="1"/>
      <c r="AA137" s="1"/>
      <c r="AB137" s="1"/>
      <c r="AC137" s="1"/>
      <c r="AD137" s="1"/>
    </row>
    <row r="138" spans="23:30" ht="12.75">
      <c r="W138" s="1"/>
      <c r="X138" s="1"/>
      <c r="Y138" s="1"/>
      <c r="Z138" s="1"/>
      <c r="AA138" s="1"/>
      <c r="AB138" s="1"/>
      <c r="AC138" s="1"/>
      <c r="AD138" s="1"/>
    </row>
    <row r="139" spans="23:30" ht="12.75">
      <c r="W139" s="1"/>
      <c r="X139" s="1"/>
      <c r="Y139" s="1"/>
      <c r="Z139" s="1"/>
      <c r="AA139" s="1"/>
      <c r="AB139" s="1"/>
      <c r="AC139" s="1"/>
      <c r="AD139" s="1"/>
    </row>
    <row r="140" spans="23:30" ht="12.75">
      <c r="W140" s="1"/>
      <c r="X140" s="1"/>
      <c r="Y140" s="1"/>
      <c r="Z140" s="1"/>
      <c r="AA140" s="1"/>
      <c r="AB140" s="1"/>
      <c r="AC140" s="1"/>
      <c r="AD140" s="1"/>
    </row>
    <row r="141" spans="23:30" ht="12.75">
      <c r="W141" s="1"/>
      <c r="X141" s="1"/>
      <c r="Y141" s="1"/>
      <c r="Z141" s="1"/>
      <c r="AA141" s="1"/>
      <c r="AB141" s="1"/>
      <c r="AC141" s="1"/>
      <c r="AD141" s="1"/>
    </row>
    <row r="142" spans="23:30" ht="12.75">
      <c r="W142" s="1"/>
      <c r="X142" s="1"/>
      <c r="Y142" s="1"/>
      <c r="Z142" s="1"/>
      <c r="AA142" s="1"/>
      <c r="AB142" s="1"/>
      <c r="AC142" s="1"/>
      <c r="AD142" s="1"/>
    </row>
    <row r="143" spans="23:30" ht="12.75">
      <c r="W143" s="1"/>
      <c r="X143" s="1"/>
      <c r="Y143" s="1"/>
      <c r="Z143" s="1"/>
      <c r="AA143" s="1"/>
      <c r="AB143" s="1"/>
      <c r="AC143" s="1"/>
      <c r="AD143" s="1"/>
    </row>
    <row r="144" spans="23:30" ht="12.75">
      <c r="W144" s="1"/>
      <c r="X144" s="1"/>
      <c r="Y144" s="1"/>
      <c r="Z144" s="1"/>
      <c r="AA144" s="1"/>
      <c r="AB144" s="1"/>
      <c r="AC144" s="1"/>
      <c r="AD144" s="1"/>
    </row>
    <row r="145" spans="23:30" ht="12.75">
      <c r="W145" s="1"/>
      <c r="X145" s="1"/>
      <c r="Y145" s="1"/>
      <c r="Z145" s="1"/>
      <c r="AA145" s="1"/>
      <c r="AB145" s="1"/>
      <c r="AC145" s="1"/>
      <c r="AD145" s="1"/>
    </row>
    <row r="146" spans="23:30" ht="12.75">
      <c r="W146" s="1"/>
      <c r="X146" s="1"/>
      <c r="Y146" s="1"/>
      <c r="Z146" s="1"/>
      <c r="AA146" s="1"/>
      <c r="AB146" s="1"/>
      <c r="AC146" s="1"/>
      <c r="AD146" s="1"/>
    </row>
    <row r="147" spans="23:30" ht="12.75">
      <c r="W147" s="1"/>
      <c r="X147" s="1"/>
      <c r="Y147" s="1"/>
      <c r="Z147" s="1"/>
      <c r="AA147" s="1"/>
      <c r="AB147" s="1"/>
      <c r="AC147" s="1"/>
      <c r="AD147" s="1"/>
    </row>
    <row r="148" spans="23:30" ht="12.75">
      <c r="W148" s="1"/>
      <c r="X148" s="1"/>
      <c r="Y148" s="1"/>
      <c r="Z148" s="1"/>
      <c r="AA148" s="1"/>
      <c r="AB148" s="1"/>
      <c r="AC148" s="1"/>
      <c r="AD148" s="1"/>
    </row>
    <row r="149" spans="23:30" ht="12.75">
      <c r="W149" s="1"/>
      <c r="X149" s="1"/>
      <c r="Y149" s="1"/>
      <c r="Z149" s="1"/>
      <c r="AA149" s="1"/>
      <c r="AB149" s="1"/>
      <c r="AC149" s="1"/>
      <c r="AD149" s="1"/>
    </row>
    <row r="150" spans="23:30" ht="12.75">
      <c r="W150" s="1"/>
      <c r="X150" s="1"/>
      <c r="Y150" s="1"/>
      <c r="Z150" s="1"/>
      <c r="AA150" s="1"/>
      <c r="AB150" s="1"/>
      <c r="AC150" s="1"/>
      <c r="AD150" s="1"/>
    </row>
    <row r="151" spans="23:30" ht="12.75">
      <c r="W151" s="1"/>
      <c r="X151" s="1"/>
      <c r="Y151" s="1"/>
      <c r="Z151" s="1"/>
      <c r="AA151" s="1"/>
      <c r="AB151" s="1"/>
      <c r="AC151" s="1"/>
      <c r="AD151" s="1"/>
    </row>
    <row r="152" spans="23:30" ht="12.75">
      <c r="W152" s="1"/>
      <c r="X152" s="1"/>
      <c r="Y152" s="1"/>
      <c r="Z152" s="1"/>
      <c r="AA152" s="1"/>
      <c r="AB152" s="1"/>
      <c r="AC152" s="1"/>
      <c r="AD152" s="1"/>
    </row>
    <row r="153" spans="23:30" ht="12.75">
      <c r="W153" s="1"/>
      <c r="X153" s="1"/>
      <c r="Y153" s="1"/>
      <c r="Z153" s="1"/>
      <c r="AA153" s="1"/>
      <c r="AB153" s="1"/>
      <c r="AC153" s="1"/>
      <c r="AD153" s="1"/>
    </row>
    <row r="154" spans="23:30" ht="12.75">
      <c r="W154" s="1"/>
      <c r="X154" s="1"/>
      <c r="Y154" s="1"/>
      <c r="Z154" s="1"/>
      <c r="AA154" s="1"/>
      <c r="AB154" s="1"/>
      <c r="AC154" s="1"/>
      <c r="AD154" s="1"/>
    </row>
    <row r="155" spans="23:30" ht="12.75">
      <c r="W155" s="1"/>
      <c r="X155" s="1"/>
      <c r="Y155" s="1"/>
      <c r="Z155" s="1"/>
      <c r="AA155" s="1"/>
      <c r="AB155" s="1"/>
      <c r="AC155" s="1"/>
      <c r="AD155" s="1"/>
    </row>
    <row r="156" spans="23:30" ht="12.75">
      <c r="W156" s="1"/>
      <c r="X156" s="1"/>
      <c r="Y156" s="1"/>
      <c r="Z156" s="1"/>
      <c r="AA156" s="1"/>
      <c r="AB156" s="1"/>
      <c r="AC156" s="1"/>
      <c r="AD156" s="1"/>
    </row>
    <row r="157" spans="23:30" ht="12.75">
      <c r="W157" s="1"/>
      <c r="X157" s="1"/>
      <c r="Y157" s="1"/>
      <c r="Z157" s="1"/>
      <c r="AA157" s="1"/>
      <c r="AB157" s="1"/>
      <c r="AC157" s="1"/>
      <c r="AD157" s="1"/>
    </row>
    <row r="158" spans="23:30" ht="12.75">
      <c r="W158" s="1"/>
      <c r="X158" s="1"/>
      <c r="Y158" s="1"/>
      <c r="Z158" s="1"/>
      <c r="AA158" s="1"/>
      <c r="AB158" s="1"/>
      <c r="AC158" s="1"/>
      <c r="AD158" s="1"/>
    </row>
    <row r="159" spans="23:30" ht="12.75">
      <c r="W159" s="1"/>
      <c r="X159" s="1"/>
      <c r="Y159" s="1"/>
      <c r="Z159" s="1"/>
      <c r="AA159" s="1"/>
      <c r="AB159" s="1"/>
      <c r="AC159" s="1"/>
      <c r="AD159" s="1"/>
    </row>
    <row r="160" spans="23:30" ht="12.75">
      <c r="W160" s="1"/>
      <c r="X160" s="1"/>
      <c r="Y160" s="1"/>
      <c r="Z160" s="1"/>
      <c r="AA160" s="1"/>
      <c r="AB160" s="1"/>
      <c r="AC160" s="1"/>
      <c r="AD160" s="1"/>
    </row>
    <row r="161" spans="23:30" ht="12.75">
      <c r="W161" s="1"/>
      <c r="X161" s="1"/>
      <c r="Y161" s="1"/>
      <c r="Z161" s="1"/>
      <c r="AA161" s="1"/>
      <c r="AB161" s="1"/>
      <c r="AC161" s="1"/>
      <c r="AD161" s="1"/>
    </row>
    <row r="162" spans="23:30" ht="12.75">
      <c r="W162" s="1"/>
      <c r="X162" s="1"/>
      <c r="Y162" s="1"/>
      <c r="Z162" s="1"/>
      <c r="AA162" s="1"/>
      <c r="AB162" s="1"/>
      <c r="AC162" s="1"/>
      <c r="AD162" s="1"/>
    </row>
    <row r="163" spans="23:30" ht="12.75">
      <c r="W163" s="1"/>
      <c r="X163" s="1"/>
      <c r="Y163" s="1"/>
      <c r="Z163" s="1"/>
      <c r="AA163" s="1"/>
      <c r="AB163" s="1"/>
      <c r="AC163" s="1"/>
      <c r="AD163" s="1"/>
    </row>
    <row r="164" spans="23:30" ht="12.75">
      <c r="W164" s="1"/>
      <c r="X164" s="1"/>
      <c r="Y164" s="1"/>
      <c r="Z164" s="1"/>
      <c r="AA164" s="1"/>
      <c r="AB164" s="1"/>
      <c r="AC164" s="1"/>
      <c r="AD164" s="1"/>
    </row>
    <row r="165" spans="23:30" ht="12.75">
      <c r="W165" s="1"/>
      <c r="X165" s="1"/>
      <c r="Y165" s="1"/>
      <c r="Z165" s="1"/>
      <c r="AA165" s="1"/>
      <c r="AB165" s="1"/>
      <c r="AC165" s="1"/>
      <c r="AD165" s="1"/>
    </row>
    <row r="166" spans="23:30" ht="12.75">
      <c r="W166" s="1"/>
      <c r="X166" s="1"/>
      <c r="Y166" s="1"/>
      <c r="Z166" s="1"/>
      <c r="AA166" s="1"/>
      <c r="AB166" s="1"/>
      <c r="AC166" s="1"/>
      <c r="AD166" s="1"/>
    </row>
    <row r="167" spans="23:30" ht="12.75">
      <c r="W167" s="1"/>
      <c r="X167" s="1"/>
      <c r="Y167" s="1"/>
      <c r="Z167" s="1"/>
      <c r="AA167" s="1"/>
      <c r="AB167" s="1"/>
      <c r="AC167" s="1"/>
      <c r="AD167" s="1"/>
    </row>
    <row r="168" spans="23:30" ht="12.75">
      <c r="W168" s="1"/>
      <c r="X168" s="1"/>
      <c r="Y168" s="1"/>
      <c r="Z168" s="1"/>
      <c r="AA168" s="1"/>
      <c r="AB168" s="1"/>
      <c r="AC168" s="1"/>
      <c r="AD168" s="1"/>
    </row>
    <row r="169" spans="23:30" ht="12.75">
      <c r="W169" s="1"/>
      <c r="X169" s="1"/>
      <c r="Y169" s="1"/>
      <c r="Z169" s="1"/>
      <c r="AA169" s="1"/>
      <c r="AB169" s="1"/>
      <c r="AC169" s="1"/>
      <c r="AD169" s="1"/>
    </row>
    <row r="170" spans="23:30" ht="12.75">
      <c r="W170" s="1"/>
      <c r="X170" s="1"/>
      <c r="Y170" s="1"/>
      <c r="Z170" s="1"/>
      <c r="AA170" s="1"/>
      <c r="AB170" s="1"/>
      <c r="AC170" s="1"/>
      <c r="AD170" s="1"/>
    </row>
    <row r="171" spans="23:30" ht="12.75">
      <c r="W171" s="1"/>
      <c r="X171" s="1"/>
      <c r="Y171" s="1"/>
      <c r="Z171" s="1"/>
      <c r="AA171" s="1"/>
      <c r="AB171" s="1"/>
      <c r="AC171" s="1"/>
      <c r="AD171" s="1"/>
    </row>
    <row r="172" spans="23:30" ht="12.75">
      <c r="W172" s="1"/>
      <c r="X172" s="1"/>
      <c r="Y172" s="1"/>
      <c r="Z172" s="1"/>
      <c r="AA172" s="1"/>
      <c r="AB172" s="1"/>
      <c r="AC172" s="1"/>
      <c r="AD172" s="1"/>
    </row>
    <row r="173" spans="23:30" ht="12.75">
      <c r="W173" s="1"/>
      <c r="X173" s="1"/>
      <c r="Y173" s="1"/>
      <c r="Z173" s="1"/>
      <c r="AA173" s="1"/>
      <c r="AB173" s="1"/>
      <c r="AC173" s="1"/>
      <c r="AD173" s="1"/>
    </row>
    <row r="174" spans="23:30" ht="12.75">
      <c r="W174" s="1"/>
      <c r="X174" s="1"/>
      <c r="Y174" s="1"/>
      <c r="Z174" s="1"/>
      <c r="AA174" s="1"/>
      <c r="AB174" s="1"/>
      <c r="AC174" s="1"/>
      <c r="AD174" s="1"/>
    </row>
    <row r="175" spans="23:30" ht="12.75">
      <c r="W175" s="1"/>
      <c r="X175" s="1"/>
      <c r="Y175" s="1"/>
      <c r="Z175" s="1"/>
      <c r="AA175" s="1"/>
      <c r="AB175" s="1"/>
      <c r="AC175" s="1"/>
      <c r="AD175" s="1"/>
    </row>
    <row r="176" spans="23:30" ht="12.75">
      <c r="W176" s="1"/>
      <c r="X176" s="1"/>
      <c r="Y176" s="1"/>
      <c r="Z176" s="1"/>
      <c r="AA176" s="1"/>
      <c r="AB176" s="1"/>
      <c r="AC176" s="1"/>
      <c r="AD176" s="1"/>
    </row>
    <row r="177" spans="23:30" ht="12.75">
      <c r="W177" s="1"/>
      <c r="X177" s="1"/>
      <c r="Y177" s="1"/>
      <c r="Z177" s="1"/>
      <c r="AA177" s="1"/>
      <c r="AB177" s="1"/>
      <c r="AC177" s="1"/>
      <c r="AD177" s="1"/>
    </row>
    <row r="178" spans="23:30" ht="12.75">
      <c r="W178" s="1"/>
      <c r="X178" s="1"/>
      <c r="Y178" s="1"/>
      <c r="Z178" s="1"/>
      <c r="AA178" s="1"/>
      <c r="AB178" s="1"/>
      <c r="AC178" s="1"/>
      <c r="AD178" s="1"/>
    </row>
    <row r="179" spans="23:30" ht="12.75">
      <c r="W179" s="1"/>
      <c r="X179" s="1"/>
      <c r="Y179" s="1"/>
      <c r="Z179" s="1"/>
      <c r="AA179" s="1"/>
      <c r="AB179" s="1"/>
      <c r="AC179" s="1"/>
      <c r="AD179" s="1"/>
    </row>
    <row r="180" spans="23:30" ht="12.75">
      <c r="W180" s="1"/>
      <c r="X180" s="1"/>
      <c r="Y180" s="1"/>
      <c r="Z180" s="1"/>
      <c r="AA180" s="1"/>
      <c r="AB180" s="1"/>
      <c r="AC180" s="1"/>
      <c r="AD180" s="1"/>
    </row>
    <row r="181" spans="23:30" ht="12.75">
      <c r="W181" s="1"/>
      <c r="X181" s="1"/>
      <c r="Y181" s="1"/>
      <c r="Z181" s="1"/>
      <c r="AA181" s="1"/>
      <c r="AB181" s="1"/>
      <c r="AC181" s="1"/>
      <c r="AD181" s="1"/>
    </row>
    <row r="182" spans="23:30" ht="12.75">
      <c r="W182" s="1"/>
      <c r="X182" s="1"/>
      <c r="Y182" s="1"/>
      <c r="Z182" s="1"/>
      <c r="AA182" s="1"/>
      <c r="AB182" s="1"/>
      <c r="AC182" s="1"/>
      <c r="AD182" s="1"/>
    </row>
    <row r="183" spans="23:30" ht="12.75">
      <c r="W183" s="1"/>
      <c r="X183" s="1"/>
      <c r="Y183" s="1"/>
      <c r="Z183" s="1"/>
      <c r="AA183" s="1"/>
      <c r="AB183" s="1"/>
      <c r="AC183" s="1"/>
      <c r="AD183" s="1"/>
    </row>
    <row r="184" spans="23:30" ht="12.75">
      <c r="W184" s="1"/>
      <c r="X184" s="1"/>
      <c r="Y184" s="1"/>
      <c r="Z184" s="1"/>
      <c r="AA184" s="1"/>
      <c r="AB184" s="1"/>
      <c r="AC184" s="1"/>
      <c r="AD184" s="1"/>
    </row>
    <row r="185" spans="23:30" ht="12.75">
      <c r="W185" s="1"/>
      <c r="X185" s="1"/>
      <c r="Y185" s="1"/>
      <c r="Z185" s="1"/>
      <c r="AA185" s="1"/>
      <c r="AB185" s="1"/>
      <c r="AC185" s="1"/>
      <c r="AD185" s="1"/>
    </row>
    <row r="186" spans="23:30" ht="12.75">
      <c r="W186" s="1"/>
      <c r="X186" s="1"/>
      <c r="Y186" s="1"/>
      <c r="Z186" s="1"/>
      <c r="AA186" s="1"/>
      <c r="AB186" s="1"/>
      <c r="AC186" s="1"/>
      <c r="AD186" s="1"/>
    </row>
    <row r="187" spans="23:30" ht="12.75">
      <c r="W187" s="1"/>
      <c r="X187" s="1"/>
      <c r="Y187" s="1"/>
      <c r="Z187" s="1"/>
      <c r="AA187" s="1"/>
      <c r="AB187" s="1"/>
      <c r="AC187" s="1"/>
      <c r="AD187" s="1"/>
    </row>
    <row r="188" spans="23:30" ht="12.75">
      <c r="W188" s="1"/>
      <c r="X188" s="1"/>
      <c r="Y188" s="1"/>
      <c r="Z188" s="1"/>
      <c r="AA188" s="1"/>
      <c r="AB188" s="1"/>
      <c r="AC188" s="1"/>
      <c r="AD188" s="1"/>
    </row>
    <row r="189" spans="23:30" ht="12.75">
      <c r="W189" s="1"/>
      <c r="X189" s="1"/>
      <c r="Y189" s="1"/>
      <c r="Z189" s="1"/>
      <c r="AA189" s="1"/>
      <c r="AB189" s="1"/>
      <c r="AC189" s="1"/>
      <c r="AD189" s="1"/>
    </row>
    <row r="190" spans="23:30" ht="12.75">
      <c r="W190" s="1"/>
      <c r="X190" s="1"/>
      <c r="Y190" s="1"/>
      <c r="Z190" s="1"/>
      <c r="AA190" s="1"/>
      <c r="AB190" s="1"/>
      <c r="AC190" s="1"/>
      <c r="AD190" s="1"/>
    </row>
    <row r="191" spans="23:30" ht="12.75">
      <c r="W191" s="1"/>
      <c r="X191" s="1"/>
      <c r="Y191" s="1"/>
      <c r="Z191" s="1"/>
      <c r="AA191" s="1"/>
      <c r="AB191" s="1"/>
      <c r="AC191" s="1"/>
      <c r="AD191" s="1"/>
    </row>
    <row r="192" spans="23:30" ht="12.75">
      <c r="W192" s="1"/>
      <c r="X192" s="1"/>
      <c r="Y192" s="1"/>
      <c r="Z192" s="1"/>
      <c r="AA192" s="1"/>
      <c r="AB192" s="1"/>
      <c r="AC192" s="1"/>
      <c r="AD192" s="1"/>
    </row>
    <row r="193" spans="23:30" ht="12.75">
      <c r="W193" s="1"/>
      <c r="X193" s="1"/>
      <c r="Y193" s="1"/>
      <c r="Z193" s="1"/>
      <c r="AA193" s="1"/>
      <c r="AB193" s="1"/>
      <c r="AC193" s="1"/>
      <c r="AD193" s="1"/>
    </row>
    <row r="194" spans="23:30" ht="12.75">
      <c r="W194" s="1"/>
      <c r="X194" s="1"/>
      <c r="Y194" s="1"/>
      <c r="Z194" s="1"/>
      <c r="AA194" s="1"/>
      <c r="AB194" s="1"/>
      <c r="AC194" s="1"/>
      <c r="AD194" s="1"/>
    </row>
    <row r="195" spans="23:30" ht="12.75">
      <c r="W195" s="1"/>
      <c r="X195" s="1"/>
      <c r="Y195" s="1"/>
      <c r="Z195" s="1"/>
      <c r="AA195" s="1"/>
      <c r="AB195" s="1"/>
      <c r="AC195" s="1"/>
      <c r="AD195" s="1"/>
    </row>
    <row r="196" spans="23:30" ht="12.75">
      <c r="W196" s="1"/>
      <c r="X196" s="1"/>
      <c r="Y196" s="1"/>
      <c r="Z196" s="1"/>
      <c r="AA196" s="1"/>
      <c r="AB196" s="1"/>
      <c r="AC196" s="1"/>
      <c r="AD196" s="1"/>
    </row>
    <row r="197" spans="23:30" ht="12.75">
      <c r="W197" s="1"/>
      <c r="X197" s="1"/>
      <c r="Y197" s="1"/>
      <c r="Z197" s="1"/>
      <c r="AA197" s="1"/>
      <c r="AB197" s="1"/>
      <c r="AC197" s="1"/>
      <c r="AD197" s="1"/>
    </row>
    <row r="198" spans="23:30" ht="12.75">
      <c r="W198" s="1"/>
      <c r="X198" s="1"/>
      <c r="Y198" s="1"/>
      <c r="Z198" s="1"/>
      <c r="AA198" s="1"/>
      <c r="AB198" s="1"/>
      <c r="AC198" s="1"/>
      <c r="AD198" s="1"/>
    </row>
  </sheetData>
  <sheetProtection/>
  <mergeCells count="5">
    <mergeCell ref="A37:V37"/>
    <mergeCell ref="A38:V38"/>
    <mergeCell ref="A1:V1"/>
    <mergeCell ref="A2:V2"/>
    <mergeCell ref="A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SheetLayoutView="100" zoomScalePageLayoutView="0" workbookViewId="0" topLeftCell="A18">
      <selection activeCell="A27" sqref="A27:AB35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hidden="1" customWidth="1"/>
    <col min="25" max="25" width="20.28125" style="0" customWidth="1"/>
    <col min="26" max="26" width="16.140625" style="0" customWidth="1"/>
    <col min="27" max="27" width="16.28125" style="0" hidden="1" customWidth="1"/>
    <col min="28" max="28" width="16.7109375" style="0" customWidth="1"/>
    <col min="29" max="29" width="12.7109375" style="0" bestFit="1" customWidth="1"/>
    <col min="30" max="30" width="12.421875" style="0" bestFit="1" customWidth="1"/>
  </cols>
  <sheetData>
    <row r="1" spans="1:28" ht="12.75">
      <c r="A1" s="2"/>
      <c r="B1" s="2"/>
      <c r="C1" s="74" t="s">
        <v>1</v>
      </c>
      <c r="D1" s="75" t="s">
        <v>1</v>
      </c>
      <c r="E1" s="142" t="s">
        <v>0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2"/>
    </row>
    <row r="2" spans="1:28" ht="12.75">
      <c r="A2" s="2"/>
      <c r="B2" s="2"/>
      <c r="C2" s="74" t="s">
        <v>1</v>
      </c>
      <c r="D2" s="75" t="s">
        <v>1</v>
      </c>
      <c r="E2" s="143" t="s">
        <v>84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2"/>
    </row>
    <row r="3" spans="1:28" ht="12.75">
      <c r="A3" s="2"/>
      <c r="B3" s="2"/>
      <c r="C3" s="2"/>
      <c r="D3" s="2"/>
      <c r="E3" s="75"/>
      <c r="F3" s="75"/>
      <c r="G3" s="75" t="s">
        <v>1</v>
      </c>
      <c r="H3" s="9" t="s">
        <v>1</v>
      </c>
      <c r="I3" s="76" t="s">
        <v>1</v>
      </c>
      <c r="J3" s="12"/>
      <c r="K3" s="12"/>
      <c r="L3" s="12"/>
      <c r="M3" s="12"/>
      <c r="N3" s="12"/>
      <c r="O3" s="76"/>
      <c r="P3" s="76"/>
      <c r="Q3" s="76"/>
      <c r="R3" s="76"/>
      <c r="S3" s="76"/>
      <c r="T3" s="76"/>
      <c r="U3" s="13" t="s">
        <v>1</v>
      </c>
      <c r="V3" s="15"/>
      <c r="W3" s="15"/>
      <c r="X3" s="2"/>
      <c r="Y3" s="2"/>
      <c r="Z3" s="2"/>
      <c r="AA3" s="2"/>
      <c r="AB3" s="2"/>
    </row>
    <row r="4" spans="1:28" ht="12.75">
      <c r="A4" s="2"/>
      <c r="B4" s="2"/>
      <c r="C4" s="2"/>
      <c r="D4" s="2"/>
      <c r="E4" s="75"/>
      <c r="F4" s="2"/>
      <c r="G4" s="8" t="s">
        <v>1</v>
      </c>
      <c r="H4" s="9" t="s">
        <v>1</v>
      </c>
      <c r="I4" s="77" t="s">
        <v>1</v>
      </c>
      <c r="J4" s="12"/>
      <c r="K4" s="12"/>
      <c r="L4" s="12"/>
      <c r="M4" s="12"/>
      <c r="N4" s="12"/>
      <c r="O4" s="78"/>
      <c r="P4" s="78"/>
      <c r="Q4" s="78"/>
      <c r="R4" s="78"/>
      <c r="S4" s="78"/>
      <c r="T4" s="78"/>
      <c r="U4" s="11" t="s">
        <v>1</v>
      </c>
      <c r="V4" s="15"/>
      <c r="W4" s="15"/>
      <c r="X4" s="2"/>
      <c r="Y4" s="2"/>
      <c r="Z4" s="4" t="s">
        <v>1</v>
      </c>
      <c r="AA4" s="2"/>
      <c r="AB4" s="2"/>
    </row>
    <row r="5" spans="1:28" ht="38.25" customHeight="1">
      <c r="A5" s="62"/>
      <c r="B5" s="63"/>
      <c r="C5" s="64"/>
      <c r="D5" s="64"/>
      <c r="E5" s="65" t="s">
        <v>25</v>
      </c>
      <c r="F5" s="66" t="s">
        <v>71</v>
      </c>
      <c r="G5" s="67" t="s">
        <v>2</v>
      </c>
      <c r="H5" s="68" t="s">
        <v>72</v>
      </c>
      <c r="I5" s="69"/>
      <c r="J5" s="26"/>
      <c r="K5" s="69"/>
      <c r="L5" s="69"/>
      <c r="M5" s="69"/>
      <c r="N5" s="69" t="s">
        <v>1</v>
      </c>
      <c r="O5" s="69"/>
      <c r="P5" s="70"/>
      <c r="Q5" s="69"/>
      <c r="R5" s="69"/>
      <c r="S5" s="69"/>
      <c r="T5" s="69"/>
      <c r="U5" s="69" t="s">
        <v>1</v>
      </c>
      <c r="V5" s="69"/>
      <c r="W5" s="71"/>
      <c r="X5" s="72" t="s">
        <v>73</v>
      </c>
      <c r="Y5" s="73" t="s">
        <v>35</v>
      </c>
      <c r="Z5" s="73" t="s">
        <v>75</v>
      </c>
      <c r="AA5" s="73" t="s">
        <v>74</v>
      </c>
      <c r="AB5" s="73" t="s">
        <v>48</v>
      </c>
    </row>
    <row r="6" spans="1:29" ht="44.25" customHeight="1">
      <c r="A6" s="93" t="s">
        <v>24</v>
      </c>
      <c r="B6" s="5" t="s">
        <v>42</v>
      </c>
      <c r="C6" s="17">
        <v>900</v>
      </c>
      <c r="D6" s="6">
        <v>1</v>
      </c>
      <c r="E6" s="94" t="s">
        <v>56</v>
      </c>
      <c r="F6" s="95">
        <v>1470000000</v>
      </c>
      <c r="G6" s="88">
        <f>42980000+0+210943342+30000000+110618232-141980000-60793484</f>
        <v>191768090</v>
      </c>
      <c r="H6" s="24">
        <f>+F6+G6</f>
        <v>1661768090</v>
      </c>
      <c r="I6" s="24"/>
      <c r="J6" s="26"/>
      <c r="K6" s="24"/>
      <c r="L6" s="24"/>
      <c r="M6" s="24"/>
      <c r="N6" s="24">
        <v>377425593</v>
      </c>
      <c r="O6" s="24"/>
      <c r="P6" s="25"/>
      <c r="Q6" s="24"/>
      <c r="R6" s="24">
        <f aca="true" t="shared" si="0" ref="R6:R20">+N6-S6-T6</f>
        <v>71522290.954</v>
      </c>
      <c r="S6" s="24">
        <f>+'[2]2010'!$F$50+'[2]2010'!$F$57+'[2]2010'!$F$58</f>
        <v>3797761</v>
      </c>
      <c r="T6" s="24">
        <f>+'[1]RESERVAS 2012'!$G$149</f>
        <v>302105541.046</v>
      </c>
      <c r="U6" s="25">
        <f aca="true" t="shared" si="1" ref="U6:U20">+H6-N6</f>
        <v>1284342497</v>
      </c>
      <c r="V6" s="24"/>
      <c r="W6" s="27">
        <f aca="true" t="shared" si="2" ref="W6:W20">+N6/H6*100</f>
        <v>22.712290317236743</v>
      </c>
      <c r="X6" s="11">
        <f>+'[3]01-900-01'!$J$143</f>
        <v>2152968036.5039997</v>
      </c>
      <c r="Y6" s="128">
        <v>1587979039</v>
      </c>
      <c r="Z6" s="128">
        <f aca="true" t="shared" si="3" ref="Z6:Z22">+H6-Y6</f>
        <v>73789051</v>
      </c>
      <c r="AA6" s="129">
        <f aca="true" t="shared" si="4" ref="AA6:AA20">+X6/H6*100</f>
        <v>129.55887463839792</v>
      </c>
      <c r="AB6" s="129">
        <f aca="true" t="shared" si="5" ref="AB6:AB22">+Y6/H6*100</f>
        <v>95.55960597365906</v>
      </c>
      <c r="AC6" s="42"/>
    </row>
    <row r="7" spans="1:29" ht="31.5" customHeight="1">
      <c r="A7" s="93" t="s">
        <v>24</v>
      </c>
      <c r="B7" s="5" t="s">
        <v>42</v>
      </c>
      <c r="C7" s="17">
        <f>+C6</f>
        <v>900</v>
      </c>
      <c r="D7" s="6">
        <v>2</v>
      </c>
      <c r="E7" s="94" t="s">
        <v>57</v>
      </c>
      <c r="F7" s="95">
        <v>350000000</v>
      </c>
      <c r="G7" s="88">
        <v>-29461200</v>
      </c>
      <c r="H7" s="24">
        <f aca="true" t="shared" si="6" ref="H7:H20">+F7+G7</f>
        <v>320538800</v>
      </c>
      <c r="I7" s="24"/>
      <c r="J7" s="26"/>
      <c r="K7" s="24"/>
      <c r="L7" s="24"/>
      <c r="M7" s="24"/>
      <c r="N7" s="24">
        <v>36231197</v>
      </c>
      <c r="O7" s="24"/>
      <c r="P7" s="25"/>
      <c r="Q7" s="24"/>
      <c r="R7" s="24">
        <f t="shared" si="0"/>
        <v>18115598.3</v>
      </c>
      <c r="S7" s="24">
        <v>0</v>
      </c>
      <c r="T7" s="24">
        <f>+'[1]RESERVAS 2012'!$G$159</f>
        <v>18115598.7</v>
      </c>
      <c r="U7" s="25">
        <f t="shared" si="1"/>
        <v>284307603</v>
      </c>
      <c r="V7" s="24"/>
      <c r="W7" s="27">
        <f t="shared" si="2"/>
        <v>11.303217270420928</v>
      </c>
      <c r="X7" s="11">
        <f>+'[3]01-900-02'!$J$42</f>
        <v>239775769</v>
      </c>
      <c r="Y7" s="128">
        <v>303700762</v>
      </c>
      <c r="Z7" s="128">
        <f t="shared" si="3"/>
        <v>16838038</v>
      </c>
      <c r="AA7" s="129">
        <f t="shared" si="4"/>
        <v>74.80397661687135</v>
      </c>
      <c r="AB7" s="129">
        <f t="shared" si="5"/>
        <v>94.74695793457767</v>
      </c>
      <c r="AC7" s="42" t="s">
        <v>1</v>
      </c>
    </row>
    <row r="8" spans="1:28" ht="26.25" customHeight="1" hidden="1">
      <c r="A8" s="93" t="s">
        <v>24</v>
      </c>
      <c r="B8" s="5" t="s">
        <v>42</v>
      </c>
      <c r="C8" s="17">
        <f>+C7</f>
        <v>900</v>
      </c>
      <c r="D8" s="6">
        <v>3</v>
      </c>
      <c r="E8" s="94" t="s">
        <v>41</v>
      </c>
      <c r="F8" s="95">
        <v>0</v>
      </c>
      <c r="G8" s="88">
        <f>+'[4]ADICIONES2014'!C44</f>
        <v>0</v>
      </c>
      <c r="H8" s="24">
        <f t="shared" si="6"/>
        <v>0</v>
      </c>
      <c r="I8" s="24"/>
      <c r="J8" s="26"/>
      <c r="K8" s="24"/>
      <c r="L8" s="24"/>
      <c r="M8" s="24"/>
      <c r="N8" s="24">
        <v>0</v>
      </c>
      <c r="O8" s="24"/>
      <c r="P8" s="25"/>
      <c r="Q8" s="24"/>
      <c r="R8" s="24">
        <f t="shared" si="0"/>
        <v>0</v>
      </c>
      <c r="S8" s="24"/>
      <c r="T8" s="24"/>
      <c r="U8" s="25">
        <f t="shared" si="1"/>
        <v>0</v>
      </c>
      <c r="V8" s="24"/>
      <c r="W8" s="27">
        <v>0</v>
      </c>
      <c r="X8" s="11"/>
      <c r="Y8" s="128"/>
      <c r="Z8" s="128">
        <f t="shared" si="3"/>
        <v>0</v>
      </c>
      <c r="AA8" s="129" t="e">
        <f t="shared" si="4"/>
        <v>#DIV/0!</v>
      </c>
      <c r="AB8" s="129" t="e">
        <f t="shared" si="5"/>
        <v>#DIV/0!</v>
      </c>
    </row>
    <row r="9" spans="1:28" ht="26.25" customHeight="1">
      <c r="A9" s="93" t="s">
        <v>24</v>
      </c>
      <c r="B9" s="5" t="s">
        <v>42</v>
      </c>
      <c r="C9" s="17">
        <v>900</v>
      </c>
      <c r="D9" s="6">
        <v>3</v>
      </c>
      <c r="E9" s="94" t="s">
        <v>69</v>
      </c>
      <c r="F9" s="95">
        <v>75000000</v>
      </c>
      <c r="G9" s="88">
        <v>150000000</v>
      </c>
      <c r="H9" s="24">
        <f>+F9+G9</f>
        <v>225000000</v>
      </c>
      <c r="I9" s="24"/>
      <c r="J9" s="26"/>
      <c r="K9" s="24"/>
      <c r="L9" s="24"/>
      <c r="M9" s="24"/>
      <c r="N9" s="24"/>
      <c r="O9" s="24"/>
      <c r="P9" s="25"/>
      <c r="Q9" s="24"/>
      <c r="R9" s="24"/>
      <c r="S9" s="24"/>
      <c r="T9" s="24"/>
      <c r="U9" s="25"/>
      <c r="V9" s="24"/>
      <c r="W9" s="27"/>
      <c r="X9" s="11">
        <f>+'[3]01-900-03'!$I$41</f>
        <v>74615651</v>
      </c>
      <c r="Y9" s="128">
        <v>224999973</v>
      </c>
      <c r="Z9" s="128">
        <f t="shared" si="3"/>
        <v>27</v>
      </c>
      <c r="AA9" s="129">
        <f t="shared" si="4"/>
        <v>33.162511555555554</v>
      </c>
      <c r="AB9" s="129">
        <f t="shared" si="5"/>
        <v>99.999988</v>
      </c>
    </row>
    <row r="10" spans="1:28" ht="30" customHeight="1">
      <c r="A10" s="93" t="s">
        <v>24</v>
      </c>
      <c r="B10" s="5" t="s">
        <v>43</v>
      </c>
      <c r="C10" s="17">
        <f>+C8</f>
        <v>900</v>
      </c>
      <c r="D10" s="6">
        <v>1</v>
      </c>
      <c r="E10" s="94" t="s">
        <v>58</v>
      </c>
      <c r="F10" s="95">
        <v>2168871379</v>
      </c>
      <c r="G10" s="87">
        <f>89919207+305080793+150000000+152827425-55000000</f>
        <v>642827425</v>
      </c>
      <c r="H10" s="24">
        <f>+F10+G10</f>
        <v>2811698804</v>
      </c>
      <c r="I10" s="24"/>
      <c r="J10" s="26"/>
      <c r="K10" s="24"/>
      <c r="L10" s="24"/>
      <c r="M10" s="24"/>
      <c r="N10" s="24">
        <f>672188453-15546821</f>
        <v>656641632</v>
      </c>
      <c r="O10" s="24"/>
      <c r="P10" s="25"/>
      <c r="Q10" s="24"/>
      <c r="R10" s="24">
        <f t="shared" si="0"/>
        <v>656641632</v>
      </c>
      <c r="S10" s="24">
        <v>0</v>
      </c>
      <c r="T10" s="24">
        <v>0</v>
      </c>
      <c r="U10" s="25">
        <f t="shared" si="1"/>
        <v>2155057172</v>
      </c>
      <c r="V10" s="24"/>
      <c r="W10" s="27">
        <f t="shared" si="2"/>
        <v>23.35391084798427</v>
      </c>
      <c r="X10" s="11">
        <f>+'[3]02-0900-01'!$I$34</f>
        <v>1867301538.748</v>
      </c>
      <c r="Y10" s="128">
        <v>2693119473</v>
      </c>
      <c r="Z10" s="128">
        <f t="shared" si="3"/>
        <v>118579331</v>
      </c>
      <c r="AA10" s="129">
        <f t="shared" si="4"/>
        <v>66.41186232648838</v>
      </c>
      <c r="AB10" s="129">
        <f t="shared" si="5"/>
        <v>95.78264461217162</v>
      </c>
    </row>
    <row r="11" spans="1:28" ht="22.5" customHeight="1">
      <c r="A11" s="93" t="s">
        <v>24</v>
      </c>
      <c r="B11" s="5" t="s">
        <v>43</v>
      </c>
      <c r="C11" s="17">
        <f aca="true" t="shared" si="7" ref="C11:C20">+C10</f>
        <v>900</v>
      </c>
      <c r="D11" s="6">
        <v>2</v>
      </c>
      <c r="E11" s="94" t="s">
        <v>59</v>
      </c>
      <c r="F11" s="95">
        <v>2044955596</v>
      </c>
      <c r="G11" s="88">
        <f>58057127+25002066+55000000</f>
        <v>138059193</v>
      </c>
      <c r="H11" s="24">
        <f t="shared" si="6"/>
        <v>2183014789</v>
      </c>
      <c r="I11" s="24"/>
      <c r="J11" s="26"/>
      <c r="K11" s="24"/>
      <c r="L11" s="24"/>
      <c r="M11" s="24"/>
      <c r="N11" s="24">
        <v>830912529</v>
      </c>
      <c r="O11" s="24"/>
      <c r="P11" s="25"/>
      <c r="Q11" s="24"/>
      <c r="R11" s="24">
        <f t="shared" si="0"/>
        <v>291465571.8239999</v>
      </c>
      <c r="S11" s="24">
        <v>0</v>
      </c>
      <c r="T11" s="24">
        <f>+'[1]RESERVAS 2012'!$G$176</f>
        <v>539446957.1760001</v>
      </c>
      <c r="U11" s="25">
        <f t="shared" si="1"/>
        <v>1352102260</v>
      </c>
      <c r="V11" s="24"/>
      <c r="W11" s="27">
        <f t="shared" si="2"/>
        <v>38.06261566283874</v>
      </c>
      <c r="X11" s="11">
        <f>+'[3]02-900-02'!$I$151+1</f>
        <v>2545829271.4040008</v>
      </c>
      <c r="Y11" s="128">
        <v>2154411738</v>
      </c>
      <c r="Z11" s="128">
        <f t="shared" si="3"/>
        <v>28603051</v>
      </c>
      <c r="AA11" s="129">
        <f t="shared" si="4"/>
        <v>116.61988201968158</v>
      </c>
      <c r="AB11" s="129">
        <f t="shared" si="5"/>
        <v>98.6897454316788</v>
      </c>
    </row>
    <row r="12" spans="1:28" ht="34.5" customHeight="1">
      <c r="A12" s="93" t="s">
        <v>24</v>
      </c>
      <c r="B12" s="5" t="s">
        <v>43</v>
      </c>
      <c r="C12" s="17">
        <f t="shared" si="7"/>
        <v>900</v>
      </c>
      <c r="D12" s="6">
        <v>3</v>
      </c>
      <c r="E12" s="94" t="s">
        <v>60</v>
      </c>
      <c r="F12" s="95">
        <v>1347317269</v>
      </c>
      <c r="G12" s="88">
        <f>250000000+15549361+103000000+122907386+372731452</f>
        <v>864188199</v>
      </c>
      <c r="H12" s="24">
        <f t="shared" si="6"/>
        <v>2211505468</v>
      </c>
      <c r="I12" s="24"/>
      <c r="J12" s="26"/>
      <c r="K12" s="24"/>
      <c r="L12" s="24"/>
      <c r="M12" s="24"/>
      <c r="N12" s="30">
        <v>133402374</v>
      </c>
      <c r="O12" s="30"/>
      <c r="P12" s="30"/>
      <c r="Q12" s="30"/>
      <c r="R12" s="24">
        <f t="shared" si="0"/>
        <v>6838000</v>
      </c>
      <c r="S12" s="30">
        <f>+'[2]2010'!$F$154</f>
        <v>43687200</v>
      </c>
      <c r="T12" s="30">
        <f>+'[1]RESERVAS 2012'!$G$212</f>
        <v>82877174</v>
      </c>
      <c r="U12" s="30">
        <f t="shared" si="1"/>
        <v>2078103094</v>
      </c>
      <c r="V12" s="24"/>
      <c r="W12" s="27">
        <f>+N12/H12*100</f>
        <v>6.0321973393375306</v>
      </c>
      <c r="X12" s="13">
        <f>+'[3]02-900-03'!$I$79+1</f>
        <v>680897978.232</v>
      </c>
      <c r="Y12" s="128">
        <v>2095430973</v>
      </c>
      <c r="Z12" s="128">
        <f t="shared" si="3"/>
        <v>116074495</v>
      </c>
      <c r="AA12" s="129">
        <f t="shared" si="4"/>
        <v>30.788889653878076</v>
      </c>
      <c r="AB12" s="129">
        <f t="shared" si="5"/>
        <v>94.75133583526821</v>
      </c>
    </row>
    <row r="13" spans="1:28" ht="38.25" customHeight="1">
      <c r="A13" s="93" t="s">
        <v>24</v>
      </c>
      <c r="B13" s="5" t="s">
        <v>43</v>
      </c>
      <c r="C13" s="17">
        <f t="shared" si="7"/>
        <v>900</v>
      </c>
      <c r="D13" s="6">
        <v>4</v>
      </c>
      <c r="E13" s="94" t="s">
        <v>61</v>
      </c>
      <c r="F13" s="95">
        <v>1043955002</v>
      </c>
      <c r="G13" s="88">
        <v>0</v>
      </c>
      <c r="H13" s="24">
        <f t="shared" si="6"/>
        <v>1043955002</v>
      </c>
      <c r="I13" s="24"/>
      <c r="J13" s="26"/>
      <c r="K13" s="24"/>
      <c r="L13" s="24"/>
      <c r="M13" s="24"/>
      <c r="N13" s="24">
        <f>26881152+1471477790</f>
        <v>1498358942</v>
      </c>
      <c r="O13" s="24"/>
      <c r="P13" s="25"/>
      <c r="Q13" s="24"/>
      <c r="R13" s="24">
        <f t="shared" si="0"/>
        <v>-0.31599998474121094</v>
      </c>
      <c r="S13" s="24">
        <v>0</v>
      </c>
      <c r="T13" s="24">
        <f>+'[1]RESERVAS 2012'!$G$217</f>
        <v>1498358942.316</v>
      </c>
      <c r="U13" s="25">
        <f t="shared" si="1"/>
        <v>-454403940</v>
      </c>
      <c r="V13" s="24"/>
      <c r="W13" s="27">
        <f t="shared" si="2"/>
        <v>143.52715769640042</v>
      </c>
      <c r="X13" s="11">
        <f>+'[3]02-900-04'!$J$31</f>
        <v>4589240858</v>
      </c>
      <c r="Y13" s="128">
        <v>1043955002</v>
      </c>
      <c r="Z13" s="128">
        <f t="shared" si="3"/>
        <v>0</v>
      </c>
      <c r="AA13" s="129">
        <f t="shared" si="4"/>
        <v>439.6014051571162</v>
      </c>
      <c r="AB13" s="129">
        <f t="shared" si="5"/>
        <v>100</v>
      </c>
    </row>
    <row r="14" spans="1:28" ht="22.5" customHeight="1">
      <c r="A14" s="93" t="s">
        <v>24</v>
      </c>
      <c r="B14" s="5" t="s">
        <v>44</v>
      </c>
      <c r="C14" s="17">
        <f t="shared" si="7"/>
        <v>900</v>
      </c>
      <c r="D14" s="6">
        <v>1</v>
      </c>
      <c r="E14" s="94" t="s">
        <v>62</v>
      </c>
      <c r="F14" s="95">
        <f>+'[5]03-0900-01'!$F$2</f>
        <v>250000000</v>
      </c>
      <c r="G14" s="88">
        <v>70000000</v>
      </c>
      <c r="H14" s="24">
        <f t="shared" si="6"/>
        <v>320000000</v>
      </c>
      <c r="I14" s="24"/>
      <c r="J14" s="26"/>
      <c r="K14" s="24"/>
      <c r="L14" s="24"/>
      <c r="M14" s="24"/>
      <c r="N14" s="24">
        <f>-38654000+83580624-44926624</f>
        <v>0</v>
      </c>
      <c r="O14" s="24"/>
      <c r="P14" s="25"/>
      <c r="Q14" s="24"/>
      <c r="R14" s="24">
        <f t="shared" si="0"/>
        <v>0</v>
      </c>
      <c r="S14" s="24">
        <v>0</v>
      </c>
      <c r="T14" s="24">
        <v>0</v>
      </c>
      <c r="U14" s="25">
        <f t="shared" si="1"/>
        <v>320000000</v>
      </c>
      <c r="V14" s="24"/>
      <c r="W14" s="27">
        <f t="shared" si="2"/>
        <v>0</v>
      </c>
      <c r="X14" s="11">
        <f>+'[3]03-900-01'!$J$51</f>
        <v>248571160</v>
      </c>
      <c r="Y14" s="128">
        <v>319329399</v>
      </c>
      <c r="Z14" s="128">
        <f t="shared" si="3"/>
        <v>670601</v>
      </c>
      <c r="AA14" s="129">
        <f t="shared" si="4"/>
        <v>77.6784875</v>
      </c>
      <c r="AB14" s="129">
        <f t="shared" si="5"/>
        <v>99.7904371875</v>
      </c>
    </row>
    <row r="15" spans="1:28" ht="22.5" customHeight="1">
      <c r="A15" s="93" t="s">
        <v>24</v>
      </c>
      <c r="B15" s="5" t="s">
        <v>44</v>
      </c>
      <c r="C15" s="17">
        <f t="shared" si="7"/>
        <v>900</v>
      </c>
      <c r="D15" s="6">
        <v>2</v>
      </c>
      <c r="E15" s="94" t="s">
        <v>63</v>
      </c>
      <c r="F15" s="95">
        <v>835527581</v>
      </c>
      <c r="G15" s="88">
        <f>300000000+100000000+460000000+20000000+125000000+2391943070+10000000</f>
        <v>3406943070</v>
      </c>
      <c r="H15" s="24">
        <f t="shared" si="6"/>
        <v>4242470651</v>
      </c>
      <c r="I15" s="24"/>
      <c r="J15" s="26"/>
      <c r="K15" s="24"/>
      <c r="L15" s="24"/>
      <c r="M15" s="24"/>
      <c r="N15" s="24">
        <v>76488483</v>
      </c>
      <c r="O15" s="24"/>
      <c r="P15" s="25"/>
      <c r="Q15" s="24"/>
      <c r="R15" s="24">
        <f t="shared" si="0"/>
        <v>0</v>
      </c>
      <c r="S15" s="24">
        <v>0</v>
      </c>
      <c r="T15" s="24">
        <f>+'[1]RESERVAS 2012'!$G$227</f>
        <v>76488483</v>
      </c>
      <c r="U15" s="25">
        <f t="shared" si="1"/>
        <v>4165982168</v>
      </c>
      <c r="V15" s="24"/>
      <c r="W15" s="27">
        <f t="shared" si="2"/>
        <v>1.8029230910995404</v>
      </c>
      <c r="X15" s="13">
        <f>+'[3]03-900-02'!$J$103</f>
        <v>6495999029.863999</v>
      </c>
      <c r="Y15" s="128">
        <v>4239145904</v>
      </c>
      <c r="Z15" s="128">
        <f t="shared" si="3"/>
        <v>3324747</v>
      </c>
      <c r="AA15" s="129">
        <f t="shared" si="4"/>
        <v>153.1183021462462</v>
      </c>
      <c r="AB15" s="129">
        <f t="shared" si="5"/>
        <v>99.92163182085382</v>
      </c>
    </row>
    <row r="16" spans="1:28" ht="22.5" customHeight="1">
      <c r="A16" s="93" t="s">
        <v>24</v>
      </c>
      <c r="B16" s="5" t="s">
        <v>45</v>
      </c>
      <c r="C16" s="17">
        <f t="shared" si="7"/>
        <v>900</v>
      </c>
      <c r="D16" s="6">
        <v>1</v>
      </c>
      <c r="E16" s="94" t="s">
        <v>64</v>
      </c>
      <c r="F16" s="95">
        <v>1200000000</v>
      </c>
      <c r="G16" s="88">
        <f>1845204606+85951633+579635473+259094+159302328-20000000</f>
        <v>2650353134</v>
      </c>
      <c r="H16" s="24">
        <f t="shared" si="6"/>
        <v>3850353134</v>
      </c>
      <c r="I16" s="24"/>
      <c r="J16" s="26"/>
      <c r="K16" s="24"/>
      <c r="L16" s="24"/>
      <c r="M16" s="24"/>
      <c r="N16" s="24">
        <v>152849484</v>
      </c>
      <c r="O16" s="24"/>
      <c r="P16" s="25"/>
      <c r="Q16" s="24"/>
      <c r="R16" s="24">
        <f t="shared" si="0"/>
        <v>36427954</v>
      </c>
      <c r="S16" s="24">
        <f>+'[2]2010'!$F$163</f>
        <v>75867</v>
      </c>
      <c r="T16" s="24">
        <f>+'[1]RESERVAS 2012'!$G$246</f>
        <v>116345663</v>
      </c>
      <c r="U16" s="25">
        <f t="shared" si="1"/>
        <v>3697503650</v>
      </c>
      <c r="V16" s="24"/>
      <c r="W16" s="27">
        <f t="shared" si="2"/>
        <v>3.9697523494737195</v>
      </c>
      <c r="X16" s="11">
        <v>920941098</v>
      </c>
      <c r="Y16" s="128">
        <v>3792698320</v>
      </c>
      <c r="Z16" s="128">
        <f t="shared" si="3"/>
        <v>57654814</v>
      </c>
      <c r="AA16" s="129">
        <f t="shared" si="4"/>
        <v>23.918354134008116</v>
      </c>
      <c r="AB16" s="129">
        <f t="shared" si="5"/>
        <v>98.50260970894105</v>
      </c>
    </row>
    <row r="17" spans="1:28" ht="36" customHeight="1">
      <c r="A17" s="93" t="s">
        <v>24</v>
      </c>
      <c r="B17" s="5" t="s">
        <v>45</v>
      </c>
      <c r="C17" s="17">
        <f t="shared" si="7"/>
        <v>900</v>
      </c>
      <c r="D17" s="6">
        <v>2</v>
      </c>
      <c r="E17" s="94" t="s">
        <v>65</v>
      </c>
      <c r="F17" s="95">
        <v>912369951</v>
      </c>
      <c r="G17" s="88">
        <f>595200435+48192000</f>
        <v>643392435</v>
      </c>
      <c r="H17" s="24">
        <f t="shared" si="6"/>
        <v>1555762386</v>
      </c>
      <c r="I17" s="24"/>
      <c r="J17" s="26"/>
      <c r="K17" s="24"/>
      <c r="L17" s="24"/>
      <c r="M17" s="24"/>
      <c r="N17" s="24">
        <v>19467520</v>
      </c>
      <c r="O17" s="24"/>
      <c r="P17" s="25"/>
      <c r="Q17" s="24"/>
      <c r="R17" s="24">
        <f t="shared" si="0"/>
        <v>1534972</v>
      </c>
      <c r="S17" s="24">
        <f>+'[2]2010'!$F$195</f>
        <v>198000</v>
      </c>
      <c r="T17" s="24">
        <f>+'[1]RESERVAS 2012'!$G$306</f>
        <v>17734548</v>
      </c>
      <c r="U17" s="25">
        <f t="shared" si="1"/>
        <v>1536294866</v>
      </c>
      <c r="V17" s="24"/>
      <c r="W17" s="27">
        <f t="shared" si="2"/>
        <v>1.2513170504174922</v>
      </c>
      <c r="X17" s="11">
        <f>+'[3]04-0900-02'!$H$127</f>
        <v>347571279.988</v>
      </c>
      <c r="Y17" s="128">
        <v>1508656115</v>
      </c>
      <c r="Z17" s="128">
        <f t="shared" si="3"/>
        <v>47106271</v>
      </c>
      <c r="AA17" s="129">
        <f t="shared" si="4"/>
        <v>22.340897499240604</v>
      </c>
      <c r="AB17" s="129">
        <f t="shared" si="5"/>
        <v>96.97214231274003</v>
      </c>
    </row>
    <row r="18" spans="1:28" ht="38.25" customHeight="1">
      <c r="A18" s="93" t="s">
        <v>24</v>
      </c>
      <c r="B18" s="5" t="s">
        <v>46</v>
      </c>
      <c r="C18" s="17">
        <f t="shared" si="7"/>
        <v>900</v>
      </c>
      <c r="D18" s="6">
        <v>1</v>
      </c>
      <c r="E18" s="94" t="s">
        <v>66</v>
      </c>
      <c r="F18" s="95">
        <v>300000000</v>
      </c>
      <c r="G18" s="88">
        <f>90231113+20000000-30151328</f>
        <v>80079785</v>
      </c>
      <c r="H18" s="24">
        <f t="shared" si="6"/>
        <v>380079785</v>
      </c>
      <c r="I18" s="24"/>
      <c r="J18" s="26"/>
      <c r="K18" s="24"/>
      <c r="L18" s="24"/>
      <c r="M18" s="24"/>
      <c r="N18" s="24">
        <v>203974258</v>
      </c>
      <c r="O18" s="24"/>
      <c r="P18" s="25"/>
      <c r="Q18" s="24"/>
      <c r="R18" s="24">
        <f t="shared" si="0"/>
        <v>42361514.95999999</v>
      </c>
      <c r="S18" s="24">
        <f>+'[2]2010'!$F$203</f>
        <v>50523840</v>
      </c>
      <c r="T18" s="24">
        <f>+'[1]RESERVAS 2012'!$G$336</f>
        <v>111088903.04</v>
      </c>
      <c r="U18" s="25">
        <f t="shared" si="1"/>
        <v>176105527</v>
      </c>
      <c r="V18" s="24"/>
      <c r="W18" s="27">
        <f t="shared" si="2"/>
        <v>53.66616853879772</v>
      </c>
      <c r="X18" s="11">
        <f>+'[3]05-900-01'!$I$131+1</f>
        <v>739699516.0080001</v>
      </c>
      <c r="Y18" s="24">
        <v>357526608</v>
      </c>
      <c r="Z18" s="128">
        <f t="shared" si="3"/>
        <v>22553177</v>
      </c>
      <c r="AA18" s="129">
        <f t="shared" si="4"/>
        <v>194.61690550261707</v>
      </c>
      <c r="AB18" s="129">
        <f t="shared" si="5"/>
        <v>94.0661992849738</v>
      </c>
    </row>
    <row r="19" spans="1:28" ht="41.25" customHeight="1">
      <c r="A19" s="93" t="s">
        <v>24</v>
      </c>
      <c r="B19" s="5" t="s">
        <v>47</v>
      </c>
      <c r="C19" s="17">
        <f t="shared" si="7"/>
        <v>900</v>
      </c>
      <c r="D19" s="6">
        <v>1</v>
      </c>
      <c r="E19" s="96" t="s">
        <v>67</v>
      </c>
      <c r="F19" s="95">
        <v>111617855</v>
      </c>
      <c r="G19" s="88">
        <f>1154893850+141980000-785797558</f>
        <v>511076292</v>
      </c>
      <c r="H19" s="24">
        <f t="shared" si="6"/>
        <v>622694147</v>
      </c>
      <c r="I19" s="24"/>
      <c r="J19" s="26"/>
      <c r="K19" s="24"/>
      <c r="L19" s="24"/>
      <c r="M19" s="24"/>
      <c r="N19" s="24">
        <v>145590431</v>
      </c>
      <c r="O19" s="24"/>
      <c r="P19" s="25"/>
      <c r="Q19" s="24"/>
      <c r="R19" s="24">
        <f t="shared" si="0"/>
        <v>72795215.22</v>
      </c>
      <c r="S19" s="24">
        <v>0</v>
      </c>
      <c r="T19" s="24">
        <f>+'[1]RESERVAS 2012'!$G$342</f>
        <v>72795215.78</v>
      </c>
      <c r="U19" s="25">
        <f t="shared" si="1"/>
        <v>477103716</v>
      </c>
      <c r="V19" s="24"/>
      <c r="W19" s="27">
        <f t="shared" si="2"/>
        <v>23.380728998565647</v>
      </c>
      <c r="X19" s="11">
        <f>+'[3]06-0900-01'!$I$72-1</f>
        <v>560766327.9560002</v>
      </c>
      <c r="Y19" s="24">
        <v>569855915</v>
      </c>
      <c r="Z19" s="128">
        <f t="shared" si="3"/>
        <v>52838232</v>
      </c>
      <c r="AA19" s="129">
        <f t="shared" si="4"/>
        <v>90.054857695009</v>
      </c>
      <c r="AB19" s="129">
        <f t="shared" si="5"/>
        <v>91.51457705928942</v>
      </c>
    </row>
    <row r="20" spans="1:28" ht="22.5" customHeight="1">
      <c r="A20" s="93" t="s">
        <v>24</v>
      </c>
      <c r="B20" s="5" t="s">
        <v>47</v>
      </c>
      <c r="C20" s="17">
        <f t="shared" si="7"/>
        <v>900</v>
      </c>
      <c r="D20" s="6">
        <v>2</v>
      </c>
      <c r="E20" s="96" t="s">
        <v>68</v>
      </c>
      <c r="F20" s="95">
        <v>284423583</v>
      </c>
      <c r="G20" s="88">
        <f>1289745800+1301196008+95000000+3728574777-3728574777+906203570</f>
        <v>3592145378</v>
      </c>
      <c r="H20" s="24">
        <f t="shared" si="6"/>
        <v>3876568961</v>
      </c>
      <c r="I20" s="24"/>
      <c r="J20" s="26"/>
      <c r="K20" s="24"/>
      <c r="L20" s="24"/>
      <c r="M20" s="24"/>
      <c r="N20" s="24">
        <v>15121222</v>
      </c>
      <c r="O20" s="24"/>
      <c r="P20" s="25"/>
      <c r="Q20" s="24"/>
      <c r="R20" s="24">
        <f t="shared" si="0"/>
        <v>15121222</v>
      </c>
      <c r="S20" s="24">
        <v>0</v>
      </c>
      <c r="T20" s="24">
        <v>0</v>
      </c>
      <c r="U20" s="25">
        <f t="shared" si="1"/>
        <v>3861447739</v>
      </c>
      <c r="V20" s="24"/>
      <c r="W20" s="27">
        <f t="shared" si="2"/>
        <v>0.39006714835015677</v>
      </c>
      <c r="X20" s="11">
        <f>+'[3]06-0900-02'!$I$47</f>
        <v>278664190.78</v>
      </c>
      <c r="Y20" s="24">
        <v>3187758876</v>
      </c>
      <c r="Z20" s="128">
        <f t="shared" si="3"/>
        <v>688810085</v>
      </c>
      <c r="AA20" s="129">
        <f t="shared" si="4"/>
        <v>7.18842341213287</v>
      </c>
      <c r="AB20" s="129">
        <f t="shared" si="5"/>
        <v>82.23145023525353</v>
      </c>
    </row>
    <row r="21" spans="1:28" ht="22.5" customHeight="1">
      <c r="A21" s="93" t="s">
        <v>1</v>
      </c>
      <c r="B21" s="5"/>
      <c r="C21" s="17"/>
      <c r="D21" s="6"/>
      <c r="E21" s="97"/>
      <c r="F21" s="95"/>
      <c r="G21" s="88"/>
      <c r="H21" s="24"/>
      <c r="I21" s="24"/>
      <c r="J21" s="26"/>
      <c r="K21" s="24"/>
      <c r="L21" s="24"/>
      <c r="M21" s="24"/>
      <c r="N21" s="24"/>
      <c r="O21" s="24"/>
      <c r="P21" s="25"/>
      <c r="Q21" s="24"/>
      <c r="R21" s="24"/>
      <c r="S21" s="24"/>
      <c r="T21" s="24"/>
      <c r="U21" s="24"/>
      <c r="V21" s="24"/>
      <c r="W21" s="27"/>
      <c r="X21" s="11"/>
      <c r="Y21" s="11"/>
      <c r="Z21" s="24" t="s">
        <v>1</v>
      </c>
      <c r="AA21" s="16" t="s">
        <v>1</v>
      </c>
      <c r="AB21" s="27" t="s">
        <v>1</v>
      </c>
    </row>
    <row r="22" spans="1:29" ht="22.5" customHeight="1" thickBot="1">
      <c r="A22" s="98"/>
      <c r="B22" s="99"/>
      <c r="C22" s="100"/>
      <c r="D22" s="101"/>
      <c r="E22" s="102" t="s">
        <v>70</v>
      </c>
      <c r="F22" s="103">
        <f>SUM(F6:F21)</f>
        <v>12394038216</v>
      </c>
      <c r="G22" s="103">
        <f>SUM(G6:G21)</f>
        <v>12911371801</v>
      </c>
      <c r="H22" s="103">
        <f>SUM(H6:H21)</f>
        <v>25305410017</v>
      </c>
      <c r="I22" s="24"/>
      <c r="J22" s="26"/>
      <c r="K22" s="24"/>
      <c r="L22" s="24"/>
      <c r="M22" s="24"/>
      <c r="N22" s="24"/>
      <c r="O22" s="24"/>
      <c r="P22" s="25"/>
      <c r="Q22" s="24"/>
      <c r="R22" s="24"/>
      <c r="S22" s="24"/>
      <c r="T22" s="24"/>
      <c r="U22" s="24"/>
      <c r="V22" s="24"/>
      <c r="W22" s="27"/>
      <c r="X22" s="88">
        <f>SUM(X6:X21)+1</f>
        <v>21742841706.483997</v>
      </c>
      <c r="Y22" s="88">
        <f>SUM(Y6:Y21)</f>
        <v>24078568097</v>
      </c>
      <c r="Z22" s="128">
        <f t="shared" si="3"/>
        <v>1226841920</v>
      </c>
      <c r="AA22" s="15">
        <f>+X22/H22*100</f>
        <v>85.92171275579928</v>
      </c>
      <c r="AB22" s="129">
        <f t="shared" si="5"/>
        <v>95.15185915116248</v>
      </c>
      <c r="AC22" t="s">
        <v>1</v>
      </c>
    </row>
    <row r="23" spans="6:28" ht="12.75">
      <c r="F23" s="42" t="s">
        <v>1</v>
      </c>
      <c r="G23" s="42" t="s">
        <v>1</v>
      </c>
      <c r="H23" s="7"/>
      <c r="Y23" s="42" t="s">
        <v>1</v>
      </c>
      <c r="Z23" s="42" t="s">
        <v>26</v>
      </c>
      <c r="AA23" s="79"/>
      <c r="AB23" s="79" t="s">
        <v>1</v>
      </c>
    </row>
    <row r="24" spans="6:27" ht="12.75">
      <c r="F24" s="42" t="s">
        <v>1</v>
      </c>
      <c r="G24" s="7" t="s">
        <v>1</v>
      </c>
      <c r="H24" s="42"/>
      <c r="X24" s="28"/>
      <c r="Y24" s="28" t="s">
        <v>1</v>
      </c>
      <c r="Z24" s="28" t="s">
        <v>1</v>
      </c>
      <c r="AA24" s="28" t="e">
        <f>+H24-#REF!</f>
        <v>#REF!</v>
      </c>
    </row>
    <row r="25" spans="7:28" ht="12.75">
      <c r="G25" s="7" t="s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7:28" ht="12.75">
      <c r="G26" s="7" t="s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2"/>
      <c r="B27" s="2"/>
      <c r="C27" s="2"/>
      <c r="D27" s="2"/>
      <c r="E27" s="144" t="s">
        <v>0</v>
      </c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80"/>
    </row>
    <row r="28" spans="1:28" ht="12.75">
      <c r="A28" s="2"/>
      <c r="B28" s="2"/>
      <c r="C28" s="2"/>
      <c r="D28" s="2"/>
      <c r="E28" s="144" t="s">
        <v>85</v>
      </c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80"/>
    </row>
    <row r="29" spans="1:28" ht="12.75">
      <c r="A29" s="2"/>
      <c r="B29" s="2"/>
      <c r="C29" s="2"/>
      <c r="D29" s="2"/>
      <c r="E29" s="39"/>
      <c r="F29" s="39"/>
      <c r="G29" s="4" t="s">
        <v>1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80"/>
    </row>
    <row r="30" spans="1:28" ht="25.5">
      <c r="A30" s="2"/>
      <c r="B30" s="2"/>
      <c r="C30" s="2"/>
      <c r="D30" s="85"/>
      <c r="E30" s="104" t="s">
        <v>25</v>
      </c>
      <c r="F30" s="105" t="s">
        <v>71</v>
      </c>
      <c r="G30" s="68" t="s">
        <v>2</v>
      </c>
      <c r="H30" s="68" t="s">
        <v>72</v>
      </c>
      <c r="I30" s="69"/>
      <c r="J30" s="26"/>
      <c r="K30" s="69"/>
      <c r="L30" s="69"/>
      <c r="M30" s="69"/>
      <c r="N30" s="69" t="s">
        <v>1</v>
      </c>
      <c r="O30" s="69"/>
      <c r="P30" s="70"/>
      <c r="Q30" s="69"/>
      <c r="R30" s="69"/>
      <c r="S30" s="69"/>
      <c r="T30" s="69"/>
      <c r="U30" s="69" t="s">
        <v>1</v>
      </c>
      <c r="V30" s="69"/>
      <c r="W30" s="69"/>
      <c r="X30" s="72" t="s">
        <v>73</v>
      </c>
      <c r="Y30" s="73" t="s">
        <v>35</v>
      </c>
      <c r="Z30" s="73" t="s">
        <v>75</v>
      </c>
      <c r="AA30" s="73" t="s">
        <v>74</v>
      </c>
      <c r="AB30" s="73" t="s">
        <v>48</v>
      </c>
    </row>
    <row r="31" spans="1:28" ht="12.75">
      <c r="A31" s="2"/>
      <c r="B31" s="2"/>
      <c r="C31" s="2"/>
      <c r="D31" s="2"/>
      <c r="E31" s="104"/>
      <c r="F31" s="105"/>
      <c r="G31" s="68"/>
      <c r="H31" s="68"/>
      <c r="I31" s="69"/>
      <c r="J31" s="26"/>
      <c r="K31" s="69"/>
      <c r="L31" s="69"/>
      <c r="M31" s="69"/>
      <c r="N31" s="69"/>
      <c r="O31" s="69"/>
      <c r="P31" s="70"/>
      <c r="Q31" s="69"/>
      <c r="R31" s="69"/>
      <c r="S31" s="69"/>
      <c r="T31" s="69"/>
      <c r="U31" s="69"/>
      <c r="V31" s="69"/>
      <c r="W31" s="69"/>
      <c r="X31" s="72"/>
      <c r="Y31" s="106"/>
      <c r="Z31" s="106"/>
      <c r="AA31" s="72"/>
      <c r="AB31" s="80"/>
    </row>
    <row r="32" spans="1:30" ht="25.5">
      <c r="A32" s="8" t="s">
        <v>24</v>
      </c>
      <c r="B32" s="2">
        <v>213</v>
      </c>
      <c r="C32" s="2">
        <v>906</v>
      </c>
      <c r="D32" s="2">
        <v>1</v>
      </c>
      <c r="E32" s="107" t="s">
        <v>77</v>
      </c>
      <c r="F32" s="39">
        <v>1540000000</v>
      </c>
      <c r="G32" s="4">
        <v>0</v>
      </c>
      <c r="H32" s="39">
        <f>+F32+G32</f>
        <v>1540000000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>
        <f>+'[5]013-000-2-906-1'!$E$55-'[5]013-000-2-906-1'!$E$49-'[5]013-000-2-906-1'!$E$50</f>
        <v>-678923032</v>
      </c>
      <c r="Y32" s="109">
        <v>1387725310</v>
      </c>
      <c r="Z32" s="108">
        <f>+H32-Y32</f>
        <v>152274690</v>
      </c>
      <c r="AA32" s="35">
        <v>0</v>
      </c>
      <c r="AB32" s="80">
        <f>+Y32/H32*100</f>
        <v>90.11203311688311</v>
      </c>
      <c r="AC32" t="s">
        <v>1</v>
      </c>
      <c r="AD32" t="s">
        <v>1</v>
      </c>
    </row>
    <row r="33" spans="1:28" ht="12.75">
      <c r="A33" s="2"/>
      <c r="B33" s="2"/>
      <c r="C33" s="2"/>
      <c r="D33" s="2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09" t="s">
        <v>1</v>
      </c>
      <c r="Z33" s="108"/>
      <c r="AA33" s="35"/>
      <c r="AB33" s="80"/>
    </row>
    <row r="34" spans="1:28" ht="12.75">
      <c r="A34" s="2"/>
      <c r="B34" s="2"/>
      <c r="C34" s="2"/>
      <c r="D34" s="2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09"/>
      <c r="Z34" s="108"/>
      <c r="AA34" s="35"/>
      <c r="AB34" s="80"/>
    </row>
    <row r="35" spans="1:29" ht="12.75">
      <c r="A35" s="2"/>
      <c r="B35" s="2"/>
      <c r="C35" s="2"/>
      <c r="D35" s="2"/>
      <c r="E35" s="4" t="s">
        <v>70</v>
      </c>
      <c r="F35" s="39">
        <v>1540000000</v>
      </c>
      <c r="G35" s="39">
        <f>+G32</f>
        <v>0</v>
      </c>
      <c r="H35" s="39">
        <f>+H32</f>
        <v>1540000000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>
        <f>+X32</f>
        <v>-678923032</v>
      </c>
      <c r="Y35" s="109">
        <f>+Y32</f>
        <v>1387725310</v>
      </c>
      <c r="Z35" s="108">
        <f>+Z32</f>
        <v>152274690</v>
      </c>
      <c r="AA35" s="35">
        <f>+AA32</f>
        <v>0</v>
      </c>
      <c r="AB35" s="80">
        <f>+Y35/H35*100</f>
        <v>90.11203311688311</v>
      </c>
      <c r="AC35" s="147"/>
    </row>
    <row r="36" spans="1:29" ht="12.75">
      <c r="A36" s="2"/>
      <c r="B36" s="2"/>
      <c r="C36" s="2"/>
      <c r="D36" s="2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09"/>
      <c r="Z36" s="109"/>
      <c r="AA36" s="39"/>
      <c r="AB36" s="80"/>
      <c r="AC36" s="148"/>
    </row>
    <row r="37" spans="1:29" ht="12.75">
      <c r="A37" s="2"/>
      <c r="B37" s="2"/>
      <c r="C37" s="2"/>
      <c r="D37" s="2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09"/>
      <c r="Z37" s="109"/>
      <c r="AA37" s="39"/>
      <c r="AB37" s="80"/>
      <c r="AC37" s="149"/>
    </row>
    <row r="38" spans="1:29" ht="12.75">
      <c r="A38" s="2"/>
      <c r="B38" s="2"/>
      <c r="C38" s="2"/>
      <c r="D38" s="2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09"/>
      <c r="Z38" s="109"/>
      <c r="AA38" s="39"/>
      <c r="AB38" s="80"/>
      <c r="AC38" s="148"/>
    </row>
    <row r="39" spans="1:28" ht="12.75">
      <c r="A39" s="2"/>
      <c r="B39" s="2"/>
      <c r="C39" s="2"/>
      <c r="D39" s="2"/>
      <c r="E39" s="2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108"/>
      <c r="Z39" s="108"/>
      <c r="AA39" s="35"/>
      <c r="AB39" s="80"/>
    </row>
    <row r="40" spans="1:28" ht="12.75">
      <c r="A40" s="2"/>
      <c r="B40" s="2"/>
      <c r="C40" s="2"/>
      <c r="D40" s="2"/>
      <c r="E40" s="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108"/>
      <c r="Z40" s="108"/>
      <c r="AA40" s="35"/>
      <c r="AB40" s="80"/>
    </row>
    <row r="41" spans="7:28" ht="12.75">
      <c r="G41" s="1"/>
      <c r="H41" s="7" t="s">
        <v>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7:28" ht="12.75">
      <c r="G42" s="1"/>
      <c r="H42" s="7" t="s">
        <v>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7" t="s">
        <v>1</v>
      </c>
      <c r="Z42" s="1"/>
      <c r="AA42" s="1"/>
      <c r="AB42" s="1"/>
    </row>
    <row r="43" spans="7:28" ht="12.75">
      <c r="G43" s="1"/>
      <c r="H43" s="7" t="s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7" t="s">
        <v>1</v>
      </c>
      <c r="Z43" s="1"/>
      <c r="AA43" s="1"/>
      <c r="AB43" s="1"/>
    </row>
    <row r="44" spans="7:28" ht="12.75">
      <c r="G44" s="1"/>
      <c r="H44" s="7" t="s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7" t="s">
        <v>1</v>
      </c>
      <c r="Z44" s="1"/>
      <c r="AA44" s="1"/>
      <c r="AB44" s="1"/>
    </row>
    <row r="45" spans="6:28" ht="12.75">
      <c r="F45" s="2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7" t="s">
        <v>1</v>
      </c>
      <c r="Z45" s="1"/>
      <c r="AA45" s="1"/>
      <c r="AB45" s="1"/>
    </row>
    <row r="46" spans="7:28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7:28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7:28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7:28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7:28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sheetProtection/>
  <mergeCells count="4">
    <mergeCell ref="E1:AA1"/>
    <mergeCell ref="E2:AA2"/>
    <mergeCell ref="E27:AA27"/>
    <mergeCell ref="E28:AA28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2016-07-14T20:26:12Z</cp:lastPrinted>
  <dcterms:created xsi:type="dcterms:W3CDTF">2007-01-13T18:42:48Z</dcterms:created>
  <dcterms:modified xsi:type="dcterms:W3CDTF">2016-07-14T20:56:22Z</dcterms:modified>
  <cp:category/>
  <cp:version/>
  <cp:contentType/>
  <cp:contentStatus/>
</cp:coreProperties>
</file>