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1"/>
  </bookViews>
  <sheets>
    <sheet name="FUNCIONAMIENTO" sheetId="1" r:id="rId1"/>
    <sheet name="INVERSION" sheetId="2" r:id="rId2"/>
    <sheet name="ADICIONES2014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'INVERSION'!$A$1:$J$22</definedName>
  </definedNames>
  <calcPr fullCalcOnLoad="1"/>
</workbook>
</file>

<file path=xl/sharedStrings.xml><?xml version="1.0" encoding="utf-8"?>
<sst xmlns="http://schemas.openxmlformats.org/spreadsheetml/2006/main" count="471" uniqueCount="189">
  <si>
    <t>CORPORACION AUTONOMA REGIONAL DEL ALTO MAGDALENA CAM</t>
  </si>
  <si>
    <t xml:space="preserve"> </t>
  </si>
  <si>
    <t>MODIFICACIONES</t>
  </si>
  <si>
    <t>C</t>
  </si>
  <si>
    <t>GASTOS DE INVERSION</t>
  </si>
  <si>
    <t xml:space="preserve">  </t>
  </si>
  <si>
    <t>COMPROMISOS</t>
  </si>
  <si>
    <t>Proyecto 1.3 Aprovechamiento sostenible de la biodiversidad y negocios verdes</t>
  </si>
  <si>
    <t>01</t>
  </si>
  <si>
    <t>02</t>
  </si>
  <si>
    <t>03</t>
  </si>
  <si>
    <t>04</t>
  </si>
  <si>
    <t>05</t>
  </si>
  <si>
    <t>06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</si>
  <si>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</si>
  <si>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</si>
  <si>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</si>
  <si>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</si>
  <si>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</si>
  <si>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</si>
  <si>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</si>
  <si>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</si>
  <si>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</si>
  <si>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</si>
  <si>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</si>
  <si>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</si>
  <si>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</si>
  <si>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</si>
  <si>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</si>
  <si>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</si>
  <si>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</si>
  <si>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</si>
  <si>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COMPROMISOS ACUMULADOS</t>
  </si>
  <si>
    <t>% EJECUCION CDPS</t>
  </si>
  <si>
    <t xml:space="preserve"> ADICIONES  20013</t>
  </si>
  <si>
    <t>FECHA</t>
  </si>
  <si>
    <t>No DOCUMENTO</t>
  </si>
  <si>
    <t>INGRESOS</t>
  </si>
  <si>
    <t>DESTINO</t>
  </si>
  <si>
    <t>PROYECTO</t>
  </si>
  <si>
    <t>FUENTE</t>
  </si>
  <si>
    <t>FUNCIONAMIENTO</t>
  </si>
  <si>
    <t>INVERSION</t>
  </si>
  <si>
    <t>05-0900-01</t>
  </si>
  <si>
    <t>01-0900-01</t>
  </si>
  <si>
    <t>02-0900-02</t>
  </si>
  <si>
    <t>03-0900-02</t>
  </si>
  <si>
    <t>GASTOS DE PERSONAL</t>
  </si>
  <si>
    <t>GASTOS GENERALES</t>
  </si>
  <si>
    <t>TRANSFERENCIAS</t>
  </si>
  <si>
    <t>02-0900-03</t>
  </si>
  <si>
    <t>02-0900-04</t>
  </si>
  <si>
    <t>04-0900-01</t>
  </si>
  <si>
    <t>06-0900-01</t>
  </si>
  <si>
    <t>06-0900-02</t>
  </si>
  <si>
    <t>TOTAL INVERSION</t>
  </si>
  <si>
    <t>ecedentes fros</t>
  </si>
  <si>
    <t>MODICIACIONES</t>
  </si>
  <si>
    <t>SUELDO VACACIONES</t>
  </si>
  <si>
    <t>SUELDOS</t>
  </si>
  <si>
    <t>PRIMA TECNCIA</t>
  </si>
  <si>
    <t>BONIFICACION SERVICIOS PRESTADOS</t>
  </si>
  <si>
    <t>PRIMA TECNICA</t>
  </si>
  <si>
    <t>BONIFICACION ESPECIAL POR RECREACION</t>
  </si>
  <si>
    <t>SUBSIDIO DE ALIMENTACION</t>
  </si>
  <si>
    <t>AUXILIO DE TRANSPORTE</t>
  </si>
  <si>
    <t>PRIMA DE SERVICIOS</t>
  </si>
  <si>
    <t>PRIMA DE VACACIONES</t>
  </si>
  <si>
    <t>PRIMA DE NAVIDAD</t>
  </si>
  <si>
    <t>PRIMA DE COORDINACION</t>
  </si>
  <si>
    <t>HORAS EXTRAS</t>
  </si>
  <si>
    <t>INDEMNIZACION DE VACACIONES</t>
  </si>
  <si>
    <t>OTROS</t>
  </si>
  <si>
    <t>SERVICIOS PERSONALES INDIRECTOS</t>
  </si>
  <si>
    <t>HORAS EXTRAS INDEMINZCIONES</t>
  </si>
  <si>
    <t>SUPERNUMERARIOS</t>
  </si>
  <si>
    <t>HONORARIOS</t>
  </si>
  <si>
    <t>REMUNERACION SERVICIOS TECNICOS</t>
  </si>
  <si>
    <t>CONTRIBUCIONES NOMINA SECTOR PRIVADO</t>
  </si>
  <si>
    <t>CONTRIBUCIONES NOMINA SECTOR PUBLICO</t>
  </si>
  <si>
    <t>APORTES AL ICBF</t>
  </si>
  <si>
    <t>APORTES AL SENA</t>
  </si>
  <si>
    <t>IMPUESTOS MULTAS Y TASAS</t>
  </si>
  <si>
    <t>COMPRA DE EQUIPO</t>
  </si>
  <si>
    <t>MATERIALES Y SUMINISTROS</t>
  </si>
  <si>
    <t>MANTENIMIENTO</t>
  </si>
  <si>
    <t>COMUNICACIONES Y TRANSPORTE</t>
  </si>
  <si>
    <t>IMPRESOS Y PUBLICACIONES</t>
  </si>
  <si>
    <t>SERVICIOS PUBLICOS</t>
  </si>
  <si>
    <t>SEGUROS</t>
  </si>
  <si>
    <t>ARRENDAMIENTOS</t>
  </si>
  <si>
    <t>VIATICOS Y GASTOS DE VIAJE</t>
  </si>
  <si>
    <t>GASTOS IMPREVISTOS</t>
  </si>
  <si>
    <t>CAPACITACION Y BIENESTAR SOCIAL</t>
  </si>
  <si>
    <t>CUOTA DE AUDITAJE</t>
  </si>
  <si>
    <t>APORTE AL FONDO DE COMPENSACION AMBIENTAL</t>
  </si>
  <si>
    <t>APORTE ASOCAR</t>
  </si>
  <si>
    <t>SENTENCIAS</t>
  </si>
  <si>
    <t>SERVICIOS PERSONALES ASOCIADOS A NOMINA</t>
  </si>
  <si>
    <t>VITELIO BARRERA ALVAREZ</t>
  </si>
  <si>
    <t>Contador</t>
  </si>
  <si>
    <t>c</t>
  </si>
  <si>
    <t>Implementacion de procesos de restauracion pasiva</t>
  </si>
  <si>
    <t>SALDO POR EJECUTAR</t>
  </si>
  <si>
    <t>% EJECUION COMPROMISOS</t>
  </si>
  <si>
    <t>Febrero 20 2014</t>
  </si>
  <si>
    <t>ECOPETROL</t>
  </si>
  <si>
    <t>CDP</t>
  </si>
  <si>
    <t>CDPS</t>
  </si>
  <si>
    <t>RESOLUCION  271</t>
  </si>
  <si>
    <t>ACUERDO 002</t>
  </si>
  <si>
    <t>02-900-01</t>
  </si>
  <si>
    <t>02-900-03</t>
  </si>
  <si>
    <t>04-0900-02</t>
  </si>
  <si>
    <t>EXCEDENTES FROS PREDIAL</t>
  </si>
  <si>
    <t>EXCEDENTES FROS TSE</t>
  </si>
  <si>
    <t>EXCEDENTES FROS TUA</t>
  </si>
  <si>
    <t>EXCEDENTES FROS LIBRE INVERSION</t>
  </si>
  <si>
    <t>EXCEDENTES FROS TR</t>
  </si>
  <si>
    <t>02-0900-01</t>
  </si>
  <si>
    <t>01-0900-02</t>
  </si>
  <si>
    <t>01-0900-03</t>
  </si>
  <si>
    <t>03-0900-01</t>
  </si>
  <si>
    <t>RESOLUCION  666</t>
  </si>
  <si>
    <t>CONVENIO DPTO HUILA</t>
  </si>
  <si>
    <t>PROG</t>
  </si>
  <si>
    <t>GAS</t>
  </si>
  <si>
    <t>PRESUPUESTO</t>
  </si>
  <si>
    <t>PAGOS</t>
  </si>
  <si>
    <t>SALDO</t>
  </si>
  <si>
    <t>% DE EJECUCION</t>
  </si>
  <si>
    <t>Y/O</t>
  </si>
  <si>
    <t>CONCEPTO</t>
  </si>
  <si>
    <t>INICIAL</t>
  </si>
  <si>
    <t>PRESUPUESTALES</t>
  </si>
  <si>
    <t>DEFINITIVO</t>
  </si>
  <si>
    <t xml:space="preserve">POR EJECUTAR </t>
  </si>
  <si>
    <t>PRY</t>
  </si>
  <si>
    <t>A</t>
  </si>
  <si>
    <t xml:space="preserve">GASTOS DE FUNCIONAMIENTO </t>
  </si>
  <si>
    <t>Gastos de personal</t>
  </si>
  <si>
    <t>servicios personales asociados a nomina</t>
  </si>
  <si>
    <t>sueldos personal de nomina</t>
  </si>
  <si>
    <t>sueldos personal de nomina vacaciones</t>
  </si>
  <si>
    <t xml:space="preserve">Indemnizaciones </t>
  </si>
  <si>
    <t>Prima Tecnica</t>
  </si>
  <si>
    <t>Otros</t>
  </si>
  <si>
    <t>Servicios personales indirectos</t>
  </si>
  <si>
    <t>contribuciones nomina sector privado</t>
  </si>
  <si>
    <t>contribuciones nomina sector publico</t>
  </si>
  <si>
    <t>ICBF</t>
  </si>
  <si>
    <t>SENA</t>
  </si>
  <si>
    <t>Gastos Generales</t>
  </si>
  <si>
    <t>Adquisicion de bienes</t>
  </si>
  <si>
    <t>Adquisicion de servicios</t>
  </si>
  <si>
    <t>Impuestos y multas</t>
  </si>
  <si>
    <t>Transferencias corrientes</t>
  </si>
  <si>
    <t>cuaota auditaje contranal</t>
  </si>
  <si>
    <t>Aporte al Fondo de Compensacion</t>
  </si>
  <si>
    <t>Aporte Asocars</t>
  </si>
  <si>
    <t>Sentencias Judiciales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</si>
  <si>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</si>
  <si>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</si>
  <si>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</si>
  <si>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</si>
  <si>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</si>
  <si>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</si>
  <si>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</si>
  <si>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SALDO POR EJCUTAR</t>
  </si>
  <si>
    <t>CONVENIO NO. 166/13 MPIOS.</t>
  </si>
  <si>
    <t>RESOLUCION 1248</t>
  </si>
  <si>
    <t>EJECUCION PRESUPUESTAL A SEPTIEMBRE 30</t>
  </si>
  <si>
    <t>EJECUCION PRESUPUESTAL A 30 DE SEPTIEMBRE 2014</t>
  </si>
  <si>
    <t>RESOLUIION 1497</t>
  </si>
  <si>
    <t>RESOLUCION 1815</t>
  </si>
  <si>
    <t>CONVENIO  190 MINMINAS</t>
  </si>
  <si>
    <t>EJECUCION PRESUPUESTAL GASTOS DE INVERSION RECURSOS NACION  A SEPTIEMBRE 30 DE 2014</t>
  </si>
  <si>
    <t xml:space="preserve">% EJEUCION </t>
  </si>
  <si>
    <t>% EJEUCION CDPS</t>
  </si>
  <si>
    <t>% EJECUCION COMPROMISOS</t>
  </si>
  <si>
    <t>% EJEUCION CDP</t>
  </si>
  <si>
    <t>% EJEUCION COMPROMISOS</t>
  </si>
  <si>
    <t>RECURSOS PROPIOS  ANEXO No 4</t>
  </si>
  <si>
    <t>RECURSOS NACION ANEXO  No 4</t>
  </si>
  <si>
    <t>EJECUCION PRESUPUESTAL GASTOS DE INVERSION  RECURSOS PROPIOS A 30 DE SEPTIEMBRE ANEXO No 4</t>
  </si>
  <si>
    <t>ACUERDO  009 2014</t>
  </si>
  <si>
    <t>RENDIMIENTOS FROS $ 571698</t>
  </si>
  <si>
    <t>CANCELACION DE RESERVAS $ 218458042</t>
  </si>
  <si>
    <t>REINTEGROS $ 140531834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</si>
</sst>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;[Red]0.00"/>
    <numFmt numFmtId="181" formatCode="#,##0.00;[Red]#,##0.00"/>
    <numFmt numFmtId="182" formatCode="#,##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7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34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ont="1" applyAlignment="1">
      <alignment/>
    </xf>
    <xf numFmtId="3" fontId="1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center"/>
    </xf>
    <xf numFmtId="1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left"/>
    </xf>
    <xf numFmtId="17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44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13" xfId="0" applyNumberForma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left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3" fontId="4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justify"/>
    </xf>
    <xf numFmtId="3" fontId="0" fillId="0" borderId="14" xfId="0" applyNumberFormat="1" applyBorder="1" applyAlignment="1">
      <alignment/>
    </xf>
    <xf numFmtId="3" fontId="1" fillId="0" borderId="0" xfId="0" applyNumberFormat="1" applyFont="1" applyAlignment="1">
      <alignment/>
    </xf>
    <xf numFmtId="3" fontId="5" fillId="0" borderId="11" xfId="0" applyNumberFormat="1" applyFont="1" applyFill="1" applyBorder="1" applyAlignment="1" applyProtection="1">
      <alignment wrapText="1"/>
      <protection locked="0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/>
    </xf>
    <xf numFmtId="3" fontId="0" fillId="33" borderId="18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3" fontId="1" fillId="0" borderId="20" xfId="0" applyNumberFormat="1" applyFont="1" applyBorder="1" applyAlignment="1">
      <alignment horizontal="center" wrapText="1"/>
    </xf>
    <xf numFmtId="4" fontId="0" fillId="0" borderId="19" xfId="0" applyNumberForma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6" xfId="0" applyFont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0" fillId="0" borderId="18" xfId="0" applyNumberForma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 horizontal="center" wrapText="1"/>
    </xf>
    <xf numFmtId="4" fontId="0" fillId="0" borderId="23" xfId="0" applyNumberFormat="1" applyFont="1" applyFill="1" applyBorder="1" applyAlignment="1">
      <alignment horizontal="center" wrapText="1"/>
    </xf>
    <xf numFmtId="4" fontId="0" fillId="0" borderId="23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4" fontId="0" fillId="0" borderId="21" xfId="0" applyNumberFormat="1" applyFill="1" applyBorder="1" applyAlignment="1">
      <alignment horizontal="center" wrapText="1"/>
    </xf>
    <xf numFmtId="3" fontId="0" fillId="0" borderId="21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4" fontId="0" fillId="0" borderId="0" xfId="0" applyNumberFormat="1" applyFont="1" applyFill="1" applyAlignment="1">
      <alignment horizontal="center" wrapText="1"/>
    </xf>
    <xf numFmtId="4" fontId="0" fillId="0" borderId="2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14" xfId="0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0" fillId="0" borderId="21" xfId="0" applyNumberFormat="1" applyBorder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21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0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wrapText="1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3" fontId="3" fillId="0" borderId="10" xfId="0" applyNumberFormat="1" applyFont="1" applyFill="1" applyBorder="1" applyAlignment="1" applyProtection="1">
      <alignment wrapText="1"/>
      <protection locked="0"/>
    </xf>
    <xf numFmtId="3" fontId="3" fillId="0" borderId="18" xfId="0" applyNumberFormat="1" applyFont="1" applyFill="1" applyBorder="1" applyAlignment="1" applyProtection="1">
      <alignment wrapText="1"/>
      <protection locked="0"/>
    </xf>
    <xf numFmtId="3" fontId="0" fillId="0" borderId="18" xfId="0" applyNumberFormat="1" applyFill="1" applyBorder="1" applyAlignment="1">
      <alignment/>
    </xf>
    <xf numFmtId="16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/>
    </xf>
    <xf numFmtId="14" fontId="0" fillId="0" borderId="10" xfId="0" applyNumberFormat="1" applyBorder="1" applyAlignment="1">
      <alignment/>
    </xf>
    <xf numFmtId="3" fontId="0" fillId="0" borderId="0" xfId="0" applyNumberFormat="1" applyFill="1" applyAlignment="1">
      <alignment/>
    </xf>
    <xf numFmtId="4" fontId="1" fillId="0" borderId="23" xfId="0" applyNumberFormat="1" applyFont="1" applyFill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0" fillId="0" borderId="24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Fill="1" applyBorder="1" applyAlignment="1">
      <alignment horizontal="center" wrapText="1"/>
    </xf>
    <xf numFmtId="4" fontId="1" fillId="0" borderId="23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RES.%20RESERV.%202.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cxp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POAI%202014%20DEFINITIVO%2029%20DE%20ENERO%202014ATRABAJAR%20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EJECUCION%20PRESUPUESTALGASTOSAMARZO31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SERVAS 2012"/>
    </sheetNames>
    <sheetDataSet>
      <sheetData sheetId="1">
        <row r="149">
          <cell r="G149">
            <v>302105541.046</v>
          </cell>
        </row>
        <row r="159">
          <cell r="G159">
            <v>18115598.7</v>
          </cell>
        </row>
        <row r="176">
          <cell r="G176">
            <v>539446957.1760001</v>
          </cell>
        </row>
        <row r="212">
          <cell r="G212">
            <v>82877174</v>
          </cell>
        </row>
        <row r="217">
          <cell r="G217">
            <v>1498358942.316</v>
          </cell>
        </row>
        <row r="227">
          <cell r="G227">
            <v>76488483</v>
          </cell>
        </row>
        <row r="246">
          <cell r="G246">
            <v>116345663</v>
          </cell>
        </row>
        <row r="306">
          <cell r="G306">
            <v>17734548</v>
          </cell>
        </row>
        <row r="336">
          <cell r="G336">
            <v>111088903.04</v>
          </cell>
        </row>
        <row r="342">
          <cell r="G342">
            <v>72795215.78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Hoja1"/>
      <sheetName val="Hoja3"/>
    </sheetNames>
    <sheetDataSet>
      <sheetData sheetId="0">
        <row r="50">
          <cell r="F50">
            <v>451879</v>
          </cell>
        </row>
        <row r="57">
          <cell r="F57">
            <v>2560279</v>
          </cell>
        </row>
        <row r="58">
          <cell r="F58">
            <v>785603</v>
          </cell>
        </row>
        <row r="154">
          <cell r="F154">
            <v>43687200</v>
          </cell>
        </row>
        <row r="163">
          <cell r="F163">
            <v>75867</v>
          </cell>
        </row>
        <row r="195">
          <cell r="F195">
            <v>198000</v>
          </cell>
        </row>
        <row r="203">
          <cell r="F203">
            <v>50523840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DC"/>
      <sheetName val="01-0900-01"/>
      <sheetName val="01-0900-02"/>
      <sheetName val="01-0900-03"/>
      <sheetName val="02-0900-01"/>
      <sheetName val="02-0900-02"/>
      <sheetName val="02-0900-03"/>
      <sheetName val="02-0900-04"/>
      <sheetName val="03-0900-01"/>
      <sheetName val="03-0900-02"/>
      <sheetName val="04-0900-01"/>
      <sheetName val="04-0900-02"/>
      <sheetName val="05-0900-01"/>
      <sheetName val="06-0900-01"/>
      <sheetName val="06-0900-02"/>
      <sheetName val="013-000-2-906-1"/>
      <sheetName val="RESUMEN"/>
      <sheetName val="Hoja3"/>
    </sheetNames>
    <sheetDataSet>
      <sheetData sheetId="1">
        <row r="11">
          <cell r="D11">
            <v>1290000000</v>
          </cell>
        </row>
        <row r="128">
          <cell r="E128">
            <v>0</v>
          </cell>
        </row>
      </sheetData>
      <sheetData sheetId="2">
        <row r="3">
          <cell r="E3">
            <v>250000000</v>
          </cell>
        </row>
        <row r="32">
          <cell r="E32">
            <v>13252503</v>
          </cell>
        </row>
      </sheetData>
      <sheetData sheetId="3">
        <row r="4">
          <cell r="F4">
            <v>175000000</v>
          </cell>
        </row>
      </sheetData>
      <sheetData sheetId="4">
        <row r="4">
          <cell r="F4">
            <v>2936942000</v>
          </cell>
        </row>
        <row r="52">
          <cell r="E52">
            <v>14425883</v>
          </cell>
        </row>
      </sheetData>
      <sheetData sheetId="5">
        <row r="4">
          <cell r="F4">
            <v>410135926</v>
          </cell>
        </row>
      </sheetData>
      <sheetData sheetId="6">
        <row r="2">
          <cell r="F2">
            <v>1342739943</v>
          </cell>
        </row>
      </sheetData>
      <sheetData sheetId="7">
        <row r="3">
          <cell r="F3">
            <v>1343138161</v>
          </cell>
        </row>
      </sheetData>
      <sheetData sheetId="8">
        <row r="2">
          <cell r="F2">
            <v>250000000</v>
          </cell>
        </row>
      </sheetData>
      <sheetData sheetId="9">
        <row r="3">
          <cell r="F3">
            <v>1067573103</v>
          </cell>
        </row>
        <row r="32">
          <cell r="E32">
            <v>258996703.376</v>
          </cell>
        </row>
      </sheetData>
      <sheetData sheetId="10">
        <row r="2">
          <cell r="E2">
            <v>722715614</v>
          </cell>
        </row>
      </sheetData>
      <sheetData sheetId="11">
        <row r="1">
          <cell r="F1">
            <v>387580893</v>
          </cell>
        </row>
        <row r="97">
          <cell r="E97">
            <v>3514624.48</v>
          </cell>
        </row>
      </sheetData>
      <sheetData sheetId="12">
        <row r="2">
          <cell r="F2">
            <v>200000000</v>
          </cell>
        </row>
        <row r="40">
          <cell r="E40">
            <v>5421600</v>
          </cell>
        </row>
      </sheetData>
      <sheetData sheetId="13">
        <row r="3">
          <cell r="E3">
            <v>220000000</v>
          </cell>
        </row>
      </sheetData>
      <sheetData sheetId="14">
        <row r="2">
          <cell r="F2">
            <v>225000000</v>
          </cell>
        </row>
      </sheetData>
      <sheetData sheetId="15">
        <row r="45">
          <cell r="E45">
            <v>1955735</v>
          </cell>
        </row>
        <row r="49">
          <cell r="E49">
            <v>1900000000</v>
          </cell>
        </row>
        <row r="50">
          <cell r="E50">
            <v>254251332</v>
          </cell>
        </row>
        <row r="55">
          <cell r="E55">
            <v>1475328300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 "/>
      <sheetName val="INVERSION"/>
      <sheetName val="ADICIONES2014"/>
    </sheetNames>
    <sheetDataSet>
      <sheetData sheetId="2">
        <row r="61">
          <cell r="B61">
            <v>1042086000</v>
          </cell>
        </row>
        <row r="62">
          <cell r="B62">
            <v>111383000</v>
          </cell>
        </row>
        <row r="63">
          <cell r="B63">
            <v>11820000</v>
          </cell>
        </row>
        <row r="64">
          <cell r="B64">
            <v>57319500</v>
          </cell>
        </row>
        <row r="65">
          <cell r="B65">
            <v>18076500</v>
          </cell>
        </row>
        <row r="66">
          <cell r="B66">
            <v>114639000</v>
          </cell>
        </row>
        <row r="67">
          <cell r="B67">
            <v>1346000</v>
          </cell>
        </row>
        <row r="68">
          <cell r="B68">
            <v>73908425</v>
          </cell>
        </row>
        <row r="69">
          <cell r="B69">
            <v>178721995</v>
          </cell>
        </row>
        <row r="70">
          <cell r="B70">
            <v>24506790</v>
          </cell>
        </row>
        <row r="71">
          <cell r="B71">
            <v>24506790</v>
          </cell>
        </row>
        <row r="72">
          <cell r="B72">
            <v>1333000</v>
          </cell>
        </row>
        <row r="73">
          <cell r="B73">
            <v>25523000</v>
          </cell>
        </row>
        <row r="74">
          <cell r="B74">
            <v>9578000</v>
          </cell>
        </row>
        <row r="83">
          <cell r="B83">
            <v>574662906</v>
          </cell>
        </row>
        <row r="84">
          <cell r="B84">
            <v>118619482</v>
          </cell>
        </row>
        <row r="85">
          <cell r="B85">
            <v>54119215</v>
          </cell>
        </row>
        <row r="86">
          <cell r="B86">
            <v>192721542</v>
          </cell>
        </row>
        <row r="95">
          <cell r="B95">
            <v>9890001</v>
          </cell>
          <cell r="C95">
            <v>10000000</v>
          </cell>
        </row>
        <row r="98">
          <cell r="B98">
            <v>389496000</v>
          </cell>
          <cell r="C98">
            <v>20000000</v>
          </cell>
        </row>
        <row r="102">
          <cell r="B102">
            <v>251384094</v>
          </cell>
        </row>
        <row r="103">
          <cell r="B103">
            <v>101013632</v>
          </cell>
        </row>
        <row r="104">
          <cell r="B104">
            <v>38016851</v>
          </cell>
        </row>
        <row r="105">
          <cell r="B105">
            <v>17175638</v>
          </cell>
        </row>
        <row r="109">
          <cell r="B109">
            <v>44167000</v>
          </cell>
        </row>
        <row r="110">
          <cell r="B110">
            <v>60000000</v>
          </cell>
        </row>
        <row r="111">
          <cell r="B111">
            <v>135631000</v>
          </cell>
        </row>
        <row r="112">
          <cell r="B112">
            <v>160750000</v>
          </cell>
        </row>
        <row r="113">
          <cell r="B113">
            <v>97890000</v>
          </cell>
        </row>
        <row r="114">
          <cell r="B114">
            <v>54720000</v>
          </cell>
        </row>
        <row r="115">
          <cell r="B115">
            <v>154477000</v>
          </cell>
        </row>
        <row r="116">
          <cell r="B116">
            <v>70000000</v>
          </cell>
        </row>
        <row r="117">
          <cell r="B117">
            <v>35000000</v>
          </cell>
        </row>
        <row r="118">
          <cell r="B118">
            <v>90000000</v>
          </cell>
        </row>
        <row r="119">
          <cell r="B119">
            <v>5000000</v>
          </cell>
        </row>
        <row r="120">
          <cell r="B120">
            <v>82110000</v>
          </cell>
        </row>
        <row r="122">
          <cell r="C122">
            <v>284000000</v>
          </cell>
        </row>
        <row r="124">
          <cell r="B124">
            <v>28536000</v>
          </cell>
        </row>
        <row r="125">
          <cell r="B125">
            <v>1212111609</v>
          </cell>
        </row>
        <row r="126">
          <cell r="B126">
            <v>23000000</v>
          </cell>
        </row>
        <row r="127">
          <cell r="B127">
            <v>10000000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F1">
      <selection activeCell="I59" sqref="I59"/>
    </sheetView>
  </sheetViews>
  <sheetFormatPr defaultColWidth="11.421875" defaultRowHeight="12.75"/>
  <cols>
    <col min="1" max="1" width="3.140625" style="0" hidden="1" customWidth="1"/>
    <col min="2" max="2" width="6.8515625" style="0" hidden="1" customWidth="1"/>
    <col min="3" max="3" width="3.28125" style="0" hidden="1" customWidth="1"/>
    <col min="4" max="4" width="4.421875" style="0" hidden="1" customWidth="1"/>
    <col min="5" max="5" width="2.7109375" style="0" hidden="1" customWidth="1"/>
    <col min="6" max="6" width="35.421875" style="0" customWidth="1"/>
    <col min="7" max="7" width="19.421875" style="0" customWidth="1"/>
    <col min="8" max="8" width="22.140625" style="0" customWidth="1"/>
    <col min="9" max="9" width="31.00390625" style="0" customWidth="1"/>
    <col min="10" max="10" width="17.00390625" style="0" customWidth="1"/>
    <col min="11" max="11" width="15.57421875" style="0" customWidth="1"/>
    <col min="12" max="12" width="15.421875" style="0" customWidth="1"/>
    <col min="13" max="13" width="16.7109375" style="1" customWidth="1"/>
    <col min="14" max="14" width="15.28125" style="1" customWidth="1"/>
    <col min="15" max="15" width="13.8515625" style="0" customWidth="1"/>
  </cols>
  <sheetData>
    <row r="1" spans="1:15" ht="12.75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12.75">
      <c r="A2" s="163" t="s">
        <v>171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12.75">
      <c r="A3" s="163" t="s">
        <v>182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4" ht="13.5" thickBot="1">
      <c r="A4" s="85"/>
      <c r="B4" s="86"/>
      <c r="C4" s="86"/>
      <c r="D4" s="86"/>
      <c r="E4" s="86"/>
      <c r="F4" s="86"/>
      <c r="G4" s="86"/>
      <c r="H4" s="86"/>
      <c r="I4" s="87"/>
      <c r="J4" s="86"/>
      <c r="K4" s="86"/>
      <c r="L4" s="86"/>
      <c r="M4" s="153"/>
      <c r="N4" s="19"/>
    </row>
    <row r="5" spans="1:14" ht="12.75">
      <c r="A5" s="88"/>
      <c r="B5" s="89" t="s">
        <v>125</v>
      </c>
      <c r="C5" s="90"/>
      <c r="D5" s="90" t="s">
        <v>126</v>
      </c>
      <c r="E5" s="90"/>
      <c r="F5" s="91"/>
      <c r="G5" s="89" t="s">
        <v>127</v>
      </c>
      <c r="H5" s="89" t="s">
        <v>2</v>
      </c>
      <c r="I5" s="92" t="s">
        <v>127</v>
      </c>
      <c r="J5" s="93" t="s">
        <v>108</v>
      </c>
      <c r="K5" s="93" t="s">
        <v>6</v>
      </c>
      <c r="L5" s="94" t="s">
        <v>129</v>
      </c>
      <c r="M5" s="151" t="s">
        <v>130</v>
      </c>
      <c r="N5" s="156" t="s">
        <v>177</v>
      </c>
    </row>
    <row r="6" spans="1:14" ht="12.75">
      <c r="A6" s="95"/>
      <c r="B6" s="96"/>
      <c r="C6" s="96"/>
      <c r="D6" s="96" t="s">
        <v>131</v>
      </c>
      <c r="E6" s="96"/>
      <c r="F6" s="84" t="s">
        <v>132</v>
      </c>
      <c r="G6" s="84" t="s">
        <v>133</v>
      </c>
      <c r="H6" s="84" t="s">
        <v>134</v>
      </c>
      <c r="I6" s="97" t="s">
        <v>135</v>
      </c>
      <c r="J6" s="97" t="s">
        <v>1</v>
      </c>
      <c r="K6" s="98"/>
      <c r="L6" s="99" t="s">
        <v>136</v>
      </c>
      <c r="M6" s="152" t="s">
        <v>108</v>
      </c>
      <c r="N6" s="156" t="s">
        <v>6</v>
      </c>
    </row>
    <row r="7" spans="1:14" ht="13.5" thickBot="1">
      <c r="A7" s="100"/>
      <c r="B7" s="101"/>
      <c r="C7" s="101"/>
      <c r="D7" s="101" t="s">
        <v>137</v>
      </c>
      <c r="E7" s="101"/>
      <c r="F7" s="102"/>
      <c r="G7" s="103" t="s">
        <v>1</v>
      </c>
      <c r="H7" s="104" t="s">
        <v>1</v>
      </c>
      <c r="I7" s="105" t="s">
        <v>5</v>
      </c>
      <c r="J7" s="106" t="s">
        <v>1</v>
      </c>
      <c r="K7" s="106"/>
      <c r="L7" s="107"/>
      <c r="M7" s="153"/>
      <c r="N7" s="19"/>
    </row>
    <row r="8" spans="1:14" ht="12.75">
      <c r="A8" s="91"/>
      <c r="B8" s="91"/>
      <c r="C8" s="91"/>
      <c r="D8" s="91"/>
      <c r="E8" s="91"/>
      <c r="F8" s="91"/>
      <c r="G8" s="108" t="s">
        <v>1</v>
      </c>
      <c r="H8" s="108" t="s">
        <v>1</v>
      </c>
      <c r="I8" s="109" t="s">
        <v>1</v>
      </c>
      <c r="J8" s="109" t="s">
        <v>1</v>
      </c>
      <c r="K8" s="110" t="s">
        <v>1</v>
      </c>
      <c r="L8" s="111"/>
      <c r="M8" s="154"/>
      <c r="N8" s="19"/>
    </row>
    <row r="9" spans="1:14" ht="12.75">
      <c r="A9" s="7" t="s">
        <v>138</v>
      </c>
      <c r="B9" s="7"/>
      <c r="C9" s="7"/>
      <c r="D9" s="7"/>
      <c r="E9" s="7"/>
      <c r="F9" s="7" t="s">
        <v>139</v>
      </c>
      <c r="G9" s="4">
        <f>SUM(G10+G22+G26)</f>
        <v>4010491970</v>
      </c>
      <c r="H9" s="4">
        <f>SUM(H10+H22+H26)</f>
        <v>950949821</v>
      </c>
      <c r="I9" s="113">
        <f>+G9+H9</f>
        <v>4961441791</v>
      </c>
      <c r="J9" s="114">
        <f>SUM(J10+J22+J26)</f>
        <v>2514035997</v>
      </c>
      <c r="K9" s="114">
        <f>SUM(K10+K22+K26)</f>
        <v>2514035997</v>
      </c>
      <c r="L9" s="115">
        <f aca="true" t="shared" si="0" ref="L9:L30">+I9-J9</f>
        <v>2447405794</v>
      </c>
      <c r="M9" s="125">
        <f aca="true" t="shared" si="1" ref="M9:M30">+J9/I9*100</f>
        <v>50.67148024512619</v>
      </c>
      <c r="N9" s="19">
        <f>+K9/I9*100</f>
        <v>50.67148024512619</v>
      </c>
    </row>
    <row r="10" spans="1:14" ht="12.75">
      <c r="A10" s="7" t="s">
        <v>138</v>
      </c>
      <c r="B10" s="7">
        <v>1</v>
      </c>
      <c r="C10" s="7">
        <v>1</v>
      </c>
      <c r="D10" s="7">
        <v>0</v>
      </c>
      <c r="E10" s="7">
        <v>0</v>
      </c>
      <c r="F10" s="7" t="s">
        <v>140</v>
      </c>
      <c r="G10" s="4">
        <f>SUM(G11+G17+G18+G19+G20+G21)</f>
        <v>1747099361</v>
      </c>
      <c r="H10" s="4">
        <f>SUM(H11+H17+H18+H19+H20+H21+H14)</f>
        <v>15000000</v>
      </c>
      <c r="I10" s="113">
        <f>+G10+H10</f>
        <v>1762099361</v>
      </c>
      <c r="J10" s="114">
        <f>SUM(J11+J17+J18+J19+J20+J21)</f>
        <v>874418338</v>
      </c>
      <c r="K10" s="114">
        <f>SUM(K11+K17+K18+K19+K20+K21)</f>
        <v>874418338</v>
      </c>
      <c r="L10" s="115">
        <f t="shared" si="0"/>
        <v>887681023</v>
      </c>
      <c r="M10" s="125">
        <f t="shared" si="1"/>
        <v>49.623668071916406</v>
      </c>
      <c r="N10" s="19">
        <f aca="true" t="shared" si="2" ref="N10:N30">+K10/I10*100</f>
        <v>49.623668071916406</v>
      </c>
    </row>
    <row r="11" spans="1:14" ht="12.75">
      <c r="A11" s="7" t="s">
        <v>138</v>
      </c>
      <c r="B11" s="7">
        <v>1</v>
      </c>
      <c r="C11" s="7">
        <v>1</v>
      </c>
      <c r="D11" s="7">
        <v>1</v>
      </c>
      <c r="E11" s="7">
        <v>0</v>
      </c>
      <c r="F11" s="7" t="s">
        <v>141</v>
      </c>
      <c r="G11" s="4">
        <f>SUM(G12:G16)</f>
        <v>950013146</v>
      </c>
      <c r="H11" s="4">
        <v>0</v>
      </c>
      <c r="I11" s="113">
        <f aca="true" t="shared" si="3" ref="I11:I30">+G11+H11</f>
        <v>950013146</v>
      </c>
      <c r="J11" s="114">
        <f>SUM(J12:J16)</f>
        <v>463627287</v>
      </c>
      <c r="K11" s="114">
        <f>SUM(K12:K16)</f>
        <v>463627287</v>
      </c>
      <c r="L11" s="115">
        <f t="shared" si="0"/>
        <v>486385859</v>
      </c>
      <c r="M11" s="125">
        <f t="shared" si="1"/>
        <v>48.802196996124515</v>
      </c>
      <c r="N11" s="19">
        <f t="shared" si="2"/>
        <v>48.802196996124515</v>
      </c>
    </row>
    <row r="12" spans="1:14" ht="12.75">
      <c r="A12" s="7" t="s">
        <v>138</v>
      </c>
      <c r="B12" s="7">
        <v>1</v>
      </c>
      <c r="C12" s="7">
        <v>1</v>
      </c>
      <c r="D12" s="7">
        <v>1</v>
      </c>
      <c r="E12" s="7">
        <v>1</v>
      </c>
      <c r="F12" s="7" t="s">
        <v>142</v>
      </c>
      <c r="G12" s="4">
        <f>+'[4]ADICIONES2014'!B83</f>
        <v>574662906</v>
      </c>
      <c r="H12" s="4">
        <v>0</v>
      </c>
      <c r="I12" s="113">
        <f t="shared" si="3"/>
        <v>574662906</v>
      </c>
      <c r="J12" s="114">
        <v>280609080</v>
      </c>
      <c r="K12" s="114">
        <v>280609080</v>
      </c>
      <c r="L12" s="115">
        <f t="shared" si="0"/>
        <v>294053826</v>
      </c>
      <c r="M12" s="125">
        <f t="shared" si="1"/>
        <v>48.83020585985064</v>
      </c>
      <c r="N12" s="19">
        <f t="shared" si="2"/>
        <v>48.83020585985064</v>
      </c>
    </row>
    <row r="13" spans="1:14" ht="12.75">
      <c r="A13" s="7" t="s">
        <v>138</v>
      </c>
      <c r="B13" s="7">
        <v>1</v>
      </c>
      <c r="C13" s="7">
        <v>1</v>
      </c>
      <c r="D13" s="7">
        <v>1</v>
      </c>
      <c r="E13" s="7">
        <v>2</v>
      </c>
      <c r="F13" s="2" t="s">
        <v>143</v>
      </c>
      <c r="G13" s="4">
        <f>+'[4]ADICIONES2014'!B84</f>
        <v>118619482</v>
      </c>
      <c r="H13" s="4">
        <v>0</v>
      </c>
      <c r="I13" s="113">
        <f t="shared" si="3"/>
        <v>118619482</v>
      </c>
      <c r="J13" s="117">
        <v>41107639</v>
      </c>
      <c r="K13" s="117">
        <v>41107639</v>
      </c>
      <c r="L13" s="115">
        <f t="shared" si="0"/>
        <v>77511843</v>
      </c>
      <c r="M13" s="125">
        <f t="shared" si="1"/>
        <v>34.65504848520583</v>
      </c>
      <c r="N13" s="19">
        <f t="shared" si="2"/>
        <v>34.65504848520583</v>
      </c>
    </row>
    <row r="14" spans="1:14" ht="12.75">
      <c r="A14" s="7" t="s">
        <v>138</v>
      </c>
      <c r="B14" s="7">
        <v>1</v>
      </c>
      <c r="C14" s="7">
        <v>1</v>
      </c>
      <c r="D14" s="7">
        <v>9</v>
      </c>
      <c r="E14" s="7">
        <v>3</v>
      </c>
      <c r="F14" s="7" t="s">
        <v>144</v>
      </c>
      <c r="G14" s="4">
        <f>+'[4]ADICIONES2014'!B95</f>
        <v>9890001</v>
      </c>
      <c r="H14" s="4">
        <f>+'[4]ADICIONES2014'!C95+10000000</f>
        <v>20000000</v>
      </c>
      <c r="I14" s="113">
        <f t="shared" si="3"/>
        <v>29890001</v>
      </c>
      <c r="J14" s="114">
        <v>27219355</v>
      </c>
      <c r="K14" s="114">
        <v>27219355</v>
      </c>
      <c r="L14" s="115">
        <f t="shared" si="0"/>
        <v>2670646</v>
      </c>
      <c r="M14" s="125">
        <f t="shared" si="1"/>
        <v>91.06508561174019</v>
      </c>
      <c r="N14" s="19">
        <f t="shared" si="2"/>
        <v>91.06508561174019</v>
      </c>
    </row>
    <row r="15" spans="1:14" ht="12.75">
      <c r="A15" s="7" t="s">
        <v>138</v>
      </c>
      <c r="B15" s="7">
        <v>1</v>
      </c>
      <c r="C15" s="7">
        <v>1</v>
      </c>
      <c r="D15" s="7">
        <v>4</v>
      </c>
      <c r="E15" s="7">
        <v>2</v>
      </c>
      <c r="F15" s="7" t="s">
        <v>145</v>
      </c>
      <c r="G15" s="4">
        <f>+'[4]ADICIONES2014'!B85</f>
        <v>54119215</v>
      </c>
      <c r="H15" s="4">
        <v>0</v>
      </c>
      <c r="I15" s="113">
        <f t="shared" si="3"/>
        <v>54119215</v>
      </c>
      <c r="J15" s="114">
        <v>27788267</v>
      </c>
      <c r="K15" s="114">
        <v>27788267</v>
      </c>
      <c r="L15" s="115">
        <f t="shared" si="0"/>
        <v>26330948</v>
      </c>
      <c r="M15" s="125">
        <f t="shared" si="1"/>
        <v>51.34639702368189</v>
      </c>
      <c r="N15" s="19">
        <f t="shared" si="2"/>
        <v>51.34639702368189</v>
      </c>
    </row>
    <row r="16" spans="1:15" ht="12.75">
      <c r="A16" s="7" t="s">
        <v>138</v>
      </c>
      <c r="B16" s="7">
        <v>1</v>
      </c>
      <c r="C16" s="7">
        <v>1</v>
      </c>
      <c r="D16" s="7">
        <v>5</v>
      </c>
      <c r="E16" s="7">
        <v>0</v>
      </c>
      <c r="F16" s="7" t="s">
        <v>146</v>
      </c>
      <c r="G16" s="4">
        <f>+'[4]ADICIONES2014'!B86</f>
        <v>192721542</v>
      </c>
      <c r="H16" s="4">
        <v>0</v>
      </c>
      <c r="I16" s="113">
        <f t="shared" si="3"/>
        <v>192721542</v>
      </c>
      <c r="J16" s="114">
        <f>27426668+5021569+4212743+4351738+8459317+29105125+3195198+5130588</f>
        <v>86902946</v>
      </c>
      <c r="K16" s="114">
        <f>27426668+5021569+4212743+4351738+8459317+29105125+3195198+5130588</f>
        <v>86902946</v>
      </c>
      <c r="L16" s="115">
        <f t="shared" si="0"/>
        <v>105818596</v>
      </c>
      <c r="M16" s="125">
        <f t="shared" si="1"/>
        <v>45.092492047412115</v>
      </c>
      <c r="N16" s="19">
        <f t="shared" si="2"/>
        <v>45.092492047412115</v>
      </c>
      <c r="O16" s="1"/>
    </row>
    <row r="17" spans="1:15" ht="12.75">
      <c r="A17" s="7" t="s">
        <v>138</v>
      </c>
      <c r="B17" s="7">
        <v>1</v>
      </c>
      <c r="C17" s="7">
        <v>0</v>
      </c>
      <c r="D17" s="7">
        <v>2</v>
      </c>
      <c r="E17" s="7">
        <v>0</v>
      </c>
      <c r="F17" s="7" t="s">
        <v>147</v>
      </c>
      <c r="G17" s="4">
        <f>+'[4]ADICIONES2014'!B98</f>
        <v>389496000</v>
      </c>
      <c r="H17" s="4">
        <f>+'[4]ADICIONES2014'!C98-25000000</f>
        <v>-5000000</v>
      </c>
      <c r="I17" s="113">
        <f t="shared" si="3"/>
        <v>384496000</v>
      </c>
      <c r="J17" s="114">
        <f>1057231+8089692+296851321</f>
        <v>305998244</v>
      </c>
      <c r="K17" s="114">
        <f>1057231+8089692+296851321</f>
        <v>305998244</v>
      </c>
      <c r="L17" s="115">
        <f t="shared" si="0"/>
        <v>78497756</v>
      </c>
      <c r="M17" s="125">
        <f t="shared" si="1"/>
        <v>79.58424639007949</v>
      </c>
      <c r="N17" s="19">
        <f t="shared" si="2"/>
        <v>79.58424639007949</v>
      </c>
      <c r="O17" s="6" t="s">
        <v>1</v>
      </c>
    </row>
    <row r="18" spans="1:15" ht="12.75">
      <c r="A18" s="7" t="s">
        <v>138</v>
      </c>
      <c r="B18" s="7">
        <v>1</v>
      </c>
      <c r="C18" s="7">
        <v>5</v>
      </c>
      <c r="D18" s="7">
        <v>0</v>
      </c>
      <c r="E18" s="7">
        <v>1</v>
      </c>
      <c r="F18" s="7" t="s">
        <v>148</v>
      </c>
      <c r="G18" s="4">
        <f>+'[4]ADICIONES2014'!B102</f>
        <v>251384094</v>
      </c>
      <c r="H18" s="4">
        <v>0</v>
      </c>
      <c r="I18" s="113">
        <f t="shared" si="3"/>
        <v>251384094</v>
      </c>
      <c r="J18" s="114">
        <v>14234485</v>
      </c>
      <c r="K18" s="114">
        <v>14234485</v>
      </c>
      <c r="L18" s="115">
        <f t="shared" si="0"/>
        <v>237149609</v>
      </c>
      <c r="M18" s="125">
        <f t="shared" si="1"/>
        <v>5.662444577738478</v>
      </c>
      <c r="N18" s="19">
        <f t="shared" si="2"/>
        <v>5.662444577738478</v>
      </c>
      <c r="O18" s="1"/>
    </row>
    <row r="19" spans="1:15" ht="12.75">
      <c r="A19" s="7" t="s">
        <v>138</v>
      </c>
      <c r="B19" s="7">
        <v>1</v>
      </c>
      <c r="C19" s="7">
        <v>5</v>
      </c>
      <c r="D19" s="7">
        <v>0</v>
      </c>
      <c r="E19" s="7">
        <v>2</v>
      </c>
      <c r="F19" s="7" t="s">
        <v>149</v>
      </c>
      <c r="G19" s="4">
        <f>+'[4]ADICIONES2014'!B103</f>
        <v>101013632</v>
      </c>
      <c r="H19" s="4">
        <v>0</v>
      </c>
      <c r="I19" s="113">
        <f t="shared" si="3"/>
        <v>101013632</v>
      </c>
      <c r="J19" s="114">
        <v>58847998</v>
      </c>
      <c r="K19" s="114">
        <v>58847998</v>
      </c>
      <c r="L19" s="115">
        <f t="shared" si="0"/>
        <v>42165634</v>
      </c>
      <c r="M19" s="125">
        <f t="shared" si="1"/>
        <v>58.25748152486984</v>
      </c>
      <c r="N19" s="19">
        <f t="shared" si="2"/>
        <v>58.25748152486984</v>
      </c>
      <c r="O19" s="1"/>
    </row>
    <row r="20" spans="1:15" ht="12.75">
      <c r="A20" s="7" t="s">
        <v>138</v>
      </c>
      <c r="B20" s="7">
        <v>1</v>
      </c>
      <c r="C20" s="7">
        <v>5</v>
      </c>
      <c r="D20" s="7">
        <v>0</v>
      </c>
      <c r="E20" s="7">
        <v>6</v>
      </c>
      <c r="F20" s="2" t="s">
        <v>150</v>
      </c>
      <c r="G20" s="4">
        <f>+'[4]ADICIONES2014'!B104</f>
        <v>38016851</v>
      </c>
      <c r="H20" s="4">
        <v>0</v>
      </c>
      <c r="I20" s="113">
        <f t="shared" si="3"/>
        <v>38016851</v>
      </c>
      <c r="J20" s="114">
        <v>15733377</v>
      </c>
      <c r="K20" s="114">
        <v>15733377</v>
      </c>
      <c r="L20" s="115">
        <f t="shared" si="0"/>
        <v>22283474</v>
      </c>
      <c r="M20" s="125">
        <f t="shared" si="1"/>
        <v>41.385271494474914</v>
      </c>
      <c r="N20" s="19">
        <f t="shared" si="2"/>
        <v>41.385271494474914</v>
      </c>
      <c r="O20" s="1"/>
    </row>
    <row r="21" spans="1:15" ht="12.75">
      <c r="A21" s="7" t="s">
        <v>138</v>
      </c>
      <c r="B21" s="7">
        <v>1</v>
      </c>
      <c r="C21" s="7">
        <v>5</v>
      </c>
      <c r="D21" s="7">
        <v>0</v>
      </c>
      <c r="E21" s="7">
        <v>7</v>
      </c>
      <c r="F21" s="2" t="s">
        <v>151</v>
      </c>
      <c r="G21" s="4">
        <f>+'[4]ADICIONES2014'!B105</f>
        <v>17175638</v>
      </c>
      <c r="H21" s="4">
        <v>0</v>
      </c>
      <c r="I21" s="113">
        <f t="shared" si="3"/>
        <v>17175638</v>
      </c>
      <c r="J21" s="114">
        <v>15976947</v>
      </c>
      <c r="K21" s="114">
        <v>15976947</v>
      </c>
      <c r="L21" s="115">
        <f t="shared" si="0"/>
        <v>1198691</v>
      </c>
      <c r="M21" s="125">
        <f t="shared" si="1"/>
        <v>93.02098122934356</v>
      </c>
      <c r="N21" s="19">
        <f t="shared" si="2"/>
        <v>93.02098122934356</v>
      </c>
      <c r="O21" s="1"/>
    </row>
    <row r="22" spans="1:15" ht="12.75">
      <c r="A22" s="7" t="s">
        <v>138</v>
      </c>
      <c r="B22" s="7">
        <v>2</v>
      </c>
      <c r="C22" s="7">
        <v>0</v>
      </c>
      <c r="D22" s="7">
        <v>0</v>
      </c>
      <c r="E22" s="7">
        <v>0</v>
      </c>
      <c r="F22" s="7" t="s">
        <v>152</v>
      </c>
      <c r="G22" s="4">
        <f>SUM(G23:G25)</f>
        <v>989745000</v>
      </c>
      <c r="H22" s="4">
        <f>+H23+H24+H25</f>
        <v>651949821</v>
      </c>
      <c r="I22" s="113">
        <f t="shared" si="3"/>
        <v>1641694821</v>
      </c>
      <c r="J22" s="114">
        <f>SUM(J23:J25)</f>
        <v>837471929</v>
      </c>
      <c r="K22" s="114">
        <f>SUM(K23:K25)</f>
        <v>837471929</v>
      </c>
      <c r="L22" s="115">
        <f t="shared" si="0"/>
        <v>804222892</v>
      </c>
      <c r="M22" s="125">
        <f t="shared" si="1"/>
        <v>51.01264365869618</v>
      </c>
      <c r="N22" s="19">
        <f t="shared" si="2"/>
        <v>51.01264365869618</v>
      </c>
      <c r="O22" s="1"/>
    </row>
    <row r="23" spans="1:15" ht="12.75">
      <c r="A23" s="7" t="s">
        <v>138</v>
      </c>
      <c r="B23" s="7">
        <v>2</v>
      </c>
      <c r="C23" s="7">
        <v>4</v>
      </c>
      <c r="D23" s="7">
        <v>0</v>
      </c>
      <c r="E23" s="7">
        <v>0</v>
      </c>
      <c r="F23" s="7" t="s">
        <v>153</v>
      </c>
      <c r="G23" s="4">
        <f>+'[4]ADICIONES2014'!B110+'[4]ADICIONES2014'!B111</f>
        <v>195631000</v>
      </c>
      <c r="H23" s="4">
        <f>-10000000+20000000+55000000</f>
        <v>65000000</v>
      </c>
      <c r="I23" s="113">
        <f t="shared" si="3"/>
        <v>260631000</v>
      </c>
      <c r="J23" s="114">
        <f>134064120+89932764</f>
        <v>223996884</v>
      </c>
      <c r="K23" s="114">
        <f>134064120+89932764</f>
        <v>223996884</v>
      </c>
      <c r="L23" s="115">
        <f t="shared" si="0"/>
        <v>36634116</v>
      </c>
      <c r="M23" s="125">
        <f t="shared" si="1"/>
        <v>85.94406805023193</v>
      </c>
      <c r="N23" s="19">
        <f t="shared" si="2"/>
        <v>85.94406805023193</v>
      </c>
      <c r="O23" s="1"/>
    </row>
    <row r="24" spans="1:15" ht="12.75">
      <c r="A24" s="7" t="s">
        <v>138</v>
      </c>
      <c r="B24" s="7">
        <v>2</v>
      </c>
      <c r="C24" s="7">
        <v>4</v>
      </c>
      <c r="D24" s="7">
        <v>0</v>
      </c>
      <c r="E24" s="7">
        <v>0</v>
      </c>
      <c r="F24" s="7" t="s">
        <v>154</v>
      </c>
      <c r="G24" s="4">
        <f>+'[4]ADICIONES2014'!B112+'[4]ADICIONES2014'!B113+'[4]ADICIONES2014'!B114+'[4]ADICIONES2014'!B115+'[4]ADICIONES2014'!B116+'[4]ADICIONES2014'!B117+'[4]ADICIONES2014'!B118+'[4]ADICIONES2014'!B119+'[4]ADICIONES2014'!B120</f>
        <v>749947000</v>
      </c>
      <c r="H24" s="4">
        <f>581949831+5000000-10</f>
        <v>586949821</v>
      </c>
      <c r="I24" s="113">
        <f t="shared" si="3"/>
        <v>1336896821</v>
      </c>
      <c r="J24" s="113">
        <f>161733438+78749875+21372007+10000000+69921141+34446675+101350157+88741110+4349508</f>
        <v>570663911</v>
      </c>
      <c r="K24" s="113">
        <f>161733438+78749875+21372007+10000000+69921141+34446675+101350157+88741110+4349508</f>
        <v>570663911</v>
      </c>
      <c r="L24" s="115">
        <f t="shared" si="0"/>
        <v>766232910</v>
      </c>
      <c r="M24" s="125">
        <f t="shared" si="1"/>
        <v>42.68571082195729</v>
      </c>
      <c r="N24" s="19">
        <f t="shared" si="2"/>
        <v>42.68571082195729</v>
      </c>
      <c r="O24" s="1"/>
    </row>
    <row r="25" spans="1:15" ht="12.75">
      <c r="A25" s="7" t="s">
        <v>138</v>
      </c>
      <c r="B25" s="7">
        <v>2</v>
      </c>
      <c r="C25" s="7">
        <v>0</v>
      </c>
      <c r="D25" s="7">
        <v>3</v>
      </c>
      <c r="E25" s="7">
        <v>0</v>
      </c>
      <c r="F25" s="120" t="s">
        <v>155</v>
      </c>
      <c r="G25" s="11">
        <f>+'[4]ADICIONES2014'!B109</f>
        <v>44167000</v>
      </c>
      <c r="H25" s="11">
        <v>0</v>
      </c>
      <c r="I25" s="113">
        <f t="shared" si="3"/>
        <v>44167000</v>
      </c>
      <c r="J25" s="114">
        <v>42811134</v>
      </c>
      <c r="K25" s="114">
        <v>42811134</v>
      </c>
      <c r="L25" s="115">
        <f t="shared" si="0"/>
        <v>1355866</v>
      </c>
      <c r="M25" s="125">
        <f t="shared" si="1"/>
        <v>96.9301378857518</v>
      </c>
      <c r="N25" s="19">
        <f t="shared" si="2"/>
        <v>96.9301378857518</v>
      </c>
      <c r="O25" s="1"/>
    </row>
    <row r="26" spans="1:15" ht="12.75">
      <c r="A26" s="7" t="s">
        <v>138</v>
      </c>
      <c r="B26" s="7">
        <v>3</v>
      </c>
      <c r="C26" s="7">
        <v>0</v>
      </c>
      <c r="D26" s="7">
        <v>0</v>
      </c>
      <c r="E26" s="7">
        <v>0</v>
      </c>
      <c r="F26" s="7" t="s">
        <v>156</v>
      </c>
      <c r="G26" s="4">
        <f>SUM(G27:G30)</f>
        <v>1273647609</v>
      </c>
      <c r="H26" s="4">
        <f>+H27+H28+H29+H30</f>
        <v>284000000</v>
      </c>
      <c r="I26" s="113">
        <f t="shared" si="3"/>
        <v>1557647609</v>
      </c>
      <c r="J26" s="114">
        <f>SUM(J27:J30)</f>
        <v>802145730</v>
      </c>
      <c r="K26" s="114">
        <f>SUM(K27:K30)</f>
        <v>802145730</v>
      </c>
      <c r="L26" s="115">
        <f t="shared" si="0"/>
        <v>755501879</v>
      </c>
      <c r="M26" s="125">
        <f t="shared" si="1"/>
        <v>51.49725299645743</v>
      </c>
      <c r="N26" s="19">
        <f t="shared" si="2"/>
        <v>51.49725299645743</v>
      </c>
      <c r="O26" s="1"/>
    </row>
    <row r="27" spans="1:15" ht="12.75">
      <c r="A27" s="7" t="s">
        <v>138</v>
      </c>
      <c r="B27" s="7">
        <v>3</v>
      </c>
      <c r="C27" s="7">
        <v>2</v>
      </c>
      <c r="D27" s="7">
        <v>1</v>
      </c>
      <c r="E27" s="7">
        <v>1</v>
      </c>
      <c r="F27" s="7" t="s">
        <v>157</v>
      </c>
      <c r="G27" s="4">
        <f>+'[4]ADICIONES2014'!B124</f>
        <v>28536000</v>
      </c>
      <c r="H27" s="4">
        <v>0</v>
      </c>
      <c r="I27" s="113">
        <f t="shared" si="3"/>
        <v>28536000</v>
      </c>
      <c r="J27" s="114">
        <v>16797214</v>
      </c>
      <c r="K27" s="114">
        <v>16797214</v>
      </c>
      <c r="L27" s="115">
        <f t="shared" si="0"/>
        <v>11738786</v>
      </c>
      <c r="M27" s="125">
        <f t="shared" si="1"/>
        <v>58.86323941687692</v>
      </c>
      <c r="N27" s="19">
        <f t="shared" si="2"/>
        <v>58.86323941687692</v>
      </c>
      <c r="O27" s="1"/>
    </row>
    <row r="28" spans="1:15" ht="12.75">
      <c r="A28" s="7" t="s">
        <v>138</v>
      </c>
      <c r="B28" s="7">
        <v>3</v>
      </c>
      <c r="C28" s="7">
        <v>2</v>
      </c>
      <c r="D28" s="7">
        <v>1</v>
      </c>
      <c r="E28" s="7">
        <v>2</v>
      </c>
      <c r="F28" s="7" t="s">
        <v>158</v>
      </c>
      <c r="G28" s="4">
        <f>+'[4]ADICIONES2014'!B125</f>
        <v>1212111609</v>
      </c>
      <c r="H28" s="4">
        <v>0</v>
      </c>
      <c r="I28" s="113">
        <f t="shared" si="3"/>
        <v>1212111609</v>
      </c>
      <c r="J28" s="114">
        <v>740995272</v>
      </c>
      <c r="K28" s="114">
        <v>740995272</v>
      </c>
      <c r="L28" s="115">
        <f t="shared" si="0"/>
        <v>471116337</v>
      </c>
      <c r="M28" s="125">
        <f t="shared" si="1"/>
        <v>61.132594267563036</v>
      </c>
      <c r="N28" s="19">
        <f t="shared" si="2"/>
        <v>61.132594267563036</v>
      </c>
      <c r="O28" s="1"/>
    </row>
    <row r="29" spans="1:15" ht="12.75">
      <c r="A29" s="7" t="s">
        <v>138</v>
      </c>
      <c r="B29" s="7">
        <v>3</v>
      </c>
      <c r="C29" s="7">
        <v>2</v>
      </c>
      <c r="D29" s="7">
        <v>1</v>
      </c>
      <c r="E29" s="7">
        <v>3</v>
      </c>
      <c r="F29" s="7" t="s">
        <v>159</v>
      </c>
      <c r="G29" s="4">
        <f>+'[4]ADICIONES2014'!B126</f>
        <v>23000000</v>
      </c>
      <c r="H29" s="4">
        <v>0</v>
      </c>
      <c r="I29" s="113">
        <f t="shared" si="3"/>
        <v>23000000</v>
      </c>
      <c r="J29" s="114">
        <v>21590305</v>
      </c>
      <c r="K29" s="114">
        <v>21590305</v>
      </c>
      <c r="L29" s="115">
        <f t="shared" si="0"/>
        <v>1409695</v>
      </c>
      <c r="M29" s="125">
        <f t="shared" si="1"/>
        <v>93.87089130434782</v>
      </c>
      <c r="N29" s="19">
        <f t="shared" si="2"/>
        <v>93.87089130434782</v>
      </c>
      <c r="O29" s="1"/>
    </row>
    <row r="30" spans="1:15" ht="12.75">
      <c r="A30" s="7" t="s">
        <v>138</v>
      </c>
      <c r="B30" s="7">
        <v>3</v>
      </c>
      <c r="C30" s="7">
        <v>6</v>
      </c>
      <c r="D30" s="7">
        <v>1</v>
      </c>
      <c r="E30" s="7">
        <v>1</v>
      </c>
      <c r="F30" s="7" t="s">
        <v>160</v>
      </c>
      <c r="G30" s="11">
        <f>+'[4]ADICIONES2014'!B127</f>
        <v>10000000</v>
      </c>
      <c r="H30" s="4">
        <f>+'[4]ADICIONES2014'!C122</f>
        <v>284000000</v>
      </c>
      <c r="I30" s="113">
        <f t="shared" si="3"/>
        <v>294000000</v>
      </c>
      <c r="J30" s="114">
        <v>22762939</v>
      </c>
      <c r="K30" s="114">
        <v>22762939</v>
      </c>
      <c r="L30" s="115">
        <f t="shared" si="0"/>
        <v>271237061</v>
      </c>
      <c r="M30" s="125">
        <f t="shared" si="1"/>
        <v>7.742496258503401</v>
      </c>
      <c r="N30" s="19">
        <f t="shared" si="2"/>
        <v>7.742496258503401</v>
      </c>
      <c r="O30" s="1"/>
    </row>
    <row r="31" spans="6:15" ht="12.75">
      <c r="F31" s="121"/>
      <c r="I31" s="118" t="s">
        <v>1</v>
      </c>
      <c r="J31" s="122"/>
      <c r="K31" s="122"/>
      <c r="L31" s="119" t="s">
        <v>1</v>
      </c>
      <c r="M31" s="155" t="s">
        <v>1</v>
      </c>
      <c r="N31" s="19"/>
      <c r="O31" s="1"/>
    </row>
    <row r="32" spans="1:15" ht="12.75">
      <c r="A32" s="7"/>
      <c r="B32" s="7"/>
      <c r="C32" s="7"/>
      <c r="D32" s="7"/>
      <c r="E32" s="7"/>
      <c r="F32" s="7" t="s">
        <v>1</v>
      </c>
      <c r="G32" s="4" t="s">
        <v>1</v>
      </c>
      <c r="H32" s="4" t="s">
        <v>1</v>
      </c>
      <c r="I32" s="113" t="s">
        <v>1</v>
      </c>
      <c r="J32" s="114" t="s">
        <v>1</v>
      </c>
      <c r="K32" s="116"/>
      <c r="L32" s="119" t="s">
        <v>1</v>
      </c>
      <c r="M32" s="155" t="s">
        <v>1</v>
      </c>
      <c r="N32" s="19"/>
      <c r="O32" s="1"/>
    </row>
    <row r="33" spans="9:15" ht="12.75">
      <c r="I33" s="46"/>
      <c r="M33" s="19"/>
      <c r="O33" s="1"/>
    </row>
    <row r="34" spans="9:15" ht="12.75">
      <c r="I34" s="150" t="s">
        <v>1</v>
      </c>
      <c r="J34" s="17">
        <f>+J9+J49-J28</f>
        <v>3132778953</v>
      </c>
      <c r="K34" s="17">
        <f>+K9+K49-K28</f>
        <v>3132778953</v>
      </c>
      <c r="M34" s="44"/>
      <c r="O34" s="1"/>
    </row>
    <row r="35" spans="6:15" ht="12.75">
      <c r="F35" s="123"/>
      <c r="I35" s="150" t="s">
        <v>5</v>
      </c>
      <c r="M35" s="44"/>
      <c r="O35" s="1"/>
    </row>
    <row r="36" spans="6:15" ht="12.75">
      <c r="F36" s="121" t="s">
        <v>99</v>
      </c>
      <c r="I36" s="150" t="s">
        <v>1</v>
      </c>
      <c r="M36" s="44"/>
      <c r="O36" s="1"/>
    </row>
    <row r="37" spans="6:15" ht="12.75">
      <c r="F37" s="121" t="s">
        <v>100</v>
      </c>
      <c r="I37" s="46"/>
      <c r="M37" s="44"/>
      <c r="O37" s="1"/>
    </row>
    <row r="38" spans="9:15" ht="12.75">
      <c r="I38" s="46"/>
      <c r="M38" s="44"/>
      <c r="O38" s="1"/>
    </row>
    <row r="39" spans="9:15" ht="12.75">
      <c r="I39" s="46"/>
      <c r="M39" s="44"/>
      <c r="O39" s="1"/>
    </row>
    <row r="40" spans="1:15" ht="12.75">
      <c r="A40" s="163" t="s">
        <v>0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</row>
    <row r="41" spans="1:15" ht="12.75">
      <c r="A41" s="163" t="s">
        <v>172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</row>
    <row r="42" spans="1:15" ht="12.75">
      <c r="A42" s="163" t="s">
        <v>183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</row>
    <row r="43" spans="6:15" ht="12.75">
      <c r="F43" s="121"/>
      <c r="I43" s="46" t="s">
        <v>1</v>
      </c>
      <c r="O43" s="1"/>
    </row>
    <row r="44" spans="1:15" ht="12.75">
      <c r="A44" s="84" t="s">
        <v>161</v>
      </c>
      <c r="B44" s="84" t="s">
        <v>162</v>
      </c>
      <c r="C44" s="96" t="s">
        <v>163</v>
      </c>
      <c r="D44" s="96" t="s">
        <v>164</v>
      </c>
      <c r="E44" s="96" t="s">
        <v>165</v>
      </c>
      <c r="F44" s="2"/>
      <c r="G44" s="2"/>
      <c r="H44" s="96" t="s">
        <v>1</v>
      </c>
      <c r="I44" s="10"/>
      <c r="J44" s="84" t="s">
        <v>1</v>
      </c>
      <c r="K44" s="84"/>
      <c r="L44" s="99" t="s">
        <v>129</v>
      </c>
      <c r="M44" s="124" t="s">
        <v>130</v>
      </c>
      <c r="N44" s="156" t="s">
        <v>177</v>
      </c>
      <c r="O44" s="125"/>
    </row>
    <row r="45" spans="1:15" ht="12.75">
      <c r="A45" s="96"/>
      <c r="B45" s="84" t="s">
        <v>125</v>
      </c>
      <c r="C45" s="96"/>
      <c r="D45" s="96" t="s">
        <v>126</v>
      </c>
      <c r="E45" s="96"/>
      <c r="F45" s="2"/>
      <c r="G45" s="84" t="s">
        <v>127</v>
      </c>
      <c r="H45" s="84" t="s">
        <v>2</v>
      </c>
      <c r="I45" s="97" t="s">
        <v>127</v>
      </c>
      <c r="J45" s="97" t="s">
        <v>108</v>
      </c>
      <c r="K45" s="93" t="s">
        <v>6</v>
      </c>
      <c r="L45" s="99" t="s">
        <v>136</v>
      </c>
      <c r="M45" s="157" t="s">
        <v>108</v>
      </c>
      <c r="N45" s="156" t="s">
        <v>6</v>
      </c>
      <c r="O45" s="127"/>
    </row>
    <row r="46" spans="1:15" ht="12.75">
      <c r="A46" s="96"/>
      <c r="B46" s="96"/>
      <c r="C46" s="96"/>
      <c r="D46" s="96" t="s">
        <v>131</v>
      </c>
      <c r="E46" s="96"/>
      <c r="F46" s="84" t="s">
        <v>132</v>
      </c>
      <c r="G46" s="84" t="s">
        <v>133</v>
      </c>
      <c r="H46" s="84" t="s">
        <v>134</v>
      </c>
      <c r="I46" s="97" t="s">
        <v>135</v>
      </c>
      <c r="J46" s="97" t="s">
        <v>1</v>
      </c>
      <c r="K46" s="98"/>
      <c r="L46" s="10"/>
      <c r="M46" s="12"/>
      <c r="N46" s="128"/>
      <c r="O46" s="129"/>
    </row>
    <row r="47" spans="1:15" ht="12.75">
      <c r="A47" s="96"/>
      <c r="B47" s="96"/>
      <c r="C47" s="96"/>
      <c r="D47" s="96" t="s">
        <v>137</v>
      </c>
      <c r="E47" s="96"/>
      <c r="F47" s="2"/>
      <c r="G47" s="84" t="s">
        <v>1</v>
      </c>
      <c r="H47" s="84" t="s">
        <v>1</v>
      </c>
      <c r="I47" s="97" t="s">
        <v>1</v>
      </c>
      <c r="J47" s="99" t="s">
        <v>1</v>
      </c>
      <c r="K47" s="99" t="s">
        <v>1</v>
      </c>
      <c r="L47" s="10"/>
      <c r="M47" s="128"/>
      <c r="N47" s="128"/>
      <c r="O47" s="129"/>
    </row>
    <row r="48" spans="1:15" ht="12.75">
      <c r="A48" s="2"/>
      <c r="B48" s="2"/>
      <c r="C48" s="2"/>
      <c r="D48" s="2"/>
      <c r="E48" s="2"/>
      <c r="F48" s="2"/>
      <c r="G48" s="8" t="s">
        <v>1</v>
      </c>
      <c r="H48" s="19"/>
      <c r="I48" s="128" t="s">
        <v>1</v>
      </c>
      <c r="J48" s="12" t="s">
        <v>1</v>
      </c>
      <c r="K48" s="128" t="s">
        <v>1</v>
      </c>
      <c r="L48" s="10"/>
      <c r="M48" s="128"/>
      <c r="N48" s="128"/>
      <c r="O48" s="82"/>
    </row>
    <row r="49" spans="1:15" ht="12.75">
      <c r="A49" s="2" t="s">
        <v>138</v>
      </c>
      <c r="B49" s="2"/>
      <c r="C49" s="2"/>
      <c r="D49" s="2"/>
      <c r="E49" s="2"/>
      <c r="F49" s="96" t="s">
        <v>166</v>
      </c>
      <c r="G49" s="130">
        <f>+G50+G60+G63</f>
        <v>1694748000</v>
      </c>
      <c r="H49" s="130">
        <f>SUM(H50+H60+H62+H63)</f>
        <v>0</v>
      </c>
      <c r="I49" s="131">
        <f>+G49+H49</f>
        <v>1694748000</v>
      </c>
      <c r="J49" s="131">
        <f>SUM(J50+J60+J63)</f>
        <v>1359738228</v>
      </c>
      <c r="K49" s="131">
        <f>SUM(K50+K60+K63)</f>
        <v>1359738228</v>
      </c>
      <c r="L49" s="9">
        <f aca="true" t="shared" si="4" ref="L49:L64">+I49-J49</f>
        <v>335009772</v>
      </c>
      <c r="M49" s="132">
        <f aca="true" t="shared" si="5" ref="M49:M64">+J49/I49*100</f>
        <v>80.23247279241515</v>
      </c>
      <c r="N49" s="132">
        <f>+K49/I49*100</f>
        <v>80.23247279241515</v>
      </c>
      <c r="O49" s="133"/>
    </row>
    <row r="50" spans="1:15" ht="12.75">
      <c r="A50" s="2" t="s">
        <v>138</v>
      </c>
      <c r="B50" s="2">
        <v>1</v>
      </c>
      <c r="C50" s="2">
        <v>1</v>
      </c>
      <c r="D50" s="2">
        <v>0</v>
      </c>
      <c r="E50" s="2">
        <v>0</v>
      </c>
      <c r="F50" s="96" t="s">
        <v>140</v>
      </c>
      <c r="G50" s="130">
        <f>+G51+G56+G57+G58+G59</f>
        <v>1658314000</v>
      </c>
      <c r="H50" s="130">
        <f>+H51+H56+H57</f>
        <v>0</v>
      </c>
      <c r="I50" s="131">
        <f>+I51+I56+I57+I58+I59</f>
        <v>1658314000</v>
      </c>
      <c r="J50" s="130">
        <f>+J51+J56+J57+J58+J59</f>
        <v>1332882228</v>
      </c>
      <c r="K50" s="130">
        <f>+K51+K56+K57+K58+K59</f>
        <v>1332882228</v>
      </c>
      <c r="L50" s="9">
        <f t="shared" si="4"/>
        <v>325431772</v>
      </c>
      <c r="M50" s="132">
        <f t="shared" si="5"/>
        <v>80.3757447624515</v>
      </c>
      <c r="N50" s="132">
        <f aca="true" t="shared" si="6" ref="N50:N64">+K50/I50*100</f>
        <v>80.3757447624515</v>
      </c>
      <c r="O50" s="133"/>
    </row>
    <row r="51" spans="1:15" ht="12.75">
      <c r="A51" s="2" t="s">
        <v>138</v>
      </c>
      <c r="B51" s="2">
        <v>1</v>
      </c>
      <c r="C51" s="2">
        <v>1</v>
      </c>
      <c r="D51" s="2">
        <v>1</v>
      </c>
      <c r="E51" s="2">
        <v>0</v>
      </c>
      <c r="F51" s="7" t="s">
        <v>141</v>
      </c>
      <c r="G51" s="20">
        <f>SUM(G52:G55)</f>
        <v>1356670000</v>
      </c>
      <c r="H51" s="20">
        <f>SUM(H52:H55)</f>
        <v>0</v>
      </c>
      <c r="I51" s="9">
        <f>+G51+H51</f>
        <v>1356670000</v>
      </c>
      <c r="J51" s="9">
        <f>SUM(J52:J55)</f>
        <v>1097699750</v>
      </c>
      <c r="K51" s="9">
        <f>SUM(K52:K55)</f>
        <v>1097699750</v>
      </c>
      <c r="L51" s="9">
        <f t="shared" si="4"/>
        <v>258970250</v>
      </c>
      <c r="M51" s="132">
        <f t="shared" si="5"/>
        <v>80.9113306846912</v>
      </c>
      <c r="N51" s="132">
        <f t="shared" si="6"/>
        <v>80.9113306846912</v>
      </c>
      <c r="O51" s="82"/>
    </row>
    <row r="52" spans="1:15" ht="12.75">
      <c r="A52" s="2" t="s">
        <v>138</v>
      </c>
      <c r="B52" s="2">
        <v>1</v>
      </c>
      <c r="C52" s="2">
        <v>1</v>
      </c>
      <c r="D52" s="2">
        <v>1</v>
      </c>
      <c r="E52" s="2">
        <v>1</v>
      </c>
      <c r="F52" s="2" t="s">
        <v>142</v>
      </c>
      <c r="G52" s="20">
        <f>+'[4]ADICIONES2014'!B61</f>
        <v>1042086000</v>
      </c>
      <c r="H52" s="20">
        <v>0</v>
      </c>
      <c r="I52" s="9">
        <f>+G52+H52</f>
        <v>1042086000</v>
      </c>
      <c r="J52" s="131">
        <v>910042416</v>
      </c>
      <c r="K52" s="131">
        <v>910042416</v>
      </c>
      <c r="L52" s="9">
        <f t="shared" si="4"/>
        <v>132043584</v>
      </c>
      <c r="M52" s="132">
        <f t="shared" si="5"/>
        <v>87.32891680725008</v>
      </c>
      <c r="N52" s="132">
        <f t="shared" si="6"/>
        <v>87.32891680725008</v>
      </c>
      <c r="O52" s="82"/>
    </row>
    <row r="53" spans="1:15" ht="12.75">
      <c r="A53" s="2" t="s">
        <v>138</v>
      </c>
      <c r="B53" s="2">
        <v>1</v>
      </c>
      <c r="C53" s="2">
        <v>1</v>
      </c>
      <c r="D53" s="2">
        <v>9</v>
      </c>
      <c r="E53" s="2">
        <v>1</v>
      </c>
      <c r="F53" s="2" t="s">
        <v>167</v>
      </c>
      <c r="G53" s="20">
        <f>+'[4]ADICIONES2014'!B67</f>
        <v>1346000</v>
      </c>
      <c r="H53" s="20">
        <v>0</v>
      </c>
      <c r="I53" s="9">
        <f aca="true" t="shared" si="7" ref="I53:I60">+G53+H53</f>
        <v>1346000</v>
      </c>
      <c r="J53" s="131">
        <v>805455</v>
      </c>
      <c r="K53" s="131">
        <v>805455</v>
      </c>
      <c r="L53" s="9">
        <f t="shared" si="4"/>
        <v>540545</v>
      </c>
      <c r="M53" s="132">
        <f t="shared" si="5"/>
        <v>59.84063893016345</v>
      </c>
      <c r="N53" s="132">
        <f t="shared" si="6"/>
        <v>59.84063893016345</v>
      </c>
      <c r="O53" s="82"/>
    </row>
    <row r="54" spans="1:15" ht="12.75">
      <c r="A54" s="2" t="s">
        <v>138</v>
      </c>
      <c r="B54" s="2">
        <v>1</v>
      </c>
      <c r="C54" s="2">
        <v>1</v>
      </c>
      <c r="D54" s="2">
        <v>4</v>
      </c>
      <c r="E54" s="2">
        <v>2</v>
      </c>
      <c r="F54" s="2" t="s">
        <v>145</v>
      </c>
      <c r="G54" s="20">
        <f>+'[4]ADICIONES2014'!B62</f>
        <v>111383000</v>
      </c>
      <c r="H54" s="20">
        <f>0</f>
        <v>0</v>
      </c>
      <c r="I54" s="9">
        <f t="shared" si="7"/>
        <v>111383000</v>
      </c>
      <c r="J54" s="131">
        <v>97076221</v>
      </c>
      <c r="K54" s="131">
        <v>97076221</v>
      </c>
      <c r="L54" s="9">
        <f t="shared" si="4"/>
        <v>14306779</v>
      </c>
      <c r="M54" s="132">
        <f t="shared" si="5"/>
        <v>87.15532980795993</v>
      </c>
      <c r="N54" s="132">
        <f t="shared" si="6"/>
        <v>87.15532980795993</v>
      </c>
      <c r="O54" s="82"/>
    </row>
    <row r="55" spans="1:15" ht="12.75">
      <c r="A55" s="2" t="s">
        <v>138</v>
      </c>
      <c r="B55" s="2">
        <v>1</v>
      </c>
      <c r="C55" s="2">
        <v>1</v>
      </c>
      <c r="D55" s="2">
        <v>5</v>
      </c>
      <c r="E55" s="2">
        <v>0</v>
      </c>
      <c r="F55" s="2" t="s">
        <v>146</v>
      </c>
      <c r="G55" s="20">
        <f>+'[4]ADICIONES2014'!B63+'[4]ADICIONES2014'!B64+'[4]ADICIONES2014'!B65+'[4]ADICIONES2014'!B66</f>
        <v>201855000</v>
      </c>
      <c r="H55" s="20">
        <v>0</v>
      </c>
      <c r="I55" s="9">
        <f t="shared" si="7"/>
        <v>201855000</v>
      </c>
      <c r="J55" s="131">
        <f>11820000+57319500+18076500+2559658</f>
        <v>89775658</v>
      </c>
      <c r="K55" s="131">
        <f>11820000+57319500+18076500+2559658</f>
        <v>89775658</v>
      </c>
      <c r="L55" s="9">
        <f t="shared" si="4"/>
        <v>112079342</v>
      </c>
      <c r="M55" s="132">
        <f t="shared" si="5"/>
        <v>44.475320403259765</v>
      </c>
      <c r="N55" s="132">
        <f t="shared" si="6"/>
        <v>44.475320403259765</v>
      </c>
      <c r="O55" s="82"/>
    </row>
    <row r="56" spans="1:15" ht="12.75">
      <c r="A56" s="2" t="s">
        <v>138</v>
      </c>
      <c r="B56" s="2">
        <v>1</v>
      </c>
      <c r="C56" s="2">
        <v>5</v>
      </c>
      <c r="D56" s="2">
        <v>0</v>
      </c>
      <c r="E56" s="2">
        <v>1</v>
      </c>
      <c r="F56" s="2" t="s">
        <v>148</v>
      </c>
      <c r="G56" s="20">
        <f>+'[4]ADICIONES2014'!B68</f>
        <v>73908425</v>
      </c>
      <c r="H56" s="20">
        <v>0</v>
      </c>
      <c r="I56" s="9">
        <f t="shared" si="7"/>
        <v>73908425</v>
      </c>
      <c r="J56" s="131">
        <f>+I56</f>
        <v>73908425</v>
      </c>
      <c r="K56" s="131">
        <f>+J56</f>
        <v>73908425</v>
      </c>
      <c r="L56" s="9">
        <f t="shared" si="4"/>
        <v>0</v>
      </c>
      <c r="M56" s="132">
        <f t="shared" si="5"/>
        <v>100</v>
      </c>
      <c r="N56" s="132">
        <f t="shared" si="6"/>
        <v>100</v>
      </c>
      <c r="O56" s="82"/>
    </row>
    <row r="57" spans="1:15" ht="12.75">
      <c r="A57" s="2" t="s">
        <v>138</v>
      </c>
      <c r="B57" s="2">
        <v>1</v>
      </c>
      <c r="C57" s="2">
        <v>5</v>
      </c>
      <c r="D57" s="2">
        <v>0</v>
      </c>
      <c r="E57" s="2">
        <v>2</v>
      </c>
      <c r="F57" s="2" t="s">
        <v>149</v>
      </c>
      <c r="G57" s="4">
        <f>+'[4]ADICIONES2014'!B69</f>
        <v>178721995</v>
      </c>
      <c r="H57" s="20">
        <f>0</f>
        <v>0</v>
      </c>
      <c r="I57" s="9">
        <f t="shared" si="7"/>
        <v>178721995</v>
      </c>
      <c r="J57" s="131">
        <v>121440353</v>
      </c>
      <c r="K57" s="131">
        <v>121440353</v>
      </c>
      <c r="L57" s="9">
        <f t="shared" si="4"/>
        <v>57281642</v>
      </c>
      <c r="M57" s="132">
        <f t="shared" si="5"/>
        <v>67.94930472883318</v>
      </c>
      <c r="N57" s="132">
        <f t="shared" si="6"/>
        <v>67.94930472883318</v>
      </c>
      <c r="O57" s="82"/>
    </row>
    <row r="58" spans="1:15" ht="12.75">
      <c r="A58" s="2" t="s">
        <v>138</v>
      </c>
      <c r="B58" s="2">
        <v>1</v>
      </c>
      <c r="C58" s="2">
        <v>5</v>
      </c>
      <c r="D58" s="2">
        <v>0</v>
      </c>
      <c r="E58" s="2">
        <v>6</v>
      </c>
      <c r="F58" s="2" t="s">
        <v>150</v>
      </c>
      <c r="G58" s="20">
        <f>+'[4]ADICIONES2014'!B70</f>
        <v>24506790</v>
      </c>
      <c r="H58" s="20"/>
      <c r="I58" s="9">
        <f t="shared" si="7"/>
        <v>24506790</v>
      </c>
      <c r="J58" s="131">
        <v>22149500</v>
      </c>
      <c r="K58" s="131">
        <v>22149500</v>
      </c>
      <c r="L58" s="9">
        <f t="shared" si="4"/>
        <v>2357290</v>
      </c>
      <c r="M58" s="132">
        <f t="shared" si="5"/>
        <v>90.38107397990515</v>
      </c>
      <c r="N58" s="132">
        <f t="shared" si="6"/>
        <v>90.38107397990515</v>
      </c>
      <c r="O58" s="82"/>
    </row>
    <row r="59" spans="1:15" ht="12.75">
      <c r="A59" s="2" t="s">
        <v>138</v>
      </c>
      <c r="B59" s="2">
        <v>1</v>
      </c>
      <c r="C59" s="2">
        <v>5</v>
      </c>
      <c r="D59" s="2">
        <v>0</v>
      </c>
      <c r="E59" s="2">
        <v>7</v>
      </c>
      <c r="F59" s="2" t="s">
        <v>151</v>
      </c>
      <c r="G59" s="20">
        <f>+'[4]ADICIONES2014'!B71</f>
        <v>24506790</v>
      </c>
      <c r="H59" s="20"/>
      <c r="I59" s="9">
        <f t="shared" si="7"/>
        <v>24506790</v>
      </c>
      <c r="J59" s="131">
        <v>17684200</v>
      </c>
      <c r="K59" s="131">
        <v>17684200</v>
      </c>
      <c r="L59" s="9">
        <f t="shared" si="4"/>
        <v>6822590</v>
      </c>
      <c r="M59" s="132">
        <f t="shared" si="5"/>
        <v>72.16040942122571</v>
      </c>
      <c r="N59" s="132">
        <f t="shared" si="6"/>
        <v>72.16040942122571</v>
      </c>
      <c r="O59" s="82"/>
    </row>
    <row r="60" spans="1:15" ht="12.75">
      <c r="A60" s="2" t="s">
        <v>138</v>
      </c>
      <c r="B60" s="2">
        <v>2</v>
      </c>
      <c r="C60" s="2">
        <v>0</v>
      </c>
      <c r="D60" s="2">
        <v>0</v>
      </c>
      <c r="E60" s="2">
        <v>0</v>
      </c>
      <c r="F60" s="96" t="s">
        <v>152</v>
      </c>
      <c r="G60" s="130">
        <f>SUM(G61:G62)</f>
        <v>26856000</v>
      </c>
      <c r="H60" s="130">
        <f>SUM(H61:H62)</f>
        <v>0</v>
      </c>
      <c r="I60" s="131">
        <f t="shared" si="7"/>
        <v>26856000</v>
      </c>
      <c r="J60" s="131">
        <f>+J61+J62</f>
        <v>26856000</v>
      </c>
      <c r="K60" s="131">
        <f>+K61+K62</f>
        <v>26856000</v>
      </c>
      <c r="L60" s="9">
        <f t="shared" si="4"/>
        <v>0</v>
      </c>
      <c r="M60" s="132">
        <f t="shared" si="5"/>
        <v>100</v>
      </c>
      <c r="N60" s="132">
        <f t="shared" si="6"/>
        <v>100</v>
      </c>
      <c r="O60" s="133"/>
    </row>
    <row r="61" spans="1:15" ht="12.75">
      <c r="A61" s="2" t="s">
        <v>138</v>
      </c>
      <c r="B61" s="2">
        <v>2</v>
      </c>
      <c r="C61" s="2">
        <v>0</v>
      </c>
      <c r="D61" s="2">
        <v>4</v>
      </c>
      <c r="E61" s="2">
        <v>0</v>
      </c>
      <c r="F61" s="2" t="s">
        <v>154</v>
      </c>
      <c r="G61" s="20">
        <f>+'[4]ADICIONES2014'!B73</f>
        <v>25523000</v>
      </c>
      <c r="H61" s="20">
        <v>0</v>
      </c>
      <c r="I61" s="9">
        <f>+G61+H61</f>
        <v>25523000</v>
      </c>
      <c r="J61" s="131">
        <f>+I61</f>
        <v>25523000</v>
      </c>
      <c r="K61" s="131">
        <f>+J61</f>
        <v>25523000</v>
      </c>
      <c r="L61" s="9">
        <f t="shared" si="4"/>
        <v>0</v>
      </c>
      <c r="M61" s="132">
        <f t="shared" si="5"/>
        <v>100</v>
      </c>
      <c r="N61" s="132">
        <f t="shared" si="6"/>
        <v>100</v>
      </c>
      <c r="O61" s="82"/>
    </row>
    <row r="62" spans="1:15" ht="12.75">
      <c r="A62" s="2" t="s">
        <v>138</v>
      </c>
      <c r="B62" s="2">
        <v>2</v>
      </c>
      <c r="C62" s="2">
        <v>0</v>
      </c>
      <c r="D62" s="2">
        <v>3</v>
      </c>
      <c r="E62" s="2">
        <v>50</v>
      </c>
      <c r="F62" s="2" t="s">
        <v>155</v>
      </c>
      <c r="G62" s="20">
        <f>+'[4]ADICIONES2014'!B72</f>
        <v>1333000</v>
      </c>
      <c r="H62" s="20">
        <v>0</v>
      </c>
      <c r="I62" s="9">
        <f>+G62+H62</f>
        <v>1333000</v>
      </c>
      <c r="J62" s="131">
        <f>+I62</f>
        <v>1333000</v>
      </c>
      <c r="K62" s="131">
        <f>+J62</f>
        <v>1333000</v>
      </c>
      <c r="L62" s="9">
        <f t="shared" si="4"/>
        <v>0</v>
      </c>
      <c r="M62" s="132">
        <f t="shared" si="5"/>
        <v>100</v>
      </c>
      <c r="N62" s="132">
        <f t="shared" si="6"/>
        <v>100</v>
      </c>
      <c r="O62" s="82"/>
    </row>
    <row r="63" spans="1:15" ht="12.75">
      <c r="A63" s="2" t="s">
        <v>138</v>
      </c>
      <c r="B63" s="2">
        <v>3</v>
      </c>
      <c r="C63" s="2">
        <v>2</v>
      </c>
      <c r="D63" s="2">
        <v>1</v>
      </c>
      <c r="E63" s="2">
        <v>1</v>
      </c>
      <c r="F63" s="2" t="s">
        <v>156</v>
      </c>
      <c r="G63" s="20">
        <f>+G64</f>
        <v>9578000</v>
      </c>
      <c r="H63" s="20">
        <f>+H64</f>
        <v>0</v>
      </c>
      <c r="I63" s="9">
        <f>+G63+H63</f>
        <v>9578000</v>
      </c>
      <c r="J63" s="131">
        <f>+J64</f>
        <v>0</v>
      </c>
      <c r="K63" s="131">
        <f>+K64</f>
        <v>0</v>
      </c>
      <c r="L63" s="9">
        <f t="shared" si="4"/>
        <v>9578000</v>
      </c>
      <c r="M63" s="132">
        <f t="shared" si="5"/>
        <v>0</v>
      </c>
      <c r="N63" s="132">
        <f t="shared" si="6"/>
        <v>0</v>
      </c>
      <c r="O63" s="82"/>
    </row>
    <row r="64" spans="1:15" ht="12.75">
      <c r="A64" s="2" t="s">
        <v>138</v>
      </c>
      <c r="B64" s="2">
        <v>3</v>
      </c>
      <c r="C64" s="2">
        <v>2</v>
      </c>
      <c r="D64" s="2">
        <v>1</v>
      </c>
      <c r="E64" s="2">
        <v>1</v>
      </c>
      <c r="F64" s="2" t="s">
        <v>156</v>
      </c>
      <c r="G64" s="20">
        <f>+'[4]ADICIONES2014'!B74</f>
        <v>9578000</v>
      </c>
      <c r="H64" s="20">
        <v>0</v>
      </c>
      <c r="I64" s="9">
        <f>+G64+H64</f>
        <v>9578000</v>
      </c>
      <c r="J64" s="131">
        <v>0</v>
      </c>
      <c r="K64" s="131">
        <v>0</v>
      </c>
      <c r="L64" s="9">
        <f t="shared" si="4"/>
        <v>9578000</v>
      </c>
      <c r="M64" s="132">
        <f t="shared" si="5"/>
        <v>0</v>
      </c>
      <c r="N64" s="132">
        <f t="shared" si="6"/>
        <v>0</v>
      </c>
      <c r="O64" s="82"/>
    </row>
    <row r="65" spans="1:15" ht="12.75">
      <c r="A65" s="7" t="s">
        <v>1</v>
      </c>
      <c r="B65" s="7" t="s">
        <v>1</v>
      </c>
      <c r="C65" s="7" t="s">
        <v>1</v>
      </c>
      <c r="D65" s="7" t="s">
        <v>1</v>
      </c>
      <c r="E65" s="7" t="s">
        <v>1</v>
      </c>
      <c r="F65" s="7" t="s">
        <v>5</v>
      </c>
      <c r="G65" s="4" t="s">
        <v>1</v>
      </c>
      <c r="H65" s="4" t="s">
        <v>1</v>
      </c>
      <c r="I65" s="11" t="s">
        <v>1</v>
      </c>
      <c r="J65" s="131" t="s">
        <v>1</v>
      </c>
      <c r="K65" s="131"/>
      <c r="L65" s="10"/>
      <c r="M65" s="132" t="s">
        <v>1</v>
      </c>
      <c r="N65" s="12"/>
      <c r="O65" s="82"/>
    </row>
    <row r="66" spans="9:15" ht="12.75">
      <c r="I66" s="47" t="s">
        <v>1</v>
      </c>
      <c r="O66" s="1"/>
    </row>
    <row r="67" spans="7:15" ht="12.75">
      <c r="G67" s="1"/>
      <c r="H67" s="1"/>
      <c r="I67" s="48"/>
      <c r="J67" s="1"/>
      <c r="K67" s="1"/>
      <c r="L67" s="1"/>
      <c r="O67" s="1"/>
    </row>
    <row r="68" spans="7:15" ht="12.75">
      <c r="G68" s="21"/>
      <c r="H68" s="6"/>
      <c r="I68" s="48"/>
      <c r="J68" s="1"/>
      <c r="K68" s="1"/>
      <c r="L68" s="1"/>
      <c r="O68" s="1"/>
    </row>
  </sheetData>
  <sheetProtection/>
  <mergeCells count="6">
    <mergeCell ref="A1:O1"/>
    <mergeCell ref="A2:O2"/>
    <mergeCell ref="A3:O3"/>
    <mergeCell ref="A40:O40"/>
    <mergeCell ref="A41:O41"/>
    <mergeCell ref="A42:O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0"/>
  <sheetViews>
    <sheetView tabSelected="1" zoomScaleSheetLayoutView="100" zoomScalePageLayoutView="0" workbookViewId="0" topLeftCell="A41">
      <selection activeCell="A35" sqref="A35:AF48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4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0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4" width="17.00390625" style="0" customWidth="1"/>
    <col min="25" max="25" width="16.00390625" style="0" hidden="1" customWidth="1"/>
    <col min="26" max="26" width="20.28125" style="0" hidden="1" customWidth="1"/>
    <col min="27" max="28" width="20.28125" style="0" customWidth="1"/>
    <col min="29" max="30" width="20.28125" style="0" hidden="1" customWidth="1"/>
    <col min="32" max="32" width="16.57421875" style="1" customWidth="1"/>
  </cols>
  <sheetData>
    <row r="1" spans="1:32" ht="12.75">
      <c r="A1" s="63"/>
      <c r="B1" s="64"/>
      <c r="C1" s="65" t="s">
        <v>1</v>
      </c>
      <c r="D1" s="66" t="s">
        <v>1</v>
      </c>
      <c r="E1" s="168" t="s">
        <v>0</v>
      </c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81"/>
      <c r="AD1" s="81"/>
      <c r="AE1" s="158"/>
      <c r="AF1" s="19"/>
    </row>
    <row r="2" spans="1:32" ht="12.75">
      <c r="A2" s="32"/>
      <c r="B2" s="2"/>
      <c r="C2" s="27" t="s">
        <v>1</v>
      </c>
      <c r="D2" s="28" t="s">
        <v>1</v>
      </c>
      <c r="E2" s="165" t="s">
        <v>184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59"/>
      <c r="AF2" s="19"/>
    </row>
    <row r="3" spans="1:32" ht="12.75">
      <c r="A3" s="32"/>
      <c r="B3" s="2"/>
      <c r="C3" s="2"/>
      <c r="D3" s="2"/>
      <c r="E3" s="28"/>
      <c r="F3" s="28"/>
      <c r="G3" s="28" t="s">
        <v>1</v>
      </c>
      <c r="H3" s="8" t="s">
        <v>1</v>
      </c>
      <c r="I3" s="29" t="s">
        <v>1</v>
      </c>
      <c r="J3" s="10"/>
      <c r="K3" s="10"/>
      <c r="L3" s="10"/>
      <c r="M3" s="10"/>
      <c r="N3" s="10"/>
      <c r="O3" s="29"/>
      <c r="P3" s="29"/>
      <c r="Q3" s="29"/>
      <c r="R3" s="29"/>
      <c r="S3" s="29"/>
      <c r="T3" s="29"/>
      <c r="U3" s="11" t="s">
        <v>1</v>
      </c>
      <c r="V3" s="12"/>
      <c r="W3" s="12"/>
      <c r="X3" s="2"/>
      <c r="Y3" s="2"/>
      <c r="Z3" s="2"/>
      <c r="AA3" s="2"/>
      <c r="AB3" s="2"/>
      <c r="AC3" s="2"/>
      <c r="AD3" s="2"/>
      <c r="AE3" s="159"/>
      <c r="AF3" s="19"/>
    </row>
    <row r="4" spans="1:32" ht="12.75">
      <c r="A4" s="32"/>
      <c r="B4" s="2"/>
      <c r="C4" s="2"/>
      <c r="D4" s="2"/>
      <c r="E4" s="28"/>
      <c r="F4" s="2"/>
      <c r="G4" s="7" t="s">
        <v>1</v>
      </c>
      <c r="H4" s="8" t="s">
        <v>1</v>
      </c>
      <c r="I4" s="30" t="s">
        <v>1</v>
      </c>
      <c r="J4" s="10"/>
      <c r="K4" s="10"/>
      <c r="L4" s="10"/>
      <c r="M4" s="10"/>
      <c r="N4" s="10"/>
      <c r="O4" s="31"/>
      <c r="P4" s="31"/>
      <c r="Q4" s="31"/>
      <c r="R4" s="31"/>
      <c r="S4" s="31"/>
      <c r="T4" s="31"/>
      <c r="U4" s="9" t="s">
        <v>1</v>
      </c>
      <c r="V4" s="12"/>
      <c r="W4" s="12"/>
      <c r="X4" s="2"/>
      <c r="Y4" s="2"/>
      <c r="Z4" s="2"/>
      <c r="AA4" s="2"/>
      <c r="AB4" s="2"/>
      <c r="AC4" s="2"/>
      <c r="AD4" s="2"/>
      <c r="AE4" s="159"/>
      <c r="AF4" s="19"/>
    </row>
    <row r="5" spans="1:32" ht="38.25" customHeight="1">
      <c r="A5" s="67"/>
      <c r="B5" s="135"/>
      <c r="C5" s="136"/>
      <c r="D5" s="136"/>
      <c r="E5" s="137" t="s">
        <v>4</v>
      </c>
      <c r="F5" s="138" t="s">
        <v>29</v>
      </c>
      <c r="G5" s="139" t="s">
        <v>2</v>
      </c>
      <c r="H5" s="140" t="s">
        <v>30</v>
      </c>
      <c r="I5" s="14"/>
      <c r="J5" s="14"/>
      <c r="K5" s="14"/>
      <c r="L5" s="14"/>
      <c r="M5" s="14"/>
      <c r="N5" s="14" t="s">
        <v>1</v>
      </c>
      <c r="O5" s="14"/>
      <c r="P5" s="15"/>
      <c r="Q5" s="14"/>
      <c r="R5" s="14"/>
      <c r="S5" s="14"/>
      <c r="T5" s="14"/>
      <c r="U5" s="14" t="s">
        <v>1</v>
      </c>
      <c r="V5" s="14"/>
      <c r="W5" s="141"/>
      <c r="X5" s="80" t="s">
        <v>31</v>
      </c>
      <c r="Y5" s="80" t="s">
        <v>31</v>
      </c>
      <c r="Z5" s="142" t="s">
        <v>32</v>
      </c>
      <c r="AA5" s="142" t="s">
        <v>6</v>
      </c>
      <c r="AB5" s="142" t="s">
        <v>103</v>
      </c>
      <c r="AC5" s="142" t="s">
        <v>33</v>
      </c>
      <c r="AD5" s="142" t="s">
        <v>104</v>
      </c>
      <c r="AE5" s="160" t="s">
        <v>178</v>
      </c>
      <c r="AF5" s="126" t="s">
        <v>179</v>
      </c>
    </row>
    <row r="6" spans="1:32" ht="44.25" customHeight="1">
      <c r="A6" s="67" t="s">
        <v>3</v>
      </c>
      <c r="B6" s="5" t="s">
        <v>8</v>
      </c>
      <c r="C6" s="13">
        <v>900</v>
      </c>
      <c r="D6" s="3">
        <v>1</v>
      </c>
      <c r="E6" s="54" t="s">
        <v>14</v>
      </c>
      <c r="F6" s="55">
        <f>+'[3]01-0900-01'!$D$11</f>
        <v>1290000000</v>
      </c>
      <c r="G6" s="40">
        <f>+ADICIONES2014!C42</f>
        <v>0</v>
      </c>
      <c r="H6" s="14">
        <f>+F6+G6</f>
        <v>1290000000</v>
      </c>
      <c r="I6" s="14"/>
      <c r="J6" s="14"/>
      <c r="K6" s="14"/>
      <c r="L6" s="14"/>
      <c r="M6" s="14"/>
      <c r="N6" s="14">
        <v>377425593</v>
      </c>
      <c r="O6" s="14"/>
      <c r="P6" s="15"/>
      <c r="Q6" s="14"/>
      <c r="R6" s="14">
        <f aca="true" t="shared" si="0" ref="R6:R20">+N6-S6-T6</f>
        <v>71522290.954</v>
      </c>
      <c r="S6" s="14">
        <f>+'[2]2010'!$F$50+'[2]2010'!$F$57+'[2]2010'!$F$58</f>
        <v>3797761</v>
      </c>
      <c r="T6" s="14">
        <f>+'[1]RESERVAS 2012'!$G$149</f>
        <v>302105541.046</v>
      </c>
      <c r="U6" s="15">
        <f aca="true" t="shared" si="1" ref="U6:U20">+H6-N6</f>
        <v>912574407</v>
      </c>
      <c r="V6" s="14"/>
      <c r="W6" s="14">
        <f aca="true" t="shared" si="2" ref="W6:W20">+N6/H6*100</f>
        <v>29.257797906976744</v>
      </c>
      <c r="X6" s="148">
        <v>1126562025</v>
      </c>
      <c r="Y6" s="148">
        <f>+'[3]01-0900-01'!$E$128</f>
        <v>0</v>
      </c>
      <c r="Z6" s="148">
        <v>675536116</v>
      </c>
      <c r="AA6" s="148">
        <v>879201798</v>
      </c>
      <c r="AB6" s="9">
        <f>+H6-X6</f>
        <v>163437975</v>
      </c>
      <c r="AC6" s="12">
        <f>+Y6/H6*100</f>
        <v>0</v>
      </c>
      <c r="AD6" s="12">
        <f>+Z6/H6*100</f>
        <v>52.367140775193796</v>
      </c>
      <c r="AE6" s="125">
        <f>+X6/H6*100</f>
        <v>87.33038953488372</v>
      </c>
      <c r="AF6" s="19">
        <f>+AA6/H6*100</f>
        <v>68.15517813953488</v>
      </c>
    </row>
    <row r="7" spans="1:32" ht="31.5" customHeight="1">
      <c r="A7" s="67" t="s">
        <v>3</v>
      </c>
      <c r="B7" s="5" t="s">
        <v>8</v>
      </c>
      <c r="C7" s="13">
        <f>+C6</f>
        <v>900</v>
      </c>
      <c r="D7" s="3">
        <v>2</v>
      </c>
      <c r="E7" s="54" t="s">
        <v>15</v>
      </c>
      <c r="F7" s="55">
        <f>+'[3]01-0900-02'!$E$3</f>
        <v>250000000</v>
      </c>
      <c r="G7" s="40">
        <f>+ADICIONES2014!C43</f>
        <v>0</v>
      </c>
      <c r="H7" s="14">
        <f aca="true" t="shared" si="3" ref="H7:H20">+F7+G7</f>
        <v>250000000</v>
      </c>
      <c r="I7" s="14"/>
      <c r="J7" s="14"/>
      <c r="K7" s="14"/>
      <c r="L7" s="14"/>
      <c r="M7" s="14"/>
      <c r="N7" s="14">
        <v>36231197</v>
      </c>
      <c r="O7" s="14"/>
      <c r="P7" s="15"/>
      <c r="Q7" s="14"/>
      <c r="R7" s="14">
        <f t="shared" si="0"/>
        <v>18115598.3</v>
      </c>
      <c r="S7" s="14">
        <v>0</v>
      </c>
      <c r="T7" s="14">
        <f>+'[1]RESERVAS 2012'!$G$159</f>
        <v>18115598.7</v>
      </c>
      <c r="U7" s="15">
        <f t="shared" si="1"/>
        <v>213768803</v>
      </c>
      <c r="V7" s="14"/>
      <c r="W7" s="14">
        <f t="shared" si="2"/>
        <v>14.4924788</v>
      </c>
      <c r="X7" s="148">
        <v>228766148</v>
      </c>
      <c r="Y7" s="148">
        <f>+'[3]01-0900-02'!$E$32</f>
        <v>13252503</v>
      </c>
      <c r="Z7" s="148">
        <v>122556562</v>
      </c>
      <c r="AA7" s="148">
        <v>157796962</v>
      </c>
      <c r="AB7" s="9">
        <f aca="true" t="shared" si="4" ref="AB7:AB22">+H7-X7</f>
        <v>21233852</v>
      </c>
      <c r="AC7" s="12">
        <f aca="true" t="shared" si="5" ref="AC7:AC20">+Y7/H7*100</f>
        <v>5.3010012</v>
      </c>
      <c r="AD7" s="12">
        <f aca="true" t="shared" si="6" ref="AD7:AD22">+Z7/H7*100</f>
        <v>49.022624799999996</v>
      </c>
      <c r="AE7" s="125">
        <f aca="true" t="shared" si="7" ref="AE7:AE22">+X7/H7*100</f>
        <v>91.5064592</v>
      </c>
      <c r="AF7" s="19">
        <f aca="true" t="shared" si="8" ref="AF7:AF22">+AA7/H7*100</f>
        <v>63.11878480000001</v>
      </c>
    </row>
    <row r="8" spans="1:32" ht="26.25" customHeight="1" hidden="1">
      <c r="A8" s="67" t="s">
        <v>3</v>
      </c>
      <c r="B8" s="5" t="s">
        <v>8</v>
      </c>
      <c r="C8" s="13">
        <f>+C7</f>
        <v>900</v>
      </c>
      <c r="D8" s="3">
        <v>3</v>
      </c>
      <c r="E8" s="54" t="s">
        <v>7</v>
      </c>
      <c r="F8" s="55">
        <v>0</v>
      </c>
      <c r="G8" s="40">
        <f>+ADICIONES2014!C44</f>
        <v>0</v>
      </c>
      <c r="H8" s="14">
        <f t="shared" si="3"/>
        <v>0</v>
      </c>
      <c r="I8" s="14"/>
      <c r="J8" s="14"/>
      <c r="K8" s="14"/>
      <c r="L8" s="14"/>
      <c r="M8" s="14"/>
      <c r="N8" s="14">
        <v>0</v>
      </c>
      <c r="O8" s="14"/>
      <c r="P8" s="15"/>
      <c r="Q8" s="14"/>
      <c r="R8" s="14">
        <f t="shared" si="0"/>
        <v>0</v>
      </c>
      <c r="S8" s="14"/>
      <c r="T8" s="14"/>
      <c r="U8" s="15">
        <f t="shared" si="1"/>
        <v>0</v>
      </c>
      <c r="V8" s="14"/>
      <c r="W8" s="14">
        <v>0</v>
      </c>
      <c r="X8" s="148"/>
      <c r="Y8" s="148">
        <f>+'[3]RESUMEN'!$I$4</f>
        <v>0</v>
      </c>
      <c r="Z8" s="148"/>
      <c r="AA8" s="148"/>
      <c r="AB8" s="9">
        <f t="shared" si="4"/>
        <v>0</v>
      </c>
      <c r="AC8" s="12" t="e">
        <f t="shared" si="5"/>
        <v>#DIV/0!</v>
      </c>
      <c r="AD8" s="12" t="e">
        <f t="shared" si="6"/>
        <v>#DIV/0!</v>
      </c>
      <c r="AE8" s="125" t="e">
        <f t="shared" si="7"/>
        <v>#DIV/0!</v>
      </c>
      <c r="AF8" s="19" t="e">
        <f t="shared" si="8"/>
        <v>#DIV/0!</v>
      </c>
    </row>
    <row r="9" spans="1:32" ht="26.25" customHeight="1">
      <c r="A9" s="67" t="s">
        <v>3</v>
      </c>
      <c r="B9" s="5" t="s">
        <v>8</v>
      </c>
      <c r="C9" s="13">
        <v>900</v>
      </c>
      <c r="D9" s="3">
        <v>3</v>
      </c>
      <c r="E9" s="54" t="s">
        <v>27</v>
      </c>
      <c r="F9" s="55">
        <f>+'[3]01-0900-03'!$F$4</f>
        <v>175000000</v>
      </c>
      <c r="G9" s="40">
        <v>0</v>
      </c>
      <c r="H9" s="14">
        <f>+F9+G9</f>
        <v>175000000</v>
      </c>
      <c r="I9" s="14"/>
      <c r="J9" s="14"/>
      <c r="K9" s="14"/>
      <c r="L9" s="14"/>
      <c r="M9" s="14"/>
      <c r="N9" s="14"/>
      <c r="O9" s="14"/>
      <c r="P9" s="15"/>
      <c r="Q9" s="14"/>
      <c r="R9" s="14"/>
      <c r="S9" s="14"/>
      <c r="T9" s="14"/>
      <c r="U9" s="15"/>
      <c r="V9" s="14"/>
      <c r="W9" s="14"/>
      <c r="X9" s="148">
        <v>155278653</v>
      </c>
      <c r="Y9" s="148">
        <f>+'[3]01-0900-03'!$E$51</f>
        <v>0</v>
      </c>
      <c r="Z9" s="148">
        <v>45254292</v>
      </c>
      <c r="AA9" s="148">
        <v>109975272</v>
      </c>
      <c r="AB9" s="9">
        <f t="shared" si="4"/>
        <v>19721347</v>
      </c>
      <c r="AC9" s="12">
        <f t="shared" si="5"/>
        <v>0</v>
      </c>
      <c r="AD9" s="12">
        <f t="shared" si="6"/>
        <v>25.85959542857143</v>
      </c>
      <c r="AE9" s="125">
        <f t="shared" si="7"/>
        <v>88.73065885714286</v>
      </c>
      <c r="AF9" s="19">
        <f t="shared" si="8"/>
        <v>62.84301257142857</v>
      </c>
    </row>
    <row r="10" spans="1:32" ht="30" customHeight="1">
      <c r="A10" s="67" t="s">
        <v>3</v>
      </c>
      <c r="B10" s="5" t="s">
        <v>9</v>
      </c>
      <c r="C10" s="13">
        <f>+C8</f>
        <v>900</v>
      </c>
      <c r="D10" s="3">
        <v>1</v>
      </c>
      <c r="E10" s="54" t="s">
        <v>16</v>
      </c>
      <c r="F10" s="55">
        <f>+'[3]02-0900-01'!$F$4</f>
        <v>2936942000</v>
      </c>
      <c r="G10" s="147">
        <f>+ADICIONES2014!E8+ADICIONES2014!E20</f>
        <v>665424664</v>
      </c>
      <c r="H10" s="14">
        <f>+F10+G10</f>
        <v>3602366664</v>
      </c>
      <c r="I10" s="14"/>
      <c r="J10" s="14"/>
      <c r="K10" s="14"/>
      <c r="L10" s="14"/>
      <c r="M10" s="14"/>
      <c r="N10" s="14">
        <f>672188453-15546821</f>
        <v>656641632</v>
      </c>
      <c r="O10" s="14"/>
      <c r="P10" s="15"/>
      <c r="Q10" s="14"/>
      <c r="R10" s="14">
        <f t="shared" si="0"/>
        <v>656641632</v>
      </c>
      <c r="S10" s="14">
        <v>0</v>
      </c>
      <c r="T10" s="14">
        <v>0</v>
      </c>
      <c r="U10" s="15">
        <f t="shared" si="1"/>
        <v>2945725032</v>
      </c>
      <c r="V10" s="14"/>
      <c r="W10" s="14">
        <f t="shared" si="2"/>
        <v>18.228062083799028</v>
      </c>
      <c r="X10" s="148">
        <v>3374378539</v>
      </c>
      <c r="Y10" s="148">
        <f>+'[3]02-0900-01'!$E$52</f>
        <v>14425883</v>
      </c>
      <c r="Z10" s="148">
        <v>3113338539</v>
      </c>
      <c r="AA10" s="148">
        <v>3374378539</v>
      </c>
      <c r="AB10" s="9">
        <f t="shared" si="4"/>
        <v>227988125</v>
      </c>
      <c r="AC10" s="12">
        <f t="shared" si="5"/>
        <v>0.400455709968784</v>
      </c>
      <c r="AD10" s="12">
        <f t="shared" si="6"/>
        <v>86.42480983718097</v>
      </c>
      <c r="AE10" s="125">
        <f t="shared" si="7"/>
        <v>93.67115715125883</v>
      </c>
      <c r="AF10" s="19">
        <f t="shared" si="8"/>
        <v>93.67115715125883</v>
      </c>
    </row>
    <row r="11" spans="1:32" ht="22.5" customHeight="1">
      <c r="A11" s="67" t="s">
        <v>3</v>
      </c>
      <c r="B11" s="5" t="s">
        <v>9</v>
      </c>
      <c r="C11" s="13">
        <f aca="true" t="shared" si="9" ref="C11:C20">+C10</f>
        <v>900</v>
      </c>
      <c r="D11" s="3">
        <v>2</v>
      </c>
      <c r="E11" s="54" t="s">
        <v>17</v>
      </c>
      <c r="F11" s="55">
        <f>+'[3]02-0900-02'!$F$4</f>
        <v>410135926</v>
      </c>
      <c r="G11" s="40">
        <f>+ADICIONES2014!E9+ADICIONES2014!E10+200000000+ADICIONES2014!E22</f>
        <v>946091805</v>
      </c>
      <c r="H11" s="14">
        <f t="shared" si="3"/>
        <v>1356227731</v>
      </c>
      <c r="I11" s="14"/>
      <c r="J11" s="14"/>
      <c r="K11" s="14"/>
      <c r="L11" s="14"/>
      <c r="M11" s="14"/>
      <c r="N11" s="14">
        <v>830912529</v>
      </c>
      <c r="O11" s="14"/>
      <c r="P11" s="15"/>
      <c r="Q11" s="14"/>
      <c r="R11" s="14">
        <f t="shared" si="0"/>
        <v>291465571.8239999</v>
      </c>
      <c r="S11" s="14">
        <v>0</v>
      </c>
      <c r="T11" s="14">
        <f>+'[1]RESERVAS 2012'!$G$176</f>
        <v>539446957.1760001</v>
      </c>
      <c r="U11" s="15">
        <f t="shared" si="1"/>
        <v>525315202</v>
      </c>
      <c r="V11" s="14"/>
      <c r="W11" s="14">
        <f t="shared" si="2"/>
        <v>61.26644589307546</v>
      </c>
      <c r="X11" s="148">
        <v>750639390</v>
      </c>
      <c r="Y11" s="148">
        <f>+'[3]02-0900-02'!$E$40</f>
        <v>0</v>
      </c>
      <c r="Z11" s="148">
        <v>249890183</v>
      </c>
      <c r="AA11" s="148">
        <v>266821875</v>
      </c>
      <c r="AB11" s="9">
        <f t="shared" si="4"/>
        <v>605588341</v>
      </c>
      <c r="AC11" s="12">
        <f t="shared" si="5"/>
        <v>0</v>
      </c>
      <c r="AD11" s="12">
        <f t="shared" si="6"/>
        <v>18.425385153844786</v>
      </c>
      <c r="AE11" s="125">
        <f t="shared" si="7"/>
        <v>55.34759191559401</v>
      </c>
      <c r="AF11" s="19">
        <f t="shared" si="8"/>
        <v>19.67382533929326</v>
      </c>
    </row>
    <row r="12" spans="1:32" ht="34.5" customHeight="1">
      <c r="A12" s="67" t="s">
        <v>3</v>
      </c>
      <c r="B12" s="5" t="s">
        <v>9</v>
      </c>
      <c r="C12" s="13">
        <f t="shared" si="9"/>
        <v>900</v>
      </c>
      <c r="D12" s="3">
        <v>3</v>
      </c>
      <c r="E12" s="54" t="s">
        <v>18</v>
      </c>
      <c r="F12" s="55">
        <f>+'[3]02-0900-03'!$F$2+1</f>
        <v>1342739944</v>
      </c>
      <c r="G12" s="40">
        <f>+ADICIONES2014!E11-10000000</f>
        <v>80000000</v>
      </c>
      <c r="H12" s="14">
        <f t="shared" si="3"/>
        <v>1422739944</v>
      </c>
      <c r="I12" s="14"/>
      <c r="J12" s="14"/>
      <c r="K12" s="14"/>
      <c r="L12" s="14"/>
      <c r="M12" s="14"/>
      <c r="N12" s="18">
        <v>133402374</v>
      </c>
      <c r="O12" s="18"/>
      <c r="P12" s="18"/>
      <c r="Q12" s="18"/>
      <c r="R12" s="14">
        <f t="shared" si="0"/>
        <v>6838000</v>
      </c>
      <c r="S12" s="18">
        <f>+'[2]2010'!$F$154</f>
        <v>43687200</v>
      </c>
      <c r="T12" s="18">
        <f>+'[1]RESERVAS 2012'!$G$212</f>
        <v>82877174</v>
      </c>
      <c r="U12" s="18">
        <f t="shared" si="1"/>
        <v>1289337570</v>
      </c>
      <c r="V12" s="14"/>
      <c r="W12" s="14">
        <f>+N12/H12*100</f>
        <v>9.376441180455112</v>
      </c>
      <c r="X12" s="148">
        <v>1187423556</v>
      </c>
      <c r="Y12" s="148">
        <f>+'[3]RESUMEN'!$J$9</f>
        <v>0</v>
      </c>
      <c r="Z12" s="148">
        <v>234873940</v>
      </c>
      <c r="AA12" s="148">
        <v>318446162</v>
      </c>
      <c r="AB12" s="9">
        <f t="shared" si="4"/>
        <v>235316388</v>
      </c>
      <c r="AC12" s="12">
        <f t="shared" si="5"/>
        <v>0</v>
      </c>
      <c r="AD12" s="12">
        <f t="shared" si="6"/>
        <v>16.508564407045284</v>
      </c>
      <c r="AE12" s="125">
        <f t="shared" si="7"/>
        <v>83.4603372884567</v>
      </c>
      <c r="AF12" s="19">
        <f t="shared" si="8"/>
        <v>22.382597982361844</v>
      </c>
    </row>
    <row r="13" spans="1:32" ht="38.25" customHeight="1">
      <c r="A13" s="67" t="s">
        <v>3</v>
      </c>
      <c r="B13" s="5" t="s">
        <v>9</v>
      </c>
      <c r="C13" s="13">
        <f t="shared" si="9"/>
        <v>900</v>
      </c>
      <c r="D13" s="3">
        <v>4</v>
      </c>
      <c r="E13" s="54" t="s">
        <v>19</v>
      </c>
      <c r="F13" s="55">
        <f>+'[3]02-0900-04'!$F$3</f>
        <v>1343138161</v>
      </c>
      <c r="G13" s="40">
        <f>+ADICIONES2014!E12</f>
        <v>1471477790</v>
      </c>
      <c r="H13" s="14">
        <f t="shared" si="3"/>
        <v>2814615951</v>
      </c>
      <c r="I13" s="14"/>
      <c r="J13" s="14"/>
      <c r="K13" s="14"/>
      <c r="L13" s="14"/>
      <c r="M13" s="14"/>
      <c r="N13" s="14">
        <f>26881152+1471477790</f>
        <v>1498358942</v>
      </c>
      <c r="O13" s="14"/>
      <c r="P13" s="15"/>
      <c r="Q13" s="14"/>
      <c r="R13" s="14">
        <f t="shared" si="0"/>
        <v>-0.31599998474121094</v>
      </c>
      <c r="S13" s="14">
        <v>0</v>
      </c>
      <c r="T13" s="14">
        <f>+'[1]RESERVAS 2012'!$G$217</f>
        <v>1498358942.316</v>
      </c>
      <c r="U13" s="15">
        <f t="shared" si="1"/>
        <v>1316257009</v>
      </c>
      <c r="V13" s="14"/>
      <c r="W13" s="14">
        <f t="shared" si="2"/>
        <v>53.234933933620695</v>
      </c>
      <c r="X13" s="148">
        <v>2209483780</v>
      </c>
      <c r="Y13" s="148">
        <f>+'[3]02-0900-04'!$E$18</f>
        <v>0</v>
      </c>
      <c r="Z13" s="148">
        <f>+X13</f>
        <v>2209483780</v>
      </c>
      <c r="AA13" s="148">
        <v>2093041988</v>
      </c>
      <c r="AB13" s="9">
        <f t="shared" si="4"/>
        <v>605132171</v>
      </c>
      <c r="AC13" s="12">
        <f t="shared" si="5"/>
        <v>0</v>
      </c>
      <c r="AD13" s="12">
        <f t="shared" si="6"/>
        <v>78.50036447121663</v>
      </c>
      <c r="AE13" s="125">
        <f t="shared" si="7"/>
        <v>78.50036447121663</v>
      </c>
      <c r="AF13" s="19">
        <f t="shared" si="8"/>
        <v>74.3633243198372</v>
      </c>
    </row>
    <row r="14" spans="1:32" ht="22.5" customHeight="1">
      <c r="A14" s="67" t="s">
        <v>3</v>
      </c>
      <c r="B14" s="5" t="s">
        <v>10</v>
      </c>
      <c r="C14" s="13">
        <f t="shared" si="9"/>
        <v>900</v>
      </c>
      <c r="D14" s="3">
        <v>1</v>
      </c>
      <c r="E14" s="54" t="s">
        <v>20</v>
      </c>
      <c r="F14" s="55">
        <f>+'[3]03-0900-01'!$F$2</f>
        <v>250000000</v>
      </c>
      <c r="G14" s="40">
        <v>10000000</v>
      </c>
      <c r="H14" s="14">
        <f t="shared" si="3"/>
        <v>260000000</v>
      </c>
      <c r="I14" s="14"/>
      <c r="J14" s="14"/>
      <c r="K14" s="14"/>
      <c r="L14" s="14"/>
      <c r="M14" s="14"/>
      <c r="N14" s="14">
        <f>-38654000+83580624-44926624</f>
        <v>0</v>
      </c>
      <c r="O14" s="14"/>
      <c r="P14" s="15"/>
      <c r="Q14" s="14"/>
      <c r="R14" s="14">
        <f t="shared" si="0"/>
        <v>0</v>
      </c>
      <c r="S14" s="14">
        <v>0</v>
      </c>
      <c r="T14" s="14">
        <v>0</v>
      </c>
      <c r="U14" s="15">
        <f t="shared" si="1"/>
        <v>260000000</v>
      </c>
      <c r="V14" s="14"/>
      <c r="W14" s="14">
        <f t="shared" si="2"/>
        <v>0</v>
      </c>
      <c r="X14" s="148">
        <v>223631947</v>
      </c>
      <c r="Y14" s="148">
        <f>+'[3]03-0900-01'!$E$49</f>
        <v>0</v>
      </c>
      <c r="Z14" s="148">
        <v>48228163</v>
      </c>
      <c r="AA14" s="148">
        <v>212881559</v>
      </c>
      <c r="AB14" s="9">
        <f t="shared" si="4"/>
        <v>36368053</v>
      </c>
      <c r="AC14" s="12">
        <f t="shared" si="5"/>
        <v>0</v>
      </c>
      <c r="AD14" s="12">
        <f t="shared" si="6"/>
        <v>18.54929346153846</v>
      </c>
      <c r="AE14" s="125">
        <f t="shared" si="7"/>
        <v>86.0122873076923</v>
      </c>
      <c r="AF14" s="19">
        <f t="shared" si="8"/>
        <v>81.87752269230769</v>
      </c>
    </row>
    <row r="15" spans="1:32" ht="22.5" customHeight="1">
      <c r="A15" s="67" t="s">
        <v>3</v>
      </c>
      <c r="B15" s="5" t="s">
        <v>10</v>
      </c>
      <c r="C15" s="13">
        <f t="shared" si="9"/>
        <v>900</v>
      </c>
      <c r="D15" s="3">
        <v>2</v>
      </c>
      <c r="E15" s="54" t="s">
        <v>21</v>
      </c>
      <c r="F15" s="55">
        <f>+'[3]03-0900-02'!$F$3</f>
        <v>1067573103</v>
      </c>
      <c r="G15" s="40">
        <f>+ADICIONES2014!C50-301200000</f>
        <v>439727811</v>
      </c>
      <c r="H15" s="14">
        <f t="shared" si="3"/>
        <v>1507300914</v>
      </c>
      <c r="I15" s="14"/>
      <c r="J15" s="14"/>
      <c r="K15" s="14"/>
      <c r="L15" s="14"/>
      <c r="M15" s="14"/>
      <c r="N15" s="14">
        <v>76488483</v>
      </c>
      <c r="O15" s="14"/>
      <c r="P15" s="15"/>
      <c r="Q15" s="14"/>
      <c r="R15" s="14">
        <f t="shared" si="0"/>
        <v>0</v>
      </c>
      <c r="S15" s="14">
        <v>0</v>
      </c>
      <c r="T15" s="14">
        <f>+'[1]RESERVAS 2012'!$G$227</f>
        <v>76488483</v>
      </c>
      <c r="U15" s="15">
        <f t="shared" si="1"/>
        <v>1430812431</v>
      </c>
      <c r="V15" s="14"/>
      <c r="W15" s="14">
        <f t="shared" si="2"/>
        <v>5.074533047088698</v>
      </c>
      <c r="X15" s="148">
        <v>961937122</v>
      </c>
      <c r="Y15" s="148">
        <f>+'[3]03-0900-02'!$E$32</f>
        <v>258996703.376</v>
      </c>
      <c r="Z15" s="148">
        <v>567666322</v>
      </c>
      <c r="AA15" s="148">
        <v>567666322</v>
      </c>
      <c r="AB15" s="9">
        <f t="shared" si="4"/>
        <v>545363792</v>
      </c>
      <c r="AC15" s="12">
        <f t="shared" si="5"/>
        <v>17.182813396476185</v>
      </c>
      <c r="AD15" s="12">
        <f t="shared" si="6"/>
        <v>37.66111442827666</v>
      </c>
      <c r="AE15" s="125">
        <f t="shared" si="7"/>
        <v>63.818519120197394</v>
      </c>
      <c r="AF15" s="19">
        <f t="shared" si="8"/>
        <v>37.66111442827666</v>
      </c>
    </row>
    <row r="16" spans="1:32" ht="22.5" customHeight="1">
      <c r="A16" s="67" t="s">
        <v>3</v>
      </c>
      <c r="B16" s="5" t="s">
        <v>11</v>
      </c>
      <c r="C16" s="13">
        <f t="shared" si="9"/>
        <v>900</v>
      </c>
      <c r="D16" s="3">
        <v>1</v>
      </c>
      <c r="E16" s="54" t="s">
        <v>22</v>
      </c>
      <c r="F16" s="55">
        <f>+'[3]04-0900-01'!$E$2</f>
        <v>722715614</v>
      </c>
      <c r="G16" s="40">
        <f>+ADICIONES2014!E14+ADICIONES2014!E7+139200000</f>
        <v>724662251</v>
      </c>
      <c r="H16" s="14">
        <f t="shared" si="3"/>
        <v>1447377865</v>
      </c>
      <c r="I16" s="14"/>
      <c r="J16" s="14"/>
      <c r="K16" s="14"/>
      <c r="L16" s="14"/>
      <c r="M16" s="14"/>
      <c r="N16" s="14">
        <v>152849484</v>
      </c>
      <c r="O16" s="14"/>
      <c r="P16" s="15"/>
      <c r="Q16" s="14"/>
      <c r="R16" s="14">
        <f t="shared" si="0"/>
        <v>36427954</v>
      </c>
      <c r="S16" s="14">
        <f>+'[2]2010'!$F$163</f>
        <v>75867</v>
      </c>
      <c r="T16" s="14">
        <f>+'[1]RESERVAS 2012'!$G$246</f>
        <v>116345663</v>
      </c>
      <c r="U16" s="15">
        <f t="shared" si="1"/>
        <v>1294528381</v>
      </c>
      <c r="V16" s="14"/>
      <c r="W16" s="14">
        <f t="shared" si="2"/>
        <v>10.560440897719547</v>
      </c>
      <c r="X16" s="148">
        <v>1094724661</v>
      </c>
      <c r="Y16" s="148">
        <f>+'[3]04-0900-01'!$E$235</f>
        <v>0</v>
      </c>
      <c r="Z16" s="148">
        <v>778835327</v>
      </c>
      <c r="AA16" s="148">
        <v>810559008</v>
      </c>
      <c r="AB16" s="9">
        <f t="shared" si="4"/>
        <v>352653204</v>
      </c>
      <c r="AC16" s="12">
        <f t="shared" si="5"/>
        <v>0</v>
      </c>
      <c r="AD16" s="12">
        <f t="shared" si="6"/>
        <v>53.81008966860219</v>
      </c>
      <c r="AE16" s="125">
        <f t="shared" si="7"/>
        <v>75.63502852104207</v>
      </c>
      <c r="AF16" s="19">
        <f t="shared" si="8"/>
        <v>56.00189332728257</v>
      </c>
    </row>
    <row r="17" spans="1:33" ht="36" customHeight="1">
      <c r="A17" s="67" t="s">
        <v>3</v>
      </c>
      <c r="B17" s="5" t="s">
        <v>11</v>
      </c>
      <c r="C17" s="13">
        <f t="shared" si="9"/>
        <v>900</v>
      </c>
      <c r="D17" s="3">
        <v>2</v>
      </c>
      <c r="E17" s="54" t="s">
        <v>23</v>
      </c>
      <c r="F17" s="55">
        <f>+'[3]04-0900-02'!$F$1</f>
        <v>387580893</v>
      </c>
      <c r="G17" s="40">
        <f>+ADICIONES2014!E15-38000000</f>
        <v>202000000</v>
      </c>
      <c r="H17" s="14">
        <f t="shared" si="3"/>
        <v>589580893</v>
      </c>
      <c r="I17" s="14"/>
      <c r="J17" s="14"/>
      <c r="K17" s="14"/>
      <c r="L17" s="14"/>
      <c r="M17" s="14"/>
      <c r="N17" s="14">
        <v>19467520</v>
      </c>
      <c r="O17" s="14"/>
      <c r="P17" s="15"/>
      <c r="Q17" s="14"/>
      <c r="R17" s="14">
        <f t="shared" si="0"/>
        <v>1534972</v>
      </c>
      <c r="S17" s="14">
        <f>+'[2]2010'!$F$195</f>
        <v>198000</v>
      </c>
      <c r="T17" s="14">
        <f>+'[1]RESERVAS 2012'!$G$306</f>
        <v>17734548</v>
      </c>
      <c r="U17" s="15">
        <f t="shared" si="1"/>
        <v>570113373</v>
      </c>
      <c r="V17" s="14"/>
      <c r="W17" s="14">
        <f t="shared" si="2"/>
        <v>3.3019251863713297</v>
      </c>
      <c r="X17" s="148">
        <v>461646508</v>
      </c>
      <c r="Y17" s="148">
        <f>+'[3]04-0900-02'!$E$97</f>
        <v>3514624.48</v>
      </c>
      <c r="Z17" s="148">
        <v>240185542</v>
      </c>
      <c r="AA17" s="148">
        <v>244667310</v>
      </c>
      <c r="AB17" s="9">
        <f t="shared" si="4"/>
        <v>127934385</v>
      </c>
      <c r="AC17" s="12">
        <f t="shared" si="5"/>
        <v>0.5961225205444369</v>
      </c>
      <c r="AD17" s="12">
        <f t="shared" si="6"/>
        <v>40.7383524214717</v>
      </c>
      <c r="AE17" s="125">
        <f t="shared" si="7"/>
        <v>78.30079188132714</v>
      </c>
      <c r="AF17" s="19">
        <f t="shared" si="8"/>
        <v>41.498514097878</v>
      </c>
      <c r="AG17" s="17" t="s">
        <v>1</v>
      </c>
    </row>
    <row r="18" spans="1:32" ht="38.25" customHeight="1">
      <c r="A18" s="67" t="s">
        <v>3</v>
      </c>
      <c r="B18" s="5" t="s">
        <v>12</v>
      </c>
      <c r="C18" s="13">
        <f t="shared" si="9"/>
        <v>900</v>
      </c>
      <c r="D18" s="3">
        <v>1</v>
      </c>
      <c r="E18" s="54" t="s">
        <v>24</v>
      </c>
      <c r="F18" s="55">
        <f>+'[3]05-0900-01'!$F$2</f>
        <v>200000000</v>
      </c>
      <c r="G18" s="40">
        <f>+ADICIONES2014!E16</f>
        <v>10680552</v>
      </c>
      <c r="H18" s="14">
        <f t="shared" si="3"/>
        <v>210680552</v>
      </c>
      <c r="I18" s="14"/>
      <c r="J18" s="14"/>
      <c r="K18" s="14"/>
      <c r="L18" s="14"/>
      <c r="M18" s="14"/>
      <c r="N18" s="14">
        <v>203974258</v>
      </c>
      <c r="O18" s="14"/>
      <c r="P18" s="15"/>
      <c r="Q18" s="14"/>
      <c r="R18" s="14">
        <f t="shared" si="0"/>
        <v>42361514.95999999</v>
      </c>
      <c r="S18" s="14">
        <f>+'[2]2010'!$F$203</f>
        <v>50523840</v>
      </c>
      <c r="T18" s="14">
        <f>+'[1]RESERVAS 2012'!$G$336</f>
        <v>111088903.04</v>
      </c>
      <c r="U18" s="15">
        <f t="shared" si="1"/>
        <v>6706294</v>
      </c>
      <c r="V18" s="14"/>
      <c r="W18" s="14">
        <f t="shared" si="2"/>
        <v>96.81684240128628</v>
      </c>
      <c r="X18" s="148">
        <v>205545364</v>
      </c>
      <c r="Y18" s="148">
        <f>+'[3]05-0900-01'!$E$40</f>
        <v>5421600</v>
      </c>
      <c r="Z18" s="148">
        <v>8331192</v>
      </c>
      <c r="AA18" s="148">
        <v>34069978</v>
      </c>
      <c r="AB18" s="9">
        <f t="shared" si="4"/>
        <v>5135188</v>
      </c>
      <c r="AC18" s="12">
        <f t="shared" si="5"/>
        <v>2.5733746890885305</v>
      </c>
      <c r="AD18" s="12">
        <f t="shared" si="6"/>
        <v>3.954419105566042</v>
      </c>
      <c r="AE18" s="125">
        <f t="shared" si="7"/>
        <v>97.56257141380567</v>
      </c>
      <c r="AF18" s="19">
        <f t="shared" si="8"/>
        <v>16.17139203242642</v>
      </c>
    </row>
    <row r="19" spans="1:32" ht="41.25" customHeight="1">
      <c r="A19" s="67" t="s">
        <v>3</v>
      </c>
      <c r="B19" s="5" t="s">
        <v>13</v>
      </c>
      <c r="C19" s="13">
        <f t="shared" si="9"/>
        <v>900</v>
      </c>
      <c r="D19" s="3">
        <v>1</v>
      </c>
      <c r="E19" s="56" t="s">
        <v>25</v>
      </c>
      <c r="F19" s="55">
        <f>+'[3]06-0900-01'!$E$3</f>
        <v>220000000</v>
      </c>
      <c r="G19" s="40">
        <f>+ADICIONES2014!E17</f>
        <v>250000000</v>
      </c>
      <c r="H19" s="14">
        <f t="shared" si="3"/>
        <v>470000000</v>
      </c>
      <c r="I19" s="14"/>
      <c r="J19" s="14"/>
      <c r="K19" s="14"/>
      <c r="L19" s="14"/>
      <c r="M19" s="14"/>
      <c r="N19" s="14">
        <v>145590431</v>
      </c>
      <c r="O19" s="14"/>
      <c r="P19" s="15"/>
      <c r="Q19" s="14"/>
      <c r="R19" s="14">
        <f t="shared" si="0"/>
        <v>72795215.22</v>
      </c>
      <c r="S19" s="14">
        <v>0</v>
      </c>
      <c r="T19" s="14">
        <f>+'[1]RESERVAS 2012'!$G$342</f>
        <v>72795215.78</v>
      </c>
      <c r="U19" s="15">
        <f t="shared" si="1"/>
        <v>324409569</v>
      </c>
      <c r="V19" s="14"/>
      <c r="W19" s="14">
        <f t="shared" si="2"/>
        <v>30.97668744680851</v>
      </c>
      <c r="X19" s="148">
        <v>427922707</v>
      </c>
      <c r="Y19" s="148">
        <f>+'[3]06-0900-01'!$E$46</f>
        <v>0</v>
      </c>
      <c r="Z19" s="148">
        <v>70026424</v>
      </c>
      <c r="AA19" s="148">
        <v>341071750</v>
      </c>
      <c r="AB19" s="9">
        <f t="shared" si="4"/>
        <v>42077293</v>
      </c>
      <c r="AC19" s="12">
        <f t="shared" si="5"/>
        <v>0</v>
      </c>
      <c r="AD19" s="12">
        <f t="shared" si="6"/>
        <v>14.89923914893617</v>
      </c>
      <c r="AE19" s="125">
        <f t="shared" si="7"/>
        <v>91.0473844680851</v>
      </c>
      <c r="AF19" s="19">
        <f t="shared" si="8"/>
        <v>72.56845744680851</v>
      </c>
    </row>
    <row r="20" spans="1:32" ht="22.5" customHeight="1">
      <c r="A20" s="67" t="s">
        <v>3</v>
      </c>
      <c r="B20" s="5" t="s">
        <v>13</v>
      </c>
      <c r="C20" s="13">
        <f t="shared" si="9"/>
        <v>900</v>
      </c>
      <c r="D20" s="3">
        <v>2</v>
      </c>
      <c r="E20" s="56" t="s">
        <v>26</v>
      </c>
      <c r="F20" s="55">
        <f>+'[3]06-0900-02'!$F$2</f>
        <v>225000000</v>
      </c>
      <c r="G20" s="40">
        <f>+ADICIONES2014!E18+ADICIONES2014!C21</f>
        <v>701625200</v>
      </c>
      <c r="H20" s="14">
        <f t="shared" si="3"/>
        <v>926625200</v>
      </c>
      <c r="I20" s="14"/>
      <c r="J20" s="14"/>
      <c r="K20" s="14"/>
      <c r="L20" s="14"/>
      <c r="M20" s="14"/>
      <c r="N20" s="14">
        <v>15121222</v>
      </c>
      <c r="O20" s="14"/>
      <c r="P20" s="15"/>
      <c r="Q20" s="14"/>
      <c r="R20" s="14">
        <f t="shared" si="0"/>
        <v>15121222</v>
      </c>
      <c r="S20" s="14">
        <v>0</v>
      </c>
      <c r="T20" s="14">
        <v>0</v>
      </c>
      <c r="U20" s="15">
        <f t="shared" si="1"/>
        <v>911503978</v>
      </c>
      <c r="V20" s="14"/>
      <c r="W20" s="14">
        <f t="shared" si="2"/>
        <v>1.6318595695433278</v>
      </c>
      <c r="X20" s="148">
        <v>911450750</v>
      </c>
      <c r="Y20" s="148">
        <f>+'[3]06-0900-02'!$E$33</f>
        <v>0</v>
      </c>
      <c r="Z20" s="148">
        <v>7208549</v>
      </c>
      <c r="AA20" s="148">
        <v>173703068</v>
      </c>
      <c r="AB20" s="9">
        <f t="shared" si="4"/>
        <v>15174450</v>
      </c>
      <c r="AC20" s="12">
        <f t="shared" si="5"/>
        <v>0</v>
      </c>
      <c r="AD20" s="12">
        <f t="shared" si="6"/>
        <v>0.7779357824501212</v>
      </c>
      <c r="AE20" s="125">
        <f t="shared" si="7"/>
        <v>98.36239614463324</v>
      </c>
      <c r="AF20" s="19">
        <f t="shared" si="8"/>
        <v>18.745774235365065</v>
      </c>
    </row>
    <row r="21" spans="1:32" ht="22.5" customHeight="1">
      <c r="A21" s="67" t="s">
        <v>1</v>
      </c>
      <c r="B21" s="5"/>
      <c r="C21" s="13"/>
      <c r="D21" s="3"/>
      <c r="E21" s="143"/>
      <c r="F21" s="55"/>
      <c r="G21" s="40"/>
      <c r="H21" s="14"/>
      <c r="I21" s="14"/>
      <c r="J21" s="14"/>
      <c r="K21" s="14"/>
      <c r="L21" s="14"/>
      <c r="M21" s="14"/>
      <c r="N21" s="14"/>
      <c r="O21" s="14"/>
      <c r="P21" s="15"/>
      <c r="Q21" s="14"/>
      <c r="R21" s="14"/>
      <c r="S21" s="14"/>
      <c r="T21" s="14"/>
      <c r="U21" s="14"/>
      <c r="V21" s="14"/>
      <c r="W21" s="14"/>
      <c r="X21" s="9"/>
      <c r="Y21" s="9"/>
      <c r="Z21" s="11" t="s">
        <v>1</v>
      </c>
      <c r="AA21" s="11"/>
      <c r="AB21" s="9">
        <f t="shared" si="4"/>
        <v>0</v>
      </c>
      <c r="AC21" s="12"/>
      <c r="AD21" s="12" t="s">
        <v>1</v>
      </c>
      <c r="AE21" s="155" t="s">
        <v>1</v>
      </c>
      <c r="AF21" s="19" t="s">
        <v>1</v>
      </c>
    </row>
    <row r="22" spans="1:32" ht="22.5" customHeight="1" thickBot="1">
      <c r="A22" s="68"/>
      <c r="B22" s="69"/>
      <c r="C22" s="70"/>
      <c r="D22" s="71"/>
      <c r="E22" s="144" t="s">
        <v>28</v>
      </c>
      <c r="F22" s="72">
        <f>SUM(F6:F21)</f>
        <v>10820825641</v>
      </c>
      <c r="G22" s="72">
        <f>SUM(G6:G21)</f>
        <v>5501690073</v>
      </c>
      <c r="H22" s="72">
        <f>SUM(H6:H21)</f>
        <v>16322515714</v>
      </c>
      <c r="I22" s="73"/>
      <c r="J22" s="73"/>
      <c r="K22" s="73"/>
      <c r="L22" s="73"/>
      <c r="M22" s="73"/>
      <c r="N22" s="73"/>
      <c r="O22" s="73"/>
      <c r="P22" s="74"/>
      <c r="Q22" s="73"/>
      <c r="R22" s="73"/>
      <c r="S22" s="73"/>
      <c r="T22" s="73"/>
      <c r="U22" s="73"/>
      <c r="V22" s="73"/>
      <c r="W22" s="73"/>
      <c r="X22" s="75">
        <f>SUM(X6:X21)+1</f>
        <v>13319391151</v>
      </c>
      <c r="Y22" s="72">
        <f>+Y6+Y7+Y9+Y10+Y11+Y12+Y13+Y14+Y15+Y16+Y17+Y18+Y19+Y20</f>
        <v>295611313.856</v>
      </c>
      <c r="Z22" s="75">
        <f>SUM(Z6:Z20)</f>
        <v>8371414931</v>
      </c>
      <c r="AA22" s="75">
        <f>SUM(AA6:AA21)+1</f>
        <v>9584281592</v>
      </c>
      <c r="AB22" s="145">
        <f t="shared" si="4"/>
        <v>3003124563</v>
      </c>
      <c r="AC22" s="76">
        <f>+Y22/H22*100</f>
        <v>1.811064660838102</v>
      </c>
      <c r="AD22" s="107">
        <f t="shared" si="6"/>
        <v>51.2875286976734</v>
      </c>
      <c r="AE22" s="153">
        <f t="shared" si="7"/>
        <v>81.60133759023319</v>
      </c>
      <c r="AF22" s="19">
        <f t="shared" si="8"/>
        <v>58.71816428260171</v>
      </c>
    </row>
    <row r="23" spans="5:32" ht="12.75">
      <c r="E23" s="17"/>
      <c r="F23" s="21" t="s">
        <v>1</v>
      </c>
      <c r="G23" s="21" t="s">
        <v>1</v>
      </c>
      <c r="H23" s="21" t="s">
        <v>1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21" t="s">
        <v>1</v>
      </c>
      <c r="Y23" s="17"/>
      <c r="Z23" s="21" t="s">
        <v>1</v>
      </c>
      <c r="AA23" s="21"/>
      <c r="AB23" s="21" t="s">
        <v>1</v>
      </c>
      <c r="AC23" s="49" t="s">
        <v>1</v>
      </c>
      <c r="AD23" s="17"/>
      <c r="AE23" s="1"/>
      <c r="AF23" s="44"/>
    </row>
    <row r="24" spans="5:32" ht="12.75">
      <c r="E24" s="17"/>
      <c r="F24" s="21" t="s">
        <v>1</v>
      </c>
      <c r="G24" s="21" t="s">
        <v>1</v>
      </c>
      <c r="H24" s="21" t="s">
        <v>1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21" t="s">
        <v>5</v>
      </c>
      <c r="Y24" s="21" t="s">
        <v>1</v>
      </c>
      <c r="Z24" s="17" t="s">
        <v>1</v>
      </c>
      <c r="AA24" s="17"/>
      <c r="AB24" s="17" t="s">
        <v>5</v>
      </c>
      <c r="AC24" s="17" t="s">
        <v>1</v>
      </c>
      <c r="AD24" s="17"/>
      <c r="AE24" s="1"/>
      <c r="AF24" s="44"/>
    </row>
    <row r="25" spans="5:32" ht="12.75">
      <c r="E25" s="17"/>
      <c r="F25" s="17"/>
      <c r="G25" s="21" t="s">
        <v>1</v>
      </c>
      <c r="H25" s="21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 t="s">
        <v>1</v>
      </c>
      <c r="AA25" s="17"/>
      <c r="AB25" s="17"/>
      <c r="AC25" s="17" t="s">
        <v>5</v>
      </c>
      <c r="AD25" s="17"/>
      <c r="AE25" s="1"/>
      <c r="AF25" s="44"/>
    </row>
    <row r="26" spans="5:32" ht="12.75">
      <c r="E26" s="17"/>
      <c r="F26" s="17"/>
      <c r="G26" s="21" t="s">
        <v>1</v>
      </c>
      <c r="H26" s="21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 t="s">
        <v>1</v>
      </c>
      <c r="AD26" s="17"/>
      <c r="AE26" s="1"/>
      <c r="AF26" s="44"/>
    </row>
    <row r="27" spans="5:32" ht="12.75">
      <c r="E27" s="17"/>
      <c r="F27" s="17"/>
      <c r="G27" s="21" t="s">
        <v>5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21" t="s">
        <v>1</v>
      </c>
      <c r="Y27" s="21"/>
      <c r="Z27" s="17"/>
      <c r="AA27" s="17"/>
      <c r="AB27" s="17"/>
      <c r="AC27" s="17"/>
      <c r="AD27" s="17"/>
      <c r="AE27" s="1"/>
      <c r="AF27" s="44"/>
    </row>
    <row r="28" spans="5:32" ht="12.75">
      <c r="E28" s="17"/>
      <c r="F28" s="17"/>
      <c r="G28" s="21" t="s">
        <v>1</v>
      </c>
      <c r="H28" s="21" t="s">
        <v>1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21"/>
      <c r="Y28" s="21"/>
      <c r="Z28" s="17"/>
      <c r="AA28" s="17"/>
      <c r="AB28" s="17"/>
      <c r="AC28" s="17"/>
      <c r="AD28" s="17"/>
      <c r="AE28" s="1"/>
      <c r="AF28" s="44"/>
    </row>
    <row r="29" spans="5:32" ht="12.75">
      <c r="E29" s="57"/>
      <c r="F29" s="17"/>
      <c r="G29" s="21" t="s">
        <v>1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21"/>
      <c r="Y29" s="21"/>
      <c r="Z29" s="17"/>
      <c r="AA29" s="17"/>
      <c r="AB29" s="17"/>
      <c r="AC29" s="17"/>
      <c r="AD29" s="17"/>
      <c r="AE29" s="1"/>
      <c r="AF29" s="44"/>
    </row>
    <row r="30" spans="5:32" ht="12.75">
      <c r="E30" s="58" t="s">
        <v>99</v>
      </c>
      <c r="F30" s="17"/>
      <c r="G30" s="21" t="s">
        <v>1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"/>
      <c r="AF30" s="44"/>
    </row>
    <row r="31" spans="5:32" ht="12.75">
      <c r="E31" s="58" t="s">
        <v>100</v>
      </c>
      <c r="F31" s="17"/>
      <c r="G31" s="21" t="s">
        <v>1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"/>
      <c r="AF31" s="44"/>
    </row>
    <row r="32" spans="5:32" ht="12.75">
      <c r="E32" s="17"/>
      <c r="F32" s="17"/>
      <c r="G32" s="21" t="s">
        <v>1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"/>
      <c r="AF32" s="44"/>
    </row>
    <row r="33" spans="5:32" ht="12.75">
      <c r="E33" s="17"/>
      <c r="F33" s="17"/>
      <c r="G33" s="21" t="s">
        <v>1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"/>
      <c r="AF33" s="44"/>
    </row>
    <row r="34" spans="5:32" ht="12.75">
      <c r="E34" s="17"/>
      <c r="F34" s="17"/>
      <c r="G34" s="21" t="s">
        <v>1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"/>
      <c r="AF34" s="44"/>
    </row>
    <row r="35" spans="1:32" ht="12.75">
      <c r="A35" s="2"/>
      <c r="B35" s="2"/>
      <c r="C35" s="2"/>
      <c r="D35" s="2"/>
      <c r="E35" s="166" t="s">
        <v>0</v>
      </c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25"/>
      <c r="AF35" s="112"/>
    </row>
    <row r="36" spans="1:32" ht="12.75">
      <c r="A36" s="2"/>
      <c r="B36" s="2"/>
      <c r="C36" s="2"/>
      <c r="D36" s="2"/>
      <c r="E36" s="167" t="s">
        <v>176</v>
      </c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25"/>
      <c r="AF36" s="19"/>
    </row>
    <row r="37" spans="1:32" ht="12.75">
      <c r="A37" s="2"/>
      <c r="B37" s="2"/>
      <c r="C37" s="2"/>
      <c r="D37" s="2"/>
      <c r="E37" s="20"/>
      <c r="F37" s="20"/>
      <c r="G37" s="4" t="s">
        <v>1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125"/>
      <c r="AF37" s="19"/>
    </row>
    <row r="38" spans="1:32" ht="38.25">
      <c r="A38" s="2"/>
      <c r="B38" s="2"/>
      <c r="C38" s="2"/>
      <c r="D38" s="83"/>
      <c r="E38" s="59" t="s">
        <v>4</v>
      </c>
      <c r="F38" s="60" t="s">
        <v>29</v>
      </c>
      <c r="G38" s="22" t="s">
        <v>2</v>
      </c>
      <c r="H38" s="22" t="s">
        <v>30</v>
      </c>
      <c r="I38" s="23"/>
      <c r="J38" s="16"/>
      <c r="K38" s="23"/>
      <c r="L38" s="23"/>
      <c r="M38" s="23"/>
      <c r="N38" s="23" t="s">
        <v>1</v>
      </c>
      <c r="O38" s="23"/>
      <c r="P38" s="24"/>
      <c r="Q38" s="23"/>
      <c r="R38" s="23"/>
      <c r="S38" s="23"/>
      <c r="T38" s="23"/>
      <c r="U38" s="23" t="s">
        <v>1</v>
      </c>
      <c r="V38" s="23"/>
      <c r="W38" s="23"/>
      <c r="X38" s="25" t="s">
        <v>31</v>
      </c>
      <c r="Y38" s="25" t="s">
        <v>32</v>
      </c>
      <c r="Z38" s="26" t="s">
        <v>32</v>
      </c>
      <c r="AA38" s="26" t="s">
        <v>6</v>
      </c>
      <c r="AB38" s="26" t="s">
        <v>103</v>
      </c>
      <c r="AC38" s="78" t="s">
        <v>33</v>
      </c>
      <c r="AD38" s="25" t="s">
        <v>104</v>
      </c>
      <c r="AE38" s="161" t="s">
        <v>180</v>
      </c>
      <c r="AF38" s="162" t="s">
        <v>181</v>
      </c>
    </row>
    <row r="39" spans="1:32" ht="12.75">
      <c r="A39" s="2"/>
      <c r="B39" s="2"/>
      <c r="C39" s="2"/>
      <c r="D39" s="2"/>
      <c r="E39" s="59"/>
      <c r="F39" s="60"/>
      <c r="G39" s="22"/>
      <c r="H39" s="22"/>
      <c r="I39" s="23"/>
      <c r="J39" s="16"/>
      <c r="K39" s="23"/>
      <c r="L39" s="23"/>
      <c r="M39" s="23"/>
      <c r="N39" s="23"/>
      <c r="O39" s="23"/>
      <c r="P39" s="24"/>
      <c r="Q39" s="23"/>
      <c r="R39" s="23"/>
      <c r="S39" s="23"/>
      <c r="T39" s="23"/>
      <c r="U39" s="23"/>
      <c r="V39" s="23"/>
      <c r="W39" s="23"/>
      <c r="X39" s="25"/>
      <c r="Y39" s="25"/>
      <c r="Z39" s="80"/>
      <c r="AA39" s="80"/>
      <c r="AB39" s="80"/>
      <c r="AC39" s="78"/>
      <c r="AD39" s="25"/>
      <c r="AE39" s="125"/>
      <c r="AF39" s="19"/>
    </row>
    <row r="40" spans="1:32" ht="25.5">
      <c r="A40" s="7" t="s">
        <v>101</v>
      </c>
      <c r="B40" s="2">
        <v>213</v>
      </c>
      <c r="C40" s="2">
        <v>906</v>
      </c>
      <c r="D40" s="2">
        <v>1</v>
      </c>
      <c r="E40" s="61" t="s">
        <v>102</v>
      </c>
      <c r="F40" s="20">
        <v>1900000000</v>
      </c>
      <c r="G40" s="4">
        <v>0</v>
      </c>
      <c r="H40" s="20">
        <f>+F40+G40</f>
        <v>1900000000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>
        <f>+'[3]013-000-2-906-1'!$E$55-'[3]013-000-2-906-1'!$E$49-'[3]013-000-2-906-1'!$E$50</f>
        <v>-678923032</v>
      </c>
      <c r="Y40" s="20">
        <f>75696377+33600000-1740880+84384960+87059251+24874072+56531980+169595942+35049829+36180468</f>
        <v>601231999</v>
      </c>
      <c r="Z40" s="20">
        <v>526090933</v>
      </c>
      <c r="AA40" s="20">
        <v>452890591</v>
      </c>
      <c r="AB40" s="20">
        <f>+H40-X40</f>
        <v>2578923032</v>
      </c>
      <c r="AC40" s="79">
        <f>+Y40/H40*100</f>
        <v>31.64378942105263</v>
      </c>
      <c r="AD40" s="19">
        <v>0</v>
      </c>
      <c r="AE40" s="125">
        <f>+X40/H40*100</f>
        <v>-35.73279115789474</v>
      </c>
      <c r="AF40" s="19">
        <f>+AA40/H40*100</f>
        <v>23.83634689473684</v>
      </c>
    </row>
    <row r="41" spans="1:32" ht="12.75">
      <c r="A41" s="2"/>
      <c r="B41" s="2"/>
      <c r="C41" s="2"/>
      <c r="D41" s="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79"/>
      <c r="AD41" s="19"/>
      <c r="AE41" s="125"/>
      <c r="AF41" s="19"/>
    </row>
    <row r="42" spans="1:32" ht="12.75">
      <c r="A42" s="2"/>
      <c r="B42" s="2"/>
      <c r="C42" s="2"/>
      <c r="D42" s="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79"/>
      <c r="AD42" s="19"/>
      <c r="AE42" s="125"/>
      <c r="AF42" s="19"/>
    </row>
    <row r="43" spans="1:32" ht="12.75">
      <c r="A43" s="2"/>
      <c r="B43" s="2"/>
      <c r="C43" s="2"/>
      <c r="D43" s="2"/>
      <c r="E43" s="4" t="s">
        <v>28</v>
      </c>
      <c r="F43" s="20">
        <f>+F40</f>
        <v>1900000000</v>
      </c>
      <c r="G43" s="20">
        <f>+G40</f>
        <v>0</v>
      </c>
      <c r="H43" s="20">
        <f>+H40</f>
        <v>1900000000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>
        <f aca="true" t="shared" si="10" ref="X43:AD43">+X40</f>
        <v>-678923032</v>
      </c>
      <c r="Y43" s="20">
        <f t="shared" si="10"/>
        <v>601231999</v>
      </c>
      <c r="Z43" s="20">
        <f t="shared" si="10"/>
        <v>526090933</v>
      </c>
      <c r="AA43" s="20">
        <f>+AA40</f>
        <v>452890591</v>
      </c>
      <c r="AB43" s="20">
        <f t="shared" si="10"/>
        <v>2578923032</v>
      </c>
      <c r="AC43" s="79">
        <f t="shared" si="10"/>
        <v>31.64378942105263</v>
      </c>
      <c r="AD43" s="19">
        <f t="shared" si="10"/>
        <v>0</v>
      </c>
      <c r="AE43" s="125">
        <f>+X43/H43*100</f>
        <v>-35.73279115789474</v>
      </c>
      <c r="AF43" s="19">
        <f>+AF40</f>
        <v>23.83634689473684</v>
      </c>
    </row>
    <row r="44" spans="1:32" ht="12.75">
      <c r="A44" s="2"/>
      <c r="B44" s="2"/>
      <c r="C44" s="2"/>
      <c r="D44" s="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77"/>
      <c r="AD44" s="20"/>
      <c r="AE44" s="125"/>
      <c r="AF44" s="19"/>
    </row>
    <row r="45" spans="1:32" ht="12.75">
      <c r="A45" s="2"/>
      <c r="B45" s="2"/>
      <c r="C45" s="2"/>
      <c r="D45" s="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77"/>
      <c r="AD45" s="20"/>
      <c r="AE45" s="125"/>
      <c r="AF45" s="19"/>
    </row>
    <row r="46" spans="1:32" ht="12.75">
      <c r="A46" s="2"/>
      <c r="B46" s="2"/>
      <c r="C46" s="2"/>
      <c r="D46" s="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77"/>
      <c r="AD46" s="20"/>
      <c r="AE46" s="125"/>
      <c r="AF46" s="19"/>
    </row>
    <row r="47" spans="1:32" ht="12.75">
      <c r="A47" s="2"/>
      <c r="B47" s="2"/>
      <c r="C47" s="2"/>
      <c r="D47" s="2"/>
      <c r="E47" s="2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79"/>
      <c r="AD47" s="19"/>
      <c r="AE47" s="125"/>
      <c r="AF47" s="19"/>
    </row>
    <row r="48" spans="1:32" ht="12.75">
      <c r="A48" s="2"/>
      <c r="B48" s="2"/>
      <c r="C48" s="2"/>
      <c r="D48" s="2"/>
      <c r="E48" s="2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79"/>
      <c r="AD48" s="19"/>
      <c r="AE48" s="125"/>
      <c r="AF48" s="19"/>
    </row>
    <row r="49" spans="6:31" ht="12.75">
      <c r="F49" s="1"/>
      <c r="G49" s="1"/>
      <c r="H49" s="1" t="s">
        <v>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>
        <f>+'[3]013-000-2-906-1'!$E$45</f>
        <v>1955735</v>
      </c>
      <c r="Z49" s="1"/>
      <c r="AA49" s="1"/>
      <c r="AB49" s="44"/>
      <c r="AC49" s="1"/>
      <c r="AD49" s="1"/>
      <c r="AE49" s="1"/>
    </row>
    <row r="50" spans="6:31" ht="12.75">
      <c r="F50" s="1" t="s">
        <v>1</v>
      </c>
      <c r="G50" s="1"/>
      <c r="H50" s="17" t="s">
        <v>1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6" t="s">
        <v>1</v>
      </c>
      <c r="Z50" s="1"/>
      <c r="AA50" s="1"/>
      <c r="AB50" s="44"/>
      <c r="AC50" s="1"/>
      <c r="AD50" s="1"/>
      <c r="AE50" s="1"/>
    </row>
    <row r="51" spans="6:31" ht="12.75">
      <c r="F51" s="1"/>
      <c r="G51" s="1"/>
      <c r="H51" s="21" t="s">
        <v>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6:31" ht="12.75">
      <c r="F52" s="1"/>
      <c r="G52" s="1"/>
      <c r="H52" s="1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6:31" ht="12.75">
      <c r="F53" s="1"/>
      <c r="G53" s="1"/>
      <c r="H53" s="1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6:31" ht="12.75">
      <c r="F54" s="1"/>
      <c r="G54" s="1"/>
      <c r="H54" s="1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6:31" ht="12.75">
      <c r="F55" s="1"/>
      <c r="G55" s="1"/>
      <c r="H55" s="1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6:31" ht="12.75">
      <c r="F56" s="1"/>
      <c r="G56" s="1"/>
      <c r="H56" s="17" t="s">
        <v>1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6:31" ht="12.75">
      <c r="F57" s="1"/>
      <c r="G57" s="1"/>
      <c r="H57" s="1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6:31" ht="12.75">
      <c r="F58" s="1"/>
      <c r="G58" s="1"/>
      <c r="H58" s="1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6:31" ht="12.75">
      <c r="F59" s="1"/>
      <c r="G59" s="1"/>
      <c r="H59" s="1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6:31" ht="12.75">
      <c r="F60" s="1"/>
      <c r="G60" s="1"/>
      <c r="H60" s="1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6:31" ht="12.75">
      <c r="F61" s="1"/>
      <c r="G61" s="1"/>
      <c r="H61" s="1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6:31" ht="12.75">
      <c r="F62" s="1"/>
      <c r="G62" s="1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6:31" ht="12.75">
      <c r="F63" s="1"/>
      <c r="G63" s="1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6:31" ht="12.75">
      <c r="F64" s="1"/>
      <c r="G64" s="1"/>
      <c r="H64" s="1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6:31" ht="12.75">
      <c r="F65" s="1"/>
      <c r="G65" s="1"/>
      <c r="H65" s="1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6:31" ht="12.75">
      <c r="F66" s="1"/>
      <c r="G66" s="1"/>
      <c r="H66" s="1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6:31" ht="12.75">
      <c r="F67" s="1"/>
      <c r="G67" s="1"/>
      <c r="H67" s="1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6:31" ht="12.75">
      <c r="F68" s="1"/>
      <c r="G68" s="1"/>
      <c r="H68" s="1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6:31" ht="12.75">
      <c r="F69" s="1"/>
      <c r="G69" s="1"/>
      <c r="H69" s="1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6:31" ht="12.75">
      <c r="F70" s="1"/>
      <c r="G70" s="1"/>
      <c r="H70" s="1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6:31" ht="12.75">
      <c r="F71" s="1"/>
      <c r="G71" s="1"/>
      <c r="H71" s="1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6:31" ht="12.75">
      <c r="F72" s="1"/>
      <c r="G72" s="1"/>
      <c r="H72" s="1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6:31" ht="12.75">
      <c r="F73" s="1"/>
      <c r="G73" s="1"/>
      <c r="H73" s="1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6:31" ht="12.75">
      <c r="F74" s="1"/>
      <c r="G74" s="1"/>
      <c r="H74" s="1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6:31" ht="12.75">
      <c r="F75" s="1"/>
      <c r="G75" s="1"/>
      <c r="H75" s="1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6:31" ht="12.75">
      <c r="F76" s="1"/>
      <c r="G76" s="1"/>
      <c r="H76" s="1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6:31" ht="12.75">
      <c r="F77" s="1"/>
      <c r="G77" s="1"/>
      <c r="H77" s="1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6:31" ht="12.75">
      <c r="F78" s="1"/>
      <c r="G78" s="1"/>
      <c r="H78" s="1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6:31" ht="12.75">
      <c r="F79" s="1"/>
      <c r="G79" s="1"/>
      <c r="H79" s="1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6:31" ht="12.75">
      <c r="F80" s="1"/>
      <c r="G80" s="1"/>
      <c r="H80" s="1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6:31" ht="12.75">
      <c r="F81" s="1"/>
      <c r="G81" s="1"/>
      <c r="H81" s="1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6:31" ht="12.75">
      <c r="F82" s="1"/>
      <c r="G82" s="1"/>
      <c r="H82" s="1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6:31" ht="12.75">
      <c r="F83" s="1"/>
      <c r="G83" s="1"/>
      <c r="H83" s="1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6:31" ht="12.75">
      <c r="F84" s="1"/>
      <c r="G84" s="1"/>
      <c r="H84" s="1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6:31" ht="12.7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6:31" ht="12.75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6:31" ht="12.75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6:31" ht="12.7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6:31" ht="12.75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6:31" ht="12.75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6:31" ht="12.75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6:31" ht="12.75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6:31" ht="12.7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6:31" ht="12.75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6:31" ht="12.75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6:31" ht="12.75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6:31" ht="12.75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ht="12.75">
      <c r="AE98" s="1"/>
    </row>
    <row r="99" ht="12.75">
      <c r="AE99" s="1"/>
    </row>
    <row r="100" ht="12.75">
      <c r="AE100" s="1"/>
    </row>
    <row r="101" ht="12.75">
      <c r="AE101" s="1"/>
    </row>
    <row r="102" ht="12.75">
      <c r="AE102" s="1"/>
    </row>
    <row r="103" ht="12.75">
      <c r="AE103" s="1"/>
    </row>
    <row r="104" ht="12.75">
      <c r="AE104" s="1"/>
    </row>
    <row r="105" ht="12.75">
      <c r="AE105" s="1"/>
    </row>
    <row r="106" ht="12.75">
      <c r="AE106" s="1"/>
    </row>
    <row r="107" ht="12.75">
      <c r="AE107" s="1"/>
    </row>
    <row r="108" ht="12.75">
      <c r="AE108" s="1"/>
    </row>
    <row r="109" ht="12.75">
      <c r="AE109" s="1"/>
    </row>
    <row r="110" ht="12.75">
      <c r="AE110" s="1"/>
    </row>
  </sheetData>
  <sheetProtection/>
  <mergeCells count="4">
    <mergeCell ref="E2:AD2"/>
    <mergeCell ref="E35:AD35"/>
    <mergeCell ref="E36:AD36"/>
    <mergeCell ref="E1:AB1"/>
  </mergeCells>
  <printOptions/>
  <pageMargins left="0.7874015748031497" right="0.7480314960629921" top="0.984251968503937" bottom="0.984251968503937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0"/>
  <sheetViews>
    <sheetView zoomScalePageLayoutView="0" workbookViewId="0" topLeftCell="A21">
      <selection activeCell="H11" sqref="H11"/>
    </sheetView>
  </sheetViews>
  <sheetFormatPr defaultColWidth="11.421875" defaultRowHeight="12.75"/>
  <cols>
    <col min="1" max="1" width="43.421875" style="0" customWidth="1"/>
    <col min="2" max="2" width="25.00390625" style="0" customWidth="1"/>
    <col min="3" max="3" width="20.7109375" style="0" customWidth="1"/>
    <col min="4" max="4" width="19.8515625" style="0" customWidth="1"/>
    <col min="5" max="5" width="18.28125" style="0" customWidth="1"/>
    <col min="6" max="6" width="18.8515625" style="0" customWidth="1"/>
    <col min="7" max="7" width="36.00390625" style="0" customWidth="1"/>
    <col min="8" max="9" width="19.8515625" style="0" customWidth="1"/>
    <col min="10" max="10" width="20.00390625" style="0" customWidth="1"/>
    <col min="11" max="11" width="17.421875" style="0" customWidth="1"/>
    <col min="12" max="12" width="15.8515625" style="0" customWidth="1"/>
    <col min="13" max="13" width="16.57421875" style="0" customWidth="1"/>
    <col min="14" max="14" width="15.28125" style="0" bestFit="1" customWidth="1"/>
    <col min="25" max="26" width="13.7109375" style="0" bestFit="1" customWidth="1"/>
  </cols>
  <sheetData>
    <row r="1" spans="1:9" ht="15">
      <c r="A1" s="169" t="s">
        <v>0</v>
      </c>
      <c r="B1" s="170"/>
      <c r="C1" s="170"/>
      <c r="D1" s="170"/>
      <c r="E1" s="170"/>
      <c r="F1" s="170"/>
      <c r="G1" s="171"/>
      <c r="H1" s="41"/>
      <c r="I1" s="41"/>
    </row>
    <row r="2" spans="1:9" ht="15">
      <c r="A2" s="169" t="s">
        <v>34</v>
      </c>
      <c r="B2" s="170"/>
      <c r="C2" s="170"/>
      <c r="D2" s="170"/>
      <c r="E2" s="170"/>
      <c r="F2" s="170"/>
      <c r="G2" s="171"/>
      <c r="H2" s="41"/>
      <c r="I2" s="41"/>
    </row>
    <row r="3" spans="1:9" ht="12.75">
      <c r="A3" s="2"/>
      <c r="B3" s="2"/>
      <c r="C3" s="2"/>
      <c r="D3" s="2"/>
      <c r="E3" s="2"/>
      <c r="F3" s="2"/>
      <c r="G3" s="2"/>
      <c r="H3" s="42"/>
      <c r="I3" s="42"/>
    </row>
    <row r="4" spans="1:9" ht="15">
      <c r="A4" s="33" t="s">
        <v>35</v>
      </c>
      <c r="B4" s="33" t="s">
        <v>36</v>
      </c>
      <c r="C4" s="34" t="s">
        <v>37</v>
      </c>
      <c r="D4" s="172" t="s">
        <v>38</v>
      </c>
      <c r="E4" s="172"/>
      <c r="F4" s="35" t="s">
        <v>39</v>
      </c>
      <c r="G4" s="35" t="s">
        <v>40</v>
      </c>
      <c r="H4" s="43"/>
      <c r="I4" s="43"/>
    </row>
    <row r="5" spans="1:9" ht="12.75">
      <c r="A5" s="7" t="s">
        <v>1</v>
      </c>
      <c r="B5" s="7" t="s">
        <v>1</v>
      </c>
      <c r="C5" s="19" t="s">
        <v>1</v>
      </c>
      <c r="D5" s="19" t="s">
        <v>41</v>
      </c>
      <c r="E5" s="19" t="s">
        <v>42</v>
      </c>
      <c r="F5" s="19"/>
      <c r="G5" s="19"/>
      <c r="H5" s="44"/>
      <c r="I5" s="44"/>
    </row>
    <row r="6" spans="1:9" ht="12.75">
      <c r="A6" s="36"/>
      <c r="B6" s="2"/>
      <c r="C6" s="19"/>
      <c r="D6" s="19"/>
      <c r="E6" s="19"/>
      <c r="F6" s="19"/>
      <c r="G6" s="19"/>
      <c r="H6" s="44"/>
      <c r="I6" s="44"/>
    </row>
    <row r="7" spans="1:9" ht="12.75">
      <c r="A7" s="39" t="s">
        <v>105</v>
      </c>
      <c r="B7" s="7" t="s">
        <v>109</v>
      </c>
      <c r="C7" s="19">
        <v>176308480</v>
      </c>
      <c r="D7" s="19"/>
      <c r="E7" s="19">
        <f>+C7</f>
        <v>176308480</v>
      </c>
      <c r="F7" s="8" t="s">
        <v>52</v>
      </c>
      <c r="G7" s="8" t="s">
        <v>106</v>
      </c>
      <c r="H7" s="44"/>
      <c r="I7" s="44"/>
    </row>
    <row r="8" spans="1:9" ht="12.75">
      <c r="A8" s="36"/>
      <c r="B8" s="7" t="s">
        <v>110</v>
      </c>
      <c r="C8" s="19">
        <v>4649844640</v>
      </c>
      <c r="D8" s="19">
        <v>950949821</v>
      </c>
      <c r="E8" s="19">
        <v>585424664</v>
      </c>
      <c r="F8" s="8" t="s">
        <v>111</v>
      </c>
      <c r="G8" s="8" t="s">
        <v>114</v>
      </c>
      <c r="H8" s="44"/>
      <c r="I8" s="44"/>
    </row>
    <row r="9" spans="1:9" ht="12.75">
      <c r="A9" s="36"/>
      <c r="B9" s="7"/>
      <c r="C9" s="19"/>
      <c r="D9" s="19"/>
      <c r="E9" s="19">
        <v>242982823</v>
      </c>
      <c r="F9" s="8" t="s">
        <v>45</v>
      </c>
      <c r="G9" s="8" t="s">
        <v>115</v>
      </c>
      <c r="H9" s="44"/>
      <c r="I9" s="44"/>
    </row>
    <row r="10" spans="1:9" ht="12.75">
      <c r="A10" s="36"/>
      <c r="B10" s="2"/>
      <c r="C10" s="19"/>
      <c r="D10" s="19"/>
      <c r="E10" s="19">
        <v>143247408</v>
      </c>
      <c r="F10" s="8" t="s">
        <v>45</v>
      </c>
      <c r="G10" s="8" t="s">
        <v>116</v>
      </c>
      <c r="H10" s="44">
        <f>+E9+E10</f>
        <v>386230231</v>
      </c>
      <c r="I10" s="44"/>
    </row>
    <row r="11" spans="1:9" ht="12.75">
      <c r="A11" s="36"/>
      <c r="B11" s="2"/>
      <c r="C11" s="19"/>
      <c r="D11" s="19"/>
      <c r="E11" s="19">
        <v>90000000</v>
      </c>
      <c r="F11" s="8" t="s">
        <v>112</v>
      </c>
      <c r="G11" s="8" t="s">
        <v>117</v>
      </c>
      <c r="H11" s="44">
        <f>+H10+E22</f>
        <v>746091805</v>
      </c>
      <c r="I11" s="44"/>
    </row>
    <row r="12" spans="1:9" ht="12.75">
      <c r="A12" s="36"/>
      <c r="B12" s="2"/>
      <c r="C12" s="19"/>
      <c r="D12" s="19"/>
      <c r="E12" s="19">
        <v>1471477790</v>
      </c>
      <c r="F12" s="8" t="s">
        <v>51</v>
      </c>
      <c r="G12" s="8" t="s">
        <v>118</v>
      </c>
      <c r="H12" s="44"/>
      <c r="I12" s="44"/>
    </row>
    <row r="13" spans="1:9" ht="12.75">
      <c r="A13" s="36"/>
      <c r="B13" s="2"/>
      <c r="C13" s="19"/>
      <c r="D13" s="19"/>
      <c r="E13" s="19">
        <v>240927811</v>
      </c>
      <c r="F13" s="8" t="s">
        <v>46</v>
      </c>
      <c r="G13" s="8" t="s">
        <v>114</v>
      </c>
      <c r="H13" s="44"/>
      <c r="I13" s="44"/>
    </row>
    <row r="14" spans="1:9" ht="12.75">
      <c r="A14" s="36"/>
      <c r="B14" s="2"/>
      <c r="C14" s="19"/>
      <c r="D14" s="19"/>
      <c r="E14" s="19">
        <v>409153771</v>
      </c>
      <c r="F14" s="8" t="s">
        <v>52</v>
      </c>
      <c r="G14" s="8" t="s">
        <v>114</v>
      </c>
      <c r="H14" s="44"/>
      <c r="I14" s="44"/>
    </row>
    <row r="15" spans="1:9" ht="12.75">
      <c r="A15" s="36"/>
      <c r="B15" s="2"/>
      <c r="C15" s="19"/>
      <c r="D15" s="19"/>
      <c r="E15" s="19">
        <v>240000000</v>
      </c>
      <c r="F15" s="62" t="s">
        <v>113</v>
      </c>
      <c r="G15" s="8" t="s">
        <v>114</v>
      </c>
      <c r="H15" s="44"/>
      <c r="I15" s="44"/>
    </row>
    <row r="16" spans="1:10" ht="12.75">
      <c r="A16" s="36"/>
      <c r="B16" s="2"/>
      <c r="C16" s="19"/>
      <c r="D16" s="19"/>
      <c r="E16" s="19">
        <v>10680552</v>
      </c>
      <c r="F16" s="62" t="s">
        <v>43</v>
      </c>
      <c r="G16" s="8" t="s">
        <v>114</v>
      </c>
      <c r="H16" s="44"/>
      <c r="I16" s="44"/>
      <c r="J16" s="37" t="s">
        <v>56</v>
      </c>
    </row>
    <row r="17" spans="1:9" ht="12.75">
      <c r="A17" s="2"/>
      <c r="B17" s="2"/>
      <c r="C17" s="19"/>
      <c r="D17" s="19"/>
      <c r="E17" s="19">
        <v>250000000</v>
      </c>
      <c r="F17" s="8" t="s">
        <v>53</v>
      </c>
      <c r="G17" s="8" t="s">
        <v>115</v>
      </c>
      <c r="H17" s="44"/>
      <c r="I17" s="44"/>
    </row>
    <row r="18" spans="1:9" ht="12.75">
      <c r="A18" s="2"/>
      <c r="B18" s="2"/>
      <c r="C18" s="19"/>
      <c r="D18" s="19"/>
      <c r="E18" s="19">
        <v>15000000</v>
      </c>
      <c r="F18" s="8" t="s">
        <v>54</v>
      </c>
      <c r="G18" s="8" t="s">
        <v>114</v>
      </c>
      <c r="H18" s="44"/>
      <c r="I18" s="44"/>
    </row>
    <row r="19" spans="1:9" ht="12.75">
      <c r="A19" s="36">
        <v>40269</v>
      </c>
      <c r="B19" s="7" t="s">
        <v>123</v>
      </c>
      <c r="C19" s="19">
        <v>500000000</v>
      </c>
      <c r="D19" s="19"/>
      <c r="E19" s="8">
        <f>+C19</f>
        <v>500000000</v>
      </c>
      <c r="F19" s="19" t="str">
        <f>+F13</f>
        <v>03-0900-02</v>
      </c>
      <c r="G19" s="8" t="s">
        <v>124</v>
      </c>
      <c r="H19" s="44"/>
      <c r="I19" s="44"/>
    </row>
    <row r="20" spans="1:9" ht="12.75">
      <c r="A20" s="146">
        <v>41817</v>
      </c>
      <c r="B20" s="2" t="s">
        <v>170</v>
      </c>
      <c r="C20" s="19">
        <v>80000000</v>
      </c>
      <c r="D20" s="8"/>
      <c r="E20" s="8">
        <v>80000000</v>
      </c>
      <c r="F20" s="19" t="s">
        <v>119</v>
      </c>
      <c r="G20" s="19" t="s">
        <v>169</v>
      </c>
      <c r="H20" s="44"/>
      <c r="I20" s="44"/>
    </row>
    <row r="21" spans="1:9" ht="12.75">
      <c r="A21" s="149">
        <v>41891</v>
      </c>
      <c r="B21" s="2" t="s">
        <v>174</v>
      </c>
      <c r="C21" s="19">
        <v>686625200</v>
      </c>
      <c r="D21" s="8"/>
      <c r="E21" s="19">
        <f>+C21</f>
        <v>686625200</v>
      </c>
      <c r="F21" s="19" t="s">
        <v>54</v>
      </c>
      <c r="G21" s="19" t="s">
        <v>175</v>
      </c>
      <c r="H21" s="44"/>
      <c r="I21" s="44"/>
    </row>
    <row r="22" spans="1:9" ht="12.75">
      <c r="A22" s="149">
        <v>41907</v>
      </c>
      <c r="B22" s="7" t="s">
        <v>185</v>
      </c>
      <c r="C22" s="19">
        <v>359861574</v>
      </c>
      <c r="D22" s="8"/>
      <c r="E22" s="19">
        <f>+C22</f>
        <v>359861574</v>
      </c>
      <c r="F22" s="8" t="s">
        <v>45</v>
      </c>
      <c r="G22" s="8" t="s">
        <v>186</v>
      </c>
      <c r="H22" s="44"/>
      <c r="I22" s="44"/>
    </row>
    <row r="23" spans="1:9" ht="12.75">
      <c r="A23" s="2"/>
      <c r="B23" s="2"/>
      <c r="C23" s="19"/>
      <c r="D23" s="19"/>
      <c r="E23" s="19"/>
      <c r="F23" s="19"/>
      <c r="G23" s="8" t="s">
        <v>187</v>
      </c>
      <c r="H23" s="44"/>
      <c r="I23" s="44"/>
    </row>
    <row r="24" spans="1:9" ht="12.75">
      <c r="A24" s="2"/>
      <c r="B24" s="2"/>
      <c r="C24" s="19"/>
      <c r="D24" s="19"/>
      <c r="E24" s="19"/>
      <c r="F24" s="19"/>
      <c r="G24" s="8" t="s">
        <v>188</v>
      </c>
      <c r="H24" s="44"/>
      <c r="I24" s="44"/>
    </row>
    <row r="25" spans="1:9" ht="12.75">
      <c r="A25" s="2"/>
      <c r="B25" s="2"/>
      <c r="C25" s="19"/>
      <c r="D25" s="19"/>
      <c r="E25" s="19"/>
      <c r="F25" s="19"/>
      <c r="G25" s="19"/>
      <c r="H25" s="44"/>
      <c r="I25" s="44"/>
    </row>
    <row r="26" spans="1:9" ht="12.75">
      <c r="A26" s="2"/>
      <c r="B26" s="2"/>
      <c r="C26" s="19"/>
      <c r="D26" s="19"/>
      <c r="E26" s="19"/>
      <c r="F26" s="19"/>
      <c r="G26" s="19"/>
      <c r="H26" s="44"/>
      <c r="I26" s="44"/>
    </row>
    <row r="27" spans="1:9" ht="12.75">
      <c r="A27" s="2"/>
      <c r="B27" s="2"/>
      <c r="C27" s="19"/>
      <c r="D27" s="19"/>
      <c r="E27" s="19"/>
      <c r="F27" s="19"/>
      <c r="G27" s="19"/>
      <c r="H27" s="44"/>
      <c r="I27" s="44"/>
    </row>
    <row r="28" spans="1:9" ht="12.75">
      <c r="A28" s="2"/>
      <c r="B28" s="2"/>
      <c r="C28" s="19"/>
      <c r="D28" s="19"/>
      <c r="E28" s="19"/>
      <c r="F28" s="19"/>
      <c r="G28" s="19"/>
      <c r="H28" s="44"/>
      <c r="I28" s="44"/>
    </row>
    <row r="29" spans="1:9" ht="12.75">
      <c r="A29" s="2"/>
      <c r="B29" s="2"/>
      <c r="C29" s="19"/>
      <c r="D29" s="19"/>
      <c r="E29" s="19"/>
      <c r="F29" s="19"/>
      <c r="G29" s="19"/>
      <c r="H29" s="44"/>
      <c r="I29" s="44"/>
    </row>
    <row r="30" spans="1:9" ht="12.75">
      <c r="A30" s="2"/>
      <c r="B30" s="2"/>
      <c r="C30" s="19"/>
      <c r="D30" s="19"/>
      <c r="E30" s="19"/>
      <c r="F30" s="19"/>
      <c r="G30" s="19"/>
      <c r="H30" s="44"/>
      <c r="I30" s="44"/>
    </row>
    <row r="31" spans="1:9" ht="12.75">
      <c r="A31" s="2"/>
      <c r="B31" s="2"/>
      <c r="C31" s="19"/>
      <c r="D31" s="19"/>
      <c r="E31" s="19"/>
      <c r="F31" s="19"/>
      <c r="G31" s="19"/>
      <c r="H31" s="44"/>
      <c r="I31" s="44"/>
    </row>
    <row r="32" spans="1:10" ht="12.75">
      <c r="A32" s="36"/>
      <c r="B32" s="2"/>
      <c r="C32" s="19"/>
      <c r="D32" s="19"/>
      <c r="E32" s="19"/>
      <c r="F32" s="19"/>
      <c r="G32" s="19"/>
      <c r="H32" s="44"/>
      <c r="I32" s="44"/>
      <c r="J32" s="37" t="s">
        <v>1</v>
      </c>
    </row>
    <row r="33" spans="1:9" ht="12.75">
      <c r="A33" s="36"/>
      <c r="B33" s="2"/>
      <c r="C33" s="19"/>
      <c r="D33" s="19"/>
      <c r="E33" s="19"/>
      <c r="F33" s="19"/>
      <c r="G33" s="19"/>
      <c r="H33" s="44"/>
      <c r="I33" s="44"/>
    </row>
    <row r="34" spans="1:9" ht="12.75">
      <c r="A34" s="36"/>
      <c r="B34" s="2"/>
      <c r="C34" s="19"/>
      <c r="D34" s="19"/>
      <c r="E34" s="19"/>
      <c r="F34" s="38"/>
      <c r="G34" s="19"/>
      <c r="H34" s="44"/>
      <c r="I34" s="44"/>
    </row>
    <row r="35" spans="1:9" ht="12.75">
      <c r="A35" s="39"/>
      <c r="B35" s="7"/>
      <c r="C35" s="19"/>
      <c r="D35" s="19"/>
      <c r="E35" s="19"/>
      <c r="F35" s="19"/>
      <c r="G35" s="8"/>
      <c r="H35" s="45"/>
      <c r="I35" s="45"/>
    </row>
    <row r="36" spans="1:9" ht="12.75">
      <c r="A36" s="36"/>
      <c r="B36" s="2"/>
      <c r="C36" s="19"/>
      <c r="D36" s="19"/>
      <c r="E36" s="19"/>
      <c r="F36" s="8"/>
      <c r="G36" s="8"/>
      <c r="H36" s="45"/>
      <c r="I36" s="45"/>
    </row>
    <row r="37" spans="1:9" ht="12.75">
      <c r="A37" s="39" t="s">
        <v>1</v>
      </c>
      <c r="B37" s="7" t="s">
        <v>1</v>
      </c>
      <c r="C37" s="19"/>
      <c r="D37" s="19"/>
      <c r="E37" s="19"/>
      <c r="F37" s="8"/>
      <c r="G37" s="8"/>
      <c r="H37" s="45"/>
      <c r="I37" s="45"/>
    </row>
    <row r="38" spans="1:9" ht="12.75">
      <c r="A38" s="2"/>
      <c r="B38" s="2"/>
      <c r="C38" s="19"/>
      <c r="D38" s="19"/>
      <c r="E38" s="19"/>
      <c r="F38" s="19"/>
      <c r="G38" s="19"/>
      <c r="H38" s="44"/>
      <c r="I38" s="44"/>
    </row>
    <row r="39" spans="1:9" ht="12.75">
      <c r="A39" s="2"/>
      <c r="B39" s="2"/>
      <c r="C39" s="19">
        <f>SUM(C6:C36)</f>
        <v>6452639894</v>
      </c>
      <c r="D39" s="19">
        <f>SUM(D6:D36)</f>
        <v>950949821</v>
      </c>
      <c r="E39" s="19">
        <f>SUM(E6:E36)</f>
        <v>5501690073</v>
      </c>
      <c r="F39" s="19"/>
      <c r="G39" s="19"/>
      <c r="H39" s="44"/>
      <c r="I39" s="44"/>
    </row>
    <row r="40" spans="4:5" ht="12.75">
      <c r="D40" s="6" t="s">
        <v>1</v>
      </c>
      <c r="E40" s="6"/>
    </row>
    <row r="41" ht="12.75">
      <c r="E41" s="6"/>
    </row>
    <row r="42" spans="2:5" ht="12.75">
      <c r="B42" s="7" t="s">
        <v>44</v>
      </c>
      <c r="C42" s="19">
        <v>0</v>
      </c>
      <c r="E42" s="1"/>
    </row>
    <row r="43" spans="2:5" ht="12.75">
      <c r="B43" s="7" t="s">
        <v>120</v>
      </c>
      <c r="C43" s="19">
        <v>0</v>
      </c>
      <c r="E43" s="1"/>
    </row>
    <row r="44" spans="2:5" ht="12.75">
      <c r="B44" s="7" t="s">
        <v>121</v>
      </c>
      <c r="C44" s="19">
        <v>0</v>
      </c>
      <c r="E44" s="1"/>
    </row>
    <row r="45" spans="2:5" ht="12.75">
      <c r="B45" s="7" t="s">
        <v>119</v>
      </c>
      <c r="C45" s="19">
        <f>+E8</f>
        <v>585424664</v>
      </c>
      <c r="E45" s="1"/>
    </row>
    <row r="46" spans="2:5" ht="12.75">
      <c r="B46" s="7" t="s">
        <v>45</v>
      </c>
      <c r="C46" s="19">
        <f>+E9+E10+C22</f>
        <v>746091805</v>
      </c>
      <c r="E46" s="17"/>
    </row>
    <row r="47" spans="2:5" ht="12.75">
      <c r="B47" s="7" t="s">
        <v>50</v>
      </c>
      <c r="C47" s="19">
        <f>+E11</f>
        <v>90000000</v>
      </c>
      <c r="E47" s="17"/>
    </row>
    <row r="48" spans="2:5" ht="12.75">
      <c r="B48" s="7" t="s">
        <v>51</v>
      </c>
      <c r="C48" s="19">
        <f>+E12</f>
        <v>1471477790</v>
      </c>
      <c r="E48" s="17"/>
    </row>
    <row r="49" spans="2:5" ht="12.75">
      <c r="B49" s="7" t="s">
        <v>122</v>
      </c>
      <c r="C49" s="19">
        <v>0</v>
      </c>
      <c r="E49" s="17"/>
    </row>
    <row r="50" spans="2:5" ht="12.75">
      <c r="B50" s="7" t="s">
        <v>46</v>
      </c>
      <c r="C50" s="19">
        <f>+E13+E19</f>
        <v>740927811</v>
      </c>
      <c r="E50" s="17"/>
    </row>
    <row r="51" spans="2:5" ht="12.75">
      <c r="B51" s="7" t="s">
        <v>52</v>
      </c>
      <c r="C51" s="19">
        <f>+E7+E14</f>
        <v>585462251</v>
      </c>
      <c r="E51" s="1"/>
    </row>
    <row r="52" spans="2:5" ht="12.75">
      <c r="B52" s="7" t="s">
        <v>113</v>
      </c>
      <c r="C52" s="19">
        <f>+E15</f>
        <v>240000000</v>
      </c>
      <c r="E52" s="1"/>
    </row>
    <row r="53" spans="2:3" ht="12.75">
      <c r="B53" s="7" t="s">
        <v>43</v>
      </c>
      <c r="C53" s="19">
        <f>+E16</f>
        <v>10680552</v>
      </c>
    </row>
    <row r="54" spans="2:3" ht="12.75">
      <c r="B54" s="7" t="s">
        <v>53</v>
      </c>
      <c r="C54" s="19">
        <f>+E17</f>
        <v>250000000</v>
      </c>
    </row>
    <row r="55" spans="2:3" ht="12.75">
      <c r="B55" s="7" t="s">
        <v>54</v>
      </c>
      <c r="C55" s="19">
        <f>+E18+E21</f>
        <v>701625200</v>
      </c>
    </row>
    <row r="56" spans="2:3" ht="12.75">
      <c r="B56" s="2"/>
      <c r="C56" s="2"/>
    </row>
    <row r="57" spans="2:3" ht="12.75">
      <c r="B57" s="7" t="s">
        <v>55</v>
      </c>
      <c r="C57" s="19">
        <f>SUM(C42:C56)</f>
        <v>5421690073</v>
      </c>
    </row>
    <row r="60" spans="2:7" ht="12.75">
      <c r="B60" s="37" t="s">
        <v>29</v>
      </c>
      <c r="C60" s="37" t="s">
        <v>57</v>
      </c>
      <c r="D60" s="37" t="s">
        <v>30</v>
      </c>
      <c r="E60" s="37" t="s">
        <v>107</v>
      </c>
      <c r="F60" s="37" t="s">
        <v>6</v>
      </c>
      <c r="G60" s="37" t="s">
        <v>128</v>
      </c>
    </row>
    <row r="61" spans="1:15" ht="12.75">
      <c r="A61" s="37" t="s">
        <v>59</v>
      </c>
      <c r="B61" s="1">
        <v>1042086000</v>
      </c>
      <c r="C61" s="1">
        <v>0</v>
      </c>
      <c r="D61" s="1">
        <f>+B61+C61</f>
        <v>1042086000</v>
      </c>
      <c r="E61" s="1">
        <v>646046524</v>
      </c>
      <c r="F61" s="1">
        <f aca="true" t="shared" si="0" ref="F61:F66">+E61</f>
        <v>646046524</v>
      </c>
      <c r="G61" s="1">
        <f aca="true" t="shared" si="1" ref="G61:G74">+F61</f>
        <v>646046524</v>
      </c>
      <c r="H61" s="1"/>
      <c r="I61" s="1"/>
      <c r="J61" s="1"/>
      <c r="K61" s="1"/>
      <c r="L61" s="1"/>
      <c r="M61" s="1"/>
      <c r="N61" s="1"/>
      <c r="O61" s="1"/>
    </row>
    <row r="62" spans="1:15" ht="12.75">
      <c r="A62" s="37" t="s">
        <v>60</v>
      </c>
      <c r="B62" s="1">
        <v>111383000</v>
      </c>
      <c r="C62" s="1"/>
      <c r="D62" s="1">
        <f aca="true" t="shared" si="2" ref="D62:D77">+B62+C62</f>
        <v>111383000</v>
      </c>
      <c r="E62" s="1">
        <v>68086259</v>
      </c>
      <c r="F62" s="1">
        <f t="shared" si="0"/>
        <v>68086259</v>
      </c>
      <c r="G62" s="6">
        <f t="shared" si="1"/>
        <v>68086259</v>
      </c>
      <c r="H62" s="1"/>
      <c r="I62" s="1"/>
      <c r="J62" s="1"/>
      <c r="K62" s="1"/>
      <c r="L62" s="1"/>
      <c r="M62" s="1"/>
      <c r="N62" s="1"/>
      <c r="O62" s="1"/>
    </row>
    <row r="63" spans="1:15" ht="12.75">
      <c r="A63" s="37" t="s">
        <v>61</v>
      </c>
      <c r="B63" s="1">
        <v>11820000</v>
      </c>
      <c r="C63" s="1"/>
      <c r="D63" s="1">
        <f t="shared" si="2"/>
        <v>11820000</v>
      </c>
      <c r="E63" s="1">
        <v>11820000</v>
      </c>
      <c r="F63" s="1">
        <f t="shared" si="0"/>
        <v>11820000</v>
      </c>
      <c r="G63" s="1">
        <f t="shared" si="1"/>
        <v>11820000</v>
      </c>
      <c r="H63" s="1"/>
      <c r="I63" s="1"/>
      <c r="J63" s="1"/>
      <c r="K63" s="1"/>
      <c r="L63" s="1"/>
      <c r="M63" s="1"/>
      <c r="N63" s="1"/>
      <c r="O63" s="1"/>
    </row>
    <row r="64" spans="1:15" ht="12.75">
      <c r="A64" s="37" t="s">
        <v>66</v>
      </c>
      <c r="B64" s="1">
        <v>57319500</v>
      </c>
      <c r="C64" s="1"/>
      <c r="D64" s="1">
        <f t="shared" si="2"/>
        <v>57319500</v>
      </c>
      <c r="E64" s="1">
        <v>0</v>
      </c>
      <c r="F64" s="1">
        <f t="shared" si="0"/>
        <v>0</v>
      </c>
      <c r="G64" s="1">
        <f t="shared" si="1"/>
        <v>0</v>
      </c>
      <c r="H64" s="1"/>
      <c r="I64" s="1"/>
      <c r="J64" s="1"/>
      <c r="K64" s="1"/>
      <c r="L64" s="1"/>
      <c r="M64" s="1"/>
      <c r="N64" s="1"/>
      <c r="O64" s="1"/>
    </row>
    <row r="65" spans="1:15" ht="12.75">
      <c r="A65" s="37" t="s">
        <v>67</v>
      </c>
      <c r="B65" s="1">
        <v>18076500</v>
      </c>
      <c r="C65" s="1"/>
      <c r="D65" s="1">
        <f t="shared" si="2"/>
        <v>18076500</v>
      </c>
      <c r="E65" s="1">
        <v>8792499</v>
      </c>
      <c r="F65" s="1">
        <f t="shared" si="0"/>
        <v>8792499</v>
      </c>
      <c r="G65" s="1">
        <f t="shared" si="1"/>
        <v>8792499</v>
      </c>
      <c r="H65" s="1"/>
      <c r="I65" s="1"/>
      <c r="J65" s="1"/>
      <c r="K65" s="1"/>
      <c r="L65" s="1"/>
      <c r="M65" s="1"/>
      <c r="N65" s="1"/>
      <c r="O65" s="1"/>
    </row>
    <row r="66" spans="1:15" ht="12.75">
      <c r="A66" s="37" t="s">
        <v>68</v>
      </c>
      <c r="B66" s="1">
        <v>114639000</v>
      </c>
      <c r="C66" s="1"/>
      <c r="D66" s="1">
        <f t="shared" si="2"/>
        <v>114639000</v>
      </c>
      <c r="E66" s="1">
        <v>0</v>
      </c>
      <c r="F66" s="1">
        <f t="shared" si="0"/>
        <v>0</v>
      </c>
      <c r="G66" s="1">
        <f t="shared" si="1"/>
        <v>0</v>
      </c>
      <c r="H66" s="1"/>
      <c r="I66" s="1"/>
      <c r="J66" s="1"/>
      <c r="K66" s="1"/>
      <c r="L66" s="1"/>
      <c r="M66" s="1"/>
      <c r="N66" s="1"/>
      <c r="O66" s="1"/>
    </row>
    <row r="67" spans="1:15" ht="12.75">
      <c r="A67" s="37" t="s">
        <v>70</v>
      </c>
      <c r="B67" s="1">
        <v>1346000</v>
      </c>
      <c r="C67" s="1"/>
      <c r="D67" s="1">
        <f t="shared" si="2"/>
        <v>1346000</v>
      </c>
      <c r="E67" s="1">
        <v>620674</v>
      </c>
      <c r="F67" s="1">
        <f aca="true" t="shared" si="3" ref="F67:F74">+E67</f>
        <v>620674</v>
      </c>
      <c r="G67" s="1">
        <f t="shared" si="1"/>
        <v>620674</v>
      </c>
      <c r="H67" s="1"/>
      <c r="I67" s="1"/>
      <c r="J67" s="1"/>
      <c r="K67" s="1"/>
      <c r="L67" s="1"/>
      <c r="M67" s="1"/>
      <c r="N67" s="1"/>
      <c r="O67" s="1"/>
    </row>
    <row r="68" spans="1:15" ht="12.75">
      <c r="A68" s="37" t="s">
        <v>78</v>
      </c>
      <c r="B68" s="1">
        <v>73908425</v>
      </c>
      <c r="C68" s="1"/>
      <c r="D68" s="1">
        <f t="shared" si="2"/>
        <v>73908425</v>
      </c>
      <c r="E68" s="1">
        <v>73908425</v>
      </c>
      <c r="F68" s="1">
        <f t="shared" si="3"/>
        <v>73908425</v>
      </c>
      <c r="G68" s="1">
        <f t="shared" si="1"/>
        <v>73908425</v>
      </c>
      <c r="H68" s="1"/>
      <c r="I68" s="1"/>
      <c r="J68" s="1"/>
      <c r="K68" s="1"/>
      <c r="L68" s="1"/>
      <c r="M68" s="1"/>
      <c r="N68" s="1"/>
      <c r="O68" s="1"/>
    </row>
    <row r="69" spans="1:15" ht="12.75">
      <c r="A69" s="37" t="s">
        <v>79</v>
      </c>
      <c r="B69" s="1">
        <v>178721995</v>
      </c>
      <c r="C69" s="1"/>
      <c r="D69" s="1">
        <f t="shared" si="2"/>
        <v>178721995</v>
      </c>
      <c r="E69" s="1">
        <v>82279195</v>
      </c>
      <c r="F69" s="1">
        <f t="shared" si="3"/>
        <v>82279195</v>
      </c>
      <c r="G69" s="1">
        <f t="shared" si="1"/>
        <v>82279195</v>
      </c>
      <c r="H69" s="1"/>
      <c r="I69" s="1"/>
      <c r="J69" s="1"/>
      <c r="K69" s="1"/>
      <c r="L69" s="1"/>
      <c r="M69" s="1"/>
      <c r="N69" s="1"/>
      <c r="O69" s="1"/>
    </row>
    <row r="70" spans="1:15" ht="12.75">
      <c r="A70" s="37" t="s">
        <v>80</v>
      </c>
      <c r="B70" s="1">
        <v>24506790</v>
      </c>
      <c r="C70" s="1"/>
      <c r="D70" s="1">
        <f t="shared" si="2"/>
        <v>24506790</v>
      </c>
      <c r="E70" s="1">
        <v>17949900</v>
      </c>
      <c r="F70" s="1">
        <f t="shared" si="3"/>
        <v>17949900</v>
      </c>
      <c r="G70" s="1">
        <f t="shared" si="1"/>
        <v>17949900</v>
      </c>
      <c r="H70" s="1"/>
      <c r="I70" s="1"/>
      <c r="J70" s="1"/>
      <c r="K70" s="1"/>
      <c r="L70" s="1"/>
      <c r="M70" s="1"/>
      <c r="N70" s="1"/>
      <c r="O70" s="1"/>
    </row>
    <row r="71" spans="1:15" ht="12.75">
      <c r="A71" s="37" t="s">
        <v>81</v>
      </c>
      <c r="B71" s="1">
        <f>+B70</f>
        <v>24506790</v>
      </c>
      <c r="C71" s="1"/>
      <c r="D71" s="1">
        <f t="shared" si="2"/>
        <v>24506790</v>
      </c>
      <c r="E71" s="1">
        <v>11969600</v>
      </c>
      <c r="F71" s="1">
        <f t="shared" si="3"/>
        <v>11969600</v>
      </c>
      <c r="G71" s="1">
        <f t="shared" si="1"/>
        <v>11969600</v>
      </c>
      <c r="H71" s="1"/>
      <c r="I71" s="1"/>
      <c r="J71" s="1"/>
      <c r="K71" s="1"/>
      <c r="L71" s="1"/>
      <c r="M71" s="1"/>
      <c r="N71" s="1"/>
      <c r="O71" s="1"/>
    </row>
    <row r="72" spans="1:15" ht="12.75">
      <c r="A72" s="37" t="s">
        <v>82</v>
      </c>
      <c r="B72" s="1">
        <v>1333000</v>
      </c>
      <c r="C72" s="1"/>
      <c r="D72" s="1">
        <f t="shared" si="2"/>
        <v>1333000</v>
      </c>
      <c r="E72" s="1">
        <f>+D72</f>
        <v>1333000</v>
      </c>
      <c r="F72" s="1">
        <f t="shared" si="3"/>
        <v>1333000</v>
      </c>
      <c r="G72" s="1">
        <f t="shared" si="1"/>
        <v>1333000</v>
      </c>
      <c r="H72" s="1"/>
      <c r="I72" s="1"/>
      <c r="J72" s="1"/>
      <c r="K72" s="1"/>
      <c r="L72" s="1"/>
      <c r="M72" s="1"/>
      <c r="N72" s="1"/>
      <c r="O72" s="1"/>
    </row>
    <row r="73" spans="1:15" ht="12.75">
      <c r="A73" s="37" t="s">
        <v>88</v>
      </c>
      <c r="B73" s="1">
        <v>25523000</v>
      </c>
      <c r="C73" s="1"/>
      <c r="D73" s="1">
        <f t="shared" si="2"/>
        <v>25523000</v>
      </c>
      <c r="E73" s="1">
        <v>0</v>
      </c>
      <c r="F73" s="1">
        <f t="shared" si="3"/>
        <v>0</v>
      </c>
      <c r="G73" s="1">
        <f t="shared" si="1"/>
        <v>0</v>
      </c>
      <c r="H73" s="1"/>
      <c r="I73" s="1"/>
      <c r="J73" s="1"/>
      <c r="K73" s="1"/>
      <c r="L73" s="1"/>
      <c r="M73" s="1"/>
      <c r="N73" s="1"/>
      <c r="O73" s="1"/>
    </row>
    <row r="74" spans="1:15" ht="12.75">
      <c r="A74" s="37" t="s">
        <v>94</v>
      </c>
      <c r="B74" s="1">
        <v>9578000</v>
      </c>
      <c r="C74" s="1"/>
      <c r="D74" s="1">
        <f t="shared" si="2"/>
        <v>9578000</v>
      </c>
      <c r="E74" s="1">
        <v>0</v>
      </c>
      <c r="F74" s="1">
        <f t="shared" si="3"/>
        <v>0</v>
      </c>
      <c r="G74" s="1">
        <f t="shared" si="1"/>
        <v>0</v>
      </c>
      <c r="H74" s="1"/>
      <c r="I74" s="1"/>
      <c r="J74" s="1"/>
      <c r="K74" s="1"/>
      <c r="L74" s="1"/>
      <c r="M74" s="1"/>
      <c r="N74" s="1"/>
      <c r="O74" s="1"/>
    </row>
    <row r="75" spans="2:15" ht="12.75">
      <c r="B75" s="1">
        <f>SUM(B61:B74)</f>
        <v>1694748000</v>
      </c>
      <c r="C75" s="1"/>
      <c r="D75" s="1">
        <f>SUM(D61:D74)</f>
        <v>1694748000</v>
      </c>
      <c r="E75" s="1">
        <f>SUM(E61:E74)</f>
        <v>922806076</v>
      </c>
      <c r="F75" s="1">
        <f>SUM(F61:F74)</f>
        <v>922806076</v>
      </c>
      <c r="G75" s="1">
        <f>SUM(G61:G74)</f>
        <v>922806076</v>
      </c>
      <c r="H75" s="1"/>
      <c r="I75" s="1"/>
      <c r="J75" s="1"/>
      <c r="K75" s="1"/>
      <c r="L75" s="1"/>
      <c r="M75" s="1"/>
      <c r="N75" s="1"/>
      <c r="O75" s="1"/>
    </row>
    <row r="76" spans="2:15" ht="12.75">
      <c r="B76" s="1" t="s">
        <v>1</v>
      </c>
      <c r="C76" s="1"/>
      <c r="D76" s="6" t="s">
        <v>1</v>
      </c>
      <c r="E76" s="1"/>
      <c r="F76" s="1"/>
      <c r="G76" s="6" t="s">
        <v>1</v>
      </c>
      <c r="H76" s="1"/>
      <c r="I76" s="1"/>
      <c r="J76" s="1"/>
      <c r="K76" s="1"/>
      <c r="L76" s="1"/>
      <c r="M76" s="1"/>
      <c r="N76" s="1"/>
      <c r="O76" s="1"/>
    </row>
    <row r="77" spans="2:15" ht="12.75">
      <c r="B77" s="1"/>
      <c r="C77" s="1"/>
      <c r="D77" s="1">
        <f t="shared" si="2"/>
        <v>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46"/>
      <c r="B78" s="50" t="s">
        <v>29</v>
      </c>
      <c r="C78" s="173" t="s">
        <v>57</v>
      </c>
      <c r="D78" s="173"/>
      <c r="E78" s="173"/>
      <c r="F78" s="173"/>
      <c r="G78" s="173"/>
      <c r="H78" s="173"/>
      <c r="I78" s="173"/>
      <c r="J78" s="173"/>
      <c r="K78" s="47"/>
      <c r="L78" s="47"/>
      <c r="M78" s="47"/>
      <c r="N78" s="1"/>
      <c r="O78" s="1"/>
    </row>
    <row r="79" spans="1:15" ht="25.5">
      <c r="A79" s="46"/>
      <c r="B79" s="50"/>
      <c r="C79" s="50" t="s">
        <v>110</v>
      </c>
      <c r="D79" s="50" t="s">
        <v>173</v>
      </c>
      <c r="E79" s="50"/>
      <c r="F79" s="50"/>
      <c r="G79" s="48"/>
      <c r="H79" s="48"/>
      <c r="I79" s="48"/>
      <c r="J79" s="51" t="s">
        <v>30</v>
      </c>
      <c r="K79" s="48" t="s">
        <v>108</v>
      </c>
      <c r="L79" s="48" t="s">
        <v>6</v>
      </c>
      <c r="M79" s="48" t="s">
        <v>128</v>
      </c>
      <c r="N79" s="134" t="s">
        <v>168</v>
      </c>
      <c r="O79" s="1"/>
    </row>
    <row r="80" spans="1:15" ht="12.75">
      <c r="A80" s="46"/>
      <c r="B80" s="52" t="s">
        <v>1</v>
      </c>
      <c r="C80" s="50"/>
      <c r="D80" s="50"/>
      <c r="E80" s="50"/>
      <c r="F80" s="50"/>
      <c r="G80" s="48"/>
      <c r="H80" s="48"/>
      <c r="I80" s="48"/>
      <c r="J80" s="51"/>
      <c r="K80" s="48"/>
      <c r="L80" s="48"/>
      <c r="M80" s="47"/>
      <c r="N80" s="1"/>
      <c r="O80" s="1"/>
    </row>
    <row r="81" spans="1:15" ht="12.75">
      <c r="A81" s="50" t="s">
        <v>47</v>
      </c>
      <c r="B81" s="48">
        <f>+B82+B98+B102+B103+B104+B105</f>
        <v>1747099361</v>
      </c>
      <c r="C81" s="48">
        <f>+C82+C98+C102+C103+C104+C105</f>
        <v>30000000</v>
      </c>
      <c r="D81" s="48">
        <f>+D82+D98+D102+D103+D104+D105</f>
        <v>-15000000</v>
      </c>
      <c r="E81" s="48"/>
      <c r="F81" s="48"/>
      <c r="G81" s="48"/>
      <c r="H81" s="48"/>
      <c r="I81" s="48"/>
      <c r="J81" s="48">
        <f>+J82+J98+J102+J103+J104+J105</f>
        <v>1762099361</v>
      </c>
      <c r="K81" s="48">
        <f>+K82+K98+K102+K103+K104+K105</f>
        <v>369199534</v>
      </c>
      <c r="L81" s="48">
        <f>+L82+L98+L102+L103+L104+L105</f>
        <v>368373393</v>
      </c>
      <c r="M81" s="48">
        <f>+M82+M98+M102+M103+M104+M105</f>
        <v>166520748</v>
      </c>
      <c r="N81" s="1">
        <f>+J81-K81</f>
        <v>1392899827</v>
      </c>
      <c r="O81" s="1"/>
    </row>
    <row r="82" spans="1:15" ht="25.5">
      <c r="A82" s="53" t="s">
        <v>98</v>
      </c>
      <c r="B82" s="48">
        <f>+B83+B84+B85+B86+B95</f>
        <v>950013146</v>
      </c>
      <c r="C82" s="48">
        <f>+C83+C84+C85+C86+C95</f>
        <v>10000000</v>
      </c>
      <c r="D82" s="48">
        <f>+D83+D84+D85+D86+D95</f>
        <v>10000000</v>
      </c>
      <c r="E82" s="48"/>
      <c r="F82" s="48"/>
      <c r="G82" s="48"/>
      <c r="H82" s="48"/>
      <c r="I82" s="48"/>
      <c r="J82" s="48">
        <f>+J83+J84+J85+J86+J95</f>
        <v>970013146</v>
      </c>
      <c r="K82" s="48">
        <f>+K83+K84+K85+K86+K95</f>
        <v>78732201</v>
      </c>
      <c r="L82" s="48">
        <f>+L83+L84+L85+L86+L95</f>
        <v>78732201</v>
      </c>
      <c r="M82" s="48">
        <f>+M83+M84+M85+M86+M95</f>
        <v>78732201</v>
      </c>
      <c r="N82" s="1">
        <f aca="true" t="shared" si="4" ref="N82:N129">+J82-K82</f>
        <v>891280945</v>
      </c>
      <c r="O82" s="1"/>
    </row>
    <row r="83" spans="1:28" ht="12.75">
      <c r="A83" s="50" t="s">
        <v>59</v>
      </c>
      <c r="B83" s="1">
        <v>574662906</v>
      </c>
      <c r="C83" s="48">
        <v>0</v>
      </c>
      <c r="D83" s="47"/>
      <c r="E83" s="47"/>
      <c r="F83" s="47"/>
      <c r="G83" s="47"/>
      <c r="H83" s="47"/>
      <c r="I83" s="47"/>
      <c r="J83" s="47">
        <f>SUM(B83:I83)</f>
        <v>574662906</v>
      </c>
      <c r="K83" s="47">
        <v>19777204</v>
      </c>
      <c r="L83" s="47">
        <f aca="true" t="shared" si="5" ref="L83:M85">+K83</f>
        <v>19777204</v>
      </c>
      <c r="M83" s="47">
        <f t="shared" si="5"/>
        <v>19777204</v>
      </c>
      <c r="N83" s="1">
        <f t="shared" si="4"/>
        <v>554885702</v>
      </c>
      <c r="O83" s="1"/>
      <c r="Y83" s="1">
        <v>564629272</v>
      </c>
      <c r="Z83" s="1">
        <v>564629272</v>
      </c>
      <c r="AA83" s="1"/>
      <c r="AB83" s="1"/>
    </row>
    <row r="84" spans="1:28" ht="12.75">
      <c r="A84" s="50" t="s">
        <v>58</v>
      </c>
      <c r="B84" s="1">
        <v>118619482</v>
      </c>
      <c r="C84" s="48">
        <v>0</v>
      </c>
      <c r="D84" s="48"/>
      <c r="E84" s="48"/>
      <c r="F84" s="48"/>
      <c r="G84" s="48"/>
      <c r="H84" s="48"/>
      <c r="I84" s="48"/>
      <c r="J84" s="47">
        <f aca="true" t="shared" si="6" ref="J84:J128">SUM(B84:I84)</f>
        <v>118619482</v>
      </c>
      <c r="K84" s="47">
        <v>7748986</v>
      </c>
      <c r="L84" s="47">
        <f t="shared" si="5"/>
        <v>7748986</v>
      </c>
      <c r="M84" s="47">
        <f t="shared" si="5"/>
        <v>7748986</v>
      </c>
      <c r="N84" s="1">
        <f t="shared" si="4"/>
        <v>110870496</v>
      </c>
      <c r="O84" s="1"/>
      <c r="Y84" s="1">
        <v>75588451</v>
      </c>
      <c r="Z84" s="1">
        <v>75588451</v>
      </c>
      <c r="AA84" s="1"/>
      <c r="AB84" s="1"/>
    </row>
    <row r="85" spans="1:28" ht="12.75">
      <c r="A85" s="50" t="s">
        <v>62</v>
      </c>
      <c r="B85" s="1">
        <v>54119215</v>
      </c>
      <c r="C85" s="47">
        <v>0</v>
      </c>
      <c r="D85" s="47"/>
      <c r="E85" s="47"/>
      <c r="F85" s="47"/>
      <c r="G85" s="47"/>
      <c r="H85" s="47"/>
      <c r="I85" s="47"/>
      <c r="J85" s="47">
        <f t="shared" si="6"/>
        <v>54119215</v>
      </c>
      <c r="K85" s="47">
        <v>121159</v>
      </c>
      <c r="L85" s="47">
        <f t="shared" si="5"/>
        <v>121159</v>
      </c>
      <c r="M85" s="47">
        <f t="shared" si="5"/>
        <v>121159</v>
      </c>
      <c r="N85" s="1">
        <f t="shared" si="4"/>
        <v>53998056</v>
      </c>
      <c r="O85" s="1"/>
      <c r="Y85" s="1">
        <v>59354766</v>
      </c>
      <c r="Z85" s="1">
        <v>59354766</v>
      </c>
      <c r="AA85" s="1"/>
      <c r="AB85" s="1"/>
    </row>
    <row r="86" spans="1:28" ht="12.75">
      <c r="A86" s="50" t="s">
        <v>72</v>
      </c>
      <c r="B86" s="1">
        <f>SUM(B87:B94)</f>
        <v>192721542</v>
      </c>
      <c r="C86" s="47">
        <v>0</v>
      </c>
      <c r="D86" s="47"/>
      <c r="E86" s="47"/>
      <c r="F86" s="47"/>
      <c r="G86" s="47"/>
      <c r="H86" s="47"/>
      <c r="I86" s="47"/>
      <c r="J86" s="47">
        <f t="shared" si="6"/>
        <v>192721542</v>
      </c>
      <c r="K86" s="47">
        <f>SUM(K87:K94)</f>
        <v>35713292</v>
      </c>
      <c r="L86" s="47">
        <f>SUM(L87:L94)</f>
        <v>35713292</v>
      </c>
      <c r="M86" s="47">
        <f>SUM(M87:M94)</f>
        <v>35713292</v>
      </c>
      <c r="N86" s="1">
        <f t="shared" si="4"/>
        <v>157008250</v>
      </c>
      <c r="O86" s="1"/>
      <c r="Y86" s="1"/>
      <c r="Z86" s="1"/>
      <c r="AA86" s="1"/>
      <c r="AB86" s="1"/>
    </row>
    <row r="87" spans="1:28" ht="12.75">
      <c r="A87" s="50" t="s">
        <v>61</v>
      </c>
      <c r="B87" s="1">
        <v>39875154</v>
      </c>
      <c r="C87" s="47"/>
      <c r="D87" s="47"/>
      <c r="E87" s="47"/>
      <c r="F87" s="47"/>
      <c r="G87" s="47"/>
      <c r="H87" s="47"/>
      <c r="I87" s="47"/>
      <c r="J87" s="47">
        <f t="shared" si="6"/>
        <v>39875154</v>
      </c>
      <c r="K87" s="47">
        <v>12818870</v>
      </c>
      <c r="L87" s="47">
        <f aca="true" t="shared" si="7" ref="L87:M94">+K87</f>
        <v>12818870</v>
      </c>
      <c r="M87" s="47">
        <f t="shared" si="7"/>
        <v>12818870</v>
      </c>
      <c r="N87" s="1">
        <f t="shared" si="4"/>
        <v>27056284</v>
      </c>
      <c r="O87" s="1"/>
      <c r="Y87" s="1"/>
      <c r="Z87" s="1"/>
      <c r="AA87" s="1"/>
      <c r="AB87" s="1"/>
    </row>
    <row r="88" spans="1:28" ht="12.75">
      <c r="A88" s="50" t="s">
        <v>63</v>
      </c>
      <c r="B88" s="1">
        <v>9530530</v>
      </c>
      <c r="C88" s="47"/>
      <c r="D88" s="47"/>
      <c r="E88" s="47"/>
      <c r="F88" s="47"/>
      <c r="G88" s="47"/>
      <c r="H88" s="47"/>
      <c r="I88" s="47"/>
      <c r="J88" s="47">
        <f t="shared" si="6"/>
        <v>9530530</v>
      </c>
      <c r="K88" s="47">
        <v>1444521</v>
      </c>
      <c r="L88" s="47">
        <f t="shared" si="7"/>
        <v>1444521</v>
      </c>
      <c r="M88" s="47">
        <f aca="true" t="shared" si="8" ref="M88:M94">+L88</f>
        <v>1444521</v>
      </c>
      <c r="N88" s="1">
        <f t="shared" si="4"/>
        <v>8086009</v>
      </c>
      <c r="O88" s="1"/>
      <c r="Y88" s="1"/>
      <c r="Z88" s="1"/>
      <c r="AA88" s="1"/>
      <c r="AB88" s="1"/>
    </row>
    <row r="89" spans="1:28" ht="12.75">
      <c r="A89" s="50" t="s">
        <v>64</v>
      </c>
      <c r="B89" s="1">
        <v>6402264</v>
      </c>
      <c r="C89" s="47">
        <v>0</v>
      </c>
      <c r="D89" s="47"/>
      <c r="E89" s="47"/>
      <c r="F89" s="47"/>
      <c r="G89" s="47"/>
      <c r="H89" s="47"/>
      <c r="I89" s="47"/>
      <c r="J89" s="47">
        <f t="shared" si="6"/>
        <v>6402264</v>
      </c>
      <c r="K89" s="47">
        <v>2382381</v>
      </c>
      <c r="L89" s="47">
        <f t="shared" si="7"/>
        <v>2382381</v>
      </c>
      <c r="M89" s="47">
        <f t="shared" si="8"/>
        <v>2382381</v>
      </c>
      <c r="N89" s="1">
        <f t="shared" si="4"/>
        <v>4019883</v>
      </c>
      <c r="O89" s="1"/>
      <c r="Y89" s="1"/>
      <c r="Z89" s="1"/>
      <c r="AA89" s="1"/>
      <c r="AB89" s="1"/>
    </row>
    <row r="90" spans="1:28" ht="12.75">
      <c r="A90" s="50" t="s">
        <v>65</v>
      </c>
      <c r="B90" s="1">
        <v>6218100</v>
      </c>
      <c r="C90" s="47"/>
      <c r="D90" s="47"/>
      <c r="E90" s="47"/>
      <c r="F90" s="47"/>
      <c r="G90" s="47"/>
      <c r="H90" s="47"/>
      <c r="I90" s="47"/>
      <c r="J90" s="47">
        <f t="shared" si="6"/>
        <v>6218100</v>
      </c>
      <c r="K90" s="47">
        <v>2481888</v>
      </c>
      <c r="L90" s="47">
        <f t="shared" si="7"/>
        <v>2481888</v>
      </c>
      <c r="M90" s="47">
        <f t="shared" si="8"/>
        <v>2481888</v>
      </c>
      <c r="N90" s="1">
        <f t="shared" si="4"/>
        <v>3736212</v>
      </c>
      <c r="O90" s="1"/>
      <c r="Y90" s="1"/>
      <c r="Z90" s="1"/>
      <c r="AA90" s="1"/>
      <c r="AB90" s="1"/>
    </row>
    <row r="91" spans="1:28" ht="12.75">
      <c r="A91" s="50" t="s">
        <v>66</v>
      </c>
      <c r="B91" s="1">
        <v>16946610</v>
      </c>
      <c r="C91" s="47">
        <v>0</v>
      </c>
      <c r="D91" s="47"/>
      <c r="E91" s="47"/>
      <c r="F91" s="47"/>
      <c r="G91" s="47"/>
      <c r="H91" s="47"/>
      <c r="I91" s="47"/>
      <c r="J91" s="47">
        <f t="shared" si="6"/>
        <v>16946610</v>
      </c>
      <c r="K91" s="47">
        <v>3734598</v>
      </c>
      <c r="L91" s="47">
        <f t="shared" si="7"/>
        <v>3734598</v>
      </c>
      <c r="M91" s="47">
        <f t="shared" si="8"/>
        <v>3734598</v>
      </c>
      <c r="N91" s="1">
        <f t="shared" si="4"/>
        <v>13212012</v>
      </c>
      <c r="O91" s="1"/>
      <c r="Y91" s="1"/>
      <c r="Z91" s="1"/>
      <c r="AA91" s="1"/>
      <c r="AB91" s="1"/>
    </row>
    <row r="92" spans="1:28" ht="12.75">
      <c r="A92" s="50" t="s">
        <v>67</v>
      </c>
      <c r="B92" s="1">
        <v>59284032</v>
      </c>
      <c r="C92" s="47">
        <v>0</v>
      </c>
      <c r="D92" s="47"/>
      <c r="E92" s="47"/>
      <c r="F92" s="47"/>
      <c r="G92" s="47"/>
      <c r="H92" s="47"/>
      <c r="I92" s="47"/>
      <c r="J92" s="47">
        <f t="shared" si="6"/>
        <v>59284032</v>
      </c>
      <c r="K92" s="47">
        <v>7402833</v>
      </c>
      <c r="L92" s="47">
        <f t="shared" si="7"/>
        <v>7402833</v>
      </c>
      <c r="M92" s="47">
        <f t="shared" si="8"/>
        <v>7402833</v>
      </c>
      <c r="N92" s="1">
        <f t="shared" si="4"/>
        <v>51881199</v>
      </c>
      <c r="O92" s="1"/>
      <c r="Y92" s="1"/>
      <c r="Z92" s="1"/>
      <c r="AA92" s="1"/>
      <c r="AB92" s="1"/>
    </row>
    <row r="93" spans="1:28" ht="12.75">
      <c r="A93" s="50" t="s">
        <v>68</v>
      </c>
      <c r="B93" s="1">
        <v>41687189</v>
      </c>
      <c r="C93" s="47">
        <v>0</v>
      </c>
      <c r="D93" s="47"/>
      <c r="E93" s="47"/>
      <c r="F93" s="47"/>
      <c r="G93" s="47"/>
      <c r="H93" s="47"/>
      <c r="I93" s="47"/>
      <c r="J93" s="47">
        <f t="shared" si="6"/>
        <v>41687189</v>
      </c>
      <c r="K93" s="48">
        <v>2594537</v>
      </c>
      <c r="L93" s="47">
        <f t="shared" si="7"/>
        <v>2594537</v>
      </c>
      <c r="M93" s="47">
        <f t="shared" si="8"/>
        <v>2594537</v>
      </c>
      <c r="N93" s="1">
        <f t="shared" si="4"/>
        <v>39092652</v>
      </c>
      <c r="O93" s="1"/>
      <c r="Y93" s="1"/>
      <c r="Z93" s="1"/>
      <c r="AA93" s="1"/>
      <c r="AB93" s="1"/>
    </row>
    <row r="94" spans="1:28" ht="12.75">
      <c r="A94" s="50" t="s">
        <v>69</v>
      </c>
      <c r="B94" s="1">
        <v>12777663</v>
      </c>
      <c r="C94" s="47"/>
      <c r="D94" s="47"/>
      <c r="E94" s="47"/>
      <c r="F94" s="47"/>
      <c r="G94" s="47"/>
      <c r="H94" s="47"/>
      <c r="I94" s="47"/>
      <c r="J94" s="47">
        <f t="shared" si="6"/>
        <v>12777663</v>
      </c>
      <c r="K94" s="47">
        <v>2853664</v>
      </c>
      <c r="L94" s="47">
        <f t="shared" si="7"/>
        <v>2853664</v>
      </c>
      <c r="M94" s="47">
        <f t="shared" si="8"/>
        <v>2853664</v>
      </c>
      <c r="N94" s="1">
        <f t="shared" si="4"/>
        <v>9923999</v>
      </c>
      <c r="O94" s="1"/>
      <c r="Y94" s="1"/>
      <c r="Z94" s="1"/>
      <c r="AA94" s="1"/>
      <c r="AB94" s="1"/>
    </row>
    <row r="95" spans="1:28" ht="12.75">
      <c r="A95" s="50" t="s">
        <v>74</v>
      </c>
      <c r="B95" s="1">
        <f>+B96+B97</f>
        <v>9890001</v>
      </c>
      <c r="C95" s="47">
        <f>+C96+C97</f>
        <v>10000000</v>
      </c>
      <c r="D95" s="47">
        <v>10000000</v>
      </c>
      <c r="E95" s="47"/>
      <c r="F95" s="47"/>
      <c r="G95" s="47"/>
      <c r="H95" s="47"/>
      <c r="I95" s="47"/>
      <c r="J95" s="47">
        <f t="shared" si="6"/>
        <v>29890001</v>
      </c>
      <c r="K95" s="47">
        <f>+K96+K97</f>
        <v>15371560</v>
      </c>
      <c r="L95" s="47">
        <f>+L96+L97</f>
        <v>15371560</v>
      </c>
      <c r="M95" s="47">
        <f>+M96+M97</f>
        <v>15371560</v>
      </c>
      <c r="N95" s="1">
        <f t="shared" si="4"/>
        <v>14518441</v>
      </c>
      <c r="O95" s="1"/>
      <c r="Y95" s="1"/>
      <c r="Z95" s="1"/>
      <c r="AA95" s="1"/>
      <c r="AB95" s="1"/>
    </row>
    <row r="96" spans="1:28" ht="12.75">
      <c r="A96" s="50" t="s">
        <v>70</v>
      </c>
      <c r="B96" s="1">
        <v>0</v>
      </c>
      <c r="C96" s="47"/>
      <c r="D96" s="47"/>
      <c r="E96" s="47"/>
      <c r="F96" s="47"/>
      <c r="G96" s="47"/>
      <c r="H96" s="47"/>
      <c r="I96" s="47"/>
      <c r="J96" s="47">
        <f t="shared" si="6"/>
        <v>0</v>
      </c>
      <c r="K96" s="47">
        <v>0</v>
      </c>
      <c r="L96" s="47">
        <f>+K96</f>
        <v>0</v>
      </c>
      <c r="M96" s="47">
        <f>+L96</f>
        <v>0</v>
      </c>
      <c r="N96" s="1">
        <f t="shared" si="4"/>
        <v>0</v>
      </c>
      <c r="O96" s="1"/>
      <c r="Y96" s="1"/>
      <c r="Z96" s="1"/>
      <c r="AA96" s="1"/>
      <c r="AB96" s="1"/>
    </row>
    <row r="97" spans="1:28" ht="12.75">
      <c r="A97" s="50" t="s">
        <v>71</v>
      </c>
      <c r="B97" s="1">
        <v>9890001</v>
      </c>
      <c r="C97" s="47">
        <v>10000000</v>
      </c>
      <c r="D97" s="47"/>
      <c r="E97" s="47"/>
      <c r="F97" s="47"/>
      <c r="G97" s="47"/>
      <c r="H97" s="47"/>
      <c r="I97" s="47"/>
      <c r="J97" s="47">
        <f t="shared" si="6"/>
        <v>19890001</v>
      </c>
      <c r="K97" s="47">
        <v>15371560</v>
      </c>
      <c r="L97" s="47">
        <f>+K97</f>
        <v>15371560</v>
      </c>
      <c r="M97" s="47">
        <f>+L97</f>
        <v>15371560</v>
      </c>
      <c r="N97" s="1">
        <f t="shared" si="4"/>
        <v>4518441</v>
      </c>
      <c r="O97" s="1"/>
      <c r="Y97" s="1"/>
      <c r="Z97" s="1"/>
      <c r="AA97" s="1"/>
      <c r="AB97" s="1"/>
    </row>
    <row r="98" spans="1:28" ht="12.75">
      <c r="A98" s="50" t="s">
        <v>73</v>
      </c>
      <c r="B98" s="1">
        <f>+B99+B100+B101</f>
        <v>389496000</v>
      </c>
      <c r="C98" s="47">
        <f>+C99+C100+C101</f>
        <v>20000000</v>
      </c>
      <c r="D98" s="47">
        <v>-25000000</v>
      </c>
      <c r="E98" s="47"/>
      <c r="F98" s="47"/>
      <c r="G98" s="47"/>
      <c r="H98" s="47"/>
      <c r="I98" s="47"/>
      <c r="J98" s="47">
        <f t="shared" si="6"/>
        <v>384496000</v>
      </c>
      <c r="K98" s="47">
        <f>SUM(K99:K101)</f>
        <v>247656923</v>
      </c>
      <c r="L98" s="47">
        <f>SUM(L99:L101)</f>
        <v>246830782</v>
      </c>
      <c r="M98" s="47">
        <v>44978137</v>
      </c>
      <c r="N98" s="1">
        <f t="shared" si="4"/>
        <v>136839077</v>
      </c>
      <c r="O98" s="1"/>
      <c r="Y98" s="1"/>
      <c r="Z98" s="1"/>
      <c r="AA98" s="1"/>
      <c r="AB98" s="1"/>
    </row>
    <row r="99" spans="1:28" ht="12.75">
      <c r="A99" s="50" t="s">
        <v>75</v>
      </c>
      <c r="B99" s="1">
        <v>10000000</v>
      </c>
      <c r="C99" s="47"/>
      <c r="D99" s="47"/>
      <c r="E99" s="47"/>
      <c r="F99" s="47"/>
      <c r="G99" s="47"/>
      <c r="H99" s="47"/>
      <c r="I99" s="47"/>
      <c r="J99" s="47">
        <f t="shared" si="6"/>
        <v>10000000</v>
      </c>
      <c r="K99" s="47">
        <v>0</v>
      </c>
      <c r="L99" s="47">
        <f aca="true" t="shared" si="9" ref="L99:M105">+K99</f>
        <v>0</v>
      </c>
      <c r="M99" s="47">
        <f t="shared" si="9"/>
        <v>0</v>
      </c>
      <c r="N99" s="1">
        <f t="shared" si="4"/>
        <v>10000000</v>
      </c>
      <c r="O99" s="1"/>
      <c r="Y99" s="1"/>
      <c r="Z99" s="1"/>
      <c r="AA99" s="1"/>
      <c r="AB99" s="1"/>
    </row>
    <row r="100" spans="1:28" ht="12.75">
      <c r="A100" s="50" t="s">
        <v>76</v>
      </c>
      <c r="B100" s="1">
        <v>15000000</v>
      </c>
      <c r="C100" s="47">
        <v>0</v>
      </c>
      <c r="D100" s="47"/>
      <c r="E100" s="47"/>
      <c r="F100" s="47"/>
      <c r="G100" s="47"/>
      <c r="H100" s="47"/>
      <c r="I100" s="47"/>
      <c r="J100" s="47">
        <f t="shared" si="6"/>
        <v>15000000</v>
      </c>
      <c r="K100" s="47">
        <v>4335647</v>
      </c>
      <c r="L100" s="47">
        <v>3509506</v>
      </c>
      <c r="M100" s="48">
        <v>2290095</v>
      </c>
      <c r="N100" s="1">
        <f t="shared" si="4"/>
        <v>10664353</v>
      </c>
      <c r="O100" s="1"/>
      <c r="Y100" s="1"/>
      <c r="Z100" s="1"/>
      <c r="AA100" s="1"/>
      <c r="AB100" s="1"/>
    </row>
    <row r="101" spans="1:28" ht="12.75">
      <c r="A101" s="50" t="s">
        <v>77</v>
      </c>
      <c r="B101" s="1">
        <v>364496000</v>
      </c>
      <c r="C101" s="47">
        <v>20000000</v>
      </c>
      <c r="D101" s="47"/>
      <c r="E101" s="47"/>
      <c r="F101" s="47"/>
      <c r="G101" s="47"/>
      <c r="H101" s="47"/>
      <c r="I101" s="47"/>
      <c r="J101" s="47">
        <f t="shared" si="6"/>
        <v>384496000</v>
      </c>
      <c r="K101" s="47">
        <v>243321276</v>
      </c>
      <c r="L101" s="47">
        <f t="shared" si="9"/>
        <v>243321276</v>
      </c>
      <c r="M101" s="47">
        <v>42517971</v>
      </c>
      <c r="N101" s="1">
        <f t="shared" si="4"/>
        <v>141174724</v>
      </c>
      <c r="O101" s="6" t="s">
        <v>1</v>
      </c>
      <c r="Y101" s="1"/>
      <c r="Z101" s="1"/>
      <c r="AA101" s="1"/>
      <c r="AB101" s="1"/>
    </row>
    <row r="102" spans="1:28" ht="12.75">
      <c r="A102" s="50" t="s">
        <v>78</v>
      </c>
      <c r="B102" s="1">
        <v>251384094</v>
      </c>
      <c r="C102" s="47">
        <v>0</v>
      </c>
      <c r="D102" s="47"/>
      <c r="E102" s="47"/>
      <c r="F102" s="48"/>
      <c r="G102" s="47"/>
      <c r="H102" s="47"/>
      <c r="I102" s="47"/>
      <c r="J102" s="47">
        <f t="shared" si="6"/>
        <v>251384094</v>
      </c>
      <c r="K102" s="47">
        <v>33126535</v>
      </c>
      <c r="L102" s="47">
        <f t="shared" si="9"/>
        <v>33126535</v>
      </c>
      <c r="M102" s="47">
        <f t="shared" si="9"/>
        <v>33126535</v>
      </c>
      <c r="N102" s="1">
        <f t="shared" si="4"/>
        <v>218257559</v>
      </c>
      <c r="O102" s="1"/>
      <c r="Y102" s="1"/>
      <c r="Z102" s="1"/>
      <c r="AA102" s="1"/>
      <c r="AB102" s="1"/>
    </row>
    <row r="103" spans="1:28" ht="12.75">
      <c r="A103" s="50" t="s">
        <v>79</v>
      </c>
      <c r="B103" s="1">
        <v>101013632</v>
      </c>
      <c r="C103" s="47">
        <v>0</v>
      </c>
      <c r="D103" s="47"/>
      <c r="E103" s="47"/>
      <c r="F103" s="47"/>
      <c r="G103" s="47"/>
      <c r="H103" s="47"/>
      <c r="I103" s="47"/>
      <c r="J103" s="47">
        <f t="shared" si="6"/>
        <v>101013632</v>
      </c>
      <c r="K103" s="47">
        <v>1271767</v>
      </c>
      <c r="L103" s="47">
        <f t="shared" si="9"/>
        <v>1271767</v>
      </c>
      <c r="M103" s="47">
        <f t="shared" si="9"/>
        <v>1271767</v>
      </c>
      <c r="N103" s="1">
        <f t="shared" si="4"/>
        <v>99741865</v>
      </c>
      <c r="O103" s="1"/>
      <c r="Y103" s="1"/>
      <c r="Z103" s="1"/>
      <c r="AA103" s="1"/>
      <c r="AB103" s="1"/>
    </row>
    <row r="104" spans="1:28" ht="12.75">
      <c r="A104" s="50" t="s">
        <v>80</v>
      </c>
      <c r="B104" s="1">
        <v>38016851</v>
      </c>
      <c r="C104" s="47">
        <v>0</v>
      </c>
      <c r="D104" s="47"/>
      <c r="E104" s="47"/>
      <c r="F104" s="47"/>
      <c r="G104" s="47"/>
      <c r="H104" s="47"/>
      <c r="I104" s="47"/>
      <c r="J104" s="47">
        <f t="shared" si="6"/>
        <v>38016851</v>
      </c>
      <c r="K104" s="47">
        <v>0</v>
      </c>
      <c r="L104" s="47">
        <f t="shared" si="9"/>
        <v>0</v>
      </c>
      <c r="M104" s="47">
        <f t="shared" si="9"/>
        <v>0</v>
      </c>
      <c r="N104" s="1">
        <f t="shared" si="4"/>
        <v>38016851</v>
      </c>
      <c r="O104" s="1"/>
      <c r="Y104" s="1"/>
      <c r="Z104" s="1"/>
      <c r="AA104" s="1"/>
      <c r="AB104" s="1"/>
    </row>
    <row r="105" spans="1:28" ht="12.75">
      <c r="A105" s="50" t="s">
        <v>81</v>
      </c>
      <c r="B105" s="1">
        <v>17175638</v>
      </c>
      <c r="C105" s="47">
        <v>0</v>
      </c>
      <c r="D105" s="47"/>
      <c r="E105" s="47"/>
      <c r="F105" s="47"/>
      <c r="G105" s="47"/>
      <c r="H105" s="47"/>
      <c r="I105" s="47"/>
      <c r="J105" s="47">
        <f t="shared" si="6"/>
        <v>17175638</v>
      </c>
      <c r="K105" s="47">
        <v>8412108</v>
      </c>
      <c r="L105" s="47">
        <f t="shared" si="9"/>
        <v>8412108</v>
      </c>
      <c r="M105" s="47">
        <f>+L105</f>
        <v>8412108</v>
      </c>
      <c r="N105" s="1">
        <f t="shared" si="4"/>
        <v>8763530</v>
      </c>
      <c r="O105" s="1"/>
      <c r="Y105" s="1"/>
      <c r="Z105" s="1"/>
      <c r="AA105" s="1"/>
      <c r="AB105" s="1"/>
    </row>
    <row r="106" spans="1:28" ht="12.75">
      <c r="A106" s="50"/>
      <c r="B106" s="47"/>
      <c r="C106" s="47"/>
      <c r="D106" s="47"/>
      <c r="E106" s="47"/>
      <c r="F106" s="47"/>
      <c r="G106" s="47"/>
      <c r="H106" s="47"/>
      <c r="I106" s="47"/>
      <c r="J106" s="47">
        <f t="shared" si="6"/>
        <v>0</v>
      </c>
      <c r="K106" s="47"/>
      <c r="L106" s="47"/>
      <c r="M106" s="47"/>
      <c r="N106" s="1">
        <f t="shared" si="4"/>
        <v>0</v>
      </c>
      <c r="O106" s="1"/>
      <c r="Y106" s="1"/>
      <c r="Z106" s="1"/>
      <c r="AA106" s="1"/>
      <c r="AB106" s="1"/>
    </row>
    <row r="107" spans="1:28" ht="12.75">
      <c r="A107" s="50" t="s">
        <v>48</v>
      </c>
      <c r="B107" s="47">
        <f>SUM(B109:B120)</f>
        <v>989745000</v>
      </c>
      <c r="C107" s="47">
        <f aca="true" t="shared" si="10" ref="C107:L107">SUM(C109:C120)</f>
        <v>636949821</v>
      </c>
      <c r="D107" s="47">
        <f t="shared" si="10"/>
        <v>15000000</v>
      </c>
      <c r="E107" s="47">
        <f t="shared" si="10"/>
        <v>0</v>
      </c>
      <c r="F107" s="47">
        <f t="shared" si="10"/>
        <v>0</v>
      </c>
      <c r="G107" s="47">
        <f t="shared" si="10"/>
        <v>0</v>
      </c>
      <c r="H107" s="47">
        <f t="shared" si="10"/>
        <v>0</v>
      </c>
      <c r="I107" s="47">
        <f t="shared" si="10"/>
        <v>0</v>
      </c>
      <c r="J107" s="47">
        <f t="shared" si="10"/>
        <v>1641694821</v>
      </c>
      <c r="K107" s="47">
        <f t="shared" si="10"/>
        <v>684449310</v>
      </c>
      <c r="L107" s="47">
        <f t="shared" si="10"/>
        <v>345198510</v>
      </c>
      <c r="M107" s="47">
        <f>SUM(M109:M120)</f>
        <v>218079027</v>
      </c>
      <c r="N107" s="1">
        <f t="shared" si="4"/>
        <v>957245511</v>
      </c>
      <c r="O107" s="1"/>
      <c r="Y107" s="1"/>
      <c r="Z107" s="1"/>
      <c r="AA107" s="1"/>
      <c r="AB107" s="1"/>
    </row>
    <row r="108" spans="1:28" ht="12.75">
      <c r="A108" s="46"/>
      <c r="B108" s="47"/>
      <c r="C108" s="47"/>
      <c r="D108" s="47"/>
      <c r="E108" s="47"/>
      <c r="F108" s="47"/>
      <c r="G108" s="47"/>
      <c r="H108" s="47"/>
      <c r="I108" s="47"/>
      <c r="J108" s="47">
        <f t="shared" si="6"/>
        <v>0</v>
      </c>
      <c r="K108" s="47"/>
      <c r="L108" s="47"/>
      <c r="M108" s="47"/>
      <c r="N108" s="1">
        <f t="shared" si="4"/>
        <v>0</v>
      </c>
      <c r="O108" s="1"/>
      <c r="Y108" s="1"/>
      <c r="Z108" s="1"/>
      <c r="AA108" s="1"/>
      <c r="AB108" s="1"/>
    </row>
    <row r="109" spans="1:28" ht="12.75">
      <c r="A109" s="50" t="s">
        <v>82</v>
      </c>
      <c r="B109" s="47">
        <v>44167000</v>
      </c>
      <c r="C109" s="47"/>
      <c r="D109" s="47"/>
      <c r="E109" s="47"/>
      <c r="F109" s="47"/>
      <c r="G109" s="47"/>
      <c r="H109" s="47"/>
      <c r="I109" s="47"/>
      <c r="J109" s="47">
        <f t="shared" si="6"/>
        <v>44167000</v>
      </c>
      <c r="K109" s="47">
        <v>39570251</v>
      </c>
      <c r="L109" s="47">
        <f>+K109</f>
        <v>39570251</v>
      </c>
      <c r="M109" s="47">
        <f>+L109</f>
        <v>39570251</v>
      </c>
      <c r="N109" s="1">
        <f t="shared" si="4"/>
        <v>4596749</v>
      </c>
      <c r="O109" s="1"/>
      <c r="Q109">
        <v>717000</v>
      </c>
      <c r="Y109" s="1"/>
      <c r="Z109" s="1"/>
      <c r="AA109" s="1"/>
      <c r="AB109" s="1"/>
    </row>
    <row r="110" spans="1:28" ht="12.75">
      <c r="A110" s="50" t="s">
        <v>83</v>
      </c>
      <c r="B110" s="47">
        <v>60000000</v>
      </c>
      <c r="C110" s="47">
        <v>55000000</v>
      </c>
      <c r="D110" s="47">
        <v>20000000</v>
      </c>
      <c r="E110" s="47"/>
      <c r="F110" s="47"/>
      <c r="G110" s="47"/>
      <c r="H110" s="47"/>
      <c r="I110" s="47"/>
      <c r="J110" s="47">
        <f t="shared" si="6"/>
        <v>135000000</v>
      </c>
      <c r="K110" s="47">
        <v>13498780</v>
      </c>
      <c r="L110" s="47">
        <f>+K110</f>
        <v>13498780</v>
      </c>
      <c r="M110" s="47">
        <f>+L110</f>
        <v>13498780</v>
      </c>
      <c r="N110" s="1">
        <f t="shared" si="4"/>
        <v>121501220</v>
      </c>
      <c r="O110" s="1"/>
      <c r="Q110">
        <f>+Q109*1.5</f>
        <v>1075500</v>
      </c>
      <c r="R110">
        <f>+Q110*40/100</f>
        <v>430200</v>
      </c>
      <c r="Y110" s="1"/>
      <c r="Z110" s="1"/>
      <c r="AA110" s="1"/>
      <c r="AB110" s="1"/>
    </row>
    <row r="111" spans="1:28" ht="12.75">
      <c r="A111" s="50" t="s">
        <v>84</v>
      </c>
      <c r="B111" s="47">
        <v>135631000</v>
      </c>
      <c r="C111" s="47"/>
      <c r="D111" s="47">
        <v>-10000000</v>
      </c>
      <c r="E111" s="47"/>
      <c r="F111" s="47"/>
      <c r="G111" s="47"/>
      <c r="H111" s="47"/>
      <c r="I111" s="47"/>
      <c r="J111" s="47">
        <f t="shared" si="6"/>
        <v>125631000</v>
      </c>
      <c r="K111" s="47">
        <v>95863131</v>
      </c>
      <c r="L111" s="47">
        <v>69318852</v>
      </c>
      <c r="M111" s="47">
        <f>5300000*1.004</f>
        <v>5321200</v>
      </c>
      <c r="N111" s="1">
        <f t="shared" si="4"/>
        <v>29767869</v>
      </c>
      <c r="O111" s="1"/>
      <c r="Q111">
        <f>+Q110-Q114</f>
        <v>892010</v>
      </c>
      <c r="Y111" s="1"/>
      <c r="Z111" s="1"/>
      <c r="AA111" s="1"/>
      <c r="AB111" s="1"/>
    </row>
    <row r="112" spans="1:28" ht="12.75">
      <c r="A112" s="50" t="s">
        <v>85</v>
      </c>
      <c r="B112" s="47">
        <v>160750000</v>
      </c>
      <c r="C112" s="47">
        <f>481000000+25949821</f>
        <v>506949821</v>
      </c>
      <c r="D112" s="47"/>
      <c r="E112" s="47"/>
      <c r="F112" s="47"/>
      <c r="G112" s="47"/>
      <c r="H112" s="48"/>
      <c r="I112" s="48"/>
      <c r="J112" s="47">
        <f t="shared" si="6"/>
        <v>667699821</v>
      </c>
      <c r="K112" s="47">
        <v>164852678</v>
      </c>
      <c r="L112" s="47">
        <v>55991090</v>
      </c>
      <c r="M112" s="47">
        <v>22490446</v>
      </c>
      <c r="N112" s="1">
        <f t="shared" si="4"/>
        <v>502847143</v>
      </c>
      <c r="O112" s="1"/>
      <c r="Y112" s="1"/>
      <c r="Z112" s="1"/>
      <c r="AA112" s="1"/>
      <c r="AB112" s="1"/>
    </row>
    <row r="113" spans="1:28" ht="12.75">
      <c r="A113" s="50" t="s">
        <v>86</v>
      </c>
      <c r="B113" s="47">
        <v>97890000</v>
      </c>
      <c r="C113" s="47"/>
      <c r="D113" s="47"/>
      <c r="E113" s="47"/>
      <c r="F113" s="47"/>
      <c r="G113" s="47"/>
      <c r="H113" s="47"/>
      <c r="I113" s="47"/>
      <c r="J113" s="47">
        <f t="shared" si="6"/>
        <v>97890000</v>
      </c>
      <c r="K113" s="47">
        <v>38639591</v>
      </c>
      <c r="L113" s="47">
        <v>702800</v>
      </c>
      <c r="M113" s="47">
        <f>+L113</f>
        <v>702800</v>
      </c>
      <c r="N113" s="1">
        <f t="shared" si="4"/>
        <v>59250409</v>
      </c>
      <c r="O113" s="1"/>
      <c r="Q113">
        <v>622000</v>
      </c>
      <c r="Y113" s="1"/>
      <c r="Z113" s="1"/>
      <c r="AA113" s="1"/>
      <c r="AB113" s="1"/>
    </row>
    <row r="114" spans="1:28" ht="12.75">
      <c r="A114" s="50" t="s">
        <v>87</v>
      </c>
      <c r="B114" s="47">
        <v>54720000</v>
      </c>
      <c r="C114" s="47"/>
      <c r="D114" s="47"/>
      <c r="E114" s="47"/>
      <c r="F114" s="47"/>
      <c r="G114" s="47"/>
      <c r="H114" s="47"/>
      <c r="I114" s="47"/>
      <c r="J114" s="47">
        <f t="shared" si="6"/>
        <v>54720000</v>
      </c>
      <c r="K114" s="47">
        <v>18560858</v>
      </c>
      <c r="L114" s="47">
        <v>7177585</v>
      </c>
      <c r="M114" s="47">
        <v>4866689</v>
      </c>
      <c r="N114" s="1">
        <f t="shared" si="4"/>
        <v>36159142</v>
      </c>
      <c r="O114" s="1"/>
      <c r="Q114">
        <f>+Q113*29.5/100</f>
        <v>183490</v>
      </c>
      <c r="Y114" s="1"/>
      <c r="Z114" s="1"/>
      <c r="AA114" s="1"/>
      <c r="AB114" s="1"/>
    </row>
    <row r="115" spans="1:28" ht="12.75">
      <c r="A115" s="50" t="s">
        <v>88</v>
      </c>
      <c r="B115" s="47">
        <v>154477000</v>
      </c>
      <c r="C115" s="47"/>
      <c r="D115" s="47"/>
      <c r="E115" s="47"/>
      <c r="F115" s="47"/>
      <c r="G115" s="47"/>
      <c r="H115" s="47"/>
      <c r="I115" s="47"/>
      <c r="J115" s="47">
        <f t="shared" si="6"/>
        <v>154477000</v>
      </c>
      <c r="K115" s="47">
        <v>100000000</v>
      </c>
      <c r="L115" s="47">
        <v>60118985</v>
      </c>
      <c r="M115" s="47">
        <v>59001952</v>
      </c>
      <c r="N115" s="1">
        <f t="shared" si="4"/>
        <v>54477000</v>
      </c>
      <c r="O115" s="1"/>
      <c r="Y115" s="1"/>
      <c r="Z115" s="1"/>
      <c r="AA115" s="1"/>
      <c r="AB115" s="1"/>
    </row>
    <row r="116" spans="1:28" ht="12.75">
      <c r="A116" s="50" t="s">
        <v>89</v>
      </c>
      <c r="B116" s="47">
        <v>70000000</v>
      </c>
      <c r="C116" s="47"/>
      <c r="D116" s="47">
        <v>5000000</v>
      </c>
      <c r="E116" s="47"/>
      <c r="F116" s="47"/>
      <c r="G116" s="47"/>
      <c r="H116" s="47"/>
      <c r="I116" s="47"/>
      <c r="J116" s="47">
        <f t="shared" si="6"/>
        <v>75000000</v>
      </c>
      <c r="K116" s="47">
        <v>68352361</v>
      </c>
      <c r="L116" s="47">
        <v>9984032</v>
      </c>
      <c r="M116" s="47">
        <f>+L116</f>
        <v>9984032</v>
      </c>
      <c r="N116" s="1">
        <f t="shared" si="4"/>
        <v>6647639</v>
      </c>
      <c r="O116" s="1"/>
      <c r="Y116" s="1"/>
      <c r="Z116" s="1"/>
      <c r="AA116" s="1"/>
      <c r="AB116" s="1"/>
    </row>
    <row r="117" spans="1:28" ht="12.75">
      <c r="A117" s="50" t="s">
        <v>90</v>
      </c>
      <c r="B117" s="47">
        <v>35000000</v>
      </c>
      <c r="C117" s="47"/>
      <c r="D117" s="47"/>
      <c r="E117" s="47"/>
      <c r="F117" s="47"/>
      <c r="G117" s="47"/>
      <c r="H117" s="47"/>
      <c r="I117" s="47"/>
      <c r="J117" s="47">
        <f t="shared" si="6"/>
        <v>35000000</v>
      </c>
      <c r="K117" s="47">
        <v>12959985</v>
      </c>
      <c r="L117" s="47">
        <f>+K117</f>
        <v>12959985</v>
      </c>
      <c r="M117" s="47">
        <v>3366100</v>
      </c>
      <c r="N117" s="1">
        <f t="shared" si="4"/>
        <v>22040015</v>
      </c>
      <c r="O117" s="1"/>
      <c r="Y117" s="1"/>
      <c r="Z117" s="1"/>
      <c r="AA117" s="1"/>
      <c r="AB117" s="1"/>
    </row>
    <row r="118" spans="1:28" ht="12.75">
      <c r="A118" s="50" t="s">
        <v>91</v>
      </c>
      <c r="B118" s="47">
        <v>90000000</v>
      </c>
      <c r="C118" s="47">
        <v>30000000</v>
      </c>
      <c r="D118" s="47"/>
      <c r="E118" s="47"/>
      <c r="F118" s="47"/>
      <c r="G118" s="47"/>
      <c r="H118" s="47"/>
      <c r="I118" s="47"/>
      <c r="J118" s="47">
        <f t="shared" si="6"/>
        <v>120000000</v>
      </c>
      <c r="K118" s="47">
        <v>53923269</v>
      </c>
      <c r="L118" s="47">
        <f>+K118</f>
        <v>53923269</v>
      </c>
      <c r="M118" s="47">
        <f>+L118</f>
        <v>53923269</v>
      </c>
      <c r="N118" s="1">
        <f t="shared" si="4"/>
        <v>66076731</v>
      </c>
      <c r="O118" s="1"/>
      <c r="Y118" s="1"/>
      <c r="Z118" s="1"/>
      <c r="AA118" s="1"/>
      <c r="AB118" s="1"/>
    </row>
    <row r="119" spans="1:28" ht="12.75">
      <c r="A119" s="50" t="s">
        <v>92</v>
      </c>
      <c r="B119" s="47">
        <v>5000000</v>
      </c>
      <c r="C119" s="47"/>
      <c r="D119" s="47"/>
      <c r="E119" s="47"/>
      <c r="F119" s="47"/>
      <c r="G119" s="47"/>
      <c r="H119" s="47"/>
      <c r="I119" s="47"/>
      <c r="J119" s="47">
        <f t="shared" si="6"/>
        <v>5000000</v>
      </c>
      <c r="K119" s="47">
        <v>4349508</v>
      </c>
      <c r="L119" s="47">
        <f>+K119</f>
        <v>4349508</v>
      </c>
      <c r="M119" s="47">
        <f>+L119</f>
        <v>4349508</v>
      </c>
      <c r="N119" s="1">
        <f t="shared" si="4"/>
        <v>650492</v>
      </c>
      <c r="O119" s="1"/>
      <c r="Y119" s="1"/>
      <c r="Z119" s="1"/>
      <c r="AA119" s="1"/>
      <c r="AB119" s="1"/>
    </row>
    <row r="120" spans="1:28" ht="12.75">
      <c r="A120" s="50" t="s">
        <v>93</v>
      </c>
      <c r="B120" s="47">
        <v>82110000</v>
      </c>
      <c r="C120" s="47">
        <v>45000000</v>
      </c>
      <c r="D120" s="47"/>
      <c r="E120" s="47"/>
      <c r="F120" s="47"/>
      <c r="G120" s="47"/>
      <c r="H120" s="47"/>
      <c r="I120" s="47"/>
      <c r="J120" s="47">
        <f t="shared" si="6"/>
        <v>127110000</v>
      </c>
      <c r="K120" s="47">
        <v>73878898</v>
      </c>
      <c r="L120" s="47">
        <v>17603373</v>
      </c>
      <c r="M120" s="47">
        <v>1004000</v>
      </c>
      <c r="N120" s="1">
        <f t="shared" si="4"/>
        <v>53231102</v>
      </c>
      <c r="O120" s="1"/>
      <c r="Y120" s="1"/>
      <c r="Z120" s="1"/>
      <c r="AA120" s="1"/>
      <c r="AB120" s="1"/>
    </row>
    <row r="121" spans="1:28" ht="12.75">
      <c r="A121" s="46"/>
      <c r="B121" s="47"/>
      <c r="C121" s="47"/>
      <c r="D121" s="47"/>
      <c r="E121" s="47"/>
      <c r="F121" s="47"/>
      <c r="G121" s="47"/>
      <c r="H121" s="47"/>
      <c r="I121" s="47"/>
      <c r="J121" s="47">
        <f t="shared" si="6"/>
        <v>0</v>
      </c>
      <c r="K121" s="47"/>
      <c r="L121" s="47"/>
      <c r="M121" s="47"/>
      <c r="N121" s="1">
        <f t="shared" si="4"/>
        <v>0</v>
      </c>
      <c r="O121" s="1"/>
      <c r="Y121" s="1"/>
      <c r="Z121" s="1"/>
      <c r="AA121" s="1"/>
      <c r="AB121" s="1"/>
    </row>
    <row r="122" spans="1:28" ht="12.75">
      <c r="A122" s="50" t="s">
        <v>49</v>
      </c>
      <c r="B122" s="47">
        <f>SUM(B124:B127)</f>
        <v>1273647609</v>
      </c>
      <c r="C122" s="47">
        <f aca="true" t="shared" si="11" ref="C122:L122">SUM(C124:C127)</f>
        <v>284000000</v>
      </c>
      <c r="D122" s="47">
        <f t="shared" si="11"/>
        <v>0</v>
      </c>
      <c r="E122" s="47">
        <f t="shared" si="11"/>
        <v>0</v>
      </c>
      <c r="F122" s="47">
        <f t="shared" si="11"/>
        <v>0</v>
      </c>
      <c r="G122" s="47">
        <f t="shared" si="11"/>
        <v>0</v>
      </c>
      <c r="H122" s="47">
        <f t="shared" si="11"/>
        <v>0</v>
      </c>
      <c r="I122" s="47">
        <f t="shared" si="11"/>
        <v>0</v>
      </c>
      <c r="J122" s="47">
        <f t="shared" si="11"/>
        <v>1557647609</v>
      </c>
      <c r="K122" s="47">
        <f t="shared" si="11"/>
        <v>251545299</v>
      </c>
      <c r="L122" s="47">
        <f t="shared" si="11"/>
        <v>251545299</v>
      </c>
      <c r="M122" s="47">
        <f>SUM(M124:M127)</f>
        <v>251545299</v>
      </c>
      <c r="N122" s="1">
        <f t="shared" si="4"/>
        <v>1306102310</v>
      </c>
      <c r="O122" s="1"/>
      <c r="Y122" s="1"/>
      <c r="Z122" s="1"/>
      <c r="AA122" s="1"/>
      <c r="AB122" s="1"/>
    </row>
    <row r="123" spans="1:28" ht="12.75">
      <c r="A123" s="46"/>
      <c r="B123" s="47"/>
      <c r="C123" s="47"/>
      <c r="D123" s="47"/>
      <c r="E123" s="47"/>
      <c r="F123" s="47"/>
      <c r="G123" s="47"/>
      <c r="H123" s="47"/>
      <c r="I123" s="47"/>
      <c r="J123" s="47">
        <f t="shared" si="6"/>
        <v>0</v>
      </c>
      <c r="K123" s="47"/>
      <c r="L123" s="47"/>
      <c r="M123" s="47"/>
      <c r="N123" s="1">
        <f t="shared" si="4"/>
        <v>0</v>
      </c>
      <c r="O123" s="1"/>
      <c r="Y123" s="1"/>
      <c r="Z123" s="1"/>
      <c r="AA123" s="1"/>
      <c r="AB123" s="1"/>
    </row>
    <row r="124" spans="1:28" ht="12.75">
      <c r="A124" s="50" t="s">
        <v>94</v>
      </c>
      <c r="B124" s="47">
        <v>28536000</v>
      </c>
      <c r="C124" s="47"/>
      <c r="D124" s="47"/>
      <c r="E124" s="47"/>
      <c r="F124" s="47"/>
      <c r="G124" s="47"/>
      <c r="H124" s="47"/>
      <c r="I124" s="47"/>
      <c r="J124" s="47">
        <f t="shared" si="6"/>
        <v>28536000</v>
      </c>
      <c r="K124" s="47">
        <v>0</v>
      </c>
      <c r="L124" s="47">
        <f>+K124</f>
        <v>0</v>
      </c>
      <c r="M124" s="47">
        <f>+L124</f>
        <v>0</v>
      </c>
      <c r="N124" s="1">
        <f t="shared" si="4"/>
        <v>28536000</v>
      </c>
      <c r="O124" s="1"/>
      <c r="Y124" s="1"/>
      <c r="Z124" s="1"/>
      <c r="AA124" s="1"/>
      <c r="AB124" s="1"/>
    </row>
    <row r="125" spans="1:28" ht="25.5">
      <c r="A125" s="53" t="s">
        <v>95</v>
      </c>
      <c r="B125" s="47">
        <v>1212111609</v>
      </c>
      <c r="C125" s="47"/>
      <c r="D125" s="47"/>
      <c r="E125" s="47"/>
      <c r="F125" s="47"/>
      <c r="G125" s="47"/>
      <c r="H125" s="47"/>
      <c r="I125" s="47"/>
      <c r="J125" s="47">
        <f t="shared" si="6"/>
        <v>1212111609</v>
      </c>
      <c r="K125" s="47">
        <v>207192055</v>
      </c>
      <c r="L125" s="47">
        <f>+K125</f>
        <v>207192055</v>
      </c>
      <c r="M125" s="47">
        <v>207192055</v>
      </c>
      <c r="N125" s="1">
        <f t="shared" si="4"/>
        <v>1004919554</v>
      </c>
      <c r="O125" s="1"/>
      <c r="Y125" s="1"/>
      <c r="Z125" s="1"/>
      <c r="AA125" s="1"/>
      <c r="AB125" s="1"/>
    </row>
    <row r="126" spans="1:28" ht="12.75">
      <c r="A126" s="50" t="s">
        <v>96</v>
      </c>
      <c r="B126" s="48">
        <v>23000000</v>
      </c>
      <c r="C126" s="47"/>
      <c r="D126" s="47"/>
      <c r="E126" s="47"/>
      <c r="F126" s="47"/>
      <c r="G126" s="47"/>
      <c r="H126" s="47"/>
      <c r="I126" s="47"/>
      <c r="J126" s="47">
        <f t="shared" si="6"/>
        <v>23000000</v>
      </c>
      <c r="K126" s="47">
        <v>21590305</v>
      </c>
      <c r="L126" s="47">
        <f>+K126</f>
        <v>21590305</v>
      </c>
      <c r="M126" s="47">
        <f>+L126</f>
        <v>21590305</v>
      </c>
      <c r="N126" s="1">
        <f t="shared" si="4"/>
        <v>1409695</v>
      </c>
      <c r="O126" s="1"/>
      <c r="Y126" s="1"/>
      <c r="Z126" s="1"/>
      <c r="AA126" s="1"/>
      <c r="AB126" s="1"/>
    </row>
    <row r="127" spans="1:28" ht="12.75">
      <c r="A127" s="50" t="s">
        <v>97</v>
      </c>
      <c r="B127" s="47">
        <v>10000000</v>
      </c>
      <c r="C127" s="47">
        <v>284000000</v>
      </c>
      <c r="D127" s="47"/>
      <c r="E127" s="47"/>
      <c r="F127" s="47"/>
      <c r="G127" s="47"/>
      <c r="H127" s="47"/>
      <c r="I127" s="47"/>
      <c r="J127" s="47">
        <f t="shared" si="6"/>
        <v>294000000</v>
      </c>
      <c r="K127" s="47">
        <v>22762939</v>
      </c>
      <c r="L127" s="47">
        <f>+K127</f>
        <v>22762939</v>
      </c>
      <c r="M127" s="47">
        <f>+L127</f>
        <v>22762939</v>
      </c>
      <c r="N127" s="1">
        <f t="shared" si="4"/>
        <v>271237061</v>
      </c>
      <c r="O127" s="1"/>
      <c r="Y127" s="1"/>
      <c r="Z127" s="1"/>
      <c r="AA127" s="1"/>
      <c r="AB127" s="1"/>
    </row>
    <row r="128" spans="1:28" ht="12.75">
      <c r="A128" s="46"/>
      <c r="B128" s="47"/>
      <c r="C128" s="47"/>
      <c r="D128" s="47"/>
      <c r="E128" s="47"/>
      <c r="F128" s="47"/>
      <c r="G128" s="47"/>
      <c r="H128" s="47"/>
      <c r="I128" s="47"/>
      <c r="J128" s="47">
        <f t="shared" si="6"/>
        <v>0</v>
      </c>
      <c r="K128" s="47"/>
      <c r="L128" s="47"/>
      <c r="M128" s="47"/>
      <c r="N128" s="1">
        <f t="shared" si="4"/>
        <v>0</v>
      </c>
      <c r="O128" s="1"/>
      <c r="Y128" s="1"/>
      <c r="Z128" s="1"/>
      <c r="AA128" s="1"/>
      <c r="AB128" s="1"/>
    </row>
    <row r="129" spans="1:28" ht="12.75">
      <c r="A129" s="50" t="s">
        <v>28</v>
      </c>
      <c r="B129" s="47">
        <f>+B81+B107+B122</f>
        <v>4010491970</v>
      </c>
      <c r="C129" s="47">
        <f aca="true" t="shared" si="12" ref="C129:L129">+C81+C107+C122</f>
        <v>950949821</v>
      </c>
      <c r="D129" s="47">
        <f t="shared" si="12"/>
        <v>0</v>
      </c>
      <c r="E129" s="47">
        <f t="shared" si="12"/>
        <v>0</v>
      </c>
      <c r="F129" s="47">
        <f>+F81+F107+F122</f>
        <v>0</v>
      </c>
      <c r="G129" s="47">
        <f t="shared" si="12"/>
        <v>0</v>
      </c>
      <c r="H129" s="47">
        <f t="shared" si="12"/>
        <v>0</v>
      </c>
      <c r="I129" s="47">
        <f t="shared" si="12"/>
        <v>0</v>
      </c>
      <c r="J129" s="47">
        <f t="shared" si="12"/>
        <v>4961441791</v>
      </c>
      <c r="K129" s="47">
        <f>+K81+K107+K122</f>
        <v>1305194143</v>
      </c>
      <c r="L129" s="47">
        <f t="shared" si="12"/>
        <v>965117202</v>
      </c>
      <c r="M129" s="47">
        <f>+M81+M107+M122</f>
        <v>636145074</v>
      </c>
      <c r="N129" s="1">
        <f t="shared" si="4"/>
        <v>3656247648</v>
      </c>
      <c r="O129" s="1"/>
      <c r="Y129" s="1"/>
      <c r="Z129" s="1"/>
      <c r="AA129" s="1"/>
      <c r="AB129" s="1"/>
    </row>
    <row r="130" spans="1:28" ht="12.75">
      <c r="A130" s="46"/>
      <c r="B130" s="48" t="s">
        <v>1</v>
      </c>
      <c r="C130" s="48" t="s">
        <v>1</v>
      </c>
      <c r="D130" s="47"/>
      <c r="E130" s="47">
        <f>+C129+E129</f>
        <v>950949821</v>
      </c>
      <c r="F130" s="47"/>
      <c r="G130" s="47"/>
      <c r="H130" s="47"/>
      <c r="I130" s="47"/>
      <c r="J130" s="47"/>
      <c r="K130" s="47"/>
      <c r="L130" s="47"/>
      <c r="M130" s="47"/>
      <c r="N130" s="1"/>
      <c r="O130" s="1"/>
      <c r="Y130" s="1"/>
      <c r="Z130" s="1"/>
      <c r="AA130" s="1"/>
      <c r="AB130" s="1"/>
    </row>
    <row r="131" spans="1:28" ht="12.75">
      <c r="A131" s="46"/>
      <c r="B131" s="48" t="s">
        <v>1</v>
      </c>
      <c r="C131" s="48" t="s">
        <v>1</v>
      </c>
      <c r="D131" s="47"/>
      <c r="E131" s="47">
        <f>+B129+E130</f>
        <v>4961441791</v>
      </c>
      <c r="F131" s="47"/>
      <c r="G131" s="47"/>
      <c r="H131" s="47"/>
      <c r="I131" s="47"/>
      <c r="J131" s="47"/>
      <c r="K131" s="47"/>
      <c r="L131" s="47"/>
      <c r="M131" s="47"/>
      <c r="N131" s="1"/>
      <c r="O131" s="1"/>
      <c r="Y131" s="1"/>
      <c r="Z131" s="1"/>
      <c r="AA131" s="1"/>
      <c r="AB131" s="1"/>
    </row>
    <row r="132" spans="1:28" ht="12.75">
      <c r="A132" s="46"/>
      <c r="B132" s="47"/>
      <c r="C132" s="47"/>
      <c r="D132" s="47"/>
      <c r="E132" s="47" t="e">
        <f>+#REF!</f>
        <v>#REF!</v>
      </c>
      <c r="F132" s="47"/>
      <c r="G132" s="47"/>
      <c r="H132" s="47"/>
      <c r="I132" s="47"/>
      <c r="J132" s="47"/>
      <c r="K132" s="47"/>
      <c r="L132" s="47"/>
      <c r="M132" s="47"/>
      <c r="N132" s="1"/>
      <c r="O132" s="1"/>
      <c r="Y132" s="1"/>
      <c r="Z132" s="1"/>
      <c r="AA132" s="1"/>
      <c r="AB132" s="1"/>
    </row>
    <row r="133" spans="2:28" ht="12.75">
      <c r="B133" s="1"/>
      <c r="C133" s="1"/>
      <c r="D133" s="1"/>
      <c r="E133" s="1" t="e">
        <f>+E132-E130</f>
        <v>#REF!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Y133" s="1"/>
      <c r="Z133" s="1"/>
      <c r="AA133" s="1"/>
      <c r="AB133" s="1"/>
    </row>
    <row r="134" spans="2:28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Y134" s="1"/>
      <c r="Z134" s="1"/>
      <c r="AA134" s="1"/>
      <c r="AB134" s="1"/>
    </row>
    <row r="135" spans="2:28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Y135" s="1"/>
      <c r="Z135" s="1"/>
      <c r="AA135" s="1"/>
      <c r="AB135" s="1"/>
    </row>
    <row r="136" spans="2:28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Y136" s="1"/>
      <c r="Z136" s="1"/>
      <c r="AA136" s="1"/>
      <c r="AB136" s="1"/>
    </row>
    <row r="137" spans="2:28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Y137" s="1"/>
      <c r="Z137" s="1"/>
      <c r="AA137" s="1"/>
      <c r="AB137" s="1"/>
    </row>
    <row r="138" spans="2:28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Y138" s="1"/>
      <c r="Z138" s="1"/>
      <c r="AA138" s="1"/>
      <c r="AB138" s="1"/>
    </row>
    <row r="139" spans="2:28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Y139" s="1"/>
      <c r="Z139" s="1"/>
      <c r="AA139" s="1"/>
      <c r="AB139" s="1"/>
    </row>
    <row r="140" spans="2:28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Y140" s="1"/>
      <c r="Z140" s="1"/>
      <c r="AA140" s="1"/>
      <c r="AB140" s="1"/>
    </row>
    <row r="141" spans="2:28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Y141" s="1"/>
      <c r="Z141" s="1"/>
      <c r="AA141" s="1"/>
      <c r="AB141" s="1"/>
    </row>
    <row r="142" spans="2:28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Y142" s="1"/>
      <c r="Z142" s="1"/>
      <c r="AA142" s="1"/>
      <c r="AB142" s="1"/>
    </row>
    <row r="143" spans="2:28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Y143" s="1"/>
      <c r="Z143" s="1"/>
      <c r="AA143" s="1"/>
      <c r="AB143" s="1"/>
    </row>
    <row r="144" spans="2:28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Y144" s="1"/>
      <c r="Z144" s="1"/>
      <c r="AA144" s="1"/>
      <c r="AB144" s="1"/>
    </row>
    <row r="145" spans="2:28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Y145" s="1"/>
      <c r="Z145" s="1"/>
      <c r="AA145" s="1"/>
      <c r="AB145" s="1"/>
    </row>
    <row r="146" spans="2:28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Y146" s="1"/>
      <c r="Z146" s="1"/>
      <c r="AA146" s="1"/>
      <c r="AB146" s="1"/>
    </row>
    <row r="147" spans="2:28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Y147" s="1"/>
      <c r="Z147" s="1"/>
      <c r="AA147" s="1"/>
      <c r="AB147" s="1"/>
    </row>
    <row r="148" spans="2:28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Y148" s="1"/>
      <c r="Z148" s="1"/>
      <c r="AA148" s="1"/>
      <c r="AB148" s="1"/>
    </row>
    <row r="149" spans="2:28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Y149" s="1"/>
      <c r="Z149" s="1"/>
      <c r="AA149" s="1"/>
      <c r="AB149" s="1"/>
    </row>
    <row r="150" spans="2:28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Y150" s="1"/>
      <c r="Z150" s="1"/>
      <c r="AA150" s="1"/>
      <c r="AB150" s="1"/>
    </row>
    <row r="151" spans="2:28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Y151" s="1"/>
      <c r="Z151" s="1"/>
      <c r="AA151" s="1"/>
      <c r="AB151" s="1"/>
    </row>
    <row r="152" spans="2:28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Y152" s="1"/>
      <c r="Z152" s="1"/>
      <c r="AA152" s="1"/>
      <c r="AB152" s="1"/>
    </row>
    <row r="153" spans="2:28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Y153" s="1"/>
      <c r="Z153" s="1"/>
      <c r="AA153" s="1"/>
      <c r="AB153" s="1"/>
    </row>
    <row r="154" spans="2:28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Y154" s="1"/>
      <c r="Z154" s="1"/>
      <c r="AA154" s="1"/>
      <c r="AB154" s="1"/>
    </row>
    <row r="155" spans="2:28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Y155" s="1"/>
      <c r="Z155" s="1"/>
      <c r="AA155" s="1"/>
      <c r="AB155" s="1"/>
    </row>
    <row r="156" spans="2:28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Y156" s="1"/>
      <c r="Z156" s="1"/>
      <c r="AA156" s="1"/>
      <c r="AB156" s="1"/>
    </row>
    <row r="157" spans="2:28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Y157" s="1"/>
      <c r="Z157" s="1"/>
      <c r="AA157" s="1"/>
      <c r="AB157" s="1"/>
    </row>
    <row r="158" spans="2:28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Y158" s="1"/>
      <c r="Z158" s="1"/>
      <c r="AA158" s="1"/>
      <c r="AB158" s="1"/>
    </row>
    <row r="159" spans="2:28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Y159" s="1"/>
      <c r="Z159" s="1"/>
      <c r="AA159" s="1"/>
      <c r="AB159" s="1"/>
    </row>
    <row r="160" spans="2:28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Y160" s="1"/>
      <c r="Z160" s="1"/>
      <c r="AA160" s="1"/>
      <c r="AB160" s="1"/>
    </row>
    <row r="161" spans="2:28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Y161" s="1"/>
      <c r="Z161" s="1"/>
      <c r="AA161" s="1"/>
      <c r="AB161" s="1"/>
    </row>
    <row r="162" spans="2:28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Y162" s="1"/>
      <c r="Z162" s="1"/>
      <c r="AA162" s="1"/>
      <c r="AB162" s="1"/>
    </row>
    <row r="163" spans="2:28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Y163" s="1"/>
      <c r="Z163" s="1"/>
      <c r="AA163" s="1"/>
      <c r="AB163" s="1"/>
    </row>
    <row r="164" spans="2:28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Y164" s="1"/>
      <c r="Z164" s="1"/>
      <c r="AA164" s="1"/>
      <c r="AB164" s="1"/>
    </row>
    <row r="165" spans="2:28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Y165" s="1"/>
      <c r="Z165" s="1"/>
      <c r="AA165" s="1"/>
      <c r="AB165" s="1"/>
    </row>
    <row r="166" spans="2:28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Y166" s="1"/>
      <c r="Z166" s="1"/>
      <c r="AA166" s="1"/>
      <c r="AB166" s="1"/>
    </row>
    <row r="167" spans="2:28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Y167" s="1"/>
      <c r="Z167" s="1"/>
      <c r="AA167" s="1"/>
      <c r="AB167" s="1"/>
    </row>
    <row r="168" spans="2:28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Y168" s="1"/>
      <c r="Z168" s="1"/>
      <c r="AA168" s="1"/>
      <c r="AB168" s="1"/>
    </row>
    <row r="169" spans="2:28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Y169" s="1"/>
      <c r="Z169" s="1"/>
      <c r="AA169" s="1"/>
      <c r="AB169" s="1"/>
    </row>
    <row r="170" spans="2:28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Y170" s="1"/>
      <c r="Z170" s="1"/>
      <c r="AA170" s="1"/>
      <c r="AB170" s="1"/>
    </row>
    <row r="171" spans="2:28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Y171" s="1"/>
      <c r="Z171" s="1"/>
      <c r="AA171" s="1"/>
      <c r="AB171" s="1"/>
    </row>
    <row r="172" spans="2:28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Y172" s="1"/>
      <c r="Z172" s="1"/>
      <c r="AA172" s="1"/>
      <c r="AB172" s="1"/>
    </row>
    <row r="173" spans="2:28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Y173" s="1"/>
      <c r="Z173" s="1"/>
      <c r="AA173" s="1"/>
      <c r="AB173" s="1"/>
    </row>
    <row r="174" spans="2:28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Y174" s="1"/>
      <c r="Z174" s="1"/>
      <c r="AA174" s="1"/>
      <c r="AB174" s="1"/>
    </row>
    <row r="175" spans="2:28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Y175" s="1"/>
      <c r="Z175" s="1"/>
      <c r="AA175" s="1"/>
      <c r="AB175" s="1"/>
    </row>
    <row r="176" spans="2:28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Y176" s="1"/>
      <c r="Z176" s="1"/>
      <c r="AA176" s="1"/>
      <c r="AB176" s="1"/>
    </row>
    <row r="177" spans="2:28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Y177" s="1"/>
      <c r="Z177" s="1"/>
      <c r="AA177" s="1"/>
      <c r="AB177" s="1"/>
    </row>
    <row r="178" spans="2:28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Y178" s="1"/>
      <c r="Z178" s="1"/>
      <c r="AA178" s="1"/>
      <c r="AB178" s="1"/>
    </row>
    <row r="179" spans="2:28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Y179" s="1"/>
      <c r="Z179" s="1"/>
      <c r="AA179" s="1"/>
      <c r="AB179" s="1"/>
    </row>
    <row r="180" spans="2:28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Y180" s="1"/>
      <c r="Z180" s="1"/>
      <c r="AA180" s="1"/>
      <c r="AB180" s="1"/>
    </row>
    <row r="181" spans="2:28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Y181" s="1"/>
      <c r="Z181" s="1"/>
      <c r="AA181" s="1"/>
      <c r="AB181" s="1"/>
    </row>
    <row r="182" spans="2:28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Y182" s="1"/>
      <c r="Z182" s="1"/>
      <c r="AA182" s="1"/>
      <c r="AB182" s="1"/>
    </row>
    <row r="183" spans="2:28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Y183" s="1"/>
      <c r="Z183" s="1"/>
      <c r="AA183" s="1"/>
      <c r="AB183" s="1"/>
    </row>
    <row r="184" spans="2:28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Y184" s="1"/>
      <c r="Z184" s="1"/>
      <c r="AA184" s="1"/>
      <c r="AB184" s="1"/>
    </row>
    <row r="185" spans="2:28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Y185" s="1"/>
      <c r="Z185" s="1"/>
      <c r="AA185" s="1"/>
      <c r="AB185" s="1"/>
    </row>
    <row r="186" spans="2:28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Y186" s="1"/>
      <c r="Z186" s="1"/>
      <c r="AA186" s="1"/>
      <c r="AB186" s="1"/>
    </row>
    <row r="187" spans="2:28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Y187" s="1"/>
      <c r="Z187" s="1"/>
      <c r="AA187" s="1"/>
      <c r="AB187" s="1"/>
    </row>
    <row r="188" spans="2:28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Y188" s="1"/>
      <c r="Z188" s="1"/>
      <c r="AA188" s="1"/>
      <c r="AB188" s="1"/>
    </row>
    <row r="189" spans="2:28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Y189" s="1"/>
      <c r="Z189" s="1"/>
      <c r="AA189" s="1"/>
      <c r="AB189" s="1"/>
    </row>
    <row r="190" spans="2:28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Y190" s="1"/>
      <c r="Z190" s="1"/>
      <c r="AA190" s="1"/>
      <c r="AB190" s="1"/>
    </row>
    <row r="191" spans="2:28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Y191" s="1"/>
      <c r="Z191" s="1"/>
      <c r="AA191" s="1"/>
      <c r="AB191" s="1"/>
    </row>
    <row r="192" spans="2:28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Y192" s="1"/>
      <c r="Z192" s="1"/>
      <c r="AA192" s="1"/>
      <c r="AB192" s="1"/>
    </row>
    <row r="193" spans="2:28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Y193" s="1"/>
      <c r="Z193" s="1"/>
      <c r="AA193" s="1"/>
      <c r="AB193" s="1"/>
    </row>
    <row r="194" spans="2:28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Y194" s="1"/>
      <c r="Z194" s="1"/>
      <c r="AA194" s="1"/>
      <c r="AB194" s="1"/>
    </row>
    <row r="195" spans="2:28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Y195" s="1"/>
      <c r="Z195" s="1"/>
      <c r="AA195" s="1"/>
      <c r="AB195" s="1"/>
    </row>
    <row r="196" spans="2:28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Y196" s="1"/>
      <c r="Z196" s="1"/>
      <c r="AA196" s="1"/>
      <c r="AB196" s="1"/>
    </row>
    <row r="197" spans="2:28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Y197" s="1"/>
      <c r="Z197" s="1"/>
      <c r="AA197" s="1"/>
      <c r="AB197" s="1"/>
    </row>
    <row r="198" spans="2:28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Y198" s="1"/>
      <c r="Z198" s="1"/>
      <c r="AA198" s="1"/>
      <c r="AB198" s="1"/>
    </row>
    <row r="199" spans="2:28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Y199" s="1"/>
      <c r="Z199" s="1"/>
      <c r="AA199" s="1"/>
      <c r="AB199" s="1"/>
    </row>
    <row r="200" spans="2:28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Y200" s="1"/>
      <c r="Z200" s="1"/>
      <c r="AA200" s="1"/>
      <c r="AB200" s="1"/>
    </row>
    <row r="201" spans="2:28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Y201" s="1"/>
      <c r="Z201" s="1"/>
      <c r="AA201" s="1"/>
      <c r="AB201" s="1"/>
    </row>
    <row r="202" spans="2:28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Y202" s="1"/>
      <c r="Z202" s="1"/>
      <c r="AA202" s="1"/>
      <c r="AB202" s="1"/>
    </row>
    <row r="203" spans="2:28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Y203" s="1"/>
      <c r="Z203" s="1"/>
      <c r="AA203" s="1"/>
      <c r="AB203" s="1"/>
    </row>
    <row r="204" spans="2:28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Y204" s="1"/>
      <c r="Z204" s="1"/>
      <c r="AA204" s="1"/>
      <c r="AB204" s="1"/>
    </row>
    <row r="205" spans="2:28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Y205" s="1"/>
      <c r="Z205" s="1"/>
      <c r="AA205" s="1"/>
      <c r="AB205" s="1"/>
    </row>
    <row r="206" spans="2:28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Y206" s="1"/>
      <c r="Z206" s="1"/>
      <c r="AA206" s="1"/>
      <c r="AB206" s="1"/>
    </row>
    <row r="207" spans="25:28" ht="12.75">
      <c r="Y207" s="1"/>
      <c r="Z207" s="1"/>
      <c r="AA207" s="1"/>
      <c r="AB207" s="1"/>
    </row>
    <row r="208" spans="25:28" ht="12.75">
      <c r="Y208" s="1"/>
      <c r="Z208" s="1"/>
      <c r="AA208" s="1"/>
      <c r="AB208" s="1"/>
    </row>
    <row r="209" spans="25:28" ht="12.75">
      <c r="Y209" s="1"/>
      <c r="Z209" s="1"/>
      <c r="AA209" s="1"/>
      <c r="AB209" s="1"/>
    </row>
    <row r="210" spans="25:28" ht="12.75">
      <c r="Y210" s="1"/>
      <c r="Z210" s="1"/>
      <c r="AA210" s="1"/>
      <c r="AB210" s="1"/>
    </row>
    <row r="211" spans="25:28" ht="12.75">
      <c r="Y211" s="1"/>
      <c r="Z211" s="1"/>
      <c r="AA211" s="1"/>
      <c r="AB211" s="1"/>
    </row>
    <row r="212" spans="25:28" ht="12.75">
      <c r="Y212" s="1"/>
      <c r="Z212" s="1"/>
      <c r="AA212" s="1"/>
      <c r="AB212" s="1"/>
    </row>
    <row r="213" spans="25:28" ht="12.75">
      <c r="Y213" s="1"/>
      <c r="Z213" s="1"/>
      <c r="AA213" s="1"/>
      <c r="AB213" s="1"/>
    </row>
    <row r="214" spans="25:28" ht="12.75">
      <c r="Y214" s="1"/>
      <c r="Z214" s="1"/>
      <c r="AA214" s="1"/>
      <c r="AB214" s="1"/>
    </row>
    <row r="215" spans="25:28" ht="12.75">
      <c r="Y215" s="1"/>
      <c r="Z215" s="1"/>
      <c r="AA215" s="1"/>
      <c r="AB215" s="1"/>
    </row>
    <row r="216" spans="25:28" ht="12.75">
      <c r="Y216" s="1"/>
      <c r="Z216" s="1"/>
      <c r="AA216" s="1"/>
      <c r="AB216" s="1"/>
    </row>
    <row r="217" spans="25:28" ht="12.75">
      <c r="Y217" s="1"/>
      <c r="Z217" s="1"/>
      <c r="AA217" s="1"/>
      <c r="AB217" s="1"/>
    </row>
    <row r="218" spans="25:28" ht="12.75">
      <c r="Y218" s="1"/>
      <c r="Z218" s="1"/>
      <c r="AA218" s="1"/>
      <c r="AB218" s="1"/>
    </row>
    <row r="219" spans="25:28" ht="12.75">
      <c r="Y219" s="1"/>
      <c r="Z219" s="1"/>
      <c r="AA219" s="1"/>
      <c r="AB219" s="1"/>
    </row>
    <row r="220" spans="25:28" ht="12.75">
      <c r="Y220" s="1"/>
      <c r="Z220" s="1"/>
      <c r="AA220" s="1"/>
      <c r="AB220" s="1"/>
    </row>
    <row r="221" spans="25:28" ht="12.75">
      <c r="Y221" s="1"/>
      <c r="Z221" s="1"/>
      <c r="AA221" s="1"/>
      <c r="AB221" s="1"/>
    </row>
    <row r="222" spans="25:28" ht="12.75">
      <c r="Y222" s="1"/>
      <c r="Z222" s="1"/>
      <c r="AA222" s="1"/>
      <c r="AB222" s="1"/>
    </row>
    <row r="223" spans="25:28" ht="12.75">
      <c r="Y223" s="1"/>
      <c r="Z223" s="1"/>
      <c r="AA223" s="1"/>
      <c r="AB223" s="1"/>
    </row>
    <row r="224" spans="25:28" ht="12.75">
      <c r="Y224" s="1"/>
      <c r="Z224" s="1"/>
      <c r="AA224" s="1"/>
      <c r="AB224" s="1"/>
    </row>
    <row r="225" spans="25:28" ht="12.75">
      <c r="Y225" s="1"/>
      <c r="Z225" s="1"/>
      <c r="AA225" s="1"/>
      <c r="AB225" s="1"/>
    </row>
    <row r="226" spans="25:28" ht="12.75">
      <c r="Y226" s="1"/>
      <c r="Z226" s="1"/>
      <c r="AA226" s="1"/>
      <c r="AB226" s="1"/>
    </row>
    <row r="227" spans="25:28" ht="12.75">
      <c r="Y227" s="1"/>
      <c r="Z227" s="1"/>
      <c r="AA227" s="1"/>
      <c r="AB227" s="1"/>
    </row>
    <row r="228" spans="25:28" ht="12.75">
      <c r="Y228" s="1"/>
      <c r="Z228" s="1"/>
      <c r="AA228" s="1"/>
      <c r="AB228" s="1"/>
    </row>
    <row r="229" spans="25:28" ht="12.75">
      <c r="Y229" s="1"/>
      <c r="Z229" s="1"/>
      <c r="AA229" s="1"/>
      <c r="AB229" s="1"/>
    </row>
    <row r="230" spans="25:28" ht="12.75">
      <c r="Y230" s="1"/>
      <c r="Z230" s="1"/>
      <c r="AA230" s="1"/>
      <c r="AB230" s="1"/>
    </row>
  </sheetData>
  <sheetProtection/>
  <mergeCells count="4">
    <mergeCell ref="A1:G1"/>
    <mergeCell ref="A2:G2"/>
    <mergeCell ref="D4:E4"/>
    <mergeCell ref="C78:J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2014-10-09T21:00:21Z</cp:lastPrinted>
  <dcterms:created xsi:type="dcterms:W3CDTF">2007-01-13T18:42:48Z</dcterms:created>
  <dcterms:modified xsi:type="dcterms:W3CDTF">2016-09-29T22:11:24Z</dcterms:modified>
  <cp:category/>
  <cp:version/>
  <cp:contentType/>
  <cp:contentStatus/>
</cp:coreProperties>
</file>