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" sheetId="1" r:id="rId1"/>
    <sheet name="INVERSION" sheetId="2" r:id="rId2"/>
    <sheet name="ADICIONES2014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<sst xmlns="http://schemas.openxmlformats.org/spreadsheetml/2006/main" count="484" uniqueCount="183">
  <si>
    <t>CORPORACION AUTONOMA REGIONAL DEL ALTO MAGDALENA CAM</t>
  </si>
  <si>
    <t xml:space="preserve"> </t>
  </si>
  <si>
    <t>MODIFICACIONES</t>
  </si>
  <si>
    <t>C</t>
  </si>
  <si>
    <t>GASTOS DE INVERSION</t>
  </si>
  <si>
    <t xml:space="preserve">  </t>
  </si>
  <si>
    <t>COMPROMISOS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</si>
  <si>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</si>
  <si>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</si>
  <si>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</si>
  <si>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</si>
  <si>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</si>
  <si>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</si>
  <si>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</si>
  <si>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</si>
  <si>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</si>
  <si>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</si>
  <si>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</si>
  <si>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</si>
  <si>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</si>
  <si>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</si>
  <si>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</si>
  <si>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</si>
  <si>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</si>
  <si>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</si>
  <si>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</si>
  <si>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</si>
  <si>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</si>
  <si>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</si>
  <si>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</si>
  <si>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</si>
  <si>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</si>
  <si>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</si>
  <si>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</si>
  <si>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</si>
  <si>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</si>
  <si>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</si>
  <si>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</si>
  <si>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</si>
  <si>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</si>
  <si>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</si>
  <si>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</si>
  <si>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</si>
  <si>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05-0900-01</t>
  </si>
  <si>
    <t>01-0900-01</t>
  </si>
  <si>
    <t>02-0900-02</t>
  </si>
  <si>
    <t>03-0900-02</t>
  </si>
  <si>
    <t>GASTOS DE PERSONAL</t>
  </si>
  <si>
    <t>GASTOS GENERALES</t>
  </si>
  <si>
    <t>TRANSFERENCIAS</t>
  </si>
  <si>
    <t>02-0900-03</t>
  </si>
  <si>
    <t>02-0900-04</t>
  </si>
  <si>
    <t>04-0900-01</t>
  </si>
  <si>
    <t>06-0900-01</t>
  </si>
  <si>
    <t>06-0900-02</t>
  </si>
  <si>
    <t>TOTAL INVERSION</t>
  </si>
  <si>
    <t>ecedentes fros</t>
  </si>
  <si>
    <t>MODICIACIONES</t>
  </si>
  <si>
    <t>SUELDO VACACIONES</t>
  </si>
  <si>
    <t>SUELDOS</t>
  </si>
  <si>
    <t>PRIMA TECNCIA</t>
  </si>
  <si>
    <t>BONIFICACION SERVICIOS PRESTADOS</t>
  </si>
  <si>
    <t>PRIMA TECNICA</t>
  </si>
  <si>
    <t>BONIFICACION ESPECIAL POR RECREACION</t>
  </si>
  <si>
    <t>SUBSIDIO DE ALIMENTACION</t>
  </si>
  <si>
    <t>AUXILIO DE TRANSPORTE</t>
  </si>
  <si>
    <t>PRIMA DE SERVICIOS</t>
  </si>
  <si>
    <t>PRIMA DE VACACIONES</t>
  </si>
  <si>
    <t>PRIMA DE NAVIDAD</t>
  </si>
  <si>
    <t>PRIMA DE COORDINACION</t>
  </si>
  <si>
    <t>HORAS EXTRAS</t>
  </si>
  <si>
    <t>INDEMNIZACION DE VACACIONES</t>
  </si>
  <si>
    <t>OTROS</t>
  </si>
  <si>
    <t>SERVICIOS PERSONALES INDIRECTOS</t>
  </si>
  <si>
    <t>HORAS EXTRAS INDEMINZCIONES</t>
  </si>
  <si>
    <t>SUPERNUMERARIOS</t>
  </si>
  <si>
    <t>HONORARIOS</t>
  </si>
  <si>
    <t>REMUNERACION SERVICIOS TECNICOS</t>
  </si>
  <si>
    <t>CONTRIBUCIONES NOMINA SECTOR PRIVADO</t>
  </si>
  <si>
    <t>CONTRIBUCIONES NOMINA SECTOR PUBLICO</t>
  </si>
  <si>
    <t>APORTES AL ICBF</t>
  </si>
  <si>
    <t>APORTES AL SENA</t>
  </si>
  <si>
    <t>IMPUESTOS MULTAS Y TASAS</t>
  </si>
  <si>
    <t>COMPRA DE EQUIPO</t>
  </si>
  <si>
    <t>MATERIALES Y SUMINISTROS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</si>
  <si>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</si>
  <si>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</si>
  <si>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</si>
  <si>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</si>
  <si>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</si>
  <si>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</si>
  <si>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</t>
  </si>
  <si>
    <t>GASTOS IMPREVISTOS</t>
  </si>
  <si>
    <t>CAPACITACION Y BIENESTAR SOCIAL</t>
  </si>
  <si>
    <t>CUOTA DE AUDITAJE</t>
  </si>
  <si>
    <t>APORTE AL FONDO DE COMPENSACION AMBIENTAL</t>
  </si>
  <si>
    <t>APORTE ASOCAR</t>
  </si>
  <si>
    <t>SENTENCIAS</t>
  </si>
  <si>
    <t>SERVICIOS PERSONALES ASOCIADOS A NOMINA</t>
  </si>
  <si>
    <t>VITELIO BARRERA ALVAREZ</t>
  </si>
  <si>
    <t>Contador</t>
  </si>
  <si>
    <t>c</t>
  </si>
  <si>
    <t>Implementacion de procesos de restauracion pasiva</t>
  </si>
  <si>
    <t>SALDO POR EJECUTAR</t>
  </si>
  <si>
    <t>% EJECUION COMPROMISOS</t>
  </si>
  <si>
    <t>Febrero 20 2014</t>
  </si>
  <si>
    <t>ECOPETROL</t>
  </si>
  <si>
    <t>CDP</t>
  </si>
  <si>
    <t>CDPS</t>
  </si>
  <si>
    <t>RESOLUCION  271</t>
  </si>
  <si>
    <t>ACUERDO 002</t>
  </si>
  <si>
    <t>02-900-01</t>
  </si>
  <si>
    <t>02-900-03</t>
  </si>
  <si>
    <t>04-0900-02</t>
  </si>
  <si>
    <t>EXCEDENTES FROS PREDIAL</t>
  </si>
  <si>
    <t>EXCEDENTES FROS TSE</t>
  </si>
  <si>
    <t>EXCEDENTES FROS TUA</t>
  </si>
  <si>
    <t>EXCEDENTES FROS LIBRE INVERSION</t>
  </si>
  <si>
    <t>EXCEDENTES FROS TR</t>
  </si>
  <si>
    <t>02-0900-01</t>
  </si>
  <si>
    <t>01-0900-02</t>
  </si>
  <si>
    <t>01-0900-03</t>
  </si>
  <si>
    <t>03-0900-01</t>
  </si>
  <si>
    <t>% EJEUCION CON CDPS</t>
  </si>
  <si>
    <t>% DE EJECUCION CON REGISTROS</t>
  </si>
  <si>
    <t>RESOLUCION  666</t>
  </si>
  <si>
    <t>CONVENIO DPTO HUILA</t>
  </si>
  <si>
    <t>PROG</t>
  </si>
  <si>
    <t>GAS</t>
  </si>
  <si>
    <t>PRESUPUESTO</t>
  </si>
  <si>
    <t>PAGOS</t>
  </si>
  <si>
    <t>CUENTAS</t>
  </si>
  <si>
    <t>RESERVAS</t>
  </si>
  <si>
    <t>SALDO</t>
  </si>
  <si>
    <t>% DE EJECUCION</t>
  </si>
  <si>
    <t>Y/O</t>
  </si>
  <si>
    <t>CONCEPTO</t>
  </si>
  <si>
    <t>INICIAL</t>
  </si>
  <si>
    <t>PRESUPUESTALES</t>
  </si>
  <si>
    <t>DEFINITIVO</t>
  </si>
  <si>
    <t>POR PAGAR</t>
  </si>
  <si>
    <t xml:space="preserve">POR EJECUTAR </t>
  </si>
  <si>
    <t>PRY</t>
  </si>
  <si>
    <t>A</t>
  </si>
  <si>
    <t xml:space="preserve">GASTOS DE FUNCIONAMIENTO </t>
  </si>
  <si>
    <t>Gastos de personal</t>
  </si>
  <si>
    <t>servicios personales asociados a nomina</t>
  </si>
  <si>
    <t>sueldos personal de nomina</t>
  </si>
  <si>
    <t>sueldos personal de nomina vacaciones</t>
  </si>
  <si>
    <t>Horas extras</t>
  </si>
  <si>
    <t xml:space="preserve">Indemnizaciones </t>
  </si>
  <si>
    <t>Prima Tecnica</t>
  </si>
  <si>
    <t>Otros</t>
  </si>
  <si>
    <t>Servicios personales indirectos</t>
  </si>
  <si>
    <t>contribuciones nomina sector privado</t>
  </si>
  <si>
    <t>contribuciones nomina sector publico</t>
  </si>
  <si>
    <t>ICBF</t>
  </si>
  <si>
    <t>SENA</t>
  </si>
  <si>
    <t>Gastos Generales</t>
  </si>
  <si>
    <t>Adquisicion de bienes</t>
  </si>
  <si>
    <t>Adquisicion de servicios</t>
  </si>
  <si>
    <t>Impuestos y multas</t>
  </si>
  <si>
    <t>Transferencias corrientes</t>
  </si>
  <si>
    <t>cuaota auditaje contranal</t>
  </si>
  <si>
    <t>Aporte al Fondo de Compensacion</t>
  </si>
  <si>
    <t>Aporte Asocars</t>
  </si>
  <si>
    <t>Sentencias Judiciales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</si>
  <si>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</si>
  <si>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</si>
  <si>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</si>
  <si>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</si>
  <si>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</si>
  <si>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</si>
  <si>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</si>
  <si>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SALDO POR EJCUTAR</t>
  </si>
  <si>
    <t>RECURSOS NACION ANEXO 4</t>
  </si>
  <si>
    <t xml:space="preserve">RECURSOS PROPIOS </t>
  </si>
  <si>
    <t>CONVENIO NO. 166/13 MPIOS.</t>
  </si>
  <si>
    <t>RESOLUCION 1248</t>
  </si>
  <si>
    <t>EJECUCION PRESUPUESTAL GASTOS DE INVERSION RECURSOS NACION  A JUNIO 30 ANEXO No 4</t>
  </si>
  <si>
    <t>EJECUCION PRESUPUESTAL GASTOS DE INVERSION  RECURSOS PROPIOS A JUNIO 30 DE 2014 op 49655</t>
  </si>
  <si>
    <t>EJECUCION PRESUPUESTAL A 30 DE JUNIO DE 2014</t>
  </si>
  <si>
    <t>EJECUCION PRESUPUESTAL A JUNIO 30 DE 2014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</si>
</sst>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left"/>
    </xf>
    <xf numFmtId="17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0" fillId="0" borderId="15" xfId="0" applyNumberFormat="1" applyBorder="1" applyAlignment="1">
      <alignment/>
    </xf>
    <xf numFmtId="3" fontId="1" fillId="0" borderId="0" xfId="0" applyNumberFormat="1" applyFont="1" applyAlignment="1">
      <alignment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 horizontal="center" wrapText="1"/>
    </xf>
    <xf numFmtId="4" fontId="0" fillId="0" borderId="19" xfId="0" applyNumberForma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4" fontId="0" fillId="0" borderId="21" xfId="0" applyNumberForma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center" wrapText="1"/>
    </xf>
    <xf numFmtId="4" fontId="0" fillId="0" borderId="27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4" fontId="0" fillId="0" borderId="2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1" fillId="0" borderId="14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Fill="1" applyBorder="1" applyAlignment="1">
      <alignment horizontal="center" wrapText="1"/>
    </xf>
    <xf numFmtId="4" fontId="0" fillId="0" borderId="26" xfId="0" applyNumberFormat="1" applyFont="1" applyBorder="1" applyAlignment="1">
      <alignment/>
    </xf>
    <xf numFmtId="3" fontId="3" fillId="0" borderId="18" xfId="0" applyNumberFormat="1" applyFont="1" applyFill="1" applyBorder="1" applyAlignment="1" applyProtection="1">
      <alignment wrapText="1"/>
      <protection locked="0"/>
    </xf>
    <xf numFmtId="3" fontId="0" fillId="0" borderId="18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16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7" fillId="0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4" fontId="47" fillId="0" borderId="0" xfId="0" applyNumberFormat="1" applyFont="1" applyFill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wnloads\POAI%202014%20DEFINITIVO%2029%20DE%20ENERO%202014ATRABAJAR%20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wnloads\EJECUCION%20PRESUPUESTALGASTOSAMARZO31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wnloads\POAI%202014%20DEFINITIVO%2029%20DE%20ENERO%202014ATRABAJAR%20-CORTE%20JUNIO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  <sheetName val="Hoja1"/>
      <sheetName val="Hoja2"/>
      <sheetName val="Hoja4"/>
    </sheetNames>
    <sheetDataSet>
      <sheetData sheetId="1">
        <row r="11">
          <cell r="D11">
            <v>1290000000</v>
          </cell>
        </row>
        <row r="128">
          <cell r="E128">
            <v>0</v>
          </cell>
        </row>
      </sheetData>
      <sheetData sheetId="2">
        <row r="3">
          <cell r="E3">
            <v>250000000</v>
          </cell>
        </row>
        <row r="32">
          <cell r="E32">
            <v>13252800</v>
          </cell>
        </row>
      </sheetData>
      <sheetData sheetId="3">
        <row r="4">
          <cell r="F4">
            <v>175000000</v>
          </cell>
        </row>
      </sheetData>
      <sheetData sheetId="4">
        <row r="4">
          <cell r="F4">
            <v>2936942000</v>
          </cell>
        </row>
        <row r="52">
          <cell r="E52">
            <v>20943579</v>
          </cell>
        </row>
      </sheetData>
      <sheetData sheetId="5">
        <row r="4">
          <cell r="F4">
            <v>410135926</v>
          </cell>
        </row>
      </sheetData>
      <sheetData sheetId="6">
        <row r="2">
          <cell r="F2">
            <v>1342739943</v>
          </cell>
        </row>
      </sheetData>
      <sheetData sheetId="7">
        <row r="3">
          <cell r="F3">
            <v>1343138161</v>
          </cell>
        </row>
      </sheetData>
      <sheetData sheetId="8">
        <row r="2">
          <cell r="F2">
            <v>250000000</v>
          </cell>
        </row>
      </sheetData>
      <sheetData sheetId="9">
        <row r="3">
          <cell r="F3">
            <v>1067573103</v>
          </cell>
        </row>
      </sheetData>
      <sheetData sheetId="10">
        <row r="2">
          <cell r="E2">
            <v>722715614</v>
          </cell>
        </row>
        <row r="235">
          <cell r="E235">
            <v>1026204</v>
          </cell>
        </row>
      </sheetData>
      <sheetData sheetId="11">
        <row r="1">
          <cell r="F1">
            <v>387580893</v>
          </cell>
        </row>
      </sheetData>
      <sheetData sheetId="12">
        <row r="2">
          <cell r="F2">
            <v>200000000</v>
          </cell>
        </row>
        <row r="40">
          <cell r="E40">
            <v>5421600</v>
          </cell>
        </row>
      </sheetData>
      <sheetData sheetId="13">
        <row r="3">
          <cell r="E3">
            <v>220000000</v>
          </cell>
        </row>
      </sheetData>
      <sheetData sheetId="14">
        <row r="2">
          <cell r="F2">
            <v>225000000</v>
          </cell>
        </row>
      </sheetData>
      <sheetData sheetId="15">
        <row r="45">
          <cell r="E45">
            <v>1475328300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61">
          <cell r="B61">
            <v>1042086000</v>
          </cell>
        </row>
        <row r="62">
          <cell r="B62">
            <v>111383000</v>
          </cell>
        </row>
        <row r="63">
          <cell r="B63">
            <v>11820000</v>
          </cell>
        </row>
        <row r="64">
          <cell r="B64">
            <v>57319500</v>
          </cell>
        </row>
        <row r="65">
          <cell r="B65">
            <v>18076500</v>
          </cell>
        </row>
        <row r="66">
          <cell r="B66">
            <v>114639000</v>
          </cell>
        </row>
        <row r="67">
          <cell r="B67">
            <v>1346000</v>
          </cell>
        </row>
        <row r="68">
          <cell r="B68">
            <v>73908425</v>
          </cell>
        </row>
        <row r="69">
          <cell r="B69">
            <v>178721995</v>
          </cell>
        </row>
        <row r="70">
          <cell r="B70">
            <v>24506790</v>
          </cell>
        </row>
        <row r="71">
          <cell r="B71">
            <v>24506790</v>
          </cell>
        </row>
        <row r="72">
          <cell r="B72">
            <v>1333000</v>
          </cell>
        </row>
        <row r="73">
          <cell r="B73">
            <v>25523000</v>
          </cell>
        </row>
        <row r="74">
          <cell r="B74">
            <v>9578000</v>
          </cell>
        </row>
        <row r="83">
          <cell r="B83">
            <v>574662906</v>
          </cell>
          <cell r="K83">
            <v>16066420</v>
          </cell>
        </row>
        <row r="84">
          <cell r="B84">
            <v>118619482</v>
          </cell>
        </row>
        <row r="85">
          <cell r="B85">
            <v>54119215</v>
          </cell>
          <cell r="K85">
            <v>121159</v>
          </cell>
        </row>
        <row r="86">
          <cell r="B86">
            <v>192721542</v>
          </cell>
          <cell r="K86">
            <v>18610789</v>
          </cell>
        </row>
        <row r="95">
          <cell r="B95">
            <v>9890001</v>
          </cell>
          <cell r="C95">
            <v>10000000</v>
          </cell>
        </row>
        <row r="96">
          <cell r="K96">
            <v>0</v>
          </cell>
        </row>
        <row r="97">
          <cell r="K97">
            <v>9890001</v>
          </cell>
        </row>
        <row r="98">
          <cell r="B98">
            <v>389496000</v>
          </cell>
          <cell r="C98">
            <v>20000000</v>
          </cell>
          <cell r="K98">
            <v>227459718</v>
          </cell>
        </row>
        <row r="102">
          <cell r="B102">
            <v>251384094</v>
          </cell>
          <cell r="K102">
            <v>0</v>
          </cell>
        </row>
        <row r="103">
          <cell r="B103">
            <v>101013632</v>
          </cell>
          <cell r="K103">
            <v>0</v>
          </cell>
        </row>
        <row r="104">
          <cell r="B104">
            <v>38016851</v>
          </cell>
          <cell r="K104">
            <v>0</v>
          </cell>
          <cell r="L104">
            <v>0</v>
          </cell>
        </row>
        <row r="105">
          <cell r="B105">
            <v>17175638</v>
          </cell>
        </row>
        <row r="109">
          <cell r="B109">
            <v>44167000</v>
          </cell>
          <cell r="K109">
            <v>36411667</v>
          </cell>
        </row>
        <row r="110">
          <cell r="B110">
            <v>60000000</v>
          </cell>
          <cell r="K110">
            <v>13498780</v>
          </cell>
        </row>
        <row r="111">
          <cell r="B111">
            <v>135631000</v>
          </cell>
          <cell r="K111">
            <v>75199600</v>
          </cell>
        </row>
        <row r="112">
          <cell r="B112">
            <v>160750000</v>
          </cell>
          <cell r="C112">
            <v>561949821</v>
          </cell>
          <cell r="K112">
            <v>92735359</v>
          </cell>
        </row>
        <row r="113">
          <cell r="B113">
            <v>97890000</v>
          </cell>
          <cell r="K113">
            <v>702800</v>
          </cell>
        </row>
        <row r="114">
          <cell r="B114">
            <v>54720000</v>
          </cell>
          <cell r="K114">
            <v>16891236</v>
          </cell>
        </row>
        <row r="115">
          <cell r="B115">
            <v>154477000</v>
          </cell>
          <cell r="K115">
            <v>100000000</v>
          </cell>
        </row>
        <row r="116">
          <cell r="B116">
            <v>70000000</v>
          </cell>
          <cell r="K116">
            <v>9984032</v>
          </cell>
        </row>
        <row r="117">
          <cell r="B117">
            <v>35000000</v>
          </cell>
          <cell r="K117">
            <v>12959985</v>
          </cell>
        </row>
        <row r="118">
          <cell r="B118">
            <v>90000000</v>
          </cell>
          <cell r="C118">
            <v>30000000</v>
          </cell>
          <cell r="K118">
            <v>34980049</v>
          </cell>
        </row>
        <row r="119">
          <cell r="B119">
            <v>5000000</v>
          </cell>
          <cell r="K119">
            <v>4349508</v>
          </cell>
        </row>
        <row r="120">
          <cell r="B120">
            <v>82110000</v>
          </cell>
          <cell r="C120">
            <v>45000000</v>
          </cell>
          <cell r="K120">
            <v>0</v>
          </cell>
        </row>
        <row r="122">
          <cell r="C122">
            <v>284000000</v>
          </cell>
        </row>
        <row r="124">
          <cell r="B124">
            <v>28536000</v>
          </cell>
          <cell r="K124">
            <v>0</v>
          </cell>
          <cell r="L124">
            <v>0</v>
          </cell>
        </row>
        <row r="125">
          <cell r="B125">
            <v>1212111609</v>
          </cell>
          <cell r="K125">
            <v>66180780</v>
          </cell>
        </row>
        <row r="126">
          <cell r="B126">
            <v>23000000</v>
          </cell>
          <cell r="K126">
            <v>21590305</v>
          </cell>
          <cell r="L126">
            <v>21590305</v>
          </cell>
        </row>
        <row r="127">
          <cell r="B127">
            <v>10000000</v>
          </cell>
          <cell r="K1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Hoja1"/>
      <sheetName val="02-0900-02"/>
      <sheetName val="02-0900-03"/>
      <sheetName val="02-0900-04"/>
      <sheetName val="03-0900-01"/>
      <sheetName val="03-0900-02"/>
      <sheetName val="Hoja2"/>
      <sheetName val="Hoja4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  <sheetName val="Hoja5"/>
      <sheetName val="Hoja6"/>
    </sheetNames>
    <sheetDataSet>
      <sheetData sheetId="1">
        <row r="145">
          <cell r="E145">
            <v>858465669.864</v>
          </cell>
        </row>
      </sheetData>
      <sheetData sheetId="2">
        <row r="44">
          <cell r="E44">
            <v>132596859</v>
          </cell>
        </row>
      </sheetData>
      <sheetData sheetId="3">
        <row r="66">
          <cell r="E66">
            <v>155278922.976</v>
          </cell>
        </row>
      </sheetData>
      <sheetData sheetId="4">
        <row r="63">
          <cell r="E63">
            <v>2199638604.16</v>
          </cell>
        </row>
      </sheetData>
      <sheetData sheetId="6">
        <row r="58">
          <cell r="E58">
            <v>284190658.70000005</v>
          </cell>
        </row>
      </sheetData>
      <sheetData sheetId="7">
        <row r="53">
          <cell r="N53">
            <v>458991622</v>
          </cell>
        </row>
      </sheetData>
      <sheetData sheetId="8">
        <row r="30">
          <cell r="E30">
            <v>2093041988</v>
          </cell>
        </row>
      </sheetData>
      <sheetData sheetId="9">
        <row r="56">
          <cell r="E56">
            <v>125013375.18</v>
          </cell>
        </row>
      </sheetData>
      <sheetData sheetId="10">
        <row r="41">
          <cell r="E41">
            <v>567666322</v>
          </cell>
        </row>
      </sheetData>
      <sheetData sheetId="13">
        <row r="290">
          <cell r="E290">
            <v>855601919.0800004</v>
          </cell>
        </row>
      </sheetData>
      <sheetData sheetId="14">
        <row r="98">
          <cell r="E98">
            <v>241186841.904</v>
          </cell>
        </row>
      </sheetData>
      <sheetData sheetId="15">
        <row r="60">
          <cell r="E60">
            <v>111033551.748</v>
          </cell>
        </row>
      </sheetData>
      <sheetData sheetId="16">
        <row r="75">
          <cell r="E75">
            <v>315187149.468</v>
          </cell>
        </row>
      </sheetData>
      <sheetData sheetId="17">
        <row r="49">
          <cell r="E49">
            <v>219232320.564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zoomScalePageLayoutView="0" workbookViewId="0" topLeftCell="F4">
      <pane xSplit="2" ySplit="4" topLeftCell="H8" activePane="bottomRight" state="frozen"/>
      <selection pane="topLeft" activeCell="F4" sqref="F4"/>
      <selection pane="topRight" activeCell="H4" sqref="H4"/>
      <selection pane="bottomLeft" activeCell="F8" sqref="F8"/>
      <selection pane="bottomRight" activeCell="A22" sqref="A22"/>
    </sheetView>
  </sheetViews>
  <sheetFormatPr defaultColWidth="11.421875" defaultRowHeight="12.75"/>
  <cols>
    <col min="1" max="1" width="3.140625" style="0" hidden="1" customWidth="1"/>
    <col min="2" max="2" width="6.8515625" style="0" hidden="1" customWidth="1"/>
    <col min="3" max="3" width="3.28125" style="0" hidden="1" customWidth="1"/>
    <col min="4" max="4" width="4.421875" style="0" hidden="1" customWidth="1"/>
    <col min="5" max="5" width="2.7109375" style="0" hidden="1" customWidth="1"/>
    <col min="6" max="6" width="35.421875" style="0" customWidth="1"/>
    <col min="7" max="7" width="19.421875" style="0" customWidth="1"/>
    <col min="8" max="8" width="22.140625" style="0" customWidth="1"/>
    <col min="9" max="9" width="31.00390625" style="0" customWidth="1"/>
    <col min="10" max="10" width="0.71875" style="0" customWidth="1"/>
    <col min="11" max="11" width="15.57421875" style="0" hidden="1" customWidth="1"/>
    <col min="12" max="12" width="15.8515625" style="0" hidden="1" customWidth="1"/>
    <col min="13" max="13" width="16.140625" style="0" hidden="1" customWidth="1"/>
    <col min="14" max="14" width="15.421875" style="0" hidden="1" customWidth="1"/>
    <col min="15" max="16" width="15.28125" style="0" hidden="1" customWidth="1"/>
    <col min="17" max="17" width="13.8515625" style="0" hidden="1" customWidth="1"/>
    <col min="18" max="18" width="0.42578125" style="0" customWidth="1"/>
    <col min="19" max="19" width="16.00390625" style="0" customWidth="1"/>
    <col min="20" max="20" width="16.28125" style="0" customWidth="1"/>
    <col min="21" max="21" width="15.140625" style="0" customWidth="1"/>
    <col min="22" max="22" width="15.28125" style="0" customWidth="1"/>
    <col min="23" max="23" width="15.28125" style="0" bestFit="1" customWidth="1"/>
    <col min="24" max="24" width="11.7109375" style="0" bestFit="1" customWidth="1"/>
    <col min="25" max="25" width="0" style="0" hidden="1" customWidth="1"/>
  </cols>
  <sheetData>
    <row r="1" spans="1:25" ht="12.7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12.75">
      <c r="A2" s="171" t="s">
        <v>182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2.75">
      <c r="A3" s="171" t="s">
        <v>176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ht="13.5" thickBot="1">
      <c r="A4" s="88"/>
      <c r="B4" s="89"/>
      <c r="C4" s="89"/>
      <c r="D4" s="89"/>
      <c r="E4" s="89"/>
      <c r="F4" s="89"/>
      <c r="G4" s="89"/>
      <c r="H4" s="89"/>
      <c r="I4" s="90"/>
      <c r="J4" s="89"/>
      <c r="K4" s="89"/>
      <c r="L4" s="89"/>
      <c r="M4" s="89"/>
      <c r="N4" s="89"/>
      <c r="O4" s="91"/>
      <c r="R4" s="92"/>
      <c r="S4" s="92"/>
      <c r="T4" s="92"/>
      <c r="U4" s="92"/>
      <c r="V4" s="92"/>
      <c r="W4" s="92"/>
      <c r="X4" s="92"/>
      <c r="Y4" s="92"/>
    </row>
    <row r="5" spans="1:25" ht="165.75">
      <c r="A5" s="93"/>
      <c r="B5" s="94" t="s">
        <v>127</v>
      </c>
      <c r="C5" s="95"/>
      <c r="D5" s="95" t="s">
        <v>128</v>
      </c>
      <c r="E5" s="95"/>
      <c r="F5" s="96"/>
      <c r="G5" s="94" t="s">
        <v>129</v>
      </c>
      <c r="H5" s="94" t="s">
        <v>2</v>
      </c>
      <c r="I5" s="97" t="s">
        <v>129</v>
      </c>
      <c r="J5" s="98" t="s">
        <v>6</v>
      </c>
      <c r="K5" s="98" t="s">
        <v>130</v>
      </c>
      <c r="L5" s="98" t="s">
        <v>131</v>
      </c>
      <c r="M5" s="98" t="s">
        <v>132</v>
      </c>
      <c r="N5" s="99" t="s">
        <v>133</v>
      </c>
      <c r="O5" s="100" t="s">
        <v>134</v>
      </c>
      <c r="R5" s="101" t="s">
        <v>31</v>
      </c>
      <c r="S5" s="25" t="s">
        <v>31</v>
      </c>
      <c r="T5" s="26" t="s">
        <v>32</v>
      </c>
      <c r="U5" s="26" t="s">
        <v>130</v>
      </c>
      <c r="V5" s="32" t="s">
        <v>103</v>
      </c>
      <c r="W5" s="32" t="s">
        <v>33</v>
      </c>
      <c r="X5" s="32" t="s">
        <v>104</v>
      </c>
      <c r="Y5" s="32" t="s">
        <v>33</v>
      </c>
    </row>
    <row r="6" spans="1:25" ht="12.75">
      <c r="A6" s="102"/>
      <c r="B6" s="103"/>
      <c r="C6" s="103"/>
      <c r="D6" s="103" t="s">
        <v>135</v>
      </c>
      <c r="E6" s="103"/>
      <c r="F6" s="87" t="s">
        <v>136</v>
      </c>
      <c r="G6" s="87" t="s">
        <v>137</v>
      </c>
      <c r="H6" s="87" t="s">
        <v>138</v>
      </c>
      <c r="I6" s="104" t="s">
        <v>139</v>
      </c>
      <c r="J6" s="104" t="s">
        <v>1</v>
      </c>
      <c r="K6" s="105"/>
      <c r="L6" s="104" t="s">
        <v>140</v>
      </c>
      <c r="M6" s="105"/>
      <c r="N6" s="106" t="s">
        <v>141</v>
      </c>
      <c r="O6" s="107"/>
      <c r="R6" s="33"/>
      <c r="S6" s="2"/>
      <c r="T6" s="2"/>
      <c r="U6" s="2"/>
      <c r="V6" s="2"/>
      <c r="W6" s="2"/>
      <c r="X6" s="2"/>
      <c r="Y6" s="2"/>
    </row>
    <row r="7" spans="1:25" ht="13.5" thickBot="1">
      <c r="A7" s="108"/>
      <c r="B7" s="109"/>
      <c r="C7" s="109"/>
      <c r="D7" s="109" t="s">
        <v>142</v>
      </c>
      <c r="E7" s="109"/>
      <c r="F7" s="110"/>
      <c r="G7" s="111" t="s">
        <v>1</v>
      </c>
      <c r="H7" s="112" t="s">
        <v>1</v>
      </c>
      <c r="I7" s="113" t="s">
        <v>5</v>
      </c>
      <c r="J7" s="114" t="s">
        <v>1</v>
      </c>
      <c r="K7" s="114"/>
      <c r="L7" s="114"/>
      <c r="M7" s="114"/>
      <c r="N7" s="115"/>
      <c r="O7" s="116"/>
      <c r="R7" s="88"/>
      <c r="S7" s="89"/>
      <c r="T7" s="89"/>
      <c r="U7" s="89"/>
      <c r="V7" s="89"/>
      <c r="W7" s="89"/>
      <c r="X7" s="89"/>
      <c r="Y7" s="89"/>
    </row>
    <row r="8" spans="1:25" ht="12.75">
      <c r="A8" s="96"/>
      <c r="B8" s="96"/>
      <c r="C8" s="96"/>
      <c r="D8" s="96"/>
      <c r="E8" s="96"/>
      <c r="F8" s="96"/>
      <c r="G8" s="117" t="s">
        <v>1</v>
      </c>
      <c r="H8" s="117" t="s">
        <v>1</v>
      </c>
      <c r="I8" s="118" t="s">
        <v>1</v>
      </c>
      <c r="J8" s="118">
        <f>+J9+J50</f>
        <v>5724099750</v>
      </c>
      <c r="K8" s="119">
        <f>+K9+K50</f>
        <v>5211109536</v>
      </c>
      <c r="L8" s="119"/>
      <c r="M8" s="119">
        <f>+L9+M9</f>
        <v>472096128</v>
      </c>
      <c r="N8" s="120"/>
      <c r="O8" s="121"/>
      <c r="R8" s="85"/>
      <c r="S8" s="122" t="s">
        <v>1</v>
      </c>
      <c r="T8" s="122" t="s">
        <v>1</v>
      </c>
      <c r="U8" s="122"/>
      <c r="V8" s="122" t="s">
        <v>1</v>
      </c>
      <c r="W8" s="122"/>
      <c r="X8" s="122" t="s">
        <v>5</v>
      </c>
      <c r="Y8" s="85"/>
    </row>
    <row r="9" spans="1:25" ht="12.75">
      <c r="A9" s="7" t="s">
        <v>143</v>
      </c>
      <c r="B9" s="7"/>
      <c r="C9" s="7"/>
      <c r="D9" s="7"/>
      <c r="E9" s="7"/>
      <c r="F9" s="7" t="s">
        <v>144</v>
      </c>
      <c r="G9" s="4">
        <f>SUM(G10+G23+G27)</f>
        <v>4010491970</v>
      </c>
      <c r="H9" s="4">
        <f>SUM(H10+H23+H27)</f>
        <v>950949821</v>
      </c>
      <c r="I9" s="123">
        <f>+G9+H9</f>
        <v>4961441791</v>
      </c>
      <c r="J9" s="124">
        <f>SUM(J10+J23+J27)</f>
        <v>4029465212</v>
      </c>
      <c r="K9" s="124">
        <f>SUM(K10+K23+K27)</f>
        <v>3557369084</v>
      </c>
      <c r="L9" s="124">
        <f>SUM(L10+L23+L27)</f>
        <v>106376379</v>
      </c>
      <c r="M9" s="124">
        <f>SUM(M10+M23+M27)</f>
        <v>365719749</v>
      </c>
      <c r="N9" s="125">
        <f>+I9-J9</f>
        <v>931976579</v>
      </c>
      <c r="O9" s="19">
        <f>+J9/I9*100</f>
        <v>81.21560993236695</v>
      </c>
      <c r="P9" s="17"/>
      <c r="R9" s="4">
        <f>SUM(R10+R23+R27)</f>
        <v>797409666</v>
      </c>
      <c r="S9" s="4">
        <f>SUM(S10+S23+S27)</f>
        <v>1457401223</v>
      </c>
      <c r="T9" s="4">
        <f>SUM(T10+T23+T27)</f>
        <v>1272340121</v>
      </c>
      <c r="U9" s="4">
        <f>SUM(U10+U23+U27)</f>
        <v>752454393</v>
      </c>
      <c r="V9" s="4">
        <f>+I9-S9</f>
        <v>3504040568</v>
      </c>
      <c r="W9" s="8">
        <f>+S9/I9*100</f>
        <v>29.37455047127046</v>
      </c>
      <c r="X9" s="8">
        <f>+T9/I9*100</f>
        <v>25.64456411255314</v>
      </c>
      <c r="Y9" s="19">
        <f>+R9/I9*100</f>
        <v>16.0721358748276</v>
      </c>
    </row>
    <row r="10" spans="1:25" ht="12.75">
      <c r="A10" s="7" t="s">
        <v>143</v>
      </c>
      <c r="B10" s="7">
        <v>1</v>
      </c>
      <c r="C10" s="7">
        <v>1</v>
      </c>
      <c r="D10" s="7">
        <v>0</v>
      </c>
      <c r="E10" s="7">
        <v>0</v>
      </c>
      <c r="F10" s="7" t="s">
        <v>145</v>
      </c>
      <c r="G10" s="4">
        <f>SUM(G11+G18+G19+G20+G21+G22)</f>
        <v>1747099361</v>
      </c>
      <c r="H10" s="4">
        <f>SUM(H11+H18+H19+H20+H21+H22+H15)</f>
        <v>30000000</v>
      </c>
      <c r="I10" s="123">
        <f>+G10+H10</f>
        <v>1777099361</v>
      </c>
      <c r="J10" s="124">
        <f>SUM(J11+J18+J19+J20+J21+J22)</f>
        <v>1475405321</v>
      </c>
      <c r="K10" s="124">
        <f>SUM(K11+K18+K19+K20+K21+K22)</f>
        <v>1363123178</v>
      </c>
      <c r="L10" s="124">
        <f>SUM(L11+L18+L19+L20+L21+L22)</f>
        <v>64037939</v>
      </c>
      <c r="M10" s="124">
        <f>SUM(M11+M18+M19+M20+M21+M22)</f>
        <v>48244204</v>
      </c>
      <c r="N10" s="125">
        <f aca="true" t="shared" si="0" ref="N10:N31">+I10-J10</f>
        <v>301694040</v>
      </c>
      <c r="O10" s="19">
        <f aca="true" t="shared" si="1" ref="O10:O30">+J10/I10*100</f>
        <v>83.02323175501947</v>
      </c>
      <c r="P10" s="17"/>
      <c r="R10" s="4">
        <f>SUM(R11+R18+R19+R20+R21+R22)</f>
        <v>311925565</v>
      </c>
      <c r="S10" s="4">
        <f>SUM(S11+S18+S19+S20+S21+S22)</f>
        <v>446623605</v>
      </c>
      <c r="T10" s="4">
        <f>SUM(T11+T18+T19+T20+T21+T22)</f>
        <v>433017976</v>
      </c>
      <c r="U10" s="4">
        <f>SUM(U11+U18+U19+U20+U21+U22)</f>
        <v>224328659</v>
      </c>
      <c r="V10" s="4">
        <f aca="true" t="shared" si="2" ref="V10:V31">+I10-S10</f>
        <v>1330475756</v>
      </c>
      <c r="W10" s="8">
        <f aca="true" t="shared" si="3" ref="W10:W31">+S10/I10*100</f>
        <v>25.132168453916854</v>
      </c>
      <c r="X10" s="8">
        <f aca="true" t="shared" si="4" ref="X10:X31">+T10/I10*100</f>
        <v>24.36655965912533</v>
      </c>
      <c r="Y10" s="19">
        <f aca="true" t="shared" si="5" ref="Y10:Y31">+R10/I10*100</f>
        <v>17.552511235189172</v>
      </c>
    </row>
    <row r="11" spans="1:25" ht="12.75">
      <c r="A11" s="7" t="s">
        <v>143</v>
      </c>
      <c r="B11" s="7">
        <v>1</v>
      </c>
      <c r="C11" s="7">
        <v>1</v>
      </c>
      <c r="D11" s="7">
        <v>1</v>
      </c>
      <c r="E11" s="7">
        <v>0</v>
      </c>
      <c r="F11" s="7" t="s">
        <v>146</v>
      </c>
      <c r="G11" s="4">
        <f>SUM(G12:G17)</f>
        <v>950013146</v>
      </c>
      <c r="H11" s="4">
        <v>0</v>
      </c>
      <c r="I11" s="123">
        <f aca="true" t="shared" si="6" ref="I11:I31">+G11+H11</f>
        <v>950013146</v>
      </c>
      <c r="J11" s="124">
        <f>SUM(J12:J17)</f>
        <v>732027914</v>
      </c>
      <c r="K11" s="124">
        <f>SUM(K12:K17)</f>
        <v>732027914</v>
      </c>
      <c r="L11" s="124">
        <f>SUM(L12:L17)</f>
        <v>0</v>
      </c>
      <c r="M11" s="124">
        <f>SUM(M12:M17)</f>
        <v>0</v>
      </c>
      <c r="N11" s="125">
        <f t="shared" si="0"/>
        <v>217985232</v>
      </c>
      <c r="O11" s="19">
        <f t="shared" si="1"/>
        <v>77.05450362262671</v>
      </c>
      <c r="P11" s="17"/>
      <c r="R11" s="4">
        <f>SUM(R12:R17)</f>
        <v>76053739</v>
      </c>
      <c r="S11" s="4">
        <f>SUM(S12:S17)</f>
        <v>127966331</v>
      </c>
      <c r="T11" s="4">
        <f>SUM(T12:T17)</f>
        <v>114360805</v>
      </c>
      <c r="U11" s="4">
        <f>SUM(U12:U17)</f>
        <v>96318602</v>
      </c>
      <c r="V11" s="4">
        <f t="shared" si="2"/>
        <v>822046815</v>
      </c>
      <c r="W11" s="8">
        <f t="shared" si="3"/>
        <v>13.469953709461615</v>
      </c>
      <c r="X11" s="8">
        <f t="shared" si="4"/>
        <v>12.037812895696497</v>
      </c>
      <c r="Y11" s="19">
        <f t="shared" si="5"/>
        <v>8.005545956939843</v>
      </c>
    </row>
    <row r="12" spans="1:25" ht="12.75">
      <c r="A12" s="7" t="s">
        <v>143</v>
      </c>
      <c r="B12" s="7">
        <v>1</v>
      </c>
      <c r="C12" s="7">
        <v>1</v>
      </c>
      <c r="D12" s="7">
        <v>1</v>
      </c>
      <c r="E12" s="7">
        <v>1</v>
      </c>
      <c r="F12" s="7" t="s">
        <v>147</v>
      </c>
      <c r="G12" s="4">
        <f>+'[4]ADICIONES2014'!B83</f>
        <v>574662906</v>
      </c>
      <c r="H12" s="4">
        <v>0</v>
      </c>
      <c r="I12" s="123">
        <f t="shared" si="6"/>
        <v>574662906</v>
      </c>
      <c r="J12" s="124">
        <v>416561778</v>
      </c>
      <c r="K12" s="126">
        <f>+J12-L12-M12</f>
        <v>416561778</v>
      </c>
      <c r="L12" s="126">
        <v>0</v>
      </c>
      <c r="M12" s="126">
        <v>0</v>
      </c>
      <c r="N12" s="125">
        <f t="shared" si="0"/>
        <v>158101128</v>
      </c>
      <c r="O12" s="19">
        <f t="shared" si="1"/>
        <v>72.48802274354559</v>
      </c>
      <c r="P12" s="17"/>
      <c r="R12" s="4">
        <f>+'[4]ADICIONES2014'!K83</f>
        <v>16066420</v>
      </c>
      <c r="S12" s="4">
        <f>+ADICIONES2014!K83</f>
        <v>19777204</v>
      </c>
      <c r="T12" s="20">
        <f>+ADICIONES2014!L83</f>
        <v>19713540</v>
      </c>
      <c r="U12" s="4">
        <f>+ADICIONES2014!M83</f>
        <v>1745334</v>
      </c>
      <c r="V12" s="4">
        <f t="shared" si="2"/>
        <v>554885702</v>
      </c>
      <c r="W12" s="8">
        <f t="shared" si="3"/>
        <v>3.4415313383738746</v>
      </c>
      <c r="X12" s="8">
        <f t="shared" si="4"/>
        <v>3.4304528436014974</v>
      </c>
      <c r="Y12" s="19">
        <f t="shared" si="5"/>
        <v>2.7957990384018276</v>
      </c>
    </row>
    <row r="13" spans="1:25" ht="12.75">
      <c r="A13" s="7" t="s">
        <v>143</v>
      </c>
      <c r="B13" s="7">
        <v>1</v>
      </c>
      <c r="C13" s="7">
        <v>1</v>
      </c>
      <c r="D13" s="7">
        <v>1</v>
      </c>
      <c r="E13" s="7">
        <v>2</v>
      </c>
      <c r="F13" s="2" t="s">
        <v>148</v>
      </c>
      <c r="G13" s="4">
        <f>+'[4]ADICIONES2014'!B84</f>
        <v>118619482</v>
      </c>
      <c r="H13" s="4">
        <v>0</v>
      </c>
      <c r="I13" s="123">
        <f t="shared" si="6"/>
        <v>118619482</v>
      </c>
      <c r="J13" s="127">
        <v>73841117</v>
      </c>
      <c r="K13" s="126">
        <f aca="true" t="shared" si="7" ref="K13:K30">+J13-L13-M13</f>
        <v>73841117</v>
      </c>
      <c r="L13" s="127">
        <v>0</v>
      </c>
      <c r="M13" s="127">
        <v>0</v>
      </c>
      <c r="N13" s="125">
        <f t="shared" si="0"/>
        <v>44778365</v>
      </c>
      <c r="O13" s="19">
        <f t="shared" si="1"/>
        <v>62.250412626148545</v>
      </c>
      <c r="P13" s="17"/>
      <c r="R13" s="4">
        <f>+ADICIONES2014!K84</f>
        <v>31365370</v>
      </c>
      <c r="S13" s="4">
        <f>+ADICIONES2014!K84</f>
        <v>31365370</v>
      </c>
      <c r="T13" s="4">
        <f>+ADICIONES2014!L84</f>
        <v>31365370</v>
      </c>
      <c r="U13" s="4">
        <f>+ADICIONES2014!M84</f>
        <v>31365370</v>
      </c>
      <c r="V13" s="4">
        <f t="shared" si="2"/>
        <v>87254112</v>
      </c>
      <c r="W13" s="8">
        <f t="shared" si="3"/>
        <v>26.442005538348244</v>
      </c>
      <c r="X13" s="8">
        <f t="shared" si="4"/>
        <v>26.442005538348244</v>
      </c>
      <c r="Y13" s="19">
        <f t="shared" si="5"/>
        <v>26.442005538348244</v>
      </c>
    </row>
    <row r="14" spans="1:25" ht="12.75">
      <c r="A14" s="7" t="s">
        <v>143</v>
      </c>
      <c r="B14" s="7">
        <v>1</v>
      </c>
      <c r="C14" s="7">
        <v>1</v>
      </c>
      <c r="D14" s="7">
        <v>9</v>
      </c>
      <c r="E14" s="7">
        <v>1</v>
      </c>
      <c r="F14" s="7" t="s">
        <v>149</v>
      </c>
      <c r="G14" s="4">
        <v>0</v>
      </c>
      <c r="H14" s="4">
        <v>0</v>
      </c>
      <c r="I14" s="123">
        <f t="shared" si="6"/>
        <v>0</v>
      </c>
      <c r="J14" s="128">
        <v>178696</v>
      </c>
      <c r="K14" s="126">
        <f t="shared" si="7"/>
        <v>178696</v>
      </c>
      <c r="L14" s="127">
        <v>0</v>
      </c>
      <c r="M14" s="127">
        <v>0</v>
      </c>
      <c r="N14" s="125">
        <f t="shared" si="0"/>
        <v>-178696</v>
      </c>
      <c r="O14" s="19" t="e">
        <f t="shared" si="1"/>
        <v>#DIV/0!</v>
      </c>
      <c r="P14" s="17"/>
      <c r="R14" s="4">
        <f>+'[4]ADICIONES2014'!K96</f>
        <v>0</v>
      </c>
      <c r="S14" s="4">
        <v>0</v>
      </c>
      <c r="T14" s="4">
        <f>+S14</f>
        <v>0</v>
      </c>
      <c r="U14" s="4">
        <f>+T14</f>
        <v>0</v>
      </c>
      <c r="V14" s="4">
        <f t="shared" si="2"/>
        <v>0</v>
      </c>
      <c r="W14" s="8">
        <v>0</v>
      </c>
      <c r="X14" s="8">
        <v>0</v>
      </c>
      <c r="Y14" s="19">
        <v>0</v>
      </c>
    </row>
    <row r="15" spans="1:25" ht="12.75">
      <c r="A15" s="7" t="s">
        <v>143</v>
      </c>
      <c r="B15" s="7">
        <v>1</v>
      </c>
      <c r="C15" s="7">
        <v>1</v>
      </c>
      <c r="D15" s="7">
        <v>9</v>
      </c>
      <c r="E15" s="7">
        <v>3</v>
      </c>
      <c r="F15" s="7" t="s">
        <v>150</v>
      </c>
      <c r="G15" s="4">
        <f>+'[4]ADICIONES2014'!B95</f>
        <v>9890001</v>
      </c>
      <c r="H15" s="4">
        <f>+'[4]ADICIONES2014'!C95</f>
        <v>10000000</v>
      </c>
      <c r="I15" s="123">
        <f t="shared" si="6"/>
        <v>19890001</v>
      </c>
      <c r="J15" s="124">
        <v>28781062</v>
      </c>
      <c r="K15" s="126">
        <f t="shared" si="7"/>
        <v>28781062</v>
      </c>
      <c r="L15" s="126">
        <v>0</v>
      </c>
      <c r="M15" s="126">
        <v>0</v>
      </c>
      <c r="N15" s="125">
        <f t="shared" si="0"/>
        <v>-8891061</v>
      </c>
      <c r="O15" s="19">
        <f t="shared" si="1"/>
        <v>144.7011591402132</v>
      </c>
      <c r="P15" s="17"/>
      <c r="R15" s="4">
        <f>+'[4]ADICIONES2014'!K97</f>
        <v>9890001</v>
      </c>
      <c r="S15" s="4">
        <f>+ADICIONES2014!K95</f>
        <v>17560758</v>
      </c>
      <c r="T15" s="4">
        <f>+ADICIONES2014!L95</f>
        <v>14957037</v>
      </c>
      <c r="U15" s="4">
        <f>+ADICIONES2014!M95</f>
        <v>14927269</v>
      </c>
      <c r="V15" s="4">
        <f t="shared" si="2"/>
        <v>2329243</v>
      </c>
      <c r="W15" s="8">
        <f t="shared" si="3"/>
        <v>88.28937715991066</v>
      </c>
      <c r="X15" s="8">
        <f t="shared" si="4"/>
        <v>75.19877449981023</v>
      </c>
      <c r="Y15" s="19">
        <f t="shared" si="5"/>
        <v>49.72348166297226</v>
      </c>
    </row>
    <row r="16" spans="1:25" ht="12.75">
      <c r="A16" s="7" t="s">
        <v>143</v>
      </c>
      <c r="B16" s="7">
        <v>1</v>
      </c>
      <c r="C16" s="7">
        <v>1</v>
      </c>
      <c r="D16" s="7">
        <v>4</v>
      </c>
      <c r="E16" s="7">
        <v>2</v>
      </c>
      <c r="F16" s="7" t="s">
        <v>151</v>
      </c>
      <c r="G16" s="4">
        <f>+'[4]ADICIONES2014'!B85</f>
        <v>54119215</v>
      </c>
      <c r="H16" s="4">
        <v>0</v>
      </c>
      <c r="I16" s="123">
        <f t="shared" si="6"/>
        <v>54119215</v>
      </c>
      <c r="J16" s="124">
        <v>54522631</v>
      </c>
      <c r="K16" s="126">
        <f t="shared" si="7"/>
        <v>54522631</v>
      </c>
      <c r="L16" s="126">
        <v>0</v>
      </c>
      <c r="M16" s="126">
        <v>0</v>
      </c>
      <c r="N16" s="125">
        <f t="shared" si="0"/>
        <v>-403416</v>
      </c>
      <c r="O16" s="19">
        <f t="shared" si="1"/>
        <v>100.74542101174231</v>
      </c>
      <c r="P16" s="17"/>
      <c r="R16" s="4">
        <f>+'[4]ADICIONES2014'!K85</f>
        <v>121159</v>
      </c>
      <c r="S16" s="4">
        <f>+ADICIONES2014!K85</f>
        <v>121159</v>
      </c>
      <c r="T16" s="4">
        <f>+ADICIONES2014!L85</f>
        <v>121159</v>
      </c>
      <c r="U16" s="4">
        <f>+ADICIONES2014!M85</f>
        <v>120676</v>
      </c>
      <c r="V16" s="4">
        <f t="shared" si="2"/>
        <v>53998056</v>
      </c>
      <c r="W16" s="8">
        <f t="shared" si="3"/>
        <v>0.2238742745991419</v>
      </c>
      <c r="X16" s="8">
        <f t="shared" si="4"/>
        <v>0.2238742745991419</v>
      </c>
      <c r="Y16" s="19">
        <f t="shared" si="5"/>
        <v>0.2238742745991419</v>
      </c>
    </row>
    <row r="17" spans="1:26" ht="12.75">
      <c r="A17" s="7" t="s">
        <v>143</v>
      </c>
      <c r="B17" s="7">
        <v>1</v>
      </c>
      <c r="C17" s="7">
        <v>1</v>
      </c>
      <c r="D17" s="7">
        <v>5</v>
      </c>
      <c r="E17" s="7">
        <v>0</v>
      </c>
      <c r="F17" s="7" t="s">
        <v>152</v>
      </c>
      <c r="G17" s="4">
        <f>+'[4]ADICIONES2014'!B86</f>
        <v>192721542</v>
      </c>
      <c r="H17" s="4">
        <v>0</v>
      </c>
      <c r="I17" s="123">
        <f t="shared" si="6"/>
        <v>192721542</v>
      </c>
      <c r="J17" s="124">
        <f>34204869+7275594+5463853+5276740+12632358+46474064+37346884+9468268</f>
        <v>158142630</v>
      </c>
      <c r="K17" s="126">
        <f t="shared" si="7"/>
        <v>158142630</v>
      </c>
      <c r="L17" s="126">
        <v>0</v>
      </c>
      <c r="M17" s="126">
        <v>0</v>
      </c>
      <c r="N17" s="125">
        <f t="shared" si="0"/>
        <v>34578912</v>
      </c>
      <c r="O17" s="19">
        <f t="shared" si="1"/>
        <v>82.05757818189313</v>
      </c>
      <c r="P17" s="17"/>
      <c r="Q17" s="1"/>
      <c r="R17" s="4">
        <f>+'[4]ADICIONES2014'!K86</f>
        <v>18610789</v>
      </c>
      <c r="S17" s="4">
        <f>+ADICIONES2014!K86</f>
        <v>59141840</v>
      </c>
      <c r="T17" s="4">
        <f>+ADICIONES2014!L86</f>
        <v>48203699</v>
      </c>
      <c r="U17" s="4">
        <f>+ADICIONES2014!M86</f>
        <v>48159953</v>
      </c>
      <c r="V17" s="4">
        <f t="shared" si="2"/>
        <v>133579702</v>
      </c>
      <c r="W17" s="8">
        <f t="shared" si="3"/>
        <v>30.687716269933123</v>
      </c>
      <c r="X17" s="8">
        <f t="shared" si="4"/>
        <v>25.012096987061263</v>
      </c>
      <c r="Y17" s="19">
        <f t="shared" si="5"/>
        <v>9.656828607151763</v>
      </c>
      <c r="Z17">
        <f>17113842+3470088+2780216+2903568</f>
        <v>26267714</v>
      </c>
    </row>
    <row r="18" spans="1:26" ht="12.75">
      <c r="A18" s="7" t="s">
        <v>143</v>
      </c>
      <c r="B18" s="7">
        <v>1</v>
      </c>
      <c r="C18" s="7">
        <v>0</v>
      </c>
      <c r="D18" s="7">
        <v>2</v>
      </c>
      <c r="E18" s="7">
        <v>0</v>
      </c>
      <c r="F18" s="7" t="s">
        <v>153</v>
      </c>
      <c r="G18" s="4">
        <f>+'[4]ADICIONES2014'!B98</f>
        <v>389496000</v>
      </c>
      <c r="H18" s="4">
        <f>+'[4]ADICIONES2014'!C98</f>
        <v>20000000</v>
      </c>
      <c r="I18" s="123">
        <f t="shared" si="6"/>
        <v>409496000</v>
      </c>
      <c r="J18" s="124">
        <f>315647592+16551920</f>
        <v>332199512</v>
      </c>
      <c r="K18" s="126">
        <f t="shared" si="7"/>
        <v>276847411</v>
      </c>
      <c r="L18" s="126">
        <f>+'[2]2010'!$F$19</f>
        <v>7107897</v>
      </c>
      <c r="M18" s="126">
        <f>+'[1]RESERVAS 2012'!$G$23</f>
        <v>48244204</v>
      </c>
      <c r="N18" s="125">
        <f t="shared" si="0"/>
        <v>77296488</v>
      </c>
      <c r="O18" s="19">
        <f t="shared" si="1"/>
        <v>81.12399437357142</v>
      </c>
      <c r="P18" s="17"/>
      <c r="Q18" s="6" t="s">
        <v>1</v>
      </c>
      <c r="R18" s="4">
        <f>+'[4]ADICIONES2014'!K98</f>
        <v>227459718</v>
      </c>
      <c r="S18" s="4">
        <f>+ADICIONES2014!K98</f>
        <v>247552546</v>
      </c>
      <c r="T18" s="4">
        <f>+ADICIONES2014!L98</f>
        <v>247552544</v>
      </c>
      <c r="U18" s="4">
        <f>+ADICIONES2014!M98</f>
        <v>65567208</v>
      </c>
      <c r="V18" s="4">
        <f t="shared" si="2"/>
        <v>161943454</v>
      </c>
      <c r="W18" s="8">
        <f t="shared" si="3"/>
        <v>60.45298269091761</v>
      </c>
      <c r="X18" s="8">
        <f t="shared" si="4"/>
        <v>60.45298220251236</v>
      </c>
      <c r="Y18" s="19">
        <f t="shared" si="5"/>
        <v>55.54626125774122</v>
      </c>
      <c r="Z18">
        <f>2869965+2231493+13560507+3230274+2903568+2780216+3470088+17113842</f>
        <v>48159953</v>
      </c>
    </row>
    <row r="19" spans="1:25" ht="12.75">
      <c r="A19" s="7" t="s">
        <v>143</v>
      </c>
      <c r="B19" s="7">
        <v>1</v>
      </c>
      <c r="C19" s="7">
        <v>5</v>
      </c>
      <c r="D19" s="7">
        <v>0</v>
      </c>
      <c r="E19" s="7">
        <v>1</v>
      </c>
      <c r="F19" s="7" t="s">
        <v>154</v>
      </c>
      <c r="G19" s="4">
        <f>+'[4]ADICIONES2014'!B102</f>
        <v>251384094</v>
      </c>
      <c r="H19" s="4">
        <v>0</v>
      </c>
      <c r="I19" s="123">
        <f t="shared" si="6"/>
        <v>251384094</v>
      </c>
      <c r="J19" s="124">
        <v>247834776</v>
      </c>
      <c r="K19" s="126">
        <f t="shared" si="7"/>
        <v>214899761</v>
      </c>
      <c r="L19" s="126">
        <f>8224366+12087256+993860+11629533</f>
        <v>32935015</v>
      </c>
      <c r="M19" s="126">
        <v>0</v>
      </c>
      <c r="N19" s="125">
        <f t="shared" si="0"/>
        <v>3549318</v>
      </c>
      <c r="O19" s="19">
        <f t="shared" si="1"/>
        <v>98.58808966648462</v>
      </c>
      <c r="P19" s="17"/>
      <c r="Q19" s="1"/>
      <c r="R19" s="4">
        <f>+'[4]ADICIONES2014'!K102</f>
        <v>0</v>
      </c>
      <c r="S19" s="4">
        <f>+ADICIONES2014!K102</f>
        <v>60202599</v>
      </c>
      <c r="T19" s="4">
        <f>+ADICIONES2014!L102</f>
        <v>60202498</v>
      </c>
      <c r="U19" s="4">
        <f>+ADICIONES2014!M102</f>
        <v>59962749</v>
      </c>
      <c r="V19" s="4">
        <f t="shared" si="2"/>
        <v>191181495</v>
      </c>
      <c r="W19" s="8">
        <f t="shared" si="3"/>
        <v>23.948451965302148</v>
      </c>
      <c r="X19" s="8">
        <f t="shared" si="4"/>
        <v>23.948411787740238</v>
      </c>
      <c r="Y19" s="19">
        <f t="shared" si="5"/>
        <v>0</v>
      </c>
    </row>
    <row r="20" spans="1:25" ht="12.75">
      <c r="A20" s="7" t="s">
        <v>143</v>
      </c>
      <c r="B20" s="7">
        <v>1</v>
      </c>
      <c r="C20" s="7">
        <v>5</v>
      </c>
      <c r="D20" s="7">
        <v>0</v>
      </c>
      <c r="E20" s="7">
        <v>2</v>
      </c>
      <c r="F20" s="7" t="s">
        <v>155</v>
      </c>
      <c r="G20" s="4">
        <f>+'[4]ADICIONES2014'!B103</f>
        <v>101013632</v>
      </c>
      <c r="H20" s="4">
        <v>0</v>
      </c>
      <c r="I20" s="123">
        <f t="shared" si="6"/>
        <v>101013632</v>
      </c>
      <c r="J20" s="124">
        <v>111563496</v>
      </c>
      <c r="K20" s="126">
        <f t="shared" si="7"/>
        <v>102104983</v>
      </c>
      <c r="L20" s="126">
        <f>8470477+988036</f>
        <v>9458513</v>
      </c>
      <c r="M20" s="126">
        <v>0</v>
      </c>
      <c r="N20" s="125">
        <f t="shared" si="0"/>
        <v>-10549864</v>
      </c>
      <c r="O20" s="19">
        <f t="shared" si="1"/>
        <v>110.44400027117132</v>
      </c>
      <c r="P20" s="17"/>
      <c r="Q20" s="1"/>
      <c r="R20" s="4">
        <f>+'[4]ADICIONES2014'!K103</f>
        <v>0</v>
      </c>
      <c r="S20" s="4">
        <f>+ADICIONES2014!K103</f>
        <v>2490021</v>
      </c>
      <c r="T20" s="4">
        <f>+ADICIONES2014!L103</f>
        <v>2490021</v>
      </c>
      <c r="U20" s="4">
        <f>+ADICIONES2014!M103</f>
        <v>2480100</v>
      </c>
      <c r="V20" s="4">
        <f t="shared" si="2"/>
        <v>98523611</v>
      </c>
      <c r="W20" s="8">
        <f t="shared" si="3"/>
        <v>2.4650346202777857</v>
      </c>
      <c r="X20" s="8">
        <f t="shared" si="4"/>
        <v>2.4650346202777857</v>
      </c>
      <c r="Y20" s="19">
        <f t="shared" si="5"/>
        <v>0</v>
      </c>
    </row>
    <row r="21" spans="1:25" ht="12.75">
      <c r="A21" s="7" t="s">
        <v>143</v>
      </c>
      <c r="B21" s="7">
        <v>1</v>
      </c>
      <c r="C21" s="7">
        <v>5</v>
      </c>
      <c r="D21" s="7">
        <v>0</v>
      </c>
      <c r="E21" s="7">
        <v>6</v>
      </c>
      <c r="F21" s="2" t="s">
        <v>156</v>
      </c>
      <c r="G21" s="4">
        <f>+'[4]ADICIONES2014'!B104</f>
        <v>38016851</v>
      </c>
      <c r="H21" s="4">
        <v>0</v>
      </c>
      <c r="I21" s="123">
        <f t="shared" si="6"/>
        <v>38016851</v>
      </c>
      <c r="J21" s="124">
        <v>34198780</v>
      </c>
      <c r="K21" s="126">
        <f t="shared" si="7"/>
        <v>25477032</v>
      </c>
      <c r="L21" s="126">
        <v>8721748</v>
      </c>
      <c r="M21" s="126">
        <v>0</v>
      </c>
      <c r="N21" s="125">
        <f t="shared" si="0"/>
        <v>3818071</v>
      </c>
      <c r="O21" s="19">
        <f t="shared" si="1"/>
        <v>89.95689832385118</v>
      </c>
      <c r="P21" s="17"/>
      <c r="Q21" s="1"/>
      <c r="R21" s="4">
        <f>+'[4]ADICIONES2014'!K104</f>
        <v>0</v>
      </c>
      <c r="S21" s="4">
        <f>+'[4]ADICIONES2014'!K104</f>
        <v>0</v>
      </c>
      <c r="T21" s="4">
        <f>+'[4]ADICIONES2014'!L104</f>
        <v>0</v>
      </c>
      <c r="U21" s="4">
        <f>+'[4]ADICIONES2014'!M104</f>
        <v>0</v>
      </c>
      <c r="V21" s="4">
        <f t="shared" si="2"/>
        <v>38016851</v>
      </c>
      <c r="W21" s="8">
        <f t="shared" si="3"/>
        <v>0</v>
      </c>
      <c r="X21" s="8">
        <f t="shared" si="4"/>
        <v>0</v>
      </c>
      <c r="Y21" s="19">
        <f t="shared" si="5"/>
        <v>0</v>
      </c>
    </row>
    <row r="22" spans="1:25" ht="12.75">
      <c r="A22" s="7" t="s">
        <v>143</v>
      </c>
      <c r="B22" s="7">
        <v>1</v>
      </c>
      <c r="C22" s="7">
        <v>5</v>
      </c>
      <c r="D22" s="7">
        <v>0</v>
      </c>
      <c r="E22" s="7">
        <v>7</v>
      </c>
      <c r="F22" s="2" t="s">
        <v>157</v>
      </c>
      <c r="G22" s="4">
        <f>+'[4]ADICIONES2014'!B105</f>
        <v>17175638</v>
      </c>
      <c r="H22" s="4">
        <v>0</v>
      </c>
      <c r="I22" s="123">
        <f t="shared" si="6"/>
        <v>17175638</v>
      </c>
      <c r="J22" s="124">
        <v>17580843</v>
      </c>
      <c r="K22" s="126">
        <f t="shared" si="7"/>
        <v>11766077</v>
      </c>
      <c r="L22" s="126">
        <v>5814766</v>
      </c>
      <c r="M22" s="126">
        <v>0</v>
      </c>
      <c r="N22" s="125">
        <f t="shared" si="0"/>
        <v>-405205</v>
      </c>
      <c r="O22" s="19">
        <f t="shared" si="1"/>
        <v>102.35918456129549</v>
      </c>
      <c r="P22" s="17"/>
      <c r="Q22" s="1"/>
      <c r="R22" s="4">
        <f>+ADICIONES2014!K105</f>
        <v>8412108</v>
      </c>
      <c r="S22" s="4">
        <f>+ADICIONES2014!K105</f>
        <v>8412108</v>
      </c>
      <c r="T22" s="4">
        <f>+ADICIONES2014!L105</f>
        <v>8412108</v>
      </c>
      <c r="U22" s="4">
        <f>+ADICIONES2014!M105</f>
        <v>0</v>
      </c>
      <c r="V22" s="4">
        <f t="shared" si="2"/>
        <v>8763530</v>
      </c>
      <c r="W22" s="8">
        <f t="shared" si="3"/>
        <v>48.97697541133552</v>
      </c>
      <c r="X22" s="8">
        <f t="shared" si="4"/>
        <v>48.97697541133552</v>
      </c>
      <c r="Y22" s="19">
        <f t="shared" si="5"/>
        <v>48.97697541133552</v>
      </c>
    </row>
    <row r="23" spans="1:26" ht="12.75">
      <c r="A23" s="7" t="s">
        <v>143</v>
      </c>
      <c r="B23" s="7">
        <v>2</v>
      </c>
      <c r="C23" s="7">
        <v>0</v>
      </c>
      <c r="D23" s="7">
        <v>0</v>
      </c>
      <c r="E23" s="7">
        <v>0</v>
      </c>
      <c r="F23" s="7" t="s">
        <v>158</v>
      </c>
      <c r="G23" s="4">
        <f>SUM(G24:G26)</f>
        <v>989745000</v>
      </c>
      <c r="H23" s="4">
        <f>+H24+H25+H26</f>
        <v>636949821</v>
      </c>
      <c r="I23" s="123">
        <f t="shared" si="6"/>
        <v>1626694821</v>
      </c>
      <c r="J23" s="124">
        <f>SUM(J24:J26)</f>
        <v>1229209047</v>
      </c>
      <c r="K23" s="124">
        <f>SUM(K24:K26)</f>
        <v>869395062</v>
      </c>
      <c r="L23" s="124">
        <f>SUM(L24:L26)</f>
        <v>42338440</v>
      </c>
      <c r="M23" s="124">
        <f>SUM(M24:M26)</f>
        <v>317475545</v>
      </c>
      <c r="N23" s="125">
        <f t="shared" si="0"/>
        <v>397485774</v>
      </c>
      <c r="O23" s="19">
        <f t="shared" si="1"/>
        <v>75.5648220632037</v>
      </c>
      <c r="P23" s="17"/>
      <c r="Q23" s="1"/>
      <c r="R23" s="4">
        <f>SUM(R24:R26)</f>
        <v>397713016</v>
      </c>
      <c r="S23" s="4">
        <f>SUM(S24:S26)</f>
        <v>695868859</v>
      </c>
      <c r="T23" s="4">
        <f>SUM(T24:T26)</f>
        <v>524413386</v>
      </c>
      <c r="U23" s="4">
        <f>SUM(U24:U26)</f>
        <v>235975879</v>
      </c>
      <c r="V23" s="4">
        <f t="shared" si="2"/>
        <v>930825962</v>
      </c>
      <c r="W23" s="8">
        <f t="shared" si="3"/>
        <v>42.7780828964722</v>
      </c>
      <c r="X23" s="8">
        <f t="shared" si="4"/>
        <v>32.237969853350876</v>
      </c>
      <c r="Y23" s="19">
        <f t="shared" si="5"/>
        <v>24.44914749009335</v>
      </c>
      <c r="Z23">
        <f>13445000+6100000</f>
        <v>19545000</v>
      </c>
    </row>
    <row r="24" spans="1:26" ht="12.75">
      <c r="A24" s="7" t="s">
        <v>143</v>
      </c>
      <c r="B24" s="7">
        <v>2</v>
      </c>
      <c r="C24" s="7">
        <v>4</v>
      </c>
      <c r="D24" s="7">
        <v>0</v>
      </c>
      <c r="E24" s="7">
        <v>0</v>
      </c>
      <c r="F24" s="7" t="s">
        <v>159</v>
      </c>
      <c r="G24" s="4">
        <f>+'[4]ADICIONES2014'!B110+'[4]ADICIONES2014'!B111</f>
        <v>195631000</v>
      </c>
      <c r="H24" s="4">
        <v>0</v>
      </c>
      <c r="I24" s="123">
        <f t="shared" si="6"/>
        <v>195631000</v>
      </c>
      <c r="J24" s="124">
        <f>107406671+93457790</f>
        <v>200864461</v>
      </c>
      <c r="K24" s="126">
        <f t="shared" si="7"/>
        <v>92791016</v>
      </c>
      <c r="L24" s="126">
        <v>0</v>
      </c>
      <c r="M24" s="126">
        <f>+'[1]RESERVAS 2012'!$G$35+'[1]RESERVAS 2012'!$G$43</f>
        <v>108073445</v>
      </c>
      <c r="N24" s="125">
        <f t="shared" si="0"/>
        <v>-5233461</v>
      </c>
      <c r="O24" s="19">
        <f t="shared" si="1"/>
        <v>102.67516957946339</v>
      </c>
      <c r="P24" s="17"/>
      <c r="Q24" s="1"/>
      <c r="R24" s="4">
        <f>+'[4]ADICIONES2014'!K110+'[4]ADICIONES2014'!K111</f>
        <v>88698380</v>
      </c>
      <c r="S24" s="4">
        <f>+ADICIONES2014!K110+ADICIONES2014!K111</f>
        <v>108212603</v>
      </c>
      <c r="T24" s="4">
        <f>+ADICIONES2014!L110+ADICIONES2014!L111</f>
        <v>87692324</v>
      </c>
      <c r="U24" s="4">
        <f>+ADICIONES2014!M110+ADICIONES2014!M111</f>
        <v>19545000</v>
      </c>
      <c r="V24" s="4">
        <f t="shared" si="2"/>
        <v>87418397</v>
      </c>
      <c r="W24" s="8">
        <f t="shared" si="3"/>
        <v>55.314650029903234</v>
      </c>
      <c r="X24" s="8">
        <f t="shared" si="4"/>
        <v>44.82537225695314</v>
      </c>
      <c r="Y24" s="19">
        <f t="shared" si="5"/>
        <v>45.33963431153549</v>
      </c>
      <c r="Z24">
        <f>13445000+6100000</f>
        <v>19545000</v>
      </c>
    </row>
    <row r="25" spans="1:27" ht="12.75">
      <c r="A25" s="7" t="s">
        <v>143</v>
      </c>
      <c r="B25" s="7">
        <v>2</v>
      </c>
      <c r="C25" s="7">
        <v>4</v>
      </c>
      <c r="D25" s="7">
        <v>0</v>
      </c>
      <c r="E25" s="7">
        <v>0</v>
      </c>
      <c r="F25" s="7" t="s">
        <v>160</v>
      </c>
      <c r="G25" s="4">
        <f>+'[4]ADICIONES2014'!B112+'[4]ADICIONES2014'!B113+'[4]ADICIONES2014'!B114+'[4]ADICIONES2014'!B115+'[4]ADICIONES2014'!B116+'[4]ADICIONES2014'!B117+'[4]ADICIONES2014'!B118+'[4]ADICIONES2014'!B119+'[4]ADICIONES2014'!B120</f>
        <v>749947000</v>
      </c>
      <c r="H25" s="4">
        <f>+'[4]ADICIONES2014'!C112+'[4]ADICIONES2014'!C118+'[4]ADICIONES2014'!C120</f>
        <v>636949821</v>
      </c>
      <c r="I25" s="123">
        <f t="shared" si="6"/>
        <v>1386896821</v>
      </c>
      <c r="J25" s="123">
        <f>378419962+83087928+41384904+160195000+61599093+28242705+153166036+602400+17695733</f>
        <v>924393761</v>
      </c>
      <c r="K25" s="126">
        <f t="shared" si="7"/>
        <v>714833121</v>
      </c>
      <c r="L25" s="129">
        <f>+'[2]2010'!$F$23</f>
        <v>158540</v>
      </c>
      <c r="M25" s="129">
        <f>+'[1]RESERVAS 2012'!$G$52+'[1]RESERVAS 2012'!$G$60+'[1]RESERVAS 2012'!$G$68+'[1]RESERVAS 2012'!$G$76+'[1]RESERVAS 2012'!$G$84</f>
        <v>209402100</v>
      </c>
      <c r="N25" s="125">
        <f t="shared" si="0"/>
        <v>462503060</v>
      </c>
      <c r="O25" s="19">
        <f t="shared" si="1"/>
        <v>66.65194894119668</v>
      </c>
      <c r="P25" s="17"/>
      <c r="Q25" s="1"/>
      <c r="R25" s="4">
        <f>+'[4]ADICIONES2014'!K112+'[4]ADICIONES2014'!K113+'[4]ADICIONES2014'!K114+'[4]ADICIONES2014'!K115+'[4]ADICIONES2014'!K116+'[4]ADICIONES2014'!K117+'[4]ADICIONES2014'!K118+'[4]ADICIONES2014'!K119+'[4]ADICIONES2014'!K120</f>
        <v>272602969</v>
      </c>
      <c r="S25" s="4">
        <f>+ADICIONES2014!K107-ADICIONES2014!K109-ADICIONES2014!K110-ADICIONES2014!K111</f>
        <v>548086005</v>
      </c>
      <c r="T25" s="169">
        <f>+ADICIONES2014!L107-ADICIONES2014!L109-ADICIONES2014!L110-ADICIONES2014!L111</f>
        <v>397936341</v>
      </c>
      <c r="U25" s="4">
        <f>+ADICIONES2014!M107-ADICIONES2014!M109-ADICIONES2014!M110-ADICIONES2014!M111</f>
        <v>177800679</v>
      </c>
      <c r="V25" s="4">
        <f t="shared" si="2"/>
        <v>838810816</v>
      </c>
      <c r="W25" s="8">
        <f t="shared" si="3"/>
        <v>39.5188738413007</v>
      </c>
      <c r="X25" s="8">
        <f t="shared" si="4"/>
        <v>28.692569986069643</v>
      </c>
      <c r="Y25" s="19">
        <f t="shared" si="5"/>
        <v>19.65560558451954</v>
      </c>
      <c r="Z25">
        <f>1500000+49028021+3352689+15201501+59661084+4847300+700000+43510084</f>
        <v>177800679</v>
      </c>
      <c r="AA25">
        <f>360049266-397936341</f>
        <v>-37887075</v>
      </c>
    </row>
    <row r="26" spans="1:26" ht="12.75">
      <c r="A26" s="7" t="s">
        <v>143</v>
      </c>
      <c r="B26" s="7">
        <v>2</v>
      </c>
      <c r="C26" s="7">
        <v>0</v>
      </c>
      <c r="D26" s="7">
        <v>3</v>
      </c>
      <c r="E26" s="7">
        <v>0</v>
      </c>
      <c r="F26" s="130" t="s">
        <v>161</v>
      </c>
      <c r="G26" s="11">
        <f>+'[4]ADICIONES2014'!B109</f>
        <v>44167000</v>
      </c>
      <c r="H26" s="11">
        <v>0</v>
      </c>
      <c r="I26" s="123">
        <f t="shared" si="6"/>
        <v>44167000</v>
      </c>
      <c r="J26" s="124">
        <v>103950825</v>
      </c>
      <c r="K26" s="126">
        <f t="shared" si="7"/>
        <v>61770925</v>
      </c>
      <c r="L26" s="126">
        <f>+'[2]2010'!$F$39</f>
        <v>42179900</v>
      </c>
      <c r="M26" s="126">
        <v>0</v>
      </c>
      <c r="N26" s="125">
        <f t="shared" si="0"/>
        <v>-59783825</v>
      </c>
      <c r="O26" s="19">
        <f t="shared" si="1"/>
        <v>235.35858219937964</v>
      </c>
      <c r="P26" s="17"/>
      <c r="Q26" s="1"/>
      <c r="R26" s="11">
        <f>+'[4]ADICIONES2014'!K109</f>
        <v>36411667</v>
      </c>
      <c r="S26" s="11">
        <f>+ADICIONES2014!K109</f>
        <v>39570251</v>
      </c>
      <c r="T26" s="4">
        <f>+ADICIONES2014!L109</f>
        <v>38784721</v>
      </c>
      <c r="U26" s="4">
        <f>+ADICIONES2014!M109</f>
        <v>38630200</v>
      </c>
      <c r="V26" s="4">
        <f t="shared" si="2"/>
        <v>4596749</v>
      </c>
      <c r="W26" s="8">
        <f t="shared" si="3"/>
        <v>89.59234496343423</v>
      </c>
      <c r="X26" s="8">
        <f t="shared" si="4"/>
        <v>87.81379989584984</v>
      </c>
      <c r="Y26" s="19">
        <f t="shared" si="5"/>
        <v>82.44088799329816</v>
      </c>
      <c r="Z26">
        <f>76510400-37880200</f>
        <v>38630200</v>
      </c>
    </row>
    <row r="27" spans="1:26" ht="12.75">
      <c r="A27" s="7" t="s">
        <v>143</v>
      </c>
      <c r="B27" s="7">
        <v>3</v>
      </c>
      <c r="C27" s="7">
        <v>0</v>
      </c>
      <c r="D27" s="7">
        <v>0</v>
      </c>
      <c r="E27" s="7">
        <v>0</v>
      </c>
      <c r="F27" s="7" t="s">
        <v>162</v>
      </c>
      <c r="G27" s="4">
        <f>SUM(G28:G31)</f>
        <v>1273647609</v>
      </c>
      <c r="H27" s="4">
        <f>+H28+H29+H30+H31</f>
        <v>284000000</v>
      </c>
      <c r="I27" s="123">
        <f t="shared" si="6"/>
        <v>1557647609</v>
      </c>
      <c r="J27" s="124">
        <f>SUM(J28:J31)</f>
        <v>1324850844</v>
      </c>
      <c r="K27" s="124">
        <f>SUM(K28:K31)</f>
        <v>1324850844</v>
      </c>
      <c r="L27" s="124">
        <f>SUM(L28:L31)</f>
        <v>0</v>
      </c>
      <c r="M27" s="124">
        <f>SUM(M28:M31)</f>
        <v>0</v>
      </c>
      <c r="N27" s="125">
        <f t="shared" si="0"/>
        <v>232796765</v>
      </c>
      <c r="O27" s="19">
        <f t="shared" si="1"/>
        <v>85.05459362856442</v>
      </c>
      <c r="P27" s="17"/>
      <c r="Q27" s="1"/>
      <c r="R27" s="4">
        <f>SUM(R28:R31)</f>
        <v>87771085</v>
      </c>
      <c r="S27" s="4">
        <f>SUM(S28:S31)</f>
        <v>314908759</v>
      </c>
      <c r="T27" s="4">
        <f>SUM(T28:T31)</f>
        <v>314908759</v>
      </c>
      <c r="U27" s="4">
        <f>SUM(U28:U31)</f>
        <v>292149855</v>
      </c>
      <c r="V27" s="4">
        <f t="shared" si="2"/>
        <v>1242738850</v>
      </c>
      <c r="W27" s="8">
        <f t="shared" si="3"/>
        <v>20.21694490977773</v>
      </c>
      <c r="X27" s="8">
        <f t="shared" si="4"/>
        <v>20.21694490977773</v>
      </c>
      <c r="Y27" s="19">
        <f t="shared" si="5"/>
        <v>5.634848632827067</v>
      </c>
      <c r="Z27">
        <f>22762939+292145820</f>
        <v>314908759</v>
      </c>
    </row>
    <row r="28" spans="1:25" ht="12.75">
      <c r="A28" s="7" t="s">
        <v>143</v>
      </c>
      <c r="B28" s="7">
        <v>3</v>
      </c>
      <c r="C28" s="7">
        <v>2</v>
      </c>
      <c r="D28" s="7">
        <v>1</v>
      </c>
      <c r="E28" s="7">
        <v>1</v>
      </c>
      <c r="F28" s="7" t="s">
        <v>163</v>
      </c>
      <c r="G28" s="4">
        <f>+'[4]ADICIONES2014'!B124</f>
        <v>28536000</v>
      </c>
      <c r="H28" s="4">
        <v>0</v>
      </c>
      <c r="I28" s="123">
        <f t="shared" si="6"/>
        <v>28536000</v>
      </c>
      <c r="J28" s="124">
        <v>22033796</v>
      </c>
      <c r="K28" s="126">
        <f t="shared" si="7"/>
        <v>22033796</v>
      </c>
      <c r="L28" s="126">
        <v>0</v>
      </c>
      <c r="M28" s="126">
        <v>0</v>
      </c>
      <c r="N28" s="125">
        <f t="shared" si="0"/>
        <v>6502204</v>
      </c>
      <c r="O28" s="19">
        <f t="shared" si="1"/>
        <v>77.21403139893468</v>
      </c>
      <c r="P28" s="17"/>
      <c r="Q28" s="1"/>
      <c r="R28" s="4">
        <f>+'[4]ADICIONES2014'!K124</f>
        <v>0</v>
      </c>
      <c r="S28" s="4">
        <f>+'[4]ADICIONES2014'!K124</f>
        <v>0</v>
      </c>
      <c r="T28" s="4">
        <f>+'[4]ADICIONES2014'!L124</f>
        <v>0</v>
      </c>
      <c r="U28" s="4">
        <f>+'[4]ADICIONES2014'!M124</f>
        <v>0</v>
      </c>
      <c r="V28" s="4">
        <f t="shared" si="2"/>
        <v>28536000</v>
      </c>
      <c r="W28" s="8">
        <f t="shared" si="3"/>
        <v>0</v>
      </c>
      <c r="X28" s="8">
        <f t="shared" si="4"/>
        <v>0</v>
      </c>
      <c r="Y28" s="19">
        <f t="shared" si="5"/>
        <v>0</v>
      </c>
    </row>
    <row r="29" spans="1:25" ht="12.75">
      <c r="A29" s="7" t="s">
        <v>143</v>
      </c>
      <c r="B29" s="7">
        <v>3</v>
      </c>
      <c r="C29" s="7">
        <v>2</v>
      </c>
      <c r="D29" s="7">
        <v>1</v>
      </c>
      <c r="E29" s="7">
        <v>2</v>
      </c>
      <c r="F29" s="7" t="s">
        <v>164</v>
      </c>
      <c r="G29" s="4">
        <f>+'[4]ADICIONES2014'!B125</f>
        <v>1212111609</v>
      </c>
      <c r="H29" s="4">
        <v>0</v>
      </c>
      <c r="I29" s="123">
        <f t="shared" si="6"/>
        <v>1212111609</v>
      </c>
      <c r="J29" s="124">
        <v>1282513468</v>
      </c>
      <c r="K29" s="126">
        <f t="shared" si="7"/>
        <v>1282513468</v>
      </c>
      <c r="L29" s="126">
        <v>0</v>
      </c>
      <c r="M29" s="126">
        <v>0</v>
      </c>
      <c r="N29" s="125">
        <f t="shared" si="0"/>
        <v>-70401859</v>
      </c>
      <c r="O29" s="19">
        <f t="shared" si="1"/>
        <v>105.80819938339523</v>
      </c>
      <c r="P29" s="17"/>
      <c r="Q29" s="1"/>
      <c r="R29" s="4">
        <f>+'[4]ADICIONES2014'!K125</f>
        <v>66180780</v>
      </c>
      <c r="S29" s="4">
        <f>+ADICIONES2014!K125</f>
        <v>270555515</v>
      </c>
      <c r="T29" s="4">
        <f>+ADICIONES2014!L125</f>
        <v>270555515</v>
      </c>
      <c r="U29" s="4">
        <v>269477605</v>
      </c>
      <c r="V29" s="4">
        <f t="shared" si="2"/>
        <v>941556094</v>
      </c>
      <c r="W29" s="8">
        <f t="shared" si="3"/>
        <v>22.321006827350665</v>
      </c>
      <c r="X29" s="8">
        <f t="shared" si="4"/>
        <v>22.321006827350665</v>
      </c>
      <c r="Y29" s="19">
        <f t="shared" si="5"/>
        <v>5.459957606923638</v>
      </c>
    </row>
    <row r="30" spans="1:25" ht="12.75">
      <c r="A30" s="7" t="s">
        <v>143</v>
      </c>
      <c r="B30" s="7">
        <v>3</v>
      </c>
      <c r="C30" s="7">
        <v>2</v>
      </c>
      <c r="D30" s="7">
        <v>1</v>
      </c>
      <c r="E30" s="7">
        <v>3</v>
      </c>
      <c r="F30" s="7" t="s">
        <v>165</v>
      </c>
      <c r="G30" s="4">
        <f>+'[4]ADICIONES2014'!B126</f>
        <v>23000000</v>
      </c>
      <c r="H30" s="4">
        <v>0</v>
      </c>
      <c r="I30" s="123">
        <f t="shared" si="6"/>
        <v>23000000</v>
      </c>
      <c r="J30" s="124">
        <v>20303580</v>
      </c>
      <c r="K30" s="126">
        <f t="shared" si="7"/>
        <v>20303580</v>
      </c>
      <c r="L30" s="126">
        <v>0</v>
      </c>
      <c r="M30" s="126">
        <v>0</v>
      </c>
      <c r="N30" s="125">
        <f t="shared" si="0"/>
        <v>2696420</v>
      </c>
      <c r="O30" s="19">
        <f t="shared" si="1"/>
        <v>88.27643478260869</v>
      </c>
      <c r="P30" s="17"/>
      <c r="Q30" s="1"/>
      <c r="R30" s="4">
        <f>+'[4]ADICIONES2014'!K126</f>
        <v>21590305</v>
      </c>
      <c r="S30" s="4">
        <f>+'[4]ADICIONES2014'!K126</f>
        <v>21590305</v>
      </c>
      <c r="T30" s="4">
        <f>+'[4]ADICIONES2014'!L126</f>
        <v>21590305</v>
      </c>
      <c r="U30" s="4">
        <f>+ADICIONES2014!M126</f>
        <v>0</v>
      </c>
      <c r="V30" s="4">
        <f t="shared" si="2"/>
        <v>1409695</v>
      </c>
      <c r="W30" s="8">
        <f t="shared" si="3"/>
        <v>93.87089130434782</v>
      </c>
      <c r="X30" s="8">
        <f t="shared" si="4"/>
        <v>93.87089130434782</v>
      </c>
      <c r="Y30" s="19">
        <f t="shared" si="5"/>
        <v>93.87089130434782</v>
      </c>
    </row>
    <row r="31" spans="1:25" ht="12.75">
      <c r="A31" s="7" t="s">
        <v>143</v>
      </c>
      <c r="B31" s="7">
        <v>3</v>
      </c>
      <c r="C31" s="7">
        <v>6</v>
      </c>
      <c r="D31" s="7">
        <v>1</v>
      </c>
      <c r="E31" s="7">
        <v>1</v>
      </c>
      <c r="F31" s="7" t="s">
        <v>166</v>
      </c>
      <c r="G31" s="11">
        <f>+'[4]ADICIONES2014'!B127</f>
        <v>10000000</v>
      </c>
      <c r="H31" s="4">
        <f>+'[4]ADICIONES2014'!C122</f>
        <v>284000000</v>
      </c>
      <c r="I31" s="123">
        <f t="shared" si="6"/>
        <v>294000000</v>
      </c>
      <c r="J31" s="124">
        <v>0</v>
      </c>
      <c r="K31" s="126">
        <v>0</v>
      </c>
      <c r="L31" s="126">
        <v>0</v>
      </c>
      <c r="M31" s="126">
        <v>0</v>
      </c>
      <c r="N31" s="125">
        <f t="shared" si="0"/>
        <v>294000000</v>
      </c>
      <c r="O31" s="19">
        <v>0</v>
      </c>
      <c r="P31" s="17"/>
      <c r="Q31" s="1"/>
      <c r="R31" s="11">
        <f>+'[4]ADICIONES2014'!K127</f>
        <v>0</v>
      </c>
      <c r="S31" s="11">
        <f>+ADICIONES2014!K127</f>
        <v>22762939</v>
      </c>
      <c r="T31" s="4">
        <f>+ADICIONES2014!L127</f>
        <v>22762939</v>
      </c>
      <c r="U31" s="4">
        <f>+ADICIONES2014!M127</f>
        <v>22672250</v>
      </c>
      <c r="V31" s="4">
        <f t="shared" si="2"/>
        <v>271237061</v>
      </c>
      <c r="W31" s="8">
        <f t="shared" si="3"/>
        <v>7.742496258503401</v>
      </c>
      <c r="X31" s="8">
        <f t="shared" si="4"/>
        <v>7.742496258503401</v>
      </c>
      <c r="Y31" s="19">
        <f t="shared" si="5"/>
        <v>0</v>
      </c>
    </row>
    <row r="32" spans="6:25" ht="12.75">
      <c r="F32" s="131"/>
      <c r="I32" s="128" t="s">
        <v>1</v>
      </c>
      <c r="J32" s="132"/>
      <c r="K32" s="132"/>
      <c r="L32" s="132"/>
      <c r="M32" s="132"/>
      <c r="N32" s="129" t="s">
        <v>1</v>
      </c>
      <c r="O32" s="8" t="s">
        <v>1</v>
      </c>
      <c r="P32" s="17"/>
      <c r="Q32" s="1"/>
      <c r="R32" s="19"/>
      <c r="S32" s="2"/>
      <c r="T32" s="2"/>
      <c r="U32" s="2"/>
      <c r="V32" s="2"/>
      <c r="W32" s="2"/>
      <c r="X32" s="2"/>
      <c r="Y32" s="2"/>
    </row>
    <row r="33" spans="1:25" ht="12.75">
      <c r="A33" s="7"/>
      <c r="B33" s="7"/>
      <c r="C33" s="7"/>
      <c r="D33" s="7"/>
      <c r="E33" s="7"/>
      <c r="F33" s="7" t="s">
        <v>1</v>
      </c>
      <c r="G33" s="4" t="s">
        <v>1</v>
      </c>
      <c r="H33" s="4" t="s">
        <v>1</v>
      </c>
      <c r="I33" s="123" t="s">
        <v>1</v>
      </c>
      <c r="J33" s="124" t="s">
        <v>1</v>
      </c>
      <c r="K33" s="126"/>
      <c r="L33" s="126"/>
      <c r="M33" s="126"/>
      <c r="N33" s="129" t="s">
        <v>1</v>
      </c>
      <c r="O33" s="8" t="s">
        <v>1</v>
      </c>
      <c r="P33" s="1"/>
      <c r="Q33" s="1"/>
      <c r="R33" s="19"/>
      <c r="S33" s="2"/>
      <c r="T33" s="2"/>
      <c r="U33" s="2"/>
      <c r="V33" s="2"/>
      <c r="W33" s="2"/>
      <c r="X33" s="2"/>
      <c r="Y33" s="2"/>
    </row>
    <row r="34" spans="9:25" ht="12.75">
      <c r="I34" s="47"/>
      <c r="O34" s="19"/>
      <c r="P34" s="1"/>
      <c r="Q34" s="1"/>
      <c r="R34" s="19"/>
      <c r="S34" s="2"/>
      <c r="T34" s="2"/>
      <c r="U34" s="2"/>
      <c r="V34" s="20" t="s">
        <v>1</v>
      </c>
      <c r="W34" s="20" t="s">
        <v>1</v>
      </c>
      <c r="X34" s="2" t="s">
        <v>1</v>
      </c>
      <c r="Y34" s="2"/>
    </row>
    <row r="35" spans="9:25" ht="12.75">
      <c r="I35" s="167">
        <f>+I9+I50</f>
        <v>6656189791</v>
      </c>
      <c r="O35" s="45"/>
      <c r="P35" s="1"/>
      <c r="Q35" s="1"/>
      <c r="R35" s="45"/>
      <c r="S35" s="43"/>
      <c r="T35" s="43"/>
      <c r="U35" s="43"/>
      <c r="V35" s="133"/>
      <c r="W35" s="133"/>
      <c r="X35" s="43"/>
      <c r="Y35" s="43"/>
    </row>
    <row r="36" spans="6:25" ht="12.75">
      <c r="F36" s="134"/>
      <c r="I36" s="48">
        <f>+I35+INVERSION!F50</f>
        <v>23832218731</v>
      </c>
      <c r="O36" s="45"/>
      <c r="P36" s="1"/>
      <c r="Q36" s="1"/>
      <c r="R36" s="45"/>
      <c r="S36" s="43"/>
      <c r="T36" s="133" t="s">
        <v>1</v>
      </c>
      <c r="U36" s="43"/>
      <c r="V36" s="133"/>
      <c r="W36" s="133"/>
      <c r="X36" s="43"/>
      <c r="Y36" s="43"/>
    </row>
    <row r="37" spans="6:25" ht="12.75">
      <c r="F37" s="131" t="s">
        <v>99</v>
      </c>
      <c r="I37" s="47"/>
      <c r="O37" s="45"/>
      <c r="P37" s="1"/>
      <c r="Q37" s="1"/>
      <c r="R37" s="45"/>
      <c r="S37" s="43"/>
      <c r="T37" s="43"/>
      <c r="U37" s="43"/>
      <c r="V37" s="133"/>
      <c r="W37" s="133"/>
      <c r="X37" s="43"/>
      <c r="Y37" s="43"/>
    </row>
    <row r="38" spans="6:25" ht="12.75">
      <c r="F38" s="131" t="s">
        <v>100</v>
      </c>
      <c r="I38" s="47"/>
      <c r="O38" s="45"/>
      <c r="P38" s="1"/>
      <c r="Q38" s="1"/>
      <c r="R38" s="45"/>
      <c r="S38" s="43"/>
      <c r="T38" s="43"/>
      <c r="U38" s="43"/>
      <c r="V38" s="133"/>
      <c r="W38" s="133"/>
      <c r="X38" s="43"/>
      <c r="Y38" s="43"/>
    </row>
    <row r="39" spans="9:25" ht="12.75">
      <c r="I39" s="47"/>
      <c r="O39" s="45"/>
      <c r="P39" s="1"/>
      <c r="Q39" s="1"/>
      <c r="R39" s="45"/>
      <c r="S39" s="43"/>
      <c r="T39" s="43"/>
      <c r="U39" s="43"/>
      <c r="V39" s="133"/>
      <c r="W39" s="133"/>
      <c r="X39" s="43"/>
      <c r="Y39" s="43"/>
    </row>
    <row r="40" spans="9:25" ht="12.75">
      <c r="I40" s="47"/>
      <c r="O40" s="45"/>
      <c r="P40" s="1"/>
      <c r="Q40" s="1"/>
      <c r="R40" s="45"/>
      <c r="S40" s="43"/>
      <c r="T40" s="43"/>
      <c r="U40" s="43"/>
      <c r="V40" s="133"/>
      <c r="W40" s="133"/>
      <c r="X40" s="43"/>
      <c r="Y40" s="43"/>
    </row>
    <row r="41" spans="1:25" ht="12.75">
      <c r="A41" s="171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</row>
    <row r="42" spans="1:25" ht="12.75">
      <c r="A42" s="171" t="s">
        <v>181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</row>
    <row r="43" spans="1:25" ht="12.75">
      <c r="A43" s="171" t="s">
        <v>175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</row>
    <row r="44" spans="6:25" ht="12.75">
      <c r="F44" s="131"/>
      <c r="I44" s="47" t="s">
        <v>1</v>
      </c>
      <c r="P44" s="1"/>
      <c r="Q44" s="1"/>
      <c r="R44" s="19"/>
      <c r="S44" s="20"/>
      <c r="T44" s="20"/>
      <c r="U44" s="20"/>
      <c r="V44" s="20"/>
      <c r="W44" s="20"/>
      <c r="X44" s="4" t="s">
        <v>1</v>
      </c>
      <c r="Y44" s="2"/>
    </row>
    <row r="45" spans="1:25" ht="13.5" thickBot="1">
      <c r="A45" s="87" t="s">
        <v>167</v>
      </c>
      <c r="B45" s="87" t="s">
        <v>168</v>
      </c>
      <c r="C45" s="103" t="s">
        <v>169</v>
      </c>
      <c r="D45" s="103" t="s">
        <v>170</v>
      </c>
      <c r="E45" s="103" t="s">
        <v>171</v>
      </c>
      <c r="F45" s="2"/>
      <c r="G45" s="2"/>
      <c r="H45" s="103" t="s">
        <v>1</v>
      </c>
      <c r="I45" s="10"/>
      <c r="J45" s="87" t="s">
        <v>1</v>
      </c>
      <c r="K45" s="87"/>
      <c r="L45" s="87"/>
      <c r="M45" s="87"/>
      <c r="N45" s="106" t="s">
        <v>133</v>
      </c>
      <c r="O45" s="135" t="s">
        <v>134</v>
      </c>
      <c r="P45" s="19"/>
      <c r="Q45" s="136"/>
      <c r="R45" s="19"/>
      <c r="S45" s="2"/>
      <c r="T45" s="2"/>
      <c r="U45" s="2"/>
      <c r="V45" s="2"/>
      <c r="W45" s="2"/>
      <c r="X45" s="2"/>
      <c r="Y45" s="2"/>
    </row>
    <row r="46" spans="1:25" ht="165.75">
      <c r="A46" s="103"/>
      <c r="B46" s="87" t="s">
        <v>127</v>
      </c>
      <c r="C46" s="103"/>
      <c r="D46" s="103" t="s">
        <v>128</v>
      </c>
      <c r="E46" s="103"/>
      <c r="F46" s="2"/>
      <c r="G46" s="87" t="s">
        <v>129</v>
      </c>
      <c r="H46" s="87" t="s">
        <v>2</v>
      </c>
      <c r="I46" s="104" t="s">
        <v>129</v>
      </c>
      <c r="J46" s="104" t="s">
        <v>6</v>
      </c>
      <c r="K46" s="98" t="s">
        <v>130</v>
      </c>
      <c r="L46" s="98" t="s">
        <v>131</v>
      </c>
      <c r="M46" s="98" t="s">
        <v>132</v>
      </c>
      <c r="N46" s="106" t="s">
        <v>141</v>
      </c>
      <c r="O46" s="19"/>
      <c r="P46" s="137"/>
      <c r="Q46" s="138"/>
      <c r="R46" s="101" t="s">
        <v>31</v>
      </c>
      <c r="S46" s="25" t="s">
        <v>31</v>
      </c>
      <c r="T46" s="26" t="s">
        <v>32</v>
      </c>
      <c r="U46" s="26" t="s">
        <v>130</v>
      </c>
      <c r="V46" s="32" t="s">
        <v>103</v>
      </c>
      <c r="W46" s="32" t="s">
        <v>33</v>
      </c>
      <c r="X46" s="32" t="s">
        <v>104</v>
      </c>
      <c r="Y46" s="32" t="s">
        <v>33</v>
      </c>
    </row>
    <row r="47" spans="1:25" ht="12.75">
      <c r="A47" s="103"/>
      <c r="B47" s="103"/>
      <c r="C47" s="103"/>
      <c r="D47" s="103" t="s">
        <v>135</v>
      </c>
      <c r="E47" s="103"/>
      <c r="F47" s="87" t="s">
        <v>136</v>
      </c>
      <c r="G47" s="87" t="s">
        <v>137</v>
      </c>
      <c r="H47" s="87" t="s">
        <v>138</v>
      </c>
      <c r="I47" s="104" t="s">
        <v>139</v>
      </c>
      <c r="J47" s="104" t="s">
        <v>1</v>
      </c>
      <c r="K47" s="105"/>
      <c r="L47" s="104" t="s">
        <v>140</v>
      </c>
      <c r="M47" s="105"/>
      <c r="N47" s="10"/>
      <c r="O47" s="10"/>
      <c r="P47" s="139"/>
      <c r="Q47" s="140"/>
      <c r="R47" s="135"/>
      <c r="S47" s="106"/>
      <c r="T47" s="106"/>
      <c r="U47" s="106"/>
      <c r="V47" s="106"/>
      <c r="W47" s="106"/>
      <c r="X47" s="104"/>
      <c r="Y47" s="84"/>
    </row>
    <row r="48" spans="1:25" ht="12.75">
      <c r="A48" s="103"/>
      <c r="B48" s="103"/>
      <c r="C48" s="103"/>
      <c r="D48" s="103" t="s">
        <v>142</v>
      </c>
      <c r="E48" s="103"/>
      <c r="F48" s="2"/>
      <c r="G48" s="87" t="s">
        <v>1</v>
      </c>
      <c r="H48" s="87" t="s">
        <v>1</v>
      </c>
      <c r="I48" s="104" t="s">
        <v>1</v>
      </c>
      <c r="J48" s="106" t="s">
        <v>1</v>
      </c>
      <c r="K48" s="106" t="s">
        <v>1</v>
      </c>
      <c r="L48" s="106" t="s">
        <v>1</v>
      </c>
      <c r="M48" s="106"/>
      <c r="N48" s="10"/>
      <c r="O48" s="11"/>
      <c r="P48" s="139"/>
      <c r="Q48" s="140"/>
      <c r="R48" s="139"/>
      <c r="S48" s="11"/>
      <c r="T48" s="11"/>
      <c r="U48" s="11"/>
      <c r="V48" s="11"/>
      <c r="W48" s="11"/>
      <c r="X48" s="9"/>
      <c r="Y48" s="10"/>
    </row>
    <row r="49" spans="1:25" ht="12.75">
      <c r="A49" s="2"/>
      <c r="B49" s="2"/>
      <c r="C49" s="2"/>
      <c r="D49" s="2"/>
      <c r="E49" s="2"/>
      <c r="F49" s="2"/>
      <c r="G49" s="8" t="s">
        <v>1</v>
      </c>
      <c r="H49" s="19"/>
      <c r="I49" s="139" t="s">
        <v>1</v>
      </c>
      <c r="J49" s="12" t="s">
        <v>1</v>
      </c>
      <c r="K49" s="139" t="s">
        <v>1</v>
      </c>
      <c r="L49" s="12"/>
      <c r="M49" s="12"/>
      <c r="N49" s="10"/>
      <c r="O49" s="130"/>
      <c r="P49" s="139"/>
      <c r="Q49" s="83"/>
      <c r="R49" s="12" t="s">
        <v>1</v>
      </c>
      <c r="S49" s="9"/>
      <c r="T49" s="9"/>
      <c r="U49" s="9"/>
      <c r="V49" s="9"/>
      <c r="W49" s="9"/>
      <c r="X49" s="12"/>
      <c r="Y49" s="10"/>
    </row>
    <row r="50" spans="1:25" ht="12.75">
      <c r="A50" s="2" t="s">
        <v>143</v>
      </c>
      <c r="B50" s="2"/>
      <c r="C50" s="2"/>
      <c r="D50" s="2"/>
      <c r="E50" s="2"/>
      <c r="F50" s="103" t="s">
        <v>172</v>
      </c>
      <c r="G50" s="141">
        <f>+G51+G61+G64</f>
        <v>1694748000</v>
      </c>
      <c r="H50" s="141">
        <f>SUM(H51+H61+H63+H64)</f>
        <v>0</v>
      </c>
      <c r="I50" s="142">
        <f>+G50+H50</f>
        <v>1694748000</v>
      </c>
      <c r="J50" s="142">
        <f>SUM(J51+J61+J64)</f>
        <v>1694634538</v>
      </c>
      <c r="K50" s="141">
        <f>+K51+K61+K64</f>
        <v>1653740452</v>
      </c>
      <c r="L50" s="141">
        <f>+L51+L61+L64</f>
        <v>40894086</v>
      </c>
      <c r="M50" s="141">
        <f>+M51+M61+M64</f>
        <v>0</v>
      </c>
      <c r="N50" s="9">
        <f>+I50-J50</f>
        <v>113462</v>
      </c>
      <c r="O50" s="142">
        <f>+J50/I50*100</f>
        <v>99.99330508134543</v>
      </c>
      <c r="P50" s="143"/>
      <c r="Q50" s="144"/>
      <c r="R50" s="141">
        <f>+R51+R61+R64</f>
        <v>1694073868</v>
      </c>
      <c r="S50" s="141">
        <f>+S51+S61+S64</f>
        <v>1097778031</v>
      </c>
      <c r="T50" s="141">
        <f aca="true" t="shared" si="8" ref="T50:U52">+S50</f>
        <v>1097778031</v>
      </c>
      <c r="U50" s="141">
        <f t="shared" si="8"/>
        <v>1097778031</v>
      </c>
      <c r="V50" s="141">
        <f>+I50-S50</f>
        <v>596969969</v>
      </c>
      <c r="W50" s="145">
        <f>+S50/I50*100</f>
        <v>64.775295855195</v>
      </c>
      <c r="X50" s="12">
        <f>+T50/I50*100</f>
        <v>64.775295855195</v>
      </c>
      <c r="Y50" s="12">
        <f>+R50/I50*100</f>
        <v>99.96022228673526</v>
      </c>
    </row>
    <row r="51" spans="1:25" ht="12.75">
      <c r="A51" s="2" t="s">
        <v>143</v>
      </c>
      <c r="B51" s="2">
        <v>1</v>
      </c>
      <c r="C51" s="2">
        <v>1</v>
      </c>
      <c r="D51" s="2">
        <v>0</v>
      </c>
      <c r="E51" s="2">
        <v>0</v>
      </c>
      <c r="F51" s="103" t="s">
        <v>145</v>
      </c>
      <c r="G51" s="141">
        <f>+G52+G57+G58+G59+G60</f>
        <v>1658314000</v>
      </c>
      <c r="H51" s="141">
        <f>+H52+H57+H58</f>
        <v>0</v>
      </c>
      <c r="I51" s="142">
        <f>+I52+I57+I58+I59+I60</f>
        <v>1658314000</v>
      </c>
      <c r="J51" s="141">
        <f>+J52+J57+J58+J59+J60</f>
        <v>1658200538</v>
      </c>
      <c r="K51" s="141">
        <f>+K52+K57+K58+K59+K60</f>
        <v>1629842579</v>
      </c>
      <c r="L51" s="141">
        <f>+L52+L57+L58+L59+L60</f>
        <v>28357959</v>
      </c>
      <c r="M51" s="141">
        <f>+M52+M57+M58+M59+M60</f>
        <v>0</v>
      </c>
      <c r="N51" s="9">
        <f aca="true" t="shared" si="9" ref="N51:N65">+I51-J51</f>
        <v>113462</v>
      </c>
      <c r="O51" s="142">
        <f aca="true" t="shared" si="10" ref="O51:O65">+J51/I51*100</f>
        <v>99.99315799058563</v>
      </c>
      <c r="P51" s="143"/>
      <c r="Q51" s="144"/>
      <c r="R51" s="141">
        <f>+R52+R57+R58+R59+R60</f>
        <v>1658262868</v>
      </c>
      <c r="S51" s="141">
        <f>+S52+S57+S58+S59+S60</f>
        <v>1096445031</v>
      </c>
      <c r="T51" s="141">
        <f t="shared" si="8"/>
        <v>1096445031</v>
      </c>
      <c r="U51" s="141">
        <f t="shared" si="8"/>
        <v>1096445031</v>
      </c>
      <c r="V51" s="141">
        <f aca="true" t="shared" si="11" ref="V51:V65">+I51-S51</f>
        <v>561868969</v>
      </c>
      <c r="W51" s="145">
        <f aca="true" t="shared" si="12" ref="W51:W65">+S51/I51*100</f>
        <v>66.1180591251114</v>
      </c>
      <c r="X51" s="12">
        <f aca="true" t="shared" si="13" ref="X51:X65">+T51/I51*100</f>
        <v>66.1180591251114</v>
      </c>
      <c r="Y51" s="12">
        <f aca="true" t="shared" si="14" ref="Y51:Y65">+R51/I51*100</f>
        <v>99.99691662736973</v>
      </c>
    </row>
    <row r="52" spans="1:25" ht="12.75">
      <c r="A52" s="2" t="s">
        <v>143</v>
      </c>
      <c r="B52" s="2">
        <v>1</v>
      </c>
      <c r="C52" s="2">
        <v>1</v>
      </c>
      <c r="D52" s="2">
        <v>1</v>
      </c>
      <c r="E52" s="2">
        <v>0</v>
      </c>
      <c r="F52" s="7" t="s">
        <v>146</v>
      </c>
      <c r="G52" s="20">
        <f>SUM(G53:G56)</f>
        <v>1356670000</v>
      </c>
      <c r="H52" s="20">
        <f>SUM(H53:H56)</f>
        <v>0</v>
      </c>
      <c r="I52" s="9">
        <f>+G52+H52</f>
        <v>1356670000</v>
      </c>
      <c r="J52" s="9">
        <f>SUM(J53:J56)</f>
        <v>1356556538</v>
      </c>
      <c r="K52" s="20">
        <f>SUM(K53:K56)</f>
        <v>1328198579</v>
      </c>
      <c r="L52" s="20">
        <f>SUM(L53:L56)</f>
        <v>28357959</v>
      </c>
      <c r="M52" s="20">
        <f>SUM(M53:M56)</f>
        <v>0</v>
      </c>
      <c r="N52" s="9">
        <f t="shared" si="9"/>
        <v>113462</v>
      </c>
      <c r="O52" s="142">
        <f t="shared" si="10"/>
        <v>99.99163672816529</v>
      </c>
      <c r="P52" s="12"/>
      <c r="Q52" s="83"/>
      <c r="R52" s="20">
        <f>SUM(R53:R56)</f>
        <v>1356618868</v>
      </c>
      <c r="S52" s="20">
        <f>SUM(S53:S56)</f>
        <v>884397424</v>
      </c>
      <c r="T52" s="20">
        <f t="shared" si="8"/>
        <v>884397424</v>
      </c>
      <c r="U52" s="20">
        <f t="shared" si="8"/>
        <v>884397424</v>
      </c>
      <c r="V52" s="141">
        <f t="shared" si="11"/>
        <v>472272576</v>
      </c>
      <c r="W52" s="145">
        <f t="shared" si="12"/>
        <v>65.18883914290137</v>
      </c>
      <c r="X52" s="12">
        <f t="shared" si="13"/>
        <v>65.18883914290137</v>
      </c>
      <c r="Y52" s="12">
        <f t="shared" si="14"/>
        <v>99.99623106577134</v>
      </c>
    </row>
    <row r="53" spans="1:25" ht="12.75">
      <c r="A53" s="2" t="s">
        <v>143</v>
      </c>
      <c r="B53" s="2">
        <v>1</v>
      </c>
      <c r="C53" s="2">
        <v>1</v>
      </c>
      <c r="D53" s="2">
        <v>1</v>
      </c>
      <c r="E53" s="2">
        <v>1</v>
      </c>
      <c r="F53" s="2" t="s">
        <v>147</v>
      </c>
      <c r="G53" s="20">
        <f>+'[4]ADICIONES2014'!B61</f>
        <v>1042086000</v>
      </c>
      <c r="H53" s="20">
        <v>0</v>
      </c>
      <c r="I53" s="9">
        <f>+G53+H53</f>
        <v>1042086000</v>
      </c>
      <c r="J53" s="142">
        <f>+I53</f>
        <v>1042086000</v>
      </c>
      <c r="K53" s="20">
        <f>+J53</f>
        <v>1042086000</v>
      </c>
      <c r="L53" s="20">
        <v>0</v>
      </c>
      <c r="M53" s="20">
        <v>0</v>
      </c>
      <c r="N53" s="9">
        <f t="shared" si="9"/>
        <v>0</v>
      </c>
      <c r="O53" s="142">
        <f t="shared" si="10"/>
        <v>100</v>
      </c>
      <c r="P53" s="12"/>
      <c r="Q53" s="83"/>
      <c r="R53" s="20">
        <f>+I53</f>
        <v>1042086000</v>
      </c>
      <c r="S53" s="20">
        <v>772500174</v>
      </c>
      <c r="T53" s="20">
        <v>772500174</v>
      </c>
      <c r="U53" s="20">
        <v>772500174</v>
      </c>
      <c r="V53" s="141">
        <f t="shared" si="11"/>
        <v>269585826</v>
      </c>
      <c r="W53" s="145">
        <f t="shared" si="12"/>
        <v>74.13017486080803</v>
      </c>
      <c r="X53" s="12">
        <f t="shared" si="13"/>
        <v>74.13017486080803</v>
      </c>
      <c r="Y53" s="12">
        <f t="shared" si="14"/>
        <v>100</v>
      </c>
    </row>
    <row r="54" spans="1:25" ht="12.75">
      <c r="A54" s="2" t="s">
        <v>143</v>
      </c>
      <c r="B54" s="2">
        <v>1</v>
      </c>
      <c r="C54" s="2">
        <v>1</v>
      </c>
      <c r="D54" s="2">
        <v>9</v>
      </c>
      <c r="E54" s="2">
        <v>1</v>
      </c>
      <c r="F54" s="2" t="s">
        <v>173</v>
      </c>
      <c r="G54" s="20">
        <f>+'[4]ADICIONES2014'!B67</f>
        <v>1346000</v>
      </c>
      <c r="H54" s="20">
        <v>0</v>
      </c>
      <c r="I54" s="9">
        <f aca="true" t="shared" si="15" ref="I54:I61">+G54+H54</f>
        <v>1346000</v>
      </c>
      <c r="J54" s="142">
        <v>1232538</v>
      </c>
      <c r="K54" s="20">
        <f>+J54</f>
        <v>1232538</v>
      </c>
      <c r="L54" s="20">
        <v>0</v>
      </c>
      <c r="M54" s="20">
        <v>0</v>
      </c>
      <c r="N54" s="9">
        <f t="shared" si="9"/>
        <v>113462</v>
      </c>
      <c r="O54" s="142">
        <f t="shared" si="10"/>
        <v>91.5704309063893</v>
      </c>
      <c r="P54" s="12"/>
      <c r="Q54" s="83"/>
      <c r="R54" s="20">
        <v>1294868</v>
      </c>
      <c r="S54" s="20">
        <v>805455</v>
      </c>
      <c r="T54" s="20">
        <v>805455</v>
      </c>
      <c r="U54" s="20">
        <v>805455</v>
      </c>
      <c r="V54" s="141">
        <f t="shared" si="11"/>
        <v>540545</v>
      </c>
      <c r="W54" s="145">
        <f t="shared" si="12"/>
        <v>59.84063893016345</v>
      </c>
      <c r="X54" s="12">
        <f t="shared" si="13"/>
        <v>59.84063893016345</v>
      </c>
      <c r="Y54" s="12">
        <f t="shared" si="14"/>
        <v>96.20118870728082</v>
      </c>
    </row>
    <row r="55" spans="1:25" ht="12.75">
      <c r="A55" s="2" t="s">
        <v>143</v>
      </c>
      <c r="B55" s="2">
        <v>1</v>
      </c>
      <c r="C55" s="2">
        <v>1</v>
      </c>
      <c r="D55" s="2">
        <v>4</v>
      </c>
      <c r="E55" s="2">
        <v>2</v>
      </c>
      <c r="F55" s="2" t="s">
        <v>151</v>
      </c>
      <c r="G55" s="20">
        <f>+'[4]ADICIONES2014'!B62</f>
        <v>111383000</v>
      </c>
      <c r="H55" s="20">
        <f>0</f>
        <v>0</v>
      </c>
      <c r="I55" s="9">
        <f t="shared" si="15"/>
        <v>111383000</v>
      </c>
      <c r="J55" s="142">
        <f aca="true" t="shared" si="16" ref="J55:J60">+I55</f>
        <v>111383000</v>
      </c>
      <c r="K55" s="20">
        <f>+J55</f>
        <v>111383000</v>
      </c>
      <c r="L55" s="20">
        <v>0</v>
      </c>
      <c r="M55" s="20">
        <v>0</v>
      </c>
      <c r="N55" s="9">
        <f t="shared" si="9"/>
        <v>0</v>
      </c>
      <c r="O55" s="142">
        <f t="shared" si="10"/>
        <v>100</v>
      </c>
      <c r="P55" s="12"/>
      <c r="Q55" s="83"/>
      <c r="R55" s="20">
        <f aca="true" t="shared" si="17" ref="R55:R60">+I55</f>
        <v>111383000</v>
      </c>
      <c r="S55" s="20">
        <v>81861099</v>
      </c>
      <c r="T55" s="20">
        <v>81861099</v>
      </c>
      <c r="U55" s="20">
        <v>81861099</v>
      </c>
      <c r="V55" s="141">
        <f t="shared" si="11"/>
        <v>29521901</v>
      </c>
      <c r="W55" s="145">
        <f t="shared" si="12"/>
        <v>73.49514647657183</v>
      </c>
      <c r="X55" s="12">
        <f t="shared" si="13"/>
        <v>73.49514647657183</v>
      </c>
      <c r="Y55" s="12">
        <f t="shared" si="14"/>
        <v>100</v>
      </c>
    </row>
    <row r="56" spans="1:27" ht="12.75">
      <c r="A56" s="2" t="s">
        <v>143</v>
      </c>
      <c r="B56" s="2">
        <v>1</v>
      </c>
      <c r="C56" s="2">
        <v>1</v>
      </c>
      <c r="D56" s="2">
        <v>5</v>
      </c>
      <c r="E56" s="2">
        <v>0</v>
      </c>
      <c r="F56" s="2" t="s">
        <v>152</v>
      </c>
      <c r="G56" s="20">
        <f>+'[4]ADICIONES2014'!B63+'[4]ADICIONES2014'!B64+'[4]ADICIONES2014'!B65+'[4]ADICIONES2014'!B66</f>
        <v>201855000</v>
      </c>
      <c r="H56" s="20">
        <v>0</v>
      </c>
      <c r="I56" s="9">
        <f t="shared" si="15"/>
        <v>201855000</v>
      </c>
      <c r="J56" s="142">
        <f t="shared" si="16"/>
        <v>201855000</v>
      </c>
      <c r="K56" s="20">
        <f>+J56-28357959</f>
        <v>173497041</v>
      </c>
      <c r="L56" s="20">
        <f>+J56-K56</f>
        <v>28357959</v>
      </c>
      <c r="M56" s="20">
        <v>0</v>
      </c>
      <c r="N56" s="9">
        <f t="shared" si="9"/>
        <v>0</v>
      </c>
      <c r="O56" s="142">
        <f t="shared" si="10"/>
        <v>100</v>
      </c>
      <c r="P56" s="12"/>
      <c r="Q56" s="83"/>
      <c r="R56" s="20">
        <f t="shared" si="17"/>
        <v>201855000</v>
      </c>
      <c r="S56" s="20">
        <v>29230696</v>
      </c>
      <c r="T56" s="20">
        <v>29230696</v>
      </c>
      <c r="U56" s="20">
        <v>29230696</v>
      </c>
      <c r="V56" s="141">
        <f t="shared" si="11"/>
        <v>172624304</v>
      </c>
      <c r="W56" s="145">
        <f t="shared" si="12"/>
        <v>14.481036387505883</v>
      </c>
      <c r="X56" s="12">
        <f t="shared" si="13"/>
        <v>14.481036387505883</v>
      </c>
      <c r="Y56" s="12">
        <f t="shared" si="14"/>
        <v>100</v>
      </c>
      <c r="AA56">
        <f>11154196+18076500</f>
        <v>29230696</v>
      </c>
    </row>
    <row r="57" spans="1:25" ht="12.75">
      <c r="A57" s="2" t="s">
        <v>143</v>
      </c>
      <c r="B57" s="2">
        <v>1</v>
      </c>
      <c r="C57" s="2">
        <v>5</v>
      </c>
      <c r="D57" s="2">
        <v>0</v>
      </c>
      <c r="E57" s="2">
        <v>1</v>
      </c>
      <c r="F57" s="2" t="s">
        <v>154</v>
      </c>
      <c r="G57" s="20">
        <f>+'[4]ADICIONES2014'!B68</f>
        <v>73908425</v>
      </c>
      <c r="H57" s="20">
        <v>0</v>
      </c>
      <c r="I57" s="9">
        <f t="shared" si="15"/>
        <v>73908425</v>
      </c>
      <c r="J57" s="142">
        <f t="shared" si="16"/>
        <v>73908425</v>
      </c>
      <c r="K57" s="20">
        <f>+J57</f>
        <v>73908425</v>
      </c>
      <c r="L57" s="20">
        <v>0</v>
      </c>
      <c r="M57" s="20">
        <v>0</v>
      </c>
      <c r="N57" s="9">
        <f t="shared" si="9"/>
        <v>0</v>
      </c>
      <c r="O57" s="142">
        <f t="shared" si="10"/>
        <v>100</v>
      </c>
      <c r="P57" s="12"/>
      <c r="Q57" s="83"/>
      <c r="R57" s="20">
        <f t="shared" si="17"/>
        <v>73908425</v>
      </c>
      <c r="S57" s="20">
        <v>73903225</v>
      </c>
      <c r="T57" s="20">
        <v>73903225</v>
      </c>
      <c r="U57" s="20">
        <v>73903225</v>
      </c>
      <c r="V57" s="141">
        <f t="shared" si="11"/>
        <v>5200</v>
      </c>
      <c r="W57" s="145">
        <f t="shared" si="12"/>
        <v>99.99296426625246</v>
      </c>
      <c r="X57" s="12">
        <f t="shared" si="13"/>
        <v>99.99296426625246</v>
      </c>
      <c r="Y57" s="12">
        <f t="shared" si="14"/>
        <v>100</v>
      </c>
    </row>
    <row r="58" spans="1:25" ht="12.75">
      <c r="A58" s="2" t="s">
        <v>143</v>
      </c>
      <c r="B58" s="2">
        <v>1</v>
      </c>
      <c r="C58" s="2">
        <v>5</v>
      </c>
      <c r="D58" s="2">
        <v>0</v>
      </c>
      <c r="E58" s="2">
        <v>2</v>
      </c>
      <c r="F58" s="2" t="s">
        <v>155</v>
      </c>
      <c r="G58" s="4">
        <f>+'[4]ADICIONES2014'!B69</f>
        <v>178721995</v>
      </c>
      <c r="H58" s="20">
        <f>0</f>
        <v>0</v>
      </c>
      <c r="I58" s="9">
        <f t="shared" si="15"/>
        <v>178721995</v>
      </c>
      <c r="J58" s="142">
        <f t="shared" si="16"/>
        <v>178721995</v>
      </c>
      <c r="K58" s="20">
        <f>+J58</f>
        <v>178721995</v>
      </c>
      <c r="L58" s="20">
        <v>0</v>
      </c>
      <c r="M58" s="20">
        <v>0</v>
      </c>
      <c r="N58" s="9">
        <f t="shared" si="9"/>
        <v>0</v>
      </c>
      <c r="O58" s="142">
        <f t="shared" si="10"/>
        <v>100</v>
      </c>
      <c r="P58" s="12"/>
      <c r="Q58" s="83"/>
      <c r="R58" s="4">
        <f t="shared" si="17"/>
        <v>178721995</v>
      </c>
      <c r="S58" s="4">
        <v>101224782</v>
      </c>
      <c r="T58" s="20">
        <v>101224782</v>
      </c>
      <c r="U58" s="20">
        <v>101224782</v>
      </c>
      <c r="V58" s="141">
        <f t="shared" si="11"/>
        <v>77497213</v>
      </c>
      <c r="W58" s="145">
        <f t="shared" si="12"/>
        <v>56.63812224119364</v>
      </c>
      <c r="X58" s="12">
        <f t="shared" si="13"/>
        <v>56.63812224119364</v>
      </c>
      <c r="Y58" s="12">
        <f t="shared" si="14"/>
        <v>100</v>
      </c>
    </row>
    <row r="59" spans="1:25" ht="12.75">
      <c r="A59" s="2" t="s">
        <v>143</v>
      </c>
      <c r="B59" s="2">
        <v>1</v>
      </c>
      <c r="C59" s="2">
        <v>5</v>
      </c>
      <c r="D59" s="2">
        <v>0</v>
      </c>
      <c r="E59" s="2">
        <v>6</v>
      </c>
      <c r="F59" s="2" t="s">
        <v>156</v>
      </c>
      <c r="G59" s="20">
        <f>+'[4]ADICIONES2014'!B70</f>
        <v>24506790</v>
      </c>
      <c r="H59" s="20"/>
      <c r="I59" s="9">
        <f t="shared" si="15"/>
        <v>24506790</v>
      </c>
      <c r="J59" s="142">
        <f t="shared" si="16"/>
        <v>24506790</v>
      </c>
      <c r="K59" s="20">
        <f>+J59</f>
        <v>24506790</v>
      </c>
      <c r="L59" s="20">
        <v>0</v>
      </c>
      <c r="M59" s="20">
        <v>0</v>
      </c>
      <c r="N59" s="9">
        <f t="shared" si="9"/>
        <v>0</v>
      </c>
      <c r="O59" s="142">
        <f t="shared" si="10"/>
        <v>100</v>
      </c>
      <c r="P59" s="12"/>
      <c r="Q59" s="83"/>
      <c r="R59" s="20">
        <f t="shared" si="17"/>
        <v>24506790</v>
      </c>
      <c r="S59" s="20">
        <v>22149500</v>
      </c>
      <c r="T59" s="20">
        <v>22149500</v>
      </c>
      <c r="U59" s="20">
        <v>22149500</v>
      </c>
      <c r="V59" s="141">
        <f t="shared" si="11"/>
        <v>2357290</v>
      </c>
      <c r="W59" s="145">
        <f t="shared" si="12"/>
        <v>90.38107397990515</v>
      </c>
      <c r="X59" s="12">
        <f t="shared" si="13"/>
        <v>90.38107397990515</v>
      </c>
      <c r="Y59" s="12">
        <f t="shared" si="14"/>
        <v>100</v>
      </c>
    </row>
    <row r="60" spans="1:25" ht="12.75">
      <c r="A60" s="2" t="s">
        <v>143</v>
      </c>
      <c r="B60" s="2">
        <v>1</v>
      </c>
      <c r="C60" s="2">
        <v>5</v>
      </c>
      <c r="D60" s="2">
        <v>0</v>
      </c>
      <c r="E60" s="2">
        <v>7</v>
      </c>
      <c r="F60" s="2" t="s">
        <v>157</v>
      </c>
      <c r="G60" s="20">
        <f>+'[4]ADICIONES2014'!B71</f>
        <v>24506790</v>
      </c>
      <c r="H60" s="20"/>
      <c r="I60" s="9">
        <f t="shared" si="15"/>
        <v>24506790</v>
      </c>
      <c r="J60" s="142">
        <f t="shared" si="16"/>
        <v>24506790</v>
      </c>
      <c r="K60" s="20">
        <f>+J60</f>
        <v>24506790</v>
      </c>
      <c r="L60" s="20">
        <v>0</v>
      </c>
      <c r="M60" s="20">
        <v>0</v>
      </c>
      <c r="N60" s="9">
        <f t="shared" si="9"/>
        <v>0</v>
      </c>
      <c r="O60" s="142">
        <f t="shared" si="10"/>
        <v>100</v>
      </c>
      <c r="P60" s="12"/>
      <c r="Q60" s="83"/>
      <c r="R60" s="20">
        <f t="shared" si="17"/>
        <v>24506790</v>
      </c>
      <c r="S60" s="20">
        <v>14770100</v>
      </c>
      <c r="T60" s="20">
        <v>14770100</v>
      </c>
      <c r="U60" s="20">
        <v>14770100</v>
      </c>
      <c r="V60" s="141">
        <f t="shared" si="11"/>
        <v>9736690</v>
      </c>
      <c r="W60" s="145">
        <f t="shared" si="12"/>
        <v>60.26941920994141</v>
      </c>
      <c r="X60" s="12">
        <f t="shared" si="13"/>
        <v>60.26941920994141</v>
      </c>
      <c r="Y60" s="12">
        <f t="shared" si="14"/>
        <v>100</v>
      </c>
    </row>
    <row r="61" spans="1:25" ht="12.75">
      <c r="A61" s="2" t="s">
        <v>143</v>
      </c>
      <c r="B61" s="2">
        <v>2</v>
      </c>
      <c r="C61" s="2">
        <v>0</v>
      </c>
      <c r="D61" s="2">
        <v>0</v>
      </c>
      <c r="E61" s="2">
        <v>0</v>
      </c>
      <c r="F61" s="103" t="s">
        <v>158</v>
      </c>
      <c r="G61" s="141">
        <f>SUM(G62:G63)</f>
        <v>26856000</v>
      </c>
      <c r="H61" s="141">
        <f>SUM(H62:H63)</f>
        <v>0</v>
      </c>
      <c r="I61" s="142">
        <f t="shared" si="15"/>
        <v>26856000</v>
      </c>
      <c r="J61" s="142">
        <f>+J62+J63</f>
        <v>26856000</v>
      </c>
      <c r="K61" s="141">
        <f>SUM(K62:K63)</f>
        <v>23897873</v>
      </c>
      <c r="L61" s="141">
        <f>SUM(L62:L63)</f>
        <v>2958127</v>
      </c>
      <c r="M61" s="141">
        <f>SUM(M62:M63)</f>
        <v>0</v>
      </c>
      <c r="N61" s="9">
        <f t="shared" si="9"/>
        <v>0</v>
      </c>
      <c r="O61" s="142">
        <f t="shared" si="10"/>
        <v>100</v>
      </c>
      <c r="P61" s="143"/>
      <c r="Q61" s="144"/>
      <c r="R61" s="141">
        <f>SUM(R62:R63)</f>
        <v>26233000</v>
      </c>
      <c r="S61" s="141">
        <f>SUM(S62:S63)</f>
        <v>1333000</v>
      </c>
      <c r="T61" s="20">
        <f>+S61</f>
        <v>1333000</v>
      </c>
      <c r="U61" s="20">
        <f>+T61</f>
        <v>1333000</v>
      </c>
      <c r="V61" s="141">
        <f t="shared" si="11"/>
        <v>25523000</v>
      </c>
      <c r="W61" s="145">
        <f t="shared" si="12"/>
        <v>4.9635090854929995</v>
      </c>
      <c r="X61" s="12">
        <f t="shared" si="13"/>
        <v>4.9635090854929995</v>
      </c>
      <c r="Y61" s="12">
        <f t="shared" si="14"/>
        <v>97.68022043491213</v>
      </c>
    </row>
    <row r="62" spans="1:25" ht="12.75">
      <c r="A62" s="2" t="s">
        <v>143</v>
      </c>
      <c r="B62" s="2">
        <v>2</v>
      </c>
      <c r="C62" s="2">
        <v>0</v>
      </c>
      <c r="D62" s="2">
        <v>4</v>
      </c>
      <c r="E62" s="2">
        <v>0</v>
      </c>
      <c r="F62" s="2" t="s">
        <v>160</v>
      </c>
      <c r="G62" s="20">
        <f>+'[4]ADICIONES2014'!B73</f>
        <v>25523000</v>
      </c>
      <c r="H62" s="20">
        <v>0</v>
      </c>
      <c r="I62" s="9">
        <f>+G62+H62</f>
        <v>25523000</v>
      </c>
      <c r="J62" s="142">
        <f>+I62</f>
        <v>25523000</v>
      </c>
      <c r="K62" s="20">
        <f>+J62-2958127</f>
        <v>22564873</v>
      </c>
      <c r="L62" s="20">
        <f>+J62-K62</f>
        <v>2958127</v>
      </c>
      <c r="M62" s="20">
        <v>0</v>
      </c>
      <c r="N62" s="9">
        <f t="shared" si="9"/>
        <v>0</v>
      </c>
      <c r="O62" s="142">
        <f t="shared" si="10"/>
        <v>100</v>
      </c>
      <c r="P62" s="12"/>
      <c r="Q62" s="83"/>
      <c r="R62" s="20">
        <v>24900000</v>
      </c>
      <c r="S62" s="20">
        <v>0</v>
      </c>
      <c r="T62" s="20">
        <f>+S62</f>
        <v>0</v>
      </c>
      <c r="U62" s="20">
        <f>+T62</f>
        <v>0</v>
      </c>
      <c r="V62" s="141">
        <f t="shared" si="11"/>
        <v>25523000</v>
      </c>
      <c r="W62" s="145">
        <f t="shared" si="12"/>
        <v>0</v>
      </c>
      <c r="X62" s="12">
        <f t="shared" si="13"/>
        <v>0</v>
      </c>
      <c r="Y62" s="12">
        <f t="shared" si="14"/>
        <v>97.55906437331035</v>
      </c>
    </row>
    <row r="63" spans="1:25" ht="12.75">
      <c r="A63" s="2" t="s">
        <v>143</v>
      </c>
      <c r="B63" s="2">
        <v>2</v>
      </c>
      <c r="C63" s="2">
        <v>0</v>
      </c>
      <c r="D63" s="2">
        <v>3</v>
      </c>
      <c r="E63" s="2">
        <v>50</v>
      </c>
      <c r="F63" s="2" t="s">
        <v>161</v>
      </c>
      <c r="G63" s="20">
        <f>+'[4]ADICIONES2014'!B72</f>
        <v>1333000</v>
      </c>
      <c r="H63" s="20">
        <v>0</v>
      </c>
      <c r="I63" s="9">
        <f>+G63+H63</f>
        <v>1333000</v>
      </c>
      <c r="J63" s="142">
        <f>+I63</f>
        <v>1333000</v>
      </c>
      <c r="K63" s="20">
        <f>+J63</f>
        <v>1333000</v>
      </c>
      <c r="L63" s="20">
        <v>0</v>
      </c>
      <c r="M63" s="20">
        <v>0</v>
      </c>
      <c r="N63" s="9">
        <f t="shared" si="9"/>
        <v>0</v>
      </c>
      <c r="O63" s="142">
        <f t="shared" si="10"/>
        <v>100</v>
      </c>
      <c r="P63" s="12"/>
      <c r="Q63" s="83"/>
      <c r="R63" s="20">
        <f>+I63</f>
        <v>1333000</v>
      </c>
      <c r="S63" s="20">
        <f>+ADICIONES2014!E72</f>
        <v>1333000</v>
      </c>
      <c r="T63" s="20">
        <f>+ADICIONES2014!F72</f>
        <v>1333000</v>
      </c>
      <c r="U63" s="20">
        <f>+ADICIONES2014!G72</f>
        <v>1333000</v>
      </c>
      <c r="V63" s="141">
        <f t="shared" si="11"/>
        <v>0</v>
      </c>
      <c r="W63" s="145">
        <f t="shared" si="12"/>
        <v>100</v>
      </c>
      <c r="X63" s="12">
        <f t="shared" si="13"/>
        <v>100</v>
      </c>
      <c r="Y63" s="12">
        <f t="shared" si="14"/>
        <v>100</v>
      </c>
    </row>
    <row r="64" spans="1:25" ht="12.75">
      <c r="A64" s="2" t="s">
        <v>143</v>
      </c>
      <c r="B64" s="2">
        <v>3</v>
      </c>
      <c r="C64" s="2">
        <v>2</v>
      </c>
      <c r="D64" s="2">
        <v>1</v>
      </c>
      <c r="E64" s="2">
        <v>1</v>
      </c>
      <c r="F64" s="2" t="s">
        <v>162</v>
      </c>
      <c r="G64" s="20">
        <f>+G65</f>
        <v>9578000</v>
      </c>
      <c r="H64" s="20">
        <f>+H65</f>
        <v>0</v>
      </c>
      <c r="I64" s="9">
        <f>+G64+H64</f>
        <v>9578000</v>
      </c>
      <c r="J64" s="142">
        <f>+I64</f>
        <v>9578000</v>
      </c>
      <c r="K64" s="20">
        <f>+K65</f>
        <v>0</v>
      </c>
      <c r="L64" s="20">
        <f>+L65</f>
        <v>9578000</v>
      </c>
      <c r="M64" s="20">
        <f>+M65</f>
        <v>0</v>
      </c>
      <c r="N64" s="9">
        <f t="shared" si="9"/>
        <v>0</v>
      </c>
      <c r="O64" s="142">
        <f t="shared" si="10"/>
        <v>100</v>
      </c>
      <c r="P64" s="12"/>
      <c r="Q64" s="83"/>
      <c r="R64" s="20">
        <f>+R65</f>
        <v>9578000</v>
      </c>
      <c r="S64" s="20">
        <f>+S65</f>
        <v>0</v>
      </c>
      <c r="T64" s="20">
        <f>+S64</f>
        <v>0</v>
      </c>
      <c r="U64" s="20">
        <f>+T64</f>
        <v>0</v>
      </c>
      <c r="V64" s="141">
        <f t="shared" si="11"/>
        <v>9578000</v>
      </c>
      <c r="W64" s="145">
        <f t="shared" si="12"/>
        <v>0</v>
      </c>
      <c r="X64" s="12">
        <f t="shared" si="13"/>
        <v>0</v>
      </c>
      <c r="Y64" s="12">
        <f t="shared" si="14"/>
        <v>100</v>
      </c>
    </row>
    <row r="65" spans="1:25" ht="12.75">
      <c r="A65" s="2" t="s">
        <v>143</v>
      </c>
      <c r="B65" s="2">
        <v>3</v>
      </c>
      <c r="C65" s="2">
        <v>2</v>
      </c>
      <c r="D65" s="2">
        <v>1</v>
      </c>
      <c r="E65" s="2">
        <v>1</v>
      </c>
      <c r="F65" s="2" t="s">
        <v>162</v>
      </c>
      <c r="G65" s="20">
        <f>+'[4]ADICIONES2014'!B74</f>
        <v>9578000</v>
      </c>
      <c r="H65" s="20">
        <v>0</v>
      </c>
      <c r="I65" s="9">
        <f>+G65+H65</f>
        <v>9578000</v>
      </c>
      <c r="J65" s="142">
        <f>+I65</f>
        <v>9578000</v>
      </c>
      <c r="K65" s="20">
        <v>0</v>
      </c>
      <c r="L65" s="20">
        <f>+J65-K65</f>
        <v>9578000</v>
      </c>
      <c r="M65" s="20">
        <v>0</v>
      </c>
      <c r="N65" s="9">
        <f t="shared" si="9"/>
        <v>0</v>
      </c>
      <c r="O65" s="142">
        <f t="shared" si="10"/>
        <v>100</v>
      </c>
      <c r="P65" s="12"/>
      <c r="Q65" s="83"/>
      <c r="R65" s="20">
        <f>+I65</f>
        <v>9578000</v>
      </c>
      <c r="S65" s="20">
        <v>0</v>
      </c>
      <c r="T65" s="20">
        <f>+S65</f>
        <v>0</v>
      </c>
      <c r="U65" s="20">
        <f>+T65</f>
        <v>0</v>
      </c>
      <c r="V65" s="141">
        <f t="shared" si="11"/>
        <v>9578000</v>
      </c>
      <c r="W65" s="145">
        <f t="shared" si="12"/>
        <v>0</v>
      </c>
      <c r="X65" s="12">
        <f t="shared" si="13"/>
        <v>0</v>
      </c>
      <c r="Y65" s="12">
        <f t="shared" si="14"/>
        <v>100</v>
      </c>
    </row>
    <row r="66" spans="1:25" ht="12.75">
      <c r="A66" s="7" t="s">
        <v>1</v>
      </c>
      <c r="B66" s="7" t="s">
        <v>1</v>
      </c>
      <c r="C66" s="7" t="s">
        <v>1</v>
      </c>
      <c r="D66" s="7" t="s">
        <v>1</v>
      </c>
      <c r="E66" s="7" t="s">
        <v>1</v>
      </c>
      <c r="F66" s="7" t="s">
        <v>5</v>
      </c>
      <c r="G66" s="4" t="s">
        <v>1</v>
      </c>
      <c r="H66" s="4" t="s">
        <v>1</v>
      </c>
      <c r="I66" s="11" t="s">
        <v>1</v>
      </c>
      <c r="J66" s="142" t="s">
        <v>1</v>
      </c>
      <c r="K66" s="142"/>
      <c r="L66" s="142"/>
      <c r="M66" s="142"/>
      <c r="N66" s="10"/>
      <c r="O66" s="142" t="s">
        <v>1</v>
      </c>
      <c r="P66" s="12"/>
      <c r="Q66" s="83"/>
      <c r="R66" s="143"/>
      <c r="S66" s="142"/>
      <c r="T66" s="142"/>
      <c r="U66" s="142"/>
      <c r="V66" s="142"/>
      <c r="W66" s="143"/>
      <c r="X66" s="139"/>
      <c r="Y66" s="139"/>
    </row>
    <row r="67" spans="9:24" ht="12.75">
      <c r="I67" s="48" t="s">
        <v>1</v>
      </c>
      <c r="P67" s="1"/>
      <c r="Q67" s="1"/>
      <c r="R67" s="1"/>
      <c r="T67" s="1">
        <f>+I9+I50-I29</f>
        <v>5444078182</v>
      </c>
      <c r="U67" s="17">
        <f>+T9+T50</f>
        <v>2370118152</v>
      </c>
      <c r="V67" s="147">
        <f>+U67/T67*100</f>
        <v>43.535711148242285</v>
      </c>
      <c r="W67">
        <v>1097778031</v>
      </c>
      <c r="X67" s="17">
        <f>+W67-U67</f>
        <v>-1272340121</v>
      </c>
    </row>
    <row r="68" spans="7:24" ht="12.75">
      <c r="G68" s="1"/>
      <c r="H68" s="1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f>+I29</f>
        <v>1212111609</v>
      </c>
      <c r="U68" s="1">
        <f>+S29</f>
        <v>270555515</v>
      </c>
      <c r="V68" s="1">
        <f>+U68/T68*100</f>
        <v>22.321006827350665</v>
      </c>
      <c r="W68" s="1"/>
      <c r="X68" s="17"/>
    </row>
    <row r="69" spans="7:24" ht="12.75">
      <c r="G69" s="21"/>
      <c r="H69" s="6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>
        <f>+T67+T68</f>
        <v>6656189791</v>
      </c>
      <c r="U69" s="1">
        <f>+INVERSION!Z22</f>
        <v>6649692084</v>
      </c>
      <c r="V69" s="1">
        <f>+U69/T70*100</f>
        <v>38.714956217347876</v>
      </c>
      <c r="W69" s="1">
        <f>+T70*39.96/100</f>
        <v>6863541164.424</v>
      </c>
      <c r="X69" s="38"/>
    </row>
    <row r="70" spans="20:22" ht="12.75">
      <c r="T70" s="17">
        <f>+INVERSION!H22+INVERSION!H43</f>
        <v>17176028940</v>
      </c>
      <c r="U70">
        <v>71.98</v>
      </c>
      <c r="V70" s="1"/>
    </row>
    <row r="71" spans="20:22" ht="12.75">
      <c r="T71" s="17">
        <f>+T69+T70</f>
        <v>23832218731</v>
      </c>
      <c r="U71" s="1">
        <f>+U68+U69+U70</f>
        <v>6920247670.98</v>
      </c>
      <c r="V71" s="1"/>
    </row>
    <row r="72" spans="21:22" ht="12.75">
      <c r="U72">
        <f>+T71*71.98/100</f>
        <v>17154431042.573801</v>
      </c>
      <c r="V72" s="1"/>
    </row>
    <row r="73" ht="12.75">
      <c r="V73" s="1"/>
    </row>
    <row r="74" ht="12.75">
      <c r="V74" s="1"/>
    </row>
    <row r="75" ht="12.75">
      <c r="V75" s="1"/>
    </row>
    <row r="76" ht="12.75">
      <c r="V76" s="1"/>
    </row>
    <row r="77" ht="12.75">
      <c r="V77" s="1"/>
    </row>
    <row r="78" ht="12.75">
      <c r="V78" s="1"/>
    </row>
    <row r="79" ht="12.75">
      <c r="V79" s="1"/>
    </row>
    <row r="80" ht="12.75">
      <c r="V80" s="1"/>
    </row>
    <row r="81" ht="12.75">
      <c r="V81" s="1"/>
    </row>
    <row r="82" ht="12.75">
      <c r="V82" s="1"/>
    </row>
    <row r="83" ht="12.75">
      <c r="V83" s="1"/>
    </row>
    <row r="84" ht="12.75">
      <c r="V84" s="1"/>
    </row>
    <row r="85" ht="12.75">
      <c r="V85" s="1"/>
    </row>
    <row r="86" ht="12.75">
      <c r="V86" s="1"/>
    </row>
    <row r="87" ht="12.75">
      <c r="V87" s="1"/>
    </row>
    <row r="88" ht="12.75">
      <c r="V88" s="1"/>
    </row>
    <row r="89" ht="12.75">
      <c r="V89" s="1"/>
    </row>
    <row r="90" ht="12.75">
      <c r="V90" s="1"/>
    </row>
    <row r="91" ht="12.75">
      <c r="V91" s="1"/>
    </row>
    <row r="92" ht="12.75">
      <c r="V92" s="1"/>
    </row>
    <row r="93" ht="12.75">
      <c r="V93" s="1"/>
    </row>
    <row r="94" ht="12.75">
      <c r="V94" s="1"/>
    </row>
    <row r="95" ht="12.75">
      <c r="V95" s="1"/>
    </row>
    <row r="96" ht="12.75">
      <c r="V96" s="1"/>
    </row>
    <row r="97" ht="12.75">
      <c r="V97" s="1"/>
    </row>
  </sheetData>
  <sheetProtection/>
  <mergeCells count="6">
    <mergeCell ref="A1:Y1"/>
    <mergeCell ref="A2:Y2"/>
    <mergeCell ref="A3:Y3"/>
    <mergeCell ref="A41:Y41"/>
    <mergeCell ref="A42:Y42"/>
    <mergeCell ref="A43:Y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0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7.00390625" style="0" customWidth="1"/>
    <col min="25" max="25" width="16.00390625" style="0" customWidth="1"/>
    <col min="26" max="28" width="20.28125" style="0" customWidth="1"/>
    <col min="29" max="30" width="20.28125" style="0" hidden="1" customWidth="1"/>
  </cols>
  <sheetData>
    <row r="1" spans="1:32" ht="12.75">
      <c r="A1" s="64"/>
      <c r="B1" s="65"/>
      <c r="C1" s="66" t="s">
        <v>1</v>
      </c>
      <c r="D1" s="67" t="s">
        <v>1</v>
      </c>
      <c r="E1" s="176" t="s">
        <v>0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82"/>
      <c r="AD1" s="82"/>
      <c r="AE1" s="65"/>
      <c r="AF1" s="157"/>
    </row>
    <row r="2" spans="1:32" ht="12.75">
      <c r="A2" s="33"/>
      <c r="B2" s="2"/>
      <c r="C2" s="27" t="s">
        <v>1</v>
      </c>
      <c r="D2" s="28" t="s">
        <v>1</v>
      </c>
      <c r="E2" s="173" t="s">
        <v>180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2"/>
      <c r="AF2" s="158"/>
    </row>
    <row r="3" spans="1:32" ht="12.75">
      <c r="A3" s="33"/>
      <c r="B3" s="2"/>
      <c r="C3" s="2"/>
      <c r="D3" s="2"/>
      <c r="E3" s="28"/>
      <c r="F3" s="28"/>
      <c r="G3" s="28" t="s">
        <v>1</v>
      </c>
      <c r="H3" s="8" t="s">
        <v>1</v>
      </c>
      <c r="I3" s="29" t="s">
        <v>1</v>
      </c>
      <c r="J3" s="10"/>
      <c r="K3" s="10"/>
      <c r="L3" s="10"/>
      <c r="M3" s="10"/>
      <c r="N3" s="10"/>
      <c r="O3" s="29"/>
      <c r="P3" s="29"/>
      <c r="Q3" s="29"/>
      <c r="R3" s="29"/>
      <c r="S3" s="29"/>
      <c r="T3" s="29"/>
      <c r="U3" s="11" t="s">
        <v>1</v>
      </c>
      <c r="V3" s="12"/>
      <c r="W3" s="12"/>
      <c r="X3" s="2"/>
      <c r="Y3" s="2"/>
      <c r="Z3" s="2"/>
      <c r="AA3" s="2"/>
      <c r="AB3" s="2"/>
      <c r="AC3" s="2"/>
      <c r="AD3" s="2"/>
      <c r="AE3" s="2"/>
      <c r="AF3" s="158"/>
    </row>
    <row r="4" spans="1:32" ht="12.75">
      <c r="A4" s="33"/>
      <c r="B4" s="2"/>
      <c r="C4" s="2"/>
      <c r="D4" s="2"/>
      <c r="E4" s="28"/>
      <c r="F4" s="2"/>
      <c r="G4" s="7" t="s">
        <v>1</v>
      </c>
      <c r="H4" s="8" t="s">
        <v>1</v>
      </c>
      <c r="I4" s="30" t="s">
        <v>1</v>
      </c>
      <c r="J4" s="10"/>
      <c r="K4" s="10"/>
      <c r="L4" s="10"/>
      <c r="M4" s="10"/>
      <c r="N4" s="10"/>
      <c r="O4" s="31"/>
      <c r="P4" s="31"/>
      <c r="Q4" s="31"/>
      <c r="R4" s="31"/>
      <c r="S4" s="31"/>
      <c r="T4" s="31"/>
      <c r="U4" s="9" t="s">
        <v>1</v>
      </c>
      <c r="V4" s="12"/>
      <c r="W4" s="12"/>
      <c r="X4" s="2"/>
      <c r="Y4" s="2"/>
      <c r="Z4" s="2"/>
      <c r="AA4" s="2"/>
      <c r="AB4" s="2"/>
      <c r="AC4" s="2"/>
      <c r="AD4" s="2"/>
      <c r="AE4" s="2"/>
      <c r="AF4" s="158"/>
    </row>
    <row r="5" spans="1:32" ht="38.25" customHeight="1">
      <c r="A5" s="68"/>
      <c r="B5" s="148"/>
      <c r="C5" s="149"/>
      <c r="D5" s="149"/>
      <c r="E5" s="150" t="s">
        <v>4</v>
      </c>
      <c r="F5" s="151" t="s">
        <v>29</v>
      </c>
      <c r="G5" s="152" t="s">
        <v>2</v>
      </c>
      <c r="H5" s="153" t="s">
        <v>30</v>
      </c>
      <c r="I5" s="14"/>
      <c r="J5" s="14"/>
      <c r="K5" s="14"/>
      <c r="L5" s="14"/>
      <c r="M5" s="14"/>
      <c r="N5" s="14" t="s">
        <v>1</v>
      </c>
      <c r="O5" s="14"/>
      <c r="P5" s="15"/>
      <c r="Q5" s="14"/>
      <c r="R5" s="14"/>
      <c r="S5" s="14"/>
      <c r="T5" s="14"/>
      <c r="U5" s="14" t="s">
        <v>1</v>
      </c>
      <c r="V5" s="14"/>
      <c r="W5" s="154"/>
      <c r="X5" s="81" t="s">
        <v>31</v>
      </c>
      <c r="Y5" s="81" t="s">
        <v>31</v>
      </c>
      <c r="Z5" s="155" t="s">
        <v>32</v>
      </c>
      <c r="AA5" s="155" t="s">
        <v>130</v>
      </c>
      <c r="AB5" s="155" t="s">
        <v>103</v>
      </c>
      <c r="AC5" s="155" t="s">
        <v>33</v>
      </c>
      <c r="AD5" s="155" t="s">
        <v>104</v>
      </c>
      <c r="AE5" s="84" t="s">
        <v>123</v>
      </c>
      <c r="AF5" s="159" t="s">
        <v>124</v>
      </c>
    </row>
    <row r="6" spans="1:32" ht="44.25" customHeight="1">
      <c r="A6" s="68" t="s">
        <v>3</v>
      </c>
      <c r="B6" s="5" t="s">
        <v>8</v>
      </c>
      <c r="C6" s="13">
        <v>900</v>
      </c>
      <c r="D6" s="3">
        <v>1</v>
      </c>
      <c r="E6" s="55" t="s">
        <v>14</v>
      </c>
      <c r="F6" s="56">
        <f>+'[3]01-0900-01'!$D$11</f>
        <v>1290000000</v>
      </c>
      <c r="G6" s="41">
        <f>+ADICIONES2014!C42</f>
        <v>0</v>
      </c>
      <c r="H6" s="14">
        <f>+F6+G6</f>
        <v>1290000000</v>
      </c>
      <c r="I6" s="14"/>
      <c r="J6" s="14"/>
      <c r="K6" s="14"/>
      <c r="L6" s="14"/>
      <c r="M6" s="14"/>
      <c r="N6" s="14">
        <v>377425593</v>
      </c>
      <c r="O6" s="14"/>
      <c r="P6" s="15"/>
      <c r="Q6" s="14"/>
      <c r="R6" s="14">
        <f aca="true" t="shared" si="0" ref="R6:R20">+N6-S6-T6</f>
        <v>71522290.954</v>
      </c>
      <c r="S6" s="14">
        <f>+'[2]2010'!$F$50+'[2]2010'!$F$57+'[2]2010'!$F$58</f>
        <v>3797761</v>
      </c>
      <c r="T6" s="14">
        <f>+'[1]RESERVAS 2012'!$G$149</f>
        <v>302105541.046</v>
      </c>
      <c r="U6" s="15">
        <f aca="true" t="shared" si="1" ref="U6:U20">+H6-N6</f>
        <v>912574407</v>
      </c>
      <c r="V6" s="14"/>
      <c r="W6" s="14">
        <f aca="true" t="shared" si="2" ref="W6:W20">+N6/H6*100</f>
        <v>29.257797906976744</v>
      </c>
      <c r="X6" s="166">
        <f>+'[5]01-0900-01'!$E$145</f>
        <v>858465669.864</v>
      </c>
      <c r="Y6" s="166">
        <f>+'[3]01-0900-01'!$E$128</f>
        <v>0</v>
      </c>
      <c r="Z6" s="166">
        <f>429049198+95943461+95098880+17349120</f>
        <v>637440659</v>
      </c>
      <c r="AA6" s="166">
        <v>9960000</v>
      </c>
      <c r="AB6" s="9">
        <f>+H6-X6</f>
        <v>431534330.13600004</v>
      </c>
      <c r="AC6" s="12">
        <f>+Y6/H6*100</f>
        <v>0</v>
      </c>
      <c r="AD6" s="12">
        <f>+Z6/H6*100</f>
        <v>49.41400457364341</v>
      </c>
      <c r="AE6" s="19">
        <f>+X6/H6*100</f>
        <v>66.54772634604652</v>
      </c>
      <c r="AF6" s="107">
        <f>+Z6/H6*100</f>
        <v>49.41400457364341</v>
      </c>
    </row>
    <row r="7" spans="1:32" ht="31.5" customHeight="1">
      <c r="A7" s="68" t="s">
        <v>3</v>
      </c>
      <c r="B7" s="5" t="s">
        <v>8</v>
      </c>
      <c r="C7" s="13">
        <f>+C6</f>
        <v>900</v>
      </c>
      <c r="D7" s="3">
        <v>2</v>
      </c>
      <c r="E7" s="55" t="s">
        <v>15</v>
      </c>
      <c r="F7" s="56">
        <f>+'[3]01-0900-02'!$E$3</f>
        <v>250000000</v>
      </c>
      <c r="G7" s="41">
        <f>+ADICIONES2014!C43</f>
        <v>0</v>
      </c>
      <c r="H7" s="14">
        <f aca="true" t="shared" si="3" ref="H7:H20">+F7+G7</f>
        <v>250000000</v>
      </c>
      <c r="I7" s="14"/>
      <c r="J7" s="14"/>
      <c r="K7" s="14"/>
      <c r="L7" s="14"/>
      <c r="M7" s="14"/>
      <c r="N7" s="14">
        <v>36231197</v>
      </c>
      <c r="O7" s="14"/>
      <c r="P7" s="15"/>
      <c r="Q7" s="14"/>
      <c r="R7" s="14">
        <f t="shared" si="0"/>
        <v>18115598.3</v>
      </c>
      <c r="S7" s="14">
        <v>0</v>
      </c>
      <c r="T7" s="14">
        <f>+'[1]RESERVAS 2012'!$G$159</f>
        <v>18115598.7</v>
      </c>
      <c r="U7" s="15">
        <f t="shared" si="1"/>
        <v>213768803</v>
      </c>
      <c r="V7" s="14"/>
      <c r="W7" s="14">
        <f t="shared" si="2"/>
        <v>14.4924788</v>
      </c>
      <c r="X7" s="166">
        <f>+'[5]01-0900-02'!$E$44</f>
        <v>132596859</v>
      </c>
      <c r="Y7" s="166">
        <f>+'[3]01-0900-02'!$E$32</f>
        <v>13252800</v>
      </c>
      <c r="Z7" s="166">
        <v>109304059</v>
      </c>
      <c r="AA7" s="166">
        <v>7000000</v>
      </c>
      <c r="AB7" s="9">
        <f aca="true" t="shared" si="4" ref="AB7:AB22">+H7-X7</f>
        <v>117403141</v>
      </c>
      <c r="AC7" s="12">
        <f aca="true" t="shared" si="5" ref="AC7:AC20">+Y7/H7*100</f>
        <v>5.30112</v>
      </c>
      <c r="AD7" s="12">
        <f aca="true" t="shared" si="6" ref="AD7:AD22">+Z7/H7*100</f>
        <v>43.7216236</v>
      </c>
      <c r="AE7" s="19">
        <f aca="true" t="shared" si="7" ref="AE7:AE22">+X7/H7*100</f>
        <v>53.038743600000004</v>
      </c>
      <c r="AF7" s="107">
        <f aca="true" t="shared" si="8" ref="AF7:AF22">+Z7/H7*100</f>
        <v>43.7216236</v>
      </c>
    </row>
    <row r="8" spans="1:32" ht="26.25" customHeight="1" hidden="1">
      <c r="A8" s="68" t="s">
        <v>3</v>
      </c>
      <c r="B8" s="5" t="s">
        <v>8</v>
      </c>
      <c r="C8" s="13">
        <f>+C7</f>
        <v>900</v>
      </c>
      <c r="D8" s="3">
        <v>3</v>
      </c>
      <c r="E8" s="55" t="s">
        <v>7</v>
      </c>
      <c r="F8" s="56">
        <v>0</v>
      </c>
      <c r="G8" s="41">
        <f>+ADICIONES2014!C44</f>
        <v>0</v>
      </c>
      <c r="H8" s="14">
        <f t="shared" si="3"/>
        <v>0</v>
      </c>
      <c r="I8" s="14"/>
      <c r="J8" s="14"/>
      <c r="K8" s="14"/>
      <c r="L8" s="14"/>
      <c r="M8" s="14"/>
      <c r="N8" s="14">
        <v>0</v>
      </c>
      <c r="O8" s="14"/>
      <c r="P8" s="15"/>
      <c r="Q8" s="14"/>
      <c r="R8" s="14">
        <f t="shared" si="0"/>
        <v>0</v>
      </c>
      <c r="S8" s="14"/>
      <c r="T8" s="14"/>
      <c r="U8" s="15">
        <f t="shared" si="1"/>
        <v>0</v>
      </c>
      <c r="V8" s="14"/>
      <c r="W8" s="14">
        <v>0</v>
      </c>
      <c r="X8" s="166"/>
      <c r="Y8" s="166">
        <f>+'[3]RESUMEN'!$I$4</f>
        <v>0</v>
      </c>
      <c r="Z8" s="166"/>
      <c r="AA8" s="166"/>
      <c r="AB8" s="9">
        <f t="shared" si="4"/>
        <v>0</v>
      </c>
      <c r="AC8" s="12" t="e">
        <f t="shared" si="5"/>
        <v>#DIV/0!</v>
      </c>
      <c r="AD8" s="12" t="e">
        <f t="shared" si="6"/>
        <v>#DIV/0!</v>
      </c>
      <c r="AE8" s="19" t="e">
        <f t="shared" si="7"/>
        <v>#DIV/0!</v>
      </c>
      <c r="AF8" s="107" t="e">
        <f t="shared" si="8"/>
        <v>#DIV/0!</v>
      </c>
    </row>
    <row r="9" spans="1:32" ht="26.25" customHeight="1">
      <c r="A9" s="68" t="s">
        <v>3</v>
      </c>
      <c r="B9" s="5" t="s">
        <v>8</v>
      </c>
      <c r="C9" s="13">
        <v>900</v>
      </c>
      <c r="D9" s="3">
        <v>3</v>
      </c>
      <c r="E9" s="55" t="s">
        <v>27</v>
      </c>
      <c r="F9" s="56">
        <f>+'[3]01-0900-03'!$F$4</f>
        <v>175000000</v>
      </c>
      <c r="G9" s="41">
        <v>0</v>
      </c>
      <c r="H9" s="14">
        <f>+F9+G9</f>
        <v>175000000</v>
      </c>
      <c r="I9" s="14"/>
      <c r="J9" s="14"/>
      <c r="K9" s="14"/>
      <c r="L9" s="14"/>
      <c r="M9" s="14"/>
      <c r="N9" s="14"/>
      <c r="O9" s="14"/>
      <c r="P9" s="15"/>
      <c r="Q9" s="14"/>
      <c r="R9" s="14"/>
      <c r="S9" s="14"/>
      <c r="T9" s="14"/>
      <c r="U9" s="15"/>
      <c r="V9" s="14"/>
      <c r="W9" s="14"/>
      <c r="X9" s="166">
        <f>+'[5]01-0900-03'!$E$66</f>
        <v>155278922.976</v>
      </c>
      <c r="Y9" s="166">
        <f>+'[3]01-0900-03'!$E$51</f>
        <v>0</v>
      </c>
      <c r="Z9" s="166">
        <v>45254292</v>
      </c>
      <c r="AA9" s="166">
        <v>9044000</v>
      </c>
      <c r="AB9" s="9">
        <f t="shared" si="4"/>
        <v>19721077.02399999</v>
      </c>
      <c r="AC9" s="12">
        <f t="shared" si="5"/>
        <v>0</v>
      </c>
      <c r="AD9" s="12">
        <f t="shared" si="6"/>
        <v>25.85959542857143</v>
      </c>
      <c r="AE9" s="19">
        <f t="shared" si="7"/>
        <v>88.73081312914286</v>
      </c>
      <c r="AF9" s="107">
        <f t="shared" si="8"/>
        <v>25.85959542857143</v>
      </c>
    </row>
    <row r="10" spans="1:32" ht="30" customHeight="1">
      <c r="A10" s="68" t="s">
        <v>3</v>
      </c>
      <c r="B10" s="5" t="s">
        <v>9</v>
      </c>
      <c r="C10" s="13">
        <f>+C8</f>
        <v>900</v>
      </c>
      <c r="D10" s="3">
        <v>1</v>
      </c>
      <c r="E10" s="55" t="s">
        <v>16</v>
      </c>
      <c r="F10" s="56">
        <f>+'[3]02-0900-01'!$F$4</f>
        <v>2936942000</v>
      </c>
      <c r="G10" s="165">
        <f>+ADICIONES2014!E8+ADICIONES2014!E20</f>
        <v>665424664</v>
      </c>
      <c r="H10" s="14">
        <f>+F10+G10</f>
        <v>3602366664</v>
      </c>
      <c r="I10" s="14"/>
      <c r="J10" s="14"/>
      <c r="K10" s="14"/>
      <c r="L10" s="14"/>
      <c r="M10" s="14"/>
      <c r="N10" s="14">
        <f>672188453-15546821</f>
        <v>656641632</v>
      </c>
      <c r="O10" s="14"/>
      <c r="P10" s="15"/>
      <c r="Q10" s="14"/>
      <c r="R10" s="14">
        <f t="shared" si="0"/>
        <v>656641632</v>
      </c>
      <c r="S10" s="14">
        <v>0</v>
      </c>
      <c r="T10" s="14">
        <v>0</v>
      </c>
      <c r="U10" s="15">
        <f t="shared" si="1"/>
        <v>2945725032</v>
      </c>
      <c r="V10" s="14"/>
      <c r="W10" s="14">
        <f t="shared" si="2"/>
        <v>18.228062083799028</v>
      </c>
      <c r="X10" s="166">
        <f>+'[5]02-0900-01'!$E$63</f>
        <v>2199638604.16</v>
      </c>
      <c r="Y10" s="166">
        <f>+'[3]02-0900-01'!$E$52</f>
        <v>20943579</v>
      </c>
      <c r="Z10" s="166">
        <v>1938598604</v>
      </c>
      <c r="AA10" s="166">
        <v>1826188772</v>
      </c>
      <c r="AB10" s="9">
        <f t="shared" si="4"/>
        <v>1402728059.8400002</v>
      </c>
      <c r="AC10" s="12">
        <f t="shared" si="5"/>
        <v>0.5813838776962432</v>
      </c>
      <c r="AD10" s="12">
        <f t="shared" si="6"/>
        <v>53.81458315649126</v>
      </c>
      <c r="AE10" s="19">
        <f t="shared" si="7"/>
        <v>61.060930475010636</v>
      </c>
      <c r="AF10" s="107">
        <f t="shared" si="8"/>
        <v>53.81458315649126</v>
      </c>
    </row>
    <row r="11" spans="1:32" ht="22.5" customHeight="1">
      <c r="A11" s="68" t="s">
        <v>3</v>
      </c>
      <c r="B11" s="5" t="s">
        <v>9</v>
      </c>
      <c r="C11" s="13">
        <f aca="true" t="shared" si="9" ref="C11:C20">+C10</f>
        <v>900</v>
      </c>
      <c r="D11" s="3">
        <v>2</v>
      </c>
      <c r="E11" s="55" t="s">
        <v>17</v>
      </c>
      <c r="F11" s="56">
        <f>+'[3]02-0900-02'!$F$4</f>
        <v>410135926</v>
      </c>
      <c r="G11" s="41">
        <f>+ADICIONES2014!E9+ADICIONES2014!E10</f>
        <v>386230231</v>
      </c>
      <c r="H11" s="14">
        <f t="shared" si="3"/>
        <v>796366157</v>
      </c>
      <c r="I11" s="14"/>
      <c r="J11" s="14"/>
      <c r="K11" s="14"/>
      <c r="L11" s="14"/>
      <c r="M11" s="14"/>
      <c r="N11" s="14">
        <v>830912529</v>
      </c>
      <c r="O11" s="14"/>
      <c r="P11" s="15"/>
      <c r="Q11" s="14"/>
      <c r="R11" s="14">
        <f t="shared" si="0"/>
        <v>291465571.8239999</v>
      </c>
      <c r="S11" s="14">
        <v>0</v>
      </c>
      <c r="T11" s="14">
        <f>+'[1]RESERVAS 2012'!$G$176</f>
        <v>539446957.1760001</v>
      </c>
      <c r="U11" s="15">
        <f t="shared" si="1"/>
        <v>-34546372</v>
      </c>
      <c r="V11" s="14"/>
      <c r="W11" s="14">
        <f t="shared" si="2"/>
        <v>104.33800101829289</v>
      </c>
      <c r="X11" s="166">
        <f>+'[5]02-0900-02'!$E$58</f>
        <v>284190658.70000005</v>
      </c>
      <c r="Y11" s="166">
        <f>+'[3]02-0900-02'!$E$40</f>
        <v>0</v>
      </c>
      <c r="Z11" s="166">
        <v>249890183</v>
      </c>
      <c r="AA11" s="166">
        <v>24000000</v>
      </c>
      <c r="AB11" s="9">
        <f t="shared" si="4"/>
        <v>512175498.29999995</v>
      </c>
      <c r="AC11" s="12">
        <f t="shared" si="5"/>
        <v>0</v>
      </c>
      <c r="AD11" s="12">
        <f t="shared" si="6"/>
        <v>31.378804938341947</v>
      </c>
      <c r="AE11" s="19">
        <f t="shared" si="7"/>
        <v>35.68592866509771</v>
      </c>
      <c r="AF11" s="107">
        <f t="shared" si="8"/>
        <v>31.378804938341947</v>
      </c>
    </row>
    <row r="12" spans="1:32" ht="34.5" customHeight="1">
      <c r="A12" s="68" t="s">
        <v>3</v>
      </c>
      <c r="B12" s="5" t="s">
        <v>9</v>
      </c>
      <c r="C12" s="13">
        <f t="shared" si="9"/>
        <v>900</v>
      </c>
      <c r="D12" s="3">
        <v>3</v>
      </c>
      <c r="E12" s="55" t="s">
        <v>18</v>
      </c>
      <c r="F12" s="56">
        <f>+'[3]02-0900-03'!$F$2+1</f>
        <v>1342739944</v>
      </c>
      <c r="G12" s="41">
        <f>+ADICIONES2014!E11</f>
        <v>90000000</v>
      </c>
      <c r="H12" s="14">
        <f t="shared" si="3"/>
        <v>1432739944</v>
      </c>
      <c r="I12" s="14"/>
      <c r="J12" s="14"/>
      <c r="K12" s="14"/>
      <c r="L12" s="14"/>
      <c r="M12" s="14"/>
      <c r="N12" s="18">
        <v>133402374</v>
      </c>
      <c r="O12" s="18"/>
      <c r="P12" s="18"/>
      <c r="Q12" s="18"/>
      <c r="R12" s="14">
        <f t="shared" si="0"/>
        <v>6838000</v>
      </c>
      <c r="S12" s="18">
        <f>+'[2]2010'!$F$154</f>
        <v>43687200</v>
      </c>
      <c r="T12" s="18">
        <f>+'[1]RESERVAS 2012'!$G$212</f>
        <v>82877174</v>
      </c>
      <c r="U12" s="18">
        <f t="shared" si="1"/>
        <v>1299337570</v>
      </c>
      <c r="V12" s="14"/>
      <c r="W12" s="14">
        <f>+N12/H12*100</f>
        <v>9.310997055582893</v>
      </c>
      <c r="X12" s="166">
        <f>+'[5]02-0900-03'!$N$53</f>
        <v>458991622</v>
      </c>
      <c r="Y12" s="166">
        <f>+'[3]RESUMEN'!$J$9</f>
        <v>0</v>
      </c>
      <c r="Z12" s="166">
        <v>136969482</v>
      </c>
      <c r="AA12" s="166">
        <v>36060800</v>
      </c>
      <c r="AB12" s="9">
        <f t="shared" si="4"/>
        <v>973748322</v>
      </c>
      <c r="AC12" s="12">
        <f t="shared" si="5"/>
        <v>0</v>
      </c>
      <c r="AD12" s="12">
        <f t="shared" si="6"/>
        <v>9.559968127753965</v>
      </c>
      <c r="AE12" s="19">
        <f t="shared" si="7"/>
        <v>32.035933940570025</v>
      </c>
      <c r="AF12" s="107">
        <f t="shared" si="8"/>
        <v>9.559968127753965</v>
      </c>
    </row>
    <row r="13" spans="1:32" ht="38.25" customHeight="1">
      <c r="A13" s="68" t="s">
        <v>3</v>
      </c>
      <c r="B13" s="5" t="s">
        <v>9</v>
      </c>
      <c r="C13" s="13">
        <f t="shared" si="9"/>
        <v>900</v>
      </c>
      <c r="D13" s="3">
        <v>4</v>
      </c>
      <c r="E13" s="55" t="s">
        <v>19</v>
      </c>
      <c r="F13" s="56">
        <f>+'[3]02-0900-04'!$F$3</f>
        <v>1343138161</v>
      </c>
      <c r="G13" s="41">
        <f>+ADICIONES2014!E12</f>
        <v>1471477790</v>
      </c>
      <c r="H13" s="14">
        <f t="shared" si="3"/>
        <v>2814615951</v>
      </c>
      <c r="I13" s="14"/>
      <c r="J13" s="14"/>
      <c r="K13" s="14"/>
      <c r="L13" s="14"/>
      <c r="M13" s="14"/>
      <c r="N13" s="14">
        <f>26881152+1471477790</f>
        <v>1498358942</v>
      </c>
      <c r="O13" s="14"/>
      <c r="P13" s="15"/>
      <c r="Q13" s="14"/>
      <c r="R13" s="14">
        <f t="shared" si="0"/>
        <v>-0.31599998474121094</v>
      </c>
      <c r="S13" s="14">
        <v>0</v>
      </c>
      <c r="T13" s="14">
        <f>+'[1]RESERVAS 2012'!$G$217</f>
        <v>1498358942.316</v>
      </c>
      <c r="U13" s="15">
        <f t="shared" si="1"/>
        <v>1316257009</v>
      </c>
      <c r="V13" s="14"/>
      <c r="W13" s="14">
        <f t="shared" si="2"/>
        <v>53.234933933620695</v>
      </c>
      <c r="X13" s="166">
        <f>+'[5]02-0900-04'!$E$30</f>
        <v>2093041988</v>
      </c>
      <c r="Y13" s="166">
        <f>+'[3]02-0900-04'!$E$18</f>
        <v>0</v>
      </c>
      <c r="Z13" s="166">
        <f>+X13</f>
        <v>2093041988</v>
      </c>
      <c r="AA13" s="166">
        <v>0</v>
      </c>
      <c r="AB13" s="9">
        <f t="shared" si="4"/>
        <v>721573963</v>
      </c>
      <c r="AC13" s="12">
        <f t="shared" si="5"/>
        <v>0</v>
      </c>
      <c r="AD13" s="12">
        <f t="shared" si="6"/>
        <v>74.3633243198372</v>
      </c>
      <c r="AE13" s="19">
        <f t="shared" si="7"/>
        <v>74.3633243198372</v>
      </c>
      <c r="AF13" s="107">
        <f t="shared" si="8"/>
        <v>74.3633243198372</v>
      </c>
    </row>
    <row r="14" spans="1:32" ht="22.5" customHeight="1">
      <c r="A14" s="68" t="s">
        <v>3</v>
      </c>
      <c r="B14" s="5" t="s">
        <v>10</v>
      </c>
      <c r="C14" s="13">
        <f t="shared" si="9"/>
        <v>900</v>
      </c>
      <c r="D14" s="3">
        <v>1</v>
      </c>
      <c r="E14" s="55" t="s">
        <v>20</v>
      </c>
      <c r="F14" s="56">
        <f>+'[3]03-0900-01'!$F$2</f>
        <v>250000000</v>
      </c>
      <c r="G14" s="41">
        <v>0</v>
      </c>
      <c r="H14" s="14">
        <f t="shared" si="3"/>
        <v>250000000</v>
      </c>
      <c r="I14" s="14"/>
      <c r="J14" s="14"/>
      <c r="K14" s="14"/>
      <c r="L14" s="14"/>
      <c r="M14" s="14"/>
      <c r="N14" s="14">
        <f>-38654000+83580624-44926624</f>
        <v>0</v>
      </c>
      <c r="O14" s="14"/>
      <c r="P14" s="15"/>
      <c r="Q14" s="14"/>
      <c r="R14" s="14">
        <f t="shared" si="0"/>
        <v>0</v>
      </c>
      <c r="S14" s="14">
        <v>0</v>
      </c>
      <c r="T14" s="14">
        <v>0</v>
      </c>
      <c r="U14" s="15">
        <f t="shared" si="1"/>
        <v>250000000</v>
      </c>
      <c r="V14" s="14"/>
      <c r="W14" s="14">
        <f t="shared" si="2"/>
        <v>0</v>
      </c>
      <c r="X14" s="166">
        <f>+'[5]03-0900-01'!$E$56</f>
        <v>125013375.18</v>
      </c>
      <c r="Y14" s="166">
        <f>+'[3]03-0900-01'!$E$49</f>
        <v>0</v>
      </c>
      <c r="Z14" s="166">
        <v>36180163</v>
      </c>
      <c r="AA14" s="166">
        <v>0</v>
      </c>
      <c r="AB14" s="9">
        <f t="shared" si="4"/>
        <v>124986624.82</v>
      </c>
      <c r="AC14" s="12">
        <f t="shared" si="5"/>
        <v>0</v>
      </c>
      <c r="AD14" s="12">
        <f t="shared" si="6"/>
        <v>14.472065200000001</v>
      </c>
      <c r="AE14" s="19">
        <f t="shared" si="7"/>
        <v>50.005350072</v>
      </c>
      <c r="AF14" s="107">
        <f t="shared" si="8"/>
        <v>14.472065200000001</v>
      </c>
    </row>
    <row r="15" spans="1:32" ht="22.5" customHeight="1">
      <c r="A15" s="68" t="s">
        <v>3</v>
      </c>
      <c r="B15" s="5" t="s">
        <v>10</v>
      </c>
      <c r="C15" s="13">
        <f t="shared" si="9"/>
        <v>900</v>
      </c>
      <c r="D15" s="3">
        <v>2</v>
      </c>
      <c r="E15" s="55" t="s">
        <v>21</v>
      </c>
      <c r="F15" s="56">
        <f>+'[3]03-0900-02'!$F$3</f>
        <v>1067573103</v>
      </c>
      <c r="G15" s="41">
        <f>+ADICIONES2014!C50</f>
        <v>740927811</v>
      </c>
      <c r="H15" s="14">
        <f t="shared" si="3"/>
        <v>1808500914</v>
      </c>
      <c r="I15" s="14"/>
      <c r="J15" s="14"/>
      <c r="K15" s="14"/>
      <c r="L15" s="14"/>
      <c r="M15" s="14"/>
      <c r="N15" s="14">
        <v>76488483</v>
      </c>
      <c r="O15" s="14"/>
      <c r="P15" s="15"/>
      <c r="Q15" s="14"/>
      <c r="R15" s="14">
        <f t="shared" si="0"/>
        <v>0</v>
      </c>
      <c r="S15" s="14">
        <v>0</v>
      </c>
      <c r="T15" s="14">
        <f>+'[1]RESERVAS 2012'!$G$227</f>
        <v>76488483</v>
      </c>
      <c r="U15" s="15">
        <f t="shared" si="1"/>
        <v>1732012431</v>
      </c>
      <c r="V15" s="14"/>
      <c r="W15" s="14">
        <f t="shared" si="2"/>
        <v>4.229385918905872</v>
      </c>
      <c r="X15" s="166">
        <f>+'[5]03-0900-02'!$E$41</f>
        <v>567666322</v>
      </c>
      <c r="Y15" s="166">
        <f>+'[3]03-0900-02'!$E$32</f>
        <v>0</v>
      </c>
      <c r="Z15" s="166">
        <v>536341522</v>
      </c>
      <c r="AA15" s="166">
        <v>0</v>
      </c>
      <c r="AB15" s="9">
        <f t="shared" si="4"/>
        <v>1240834592</v>
      </c>
      <c r="AC15" s="12">
        <f t="shared" si="5"/>
        <v>0</v>
      </c>
      <c r="AD15" s="12">
        <f t="shared" si="6"/>
        <v>29.656690679449664</v>
      </c>
      <c r="AE15" s="19">
        <f t="shared" si="7"/>
        <v>31.38877716928818</v>
      </c>
      <c r="AF15" s="107">
        <f t="shared" si="8"/>
        <v>29.656690679449664</v>
      </c>
    </row>
    <row r="16" spans="1:32" ht="22.5" customHeight="1">
      <c r="A16" s="68" t="s">
        <v>3</v>
      </c>
      <c r="B16" s="5" t="s">
        <v>11</v>
      </c>
      <c r="C16" s="13">
        <f t="shared" si="9"/>
        <v>900</v>
      </c>
      <c r="D16" s="3">
        <v>1</v>
      </c>
      <c r="E16" s="55" t="s">
        <v>22</v>
      </c>
      <c r="F16" s="56">
        <f>+'[3]04-0900-01'!$E$2</f>
        <v>722715614</v>
      </c>
      <c r="G16" s="41">
        <f>+ADICIONES2014!E14+ADICIONES2014!E7</f>
        <v>585462251</v>
      </c>
      <c r="H16" s="14">
        <f t="shared" si="3"/>
        <v>1308177865</v>
      </c>
      <c r="I16" s="14"/>
      <c r="J16" s="14"/>
      <c r="K16" s="14"/>
      <c r="L16" s="14"/>
      <c r="M16" s="14"/>
      <c r="N16" s="14">
        <v>152849484</v>
      </c>
      <c r="O16" s="14"/>
      <c r="P16" s="15"/>
      <c r="Q16" s="14"/>
      <c r="R16" s="14">
        <f t="shared" si="0"/>
        <v>36427954</v>
      </c>
      <c r="S16" s="14">
        <f>+'[2]2010'!$F$163</f>
        <v>75867</v>
      </c>
      <c r="T16" s="14">
        <f>+'[1]RESERVAS 2012'!$G$246</f>
        <v>116345663</v>
      </c>
      <c r="U16" s="15">
        <f t="shared" si="1"/>
        <v>1155328381</v>
      </c>
      <c r="V16" s="14"/>
      <c r="W16" s="14">
        <f t="shared" si="2"/>
        <v>11.684151527819957</v>
      </c>
      <c r="X16" s="166">
        <f>+'[5]04-0900-01'!$E$290</f>
        <v>855601919.0800004</v>
      </c>
      <c r="Y16" s="166">
        <f>+'[3]04-0900-01'!$E$235</f>
        <v>1026204</v>
      </c>
      <c r="Z16" s="166">
        <v>659379739</v>
      </c>
      <c r="AA16" s="166">
        <v>141255203</v>
      </c>
      <c r="AB16" s="9">
        <f t="shared" si="4"/>
        <v>452575945.9199996</v>
      </c>
      <c r="AC16" s="12">
        <f t="shared" si="5"/>
        <v>0.07844529612186948</v>
      </c>
      <c r="AD16" s="12">
        <f t="shared" si="6"/>
        <v>50.4044409129335</v>
      </c>
      <c r="AE16" s="19">
        <f t="shared" si="7"/>
        <v>65.40409694823879</v>
      </c>
      <c r="AF16" s="107">
        <f t="shared" si="8"/>
        <v>50.4044409129335</v>
      </c>
    </row>
    <row r="17" spans="1:34" ht="36" customHeight="1">
      <c r="A17" s="68" t="s">
        <v>3</v>
      </c>
      <c r="B17" s="5" t="s">
        <v>11</v>
      </c>
      <c r="C17" s="13">
        <f t="shared" si="9"/>
        <v>900</v>
      </c>
      <c r="D17" s="3">
        <v>2</v>
      </c>
      <c r="E17" s="55" t="s">
        <v>23</v>
      </c>
      <c r="F17" s="56">
        <f>+'[3]04-0900-02'!$F$1</f>
        <v>387580893</v>
      </c>
      <c r="G17" s="41">
        <f>+ADICIONES2014!E15</f>
        <v>240000000</v>
      </c>
      <c r="H17" s="14">
        <f t="shared" si="3"/>
        <v>627580893</v>
      </c>
      <c r="I17" s="14"/>
      <c r="J17" s="14"/>
      <c r="K17" s="14"/>
      <c r="L17" s="14"/>
      <c r="M17" s="14"/>
      <c r="N17" s="14">
        <v>19467520</v>
      </c>
      <c r="O17" s="14"/>
      <c r="P17" s="15"/>
      <c r="Q17" s="14"/>
      <c r="R17" s="14">
        <f t="shared" si="0"/>
        <v>1534972</v>
      </c>
      <c r="S17" s="14">
        <f>+'[2]2010'!$F$195</f>
        <v>198000</v>
      </c>
      <c r="T17" s="14">
        <f>+'[1]RESERVAS 2012'!$G$306</f>
        <v>17734548</v>
      </c>
      <c r="U17" s="15">
        <f t="shared" si="1"/>
        <v>608113373</v>
      </c>
      <c r="V17" s="14"/>
      <c r="W17" s="14">
        <f t="shared" si="2"/>
        <v>3.1019937377220312</v>
      </c>
      <c r="X17" s="166">
        <f>+'[5]04-0900-02'!$E$98</f>
        <v>241186841.904</v>
      </c>
      <c r="Y17" s="166">
        <f>+'[3]04-0900-02'!$E$91</f>
        <v>0</v>
      </c>
      <c r="Z17" s="166">
        <v>167598350</v>
      </c>
      <c r="AA17" s="166">
        <v>26032063</v>
      </c>
      <c r="AB17" s="9">
        <f t="shared" si="4"/>
        <v>386394051.09599996</v>
      </c>
      <c r="AC17" s="12">
        <f t="shared" si="5"/>
        <v>0</v>
      </c>
      <c r="AD17" s="12">
        <f t="shared" si="6"/>
        <v>26.70545771379945</v>
      </c>
      <c r="AE17" s="19">
        <f t="shared" si="7"/>
        <v>38.43119581781149</v>
      </c>
      <c r="AF17" s="107">
        <f t="shared" si="8"/>
        <v>26.70545771379945</v>
      </c>
      <c r="AG17" t="s">
        <v>1</v>
      </c>
      <c r="AH17" s="17" t="s">
        <v>1</v>
      </c>
    </row>
    <row r="18" spans="1:32" ht="38.25" customHeight="1">
      <c r="A18" s="68" t="s">
        <v>3</v>
      </c>
      <c r="B18" s="5" t="s">
        <v>12</v>
      </c>
      <c r="C18" s="13">
        <f t="shared" si="9"/>
        <v>900</v>
      </c>
      <c r="D18" s="3">
        <v>1</v>
      </c>
      <c r="E18" s="55" t="s">
        <v>24</v>
      </c>
      <c r="F18" s="56">
        <f>+'[3]05-0900-01'!$F$2</f>
        <v>200000000</v>
      </c>
      <c r="G18" s="41">
        <f>+ADICIONES2014!E16</f>
        <v>10680552</v>
      </c>
      <c r="H18" s="14">
        <f t="shared" si="3"/>
        <v>210680552</v>
      </c>
      <c r="I18" s="14"/>
      <c r="J18" s="14"/>
      <c r="K18" s="14"/>
      <c r="L18" s="14"/>
      <c r="M18" s="14"/>
      <c r="N18" s="14">
        <v>203974258</v>
      </c>
      <c r="O18" s="14"/>
      <c r="P18" s="15"/>
      <c r="Q18" s="14"/>
      <c r="R18" s="14">
        <f t="shared" si="0"/>
        <v>42361514.95999999</v>
      </c>
      <c r="S18" s="14">
        <f>+'[2]2010'!$F$203</f>
        <v>50523840</v>
      </c>
      <c r="T18" s="14">
        <f>+'[1]RESERVAS 2012'!$G$336</f>
        <v>111088903.04</v>
      </c>
      <c r="U18" s="15">
        <f t="shared" si="1"/>
        <v>6706294</v>
      </c>
      <c r="V18" s="14"/>
      <c r="W18" s="14">
        <f t="shared" si="2"/>
        <v>96.81684240128628</v>
      </c>
      <c r="X18" s="166">
        <f>+'[5]05-0900-01'!$E$60</f>
        <v>111033551.748</v>
      </c>
      <c r="Y18" s="166">
        <f>+'[3]05-0900-01'!$E$40</f>
        <v>5421600</v>
      </c>
      <c r="Z18" s="166">
        <v>8331192</v>
      </c>
      <c r="AA18" s="166">
        <v>2700000</v>
      </c>
      <c r="AB18" s="9">
        <f t="shared" si="4"/>
        <v>99647000.252</v>
      </c>
      <c r="AC18" s="12">
        <f t="shared" si="5"/>
        <v>2.5733746890885305</v>
      </c>
      <c r="AD18" s="12">
        <f t="shared" si="6"/>
        <v>3.954419105566042</v>
      </c>
      <c r="AE18" s="19">
        <f t="shared" si="7"/>
        <v>52.70232619667714</v>
      </c>
      <c r="AF18" s="107">
        <f t="shared" si="8"/>
        <v>3.954419105566042</v>
      </c>
    </row>
    <row r="19" spans="1:32" ht="41.25" customHeight="1">
      <c r="A19" s="68" t="s">
        <v>3</v>
      </c>
      <c r="B19" s="5" t="s">
        <v>13</v>
      </c>
      <c r="C19" s="13">
        <f t="shared" si="9"/>
        <v>900</v>
      </c>
      <c r="D19" s="3">
        <v>1</v>
      </c>
      <c r="E19" s="57" t="s">
        <v>25</v>
      </c>
      <c r="F19" s="56">
        <f>+'[3]06-0900-01'!$E$3</f>
        <v>220000000</v>
      </c>
      <c r="G19" s="41">
        <f>+ADICIONES2014!E17</f>
        <v>250000000</v>
      </c>
      <c r="H19" s="14">
        <f t="shared" si="3"/>
        <v>470000000</v>
      </c>
      <c r="I19" s="14"/>
      <c r="J19" s="14"/>
      <c r="K19" s="14"/>
      <c r="L19" s="14"/>
      <c r="M19" s="14"/>
      <c r="N19" s="14">
        <v>145590431</v>
      </c>
      <c r="O19" s="14"/>
      <c r="P19" s="15"/>
      <c r="Q19" s="14"/>
      <c r="R19" s="14">
        <f t="shared" si="0"/>
        <v>72795215.22</v>
      </c>
      <c r="S19" s="14">
        <v>0</v>
      </c>
      <c r="T19" s="14">
        <f>+'[1]RESERVAS 2012'!$G$342</f>
        <v>72795215.78</v>
      </c>
      <c r="U19" s="15">
        <f t="shared" si="1"/>
        <v>324409569</v>
      </c>
      <c r="V19" s="14"/>
      <c r="W19" s="14">
        <f t="shared" si="2"/>
        <v>30.97668744680851</v>
      </c>
      <c r="X19" s="166">
        <f>+'[5]06-0900-01'!$E$75</f>
        <v>315187149.468</v>
      </c>
      <c r="Y19" s="166">
        <f>+'[3]06-0900-01'!$E$46</f>
        <v>0</v>
      </c>
      <c r="Z19" s="168">
        <f>24361492-208190</f>
        <v>24153302</v>
      </c>
      <c r="AA19" s="168">
        <v>0</v>
      </c>
      <c r="AB19" s="9">
        <f t="shared" si="4"/>
        <v>154812850.532</v>
      </c>
      <c r="AC19" s="12">
        <f t="shared" si="5"/>
        <v>0</v>
      </c>
      <c r="AD19" s="12">
        <f t="shared" si="6"/>
        <v>5.139000425531915</v>
      </c>
      <c r="AE19" s="19">
        <f t="shared" si="7"/>
        <v>67.06109563148937</v>
      </c>
      <c r="AF19" s="107">
        <f t="shared" si="8"/>
        <v>5.139000425531915</v>
      </c>
    </row>
    <row r="20" spans="1:32" ht="22.5" customHeight="1">
      <c r="A20" s="68" t="s">
        <v>3</v>
      </c>
      <c r="B20" s="5" t="s">
        <v>13</v>
      </c>
      <c r="C20" s="13">
        <f t="shared" si="9"/>
        <v>900</v>
      </c>
      <c r="D20" s="3">
        <v>2</v>
      </c>
      <c r="E20" s="57" t="s">
        <v>26</v>
      </c>
      <c r="F20" s="56">
        <f>+'[3]06-0900-02'!$F$2</f>
        <v>225000000</v>
      </c>
      <c r="G20" s="41">
        <f>+ADICIONES2014!E18</f>
        <v>15000000</v>
      </c>
      <c r="H20" s="14">
        <f t="shared" si="3"/>
        <v>240000000</v>
      </c>
      <c r="I20" s="14"/>
      <c r="J20" s="14"/>
      <c r="K20" s="14"/>
      <c r="L20" s="14"/>
      <c r="M20" s="14"/>
      <c r="N20" s="14">
        <v>15121222</v>
      </c>
      <c r="O20" s="14"/>
      <c r="P20" s="15"/>
      <c r="Q20" s="14"/>
      <c r="R20" s="14">
        <f t="shared" si="0"/>
        <v>15121222</v>
      </c>
      <c r="S20" s="14">
        <v>0</v>
      </c>
      <c r="T20" s="14">
        <v>0</v>
      </c>
      <c r="U20" s="15">
        <f t="shared" si="1"/>
        <v>224878778</v>
      </c>
      <c r="V20" s="14"/>
      <c r="W20" s="14">
        <f t="shared" si="2"/>
        <v>6.300509166666666</v>
      </c>
      <c r="X20" s="166">
        <f>+'[5]06-0900-02'!$E$49</f>
        <v>219232320.564</v>
      </c>
      <c r="Y20" s="166">
        <f>+'[3]06-0900-02'!$E$33</f>
        <v>0</v>
      </c>
      <c r="Z20" s="166">
        <v>7208549</v>
      </c>
      <c r="AA20" s="166">
        <v>0</v>
      </c>
      <c r="AB20" s="9">
        <f t="shared" si="4"/>
        <v>20767679.43599999</v>
      </c>
      <c r="AC20" s="12">
        <f t="shared" si="5"/>
        <v>0</v>
      </c>
      <c r="AD20" s="12">
        <f t="shared" si="6"/>
        <v>3.003562083333333</v>
      </c>
      <c r="AE20" s="19">
        <f t="shared" si="7"/>
        <v>91.346800235</v>
      </c>
      <c r="AF20" s="107">
        <f t="shared" si="8"/>
        <v>3.003562083333333</v>
      </c>
    </row>
    <row r="21" spans="1:32" ht="22.5" customHeight="1">
      <c r="A21" s="68" t="s">
        <v>1</v>
      </c>
      <c r="B21" s="5"/>
      <c r="C21" s="13"/>
      <c r="D21" s="3"/>
      <c r="E21" s="156"/>
      <c r="F21" s="56"/>
      <c r="G21" s="41"/>
      <c r="H21" s="14"/>
      <c r="I21" s="14"/>
      <c r="J21" s="14"/>
      <c r="K21" s="14"/>
      <c r="L21" s="14"/>
      <c r="M21" s="14"/>
      <c r="N21" s="14"/>
      <c r="O21" s="14"/>
      <c r="P21" s="15"/>
      <c r="Q21" s="14"/>
      <c r="R21" s="14"/>
      <c r="S21" s="14"/>
      <c r="T21" s="14"/>
      <c r="U21" s="14"/>
      <c r="V21" s="14"/>
      <c r="W21" s="14"/>
      <c r="X21" s="9"/>
      <c r="Y21" s="9"/>
      <c r="Z21" s="9"/>
      <c r="AA21" s="9"/>
      <c r="AB21" s="9">
        <f t="shared" si="4"/>
        <v>0</v>
      </c>
      <c r="AC21" s="12"/>
      <c r="AD21" s="12" t="s">
        <v>1</v>
      </c>
      <c r="AE21" s="8" t="s">
        <v>1</v>
      </c>
      <c r="AF21" s="160" t="s">
        <v>1</v>
      </c>
    </row>
    <row r="22" spans="1:32" ht="22.5" customHeight="1" thickBot="1">
      <c r="A22" s="69"/>
      <c r="B22" s="70"/>
      <c r="C22" s="71"/>
      <c r="D22" s="72"/>
      <c r="E22" s="161" t="s">
        <v>28</v>
      </c>
      <c r="F22" s="73">
        <f>SUM(F6:F21)</f>
        <v>10820825641</v>
      </c>
      <c r="G22" s="73">
        <f>SUM(G6:G21)</f>
        <v>4455203299</v>
      </c>
      <c r="H22" s="73">
        <f>SUM(H6:H21)</f>
        <v>15276028940</v>
      </c>
      <c r="I22" s="74"/>
      <c r="J22" s="74"/>
      <c r="K22" s="74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6">
        <f>SUM(X6:X21)+1</f>
        <v>8617125805.644001</v>
      </c>
      <c r="Y22" s="73">
        <f>+Y6+Y7+Y9+Y10+Y11+Y12+Y13+Y14+Y15+Y16+Y17+Y18+Y19+Y20</f>
        <v>40644183</v>
      </c>
      <c r="Z22" s="73">
        <f>+Z6+Z7+Z9+Z10+Z11+Z12+Z13+Z14+Z15+Z16+Z17+Z18+Z19+Z20</f>
        <v>6649692084</v>
      </c>
      <c r="AA22" s="73">
        <f>SUM(AA6:AA21)</f>
        <v>2082240838</v>
      </c>
      <c r="AB22" s="162">
        <f t="shared" si="4"/>
        <v>6658903134.355999</v>
      </c>
      <c r="AC22" s="77">
        <f>+Y22/H22*100</f>
        <v>0.26606510867214944</v>
      </c>
      <c r="AD22" s="115">
        <f t="shared" si="6"/>
        <v>43.53024015677205</v>
      </c>
      <c r="AE22" s="163">
        <f t="shared" si="7"/>
        <v>56.4094624295992</v>
      </c>
      <c r="AF22" s="116">
        <f t="shared" si="8"/>
        <v>43.53024015677205</v>
      </c>
    </row>
    <row r="23" spans="5:32" ht="12.75">
      <c r="E23" s="17"/>
      <c r="F23" s="21" t="s">
        <v>1</v>
      </c>
      <c r="G23" s="21" t="s">
        <v>1</v>
      </c>
      <c r="H23" s="21" t="s">
        <v>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1" t="s">
        <v>1</v>
      </c>
      <c r="Y23" s="17"/>
      <c r="Z23" s="21" t="s">
        <v>1</v>
      </c>
      <c r="AA23" s="21"/>
      <c r="AB23" s="21" t="s">
        <v>1</v>
      </c>
      <c r="AC23" s="50" t="s">
        <v>1</v>
      </c>
      <c r="AD23" s="17"/>
      <c r="AE23" s="1"/>
      <c r="AF23" s="1"/>
    </row>
    <row r="24" spans="5:32" ht="12.75">
      <c r="E24" s="17"/>
      <c r="F24" s="21" t="s">
        <v>1</v>
      </c>
      <c r="G24" s="21" t="s">
        <v>1</v>
      </c>
      <c r="H24" s="21">
        <f>+H22+FUNCIONAMIENTO!I9</f>
        <v>20237470731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1" t="s">
        <v>5</v>
      </c>
      <c r="Y24" s="21" t="s">
        <v>1</v>
      </c>
      <c r="Z24" s="17">
        <v>6649900274</v>
      </c>
      <c r="AA24" s="17"/>
      <c r="AB24" s="17" t="s">
        <v>5</v>
      </c>
      <c r="AC24" s="17" t="s">
        <v>1</v>
      </c>
      <c r="AD24" s="17"/>
      <c r="AE24" s="1"/>
      <c r="AF24" s="1"/>
    </row>
    <row r="25" spans="5:32" ht="12.75">
      <c r="E25" s="17"/>
      <c r="F25" s="17"/>
      <c r="G25" s="21" t="s">
        <v>1</v>
      </c>
      <c r="H25" s="21" t="s">
        <v>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f>+Z24-Z22</f>
        <v>208190</v>
      </c>
      <c r="AA25" s="17"/>
      <c r="AB25" s="17"/>
      <c r="AC25" s="17" t="s">
        <v>5</v>
      </c>
      <c r="AD25" s="17"/>
      <c r="AE25" s="1"/>
      <c r="AF25" s="1"/>
    </row>
    <row r="26" spans="5:32" ht="12.75">
      <c r="E26" s="17"/>
      <c r="F26" s="17"/>
      <c r="G26" s="21" t="s">
        <v>1</v>
      </c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 t="s">
        <v>1</v>
      </c>
      <c r="AA26" s="21"/>
      <c r="AB26" s="17"/>
      <c r="AC26" s="17" t="s">
        <v>1</v>
      </c>
      <c r="AD26" s="17"/>
      <c r="AE26" s="1"/>
      <c r="AF26" s="1"/>
    </row>
    <row r="27" spans="5:32" ht="12.75">
      <c r="E27" s="17"/>
      <c r="F27" s="17"/>
      <c r="G27" s="21" t="s">
        <v>5</v>
      </c>
      <c r="H27" s="17">
        <f>+H40+FUNCIONAMIENTO!I50</f>
        <v>3594748000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1" t="s">
        <v>1</v>
      </c>
      <c r="Y27" s="21"/>
      <c r="Z27" s="21" t="s">
        <v>1</v>
      </c>
      <c r="AA27" s="21"/>
      <c r="AB27" s="17"/>
      <c r="AC27" s="17"/>
      <c r="AD27" s="17"/>
      <c r="AE27" s="1"/>
      <c r="AF27" s="1"/>
    </row>
    <row r="28" spans="5:32" ht="12.75">
      <c r="E28" s="17"/>
      <c r="F28" s="17"/>
      <c r="G28" s="21" t="s">
        <v>1</v>
      </c>
      <c r="H28" s="21" t="s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1"/>
      <c r="Y28" s="21"/>
      <c r="Z28" s="17"/>
      <c r="AA28" s="17"/>
      <c r="AB28" s="17"/>
      <c r="AC28" s="17"/>
      <c r="AD28" s="17"/>
      <c r="AE28" s="1"/>
      <c r="AF28" s="1"/>
    </row>
    <row r="29" spans="5:32" ht="12.75">
      <c r="E29" s="58"/>
      <c r="F29" s="17"/>
      <c r="G29" s="21" t="s">
        <v>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1"/>
      <c r="Y29" s="21"/>
      <c r="Z29" s="17"/>
      <c r="AA29" s="17"/>
      <c r="AB29" s="17"/>
      <c r="AC29" s="17"/>
      <c r="AD29" s="17"/>
      <c r="AE29" s="1"/>
      <c r="AF29" s="1"/>
    </row>
    <row r="30" spans="5:32" ht="12.75">
      <c r="E30" s="59" t="s">
        <v>99</v>
      </c>
      <c r="F30" s="17"/>
      <c r="G30" s="21" t="s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"/>
      <c r="AF30" s="1"/>
    </row>
    <row r="31" spans="5:32" ht="12.75">
      <c r="E31" s="59" t="s">
        <v>100</v>
      </c>
      <c r="F31" s="17"/>
      <c r="G31" s="21" t="s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"/>
      <c r="AF31" s="1"/>
    </row>
    <row r="32" spans="5:32" ht="12.75">
      <c r="E32" s="17"/>
      <c r="F32" s="17"/>
      <c r="G32" s="21" t="s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"/>
      <c r="AF32" s="1"/>
    </row>
    <row r="33" spans="5:32" ht="12.75">
      <c r="E33" s="17"/>
      <c r="F33" s="17"/>
      <c r="G33" s="21" t="s">
        <v>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"/>
      <c r="AF33" s="1"/>
    </row>
    <row r="34" spans="5:32" ht="12.75">
      <c r="E34" s="17"/>
      <c r="F34" s="17"/>
      <c r="G34" s="21" t="s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"/>
      <c r="AF34" s="1"/>
    </row>
    <row r="35" spans="1:32" ht="12.75">
      <c r="A35" s="2"/>
      <c r="B35" s="2"/>
      <c r="C35" s="2"/>
      <c r="D35" s="2"/>
      <c r="E35" s="174" t="s">
        <v>0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9"/>
      <c r="AF35" s="19"/>
    </row>
    <row r="36" spans="1:32" ht="12.75">
      <c r="A36" s="2"/>
      <c r="B36" s="2"/>
      <c r="C36" s="2"/>
      <c r="D36" s="2"/>
      <c r="E36" s="175" t="s">
        <v>179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9"/>
      <c r="AF36" s="19"/>
    </row>
    <row r="37" spans="1:32" ht="12.75">
      <c r="A37" s="2"/>
      <c r="B37" s="2"/>
      <c r="C37" s="2"/>
      <c r="D37" s="2"/>
      <c r="E37" s="20"/>
      <c r="F37" s="20"/>
      <c r="G37" s="4" t="s">
        <v>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19"/>
      <c r="AF37" s="19"/>
    </row>
    <row r="38" spans="1:32" ht="63.75">
      <c r="A38" s="2"/>
      <c r="B38" s="2"/>
      <c r="C38" s="2"/>
      <c r="D38" s="85"/>
      <c r="E38" s="60" t="s">
        <v>4</v>
      </c>
      <c r="F38" s="61" t="s">
        <v>29</v>
      </c>
      <c r="G38" s="22" t="s">
        <v>2</v>
      </c>
      <c r="H38" s="22" t="s">
        <v>30</v>
      </c>
      <c r="I38" s="23"/>
      <c r="J38" s="16"/>
      <c r="K38" s="23"/>
      <c r="L38" s="23"/>
      <c r="M38" s="23"/>
      <c r="N38" s="23" t="s">
        <v>1</v>
      </c>
      <c r="O38" s="23"/>
      <c r="P38" s="24"/>
      <c r="Q38" s="23"/>
      <c r="R38" s="23"/>
      <c r="S38" s="23"/>
      <c r="T38" s="23"/>
      <c r="U38" s="23" t="s">
        <v>1</v>
      </c>
      <c r="V38" s="23"/>
      <c r="W38" s="23"/>
      <c r="X38" s="25" t="s">
        <v>31</v>
      </c>
      <c r="Y38" s="25" t="s">
        <v>32</v>
      </c>
      <c r="Z38" s="26" t="s">
        <v>32</v>
      </c>
      <c r="AA38" s="26"/>
      <c r="AB38" s="26" t="s">
        <v>103</v>
      </c>
      <c r="AC38" s="79" t="s">
        <v>33</v>
      </c>
      <c r="AD38" s="25" t="s">
        <v>104</v>
      </c>
      <c r="AE38" s="86" t="s">
        <v>123</v>
      </c>
      <c r="AF38" s="86" t="s">
        <v>124</v>
      </c>
    </row>
    <row r="39" spans="1:32" ht="12.75">
      <c r="A39" s="2"/>
      <c r="B39" s="2"/>
      <c r="C39" s="2"/>
      <c r="D39" s="2"/>
      <c r="E39" s="60"/>
      <c r="F39" s="61"/>
      <c r="G39" s="22"/>
      <c r="H39" s="22"/>
      <c r="I39" s="23"/>
      <c r="J39" s="16"/>
      <c r="K39" s="23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3"/>
      <c r="X39" s="25"/>
      <c r="Y39" s="25"/>
      <c r="Z39" s="81"/>
      <c r="AA39" s="81"/>
      <c r="AB39" s="81"/>
      <c r="AC39" s="79"/>
      <c r="AD39" s="25"/>
      <c r="AE39" s="19"/>
      <c r="AF39" s="19"/>
    </row>
    <row r="40" spans="1:32" ht="25.5">
      <c r="A40" s="7" t="s">
        <v>101</v>
      </c>
      <c r="B40" s="2">
        <v>213</v>
      </c>
      <c r="C40" s="2">
        <v>906</v>
      </c>
      <c r="D40" s="2">
        <v>1</v>
      </c>
      <c r="E40" s="62" t="s">
        <v>102</v>
      </c>
      <c r="F40" s="20">
        <v>1900000000</v>
      </c>
      <c r="G40" s="4">
        <v>0</v>
      </c>
      <c r="H40" s="20">
        <f>+F40+G40</f>
        <v>1900000000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>
        <f>75696377+33600000-1740880+84384960+87059251+24874072+56531980+169595942+35049829+36180468</f>
        <v>601231999</v>
      </c>
      <c r="Y40" s="20">
        <v>116244068</v>
      </c>
      <c r="Z40" s="20">
        <f>116244068+87059251+24874072+56531980+169595942+35049829+36180468</f>
        <v>525535610</v>
      </c>
      <c r="AA40" s="20"/>
      <c r="AB40" s="20">
        <f>+H40-X40</f>
        <v>1298768001</v>
      </c>
      <c r="AC40" s="80">
        <f>+Y40/H40*100</f>
        <v>6.118108842105263</v>
      </c>
      <c r="AD40" s="19">
        <v>0</v>
      </c>
      <c r="AE40" s="19">
        <f>+X40/H40*100</f>
        <v>31.64378942105263</v>
      </c>
      <c r="AF40" s="19">
        <f>+Z40/H40*100</f>
        <v>27.65976894736842</v>
      </c>
    </row>
    <row r="41" spans="1:32" ht="12.75">
      <c r="A41" s="2"/>
      <c r="B41" s="2"/>
      <c r="C41" s="2"/>
      <c r="D41" s="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80"/>
      <c r="AD41" s="19"/>
      <c r="AE41" s="19"/>
      <c r="AF41" s="19"/>
    </row>
    <row r="42" spans="1:32" ht="12.75">
      <c r="A42" s="2"/>
      <c r="B42" s="2"/>
      <c r="C42" s="2"/>
      <c r="D42" s="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80"/>
      <c r="AD42" s="19"/>
      <c r="AE42" s="19"/>
      <c r="AF42" s="19"/>
    </row>
    <row r="43" spans="1:32" ht="12.75">
      <c r="A43" s="2"/>
      <c r="B43" s="2"/>
      <c r="C43" s="2"/>
      <c r="D43" s="2"/>
      <c r="E43" s="4" t="s">
        <v>28</v>
      </c>
      <c r="F43" s="20">
        <f>+F40</f>
        <v>1900000000</v>
      </c>
      <c r="G43" s="20">
        <f>+G40</f>
        <v>0</v>
      </c>
      <c r="H43" s="20">
        <f>+H40</f>
        <v>1900000000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>
        <f aca="true" t="shared" si="10" ref="X43:AD43">+X40</f>
        <v>601231999</v>
      </c>
      <c r="Y43" s="20">
        <f t="shared" si="10"/>
        <v>116244068</v>
      </c>
      <c r="Z43" s="20">
        <f t="shared" si="10"/>
        <v>525535610</v>
      </c>
      <c r="AA43" s="20"/>
      <c r="AB43" s="20">
        <f t="shared" si="10"/>
        <v>1298768001</v>
      </c>
      <c r="AC43" s="80">
        <f t="shared" si="10"/>
        <v>6.118108842105263</v>
      </c>
      <c r="AD43" s="19">
        <f t="shared" si="10"/>
        <v>0</v>
      </c>
      <c r="AE43" s="19">
        <f>+X43/H43*100</f>
        <v>31.64378942105263</v>
      </c>
      <c r="AF43" s="19">
        <f>+Z43/H43*100</f>
        <v>27.65976894736842</v>
      </c>
    </row>
    <row r="44" spans="1:32" ht="12.75">
      <c r="A44" s="2"/>
      <c r="B44" s="2"/>
      <c r="C44" s="2"/>
      <c r="D44" s="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78"/>
      <c r="AD44" s="20"/>
      <c r="AE44" s="19"/>
      <c r="AF44" s="19"/>
    </row>
    <row r="45" spans="1:32" ht="12.75">
      <c r="A45" s="2"/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78"/>
      <c r="AD45" s="20"/>
      <c r="AE45" s="19"/>
      <c r="AF45" s="19"/>
    </row>
    <row r="46" spans="1:32" ht="12.75">
      <c r="A46" s="2"/>
      <c r="B46" s="2"/>
      <c r="C46" s="2"/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78"/>
      <c r="AD46" s="20"/>
      <c r="AE46" s="19"/>
      <c r="AF46" s="19"/>
    </row>
    <row r="47" spans="1:32" ht="12.75">
      <c r="A47" s="2"/>
      <c r="B47" s="2"/>
      <c r="C47" s="2"/>
      <c r="D47" s="2"/>
      <c r="E47" s="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80"/>
      <c r="AD47" s="19"/>
      <c r="AE47" s="19"/>
      <c r="AF47" s="19"/>
    </row>
    <row r="48" spans="1:32" ht="12.75">
      <c r="A48" s="2"/>
      <c r="B48" s="2"/>
      <c r="C48" s="2"/>
      <c r="D48" s="2"/>
      <c r="E48" s="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80"/>
      <c r="AD48" s="19"/>
      <c r="AE48" s="19"/>
      <c r="AF48" s="19"/>
    </row>
    <row r="49" spans="6:32" ht="12.75">
      <c r="F49" s="1"/>
      <c r="G49" s="1"/>
      <c r="H49" s="1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>
        <f>+'[3]013-000-2-906-1'!$E$45</f>
        <v>1475328300</v>
      </c>
      <c r="Z49" s="1"/>
      <c r="AA49" s="1"/>
      <c r="AB49" s="45"/>
      <c r="AC49" s="1"/>
      <c r="AD49" s="1"/>
      <c r="AE49" s="1"/>
      <c r="AF49" s="1"/>
    </row>
    <row r="50" spans="6:32" ht="12.75">
      <c r="F50" s="1">
        <f>+F43+H22</f>
        <v>17176028940</v>
      </c>
      <c r="G50" s="1"/>
      <c r="H50" s="17" t="s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" t="s">
        <v>1</v>
      </c>
      <c r="Z50" s="1"/>
      <c r="AA50" s="1"/>
      <c r="AB50" s="45"/>
      <c r="AC50" s="1"/>
      <c r="AD50" s="1"/>
      <c r="AE50" s="1"/>
      <c r="AF50" s="1"/>
    </row>
    <row r="51" spans="6:32" ht="12.75">
      <c r="F51" s="1"/>
      <c r="G51" s="1"/>
      <c r="H51" s="21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f>+Z43+FUNCIONAMIENTO!T50</f>
        <v>1623313641</v>
      </c>
      <c r="AA51" s="1"/>
      <c r="AB51" s="1"/>
      <c r="AC51" s="1"/>
      <c r="AD51" s="1"/>
      <c r="AE51" s="1"/>
      <c r="AF51" s="1"/>
    </row>
    <row r="52" spans="6:32" ht="12.75">
      <c r="F52" s="1"/>
      <c r="G52" s="1"/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6:32" ht="12.75">
      <c r="F53" s="1"/>
      <c r="G53" s="1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6:32" ht="12.75">
      <c r="F54" s="1"/>
      <c r="G54" s="1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6:32" ht="12.75">
      <c r="F55" s="1"/>
      <c r="G55" s="1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6:32" ht="12.75">
      <c r="F56" s="1"/>
      <c r="G56" s="1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6:32" ht="12.75">
      <c r="F57" s="1"/>
      <c r="G57" s="1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6:32" ht="12.75">
      <c r="F58" s="1"/>
      <c r="G58" s="1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6:32" ht="12.75">
      <c r="F59" s="1"/>
      <c r="G59" s="1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6:32" ht="12.75">
      <c r="F60" s="1"/>
      <c r="G60" s="1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6:32" ht="12.75">
      <c r="F61" s="1"/>
      <c r="G61" s="1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6:32" ht="12.75">
      <c r="F62" s="1"/>
      <c r="G62" s="1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6:32" ht="12.75">
      <c r="F63" s="1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6:32" ht="12.75">
      <c r="F64" s="1"/>
      <c r="G64" s="1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6:32" ht="12.75">
      <c r="F65" s="1"/>
      <c r="G65" s="1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6:32" ht="12.75">
      <c r="F66" s="1"/>
      <c r="G66" s="1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6:32" ht="12.75">
      <c r="F67" s="1"/>
      <c r="G67" s="1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6:32" ht="12.75">
      <c r="F68" s="1"/>
      <c r="G68" s="1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6:32" ht="12.75">
      <c r="F69" s="1"/>
      <c r="G69" s="1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6:32" ht="12.75">
      <c r="F70" s="1"/>
      <c r="G70" s="1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6:32" ht="12.75">
      <c r="F71" s="1"/>
      <c r="G71" s="1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6:32" ht="12.75">
      <c r="F72" s="1"/>
      <c r="G72" s="1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6:32" ht="12.75">
      <c r="F73" s="1"/>
      <c r="G73" s="1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6:32" ht="12.75">
      <c r="F74" s="1"/>
      <c r="G74" s="1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6:32" ht="12.75">
      <c r="F75" s="1"/>
      <c r="G75" s="1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6:32" ht="12.75">
      <c r="F76" s="1"/>
      <c r="G76" s="1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6:32" ht="12.75">
      <c r="F77" s="1"/>
      <c r="G77" s="1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6:32" ht="12.75">
      <c r="F78" s="1"/>
      <c r="G78" s="1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6:32" ht="12.75">
      <c r="F79" s="1"/>
      <c r="G79" s="1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6:32" ht="12.75">
      <c r="F80" s="1"/>
      <c r="G80" s="1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6:32" ht="12.75">
      <c r="F81" s="1"/>
      <c r="G81" s="1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6:32" ht="12.75">
      <c r="F82" s="1"/>
      <c r="G82" s="1"/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6:32" ht="12.75">
      <c r="F83" s="1"/>
      <c r="G83" s="1"/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6:32" ht="12.75">
      <c r="F84" s="1"/>
      <c r="G84" s="1"/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6:32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6:32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6:32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6:32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6:32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6:32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6:32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6:32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6:32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6:32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6:32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6:32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6:32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31:32" ht="12.75">
      <c r="AE98" s="1"/>
      <c r="AF98" s="1"/>
    </row>
    <row r="99" spans="31:32" ht="12.75">
      <c r="AE99" s="1"/>
      <c r="AF99" s="1"/>
    </row>
    <row r="100" spans="31:32" ht="12.75">
      <c r="AE100" s="1"/>
      <c r="AF100" s="1"/>
    </row>
    <row r="101" spans="31:32" ht="12.75">
      <c r="AE101" s="1"/>
      <c r="AF101" s="1"/>
    </row>
    <row r="102" spans="31:32" ht="12.75">
      <c r="AE102" s="1"/>
      <c r="AF102" s="1"/>
    </row>
    <row r="103" spans="31:32" ht="12.75">
      <c r="AE103" s="1"/>
      <c r="AF103" s="1"/>
    </row>
    <row r="104" spans="31:32" ht="12.75">
      <c r="AE104" s="1"/>
      <c r="AF104" s="1"/>
    </row>
    <row r="105" spans="31:32" ht="12.75">
      <c r="AE105" s="1"/>
      <c r="AF105" s="1"/>
    </row>
    <row r="106" spans="31:32" ht="12.75">
      <c r="AE106" s="1"/>
      <c r="AF106" s="1"/>
    </row>
    <row r="107" spans="31:32" ht="12.75">
      <c r="AE107" s="1"/>
      <c r="AF107" s="1"/>
    </row>
    <row r="108" spans="31:32" ht="12.75">
      <c r="AE108" s="1"/>
      <c r="AF108" s="1"/>
    </row>
    <row r="109" spans="31:32" ht="12.75">
      <c r="AE109" s="1"/>
      <c r="AF109" s="1"/>
    </row>
    <row r="110" spans="31:32" ht="12.75">
      <c r="AE110" s="1"/>
      <c r="AF110" s="1"/>
    </row>
  </sheetData>
  <sheetProtection/>
  <mergeCells count="4">
    <mergeCell ref="E2:AD2"/>
    <mergeCell ref="E35:AD35"/>
    <mergeCell ref="E36:AD36"/>
    <mergeCell ref="E1:AB1"/>
  </mergeCells>
  <printOptions/>
  <pageMargins left="0.7874015748031497" right="0.7480314960629921" top="0.984251968503937" bottom="0.984251968503937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0"/>
  <sheetViews>
    <sheetView zoomScalePageLayoutView="0" workbookViewId="0" topLeftCell="A77">
      <pane xSplit="1" ySplit="5" topLeftCell="B92" activePane="bottomRight" state="frozen"/>
      <selection pane="topLeft" activeCell="A77" sqref="A77"/>
      <selection pane="topRight" activeCell="B77" sqref="B77"/>
      <selection pane="bottomLeft" activeCell="A82" sqref="A82"/>
      <selection pane="bottomRight" activeCell="L109" sqref="L109"/>
    </sheetView>
  </sheetViews>
  <sheetFormatPr defaultColWidth="11.421875" defaultRowHeight="12.75"/>
  <cols>
    <col min="1" max="1" width="43.421875" style="0" customWidth="1"/>
    <col min="2" max="2" width="25.00390625" style="0" customWidth="1"/>
    <col min="3" max="3" width="20.7109375" style="0" customWidth="1"/>
    <col min="4" max="4" width="19.8515625" style="0" hidden="1" customWidth="1"/>
    <col min="5" max="5" width="18.28125" style="0" hidden="1" customWidth="1"/>
    <col min="6" max="6" width="18.8515625" style="0" hidden="1" customWidth="1"/>
    <col min="7" max="7" width="36.00390625" style="0" hidden="1" customWidth="1"/>
    <col min="8" max="9" width="19.8515625" style="0" hidden="1" customWidth="1"/>
    <col min="10" max="10" width="20.00390625" style="0" customWidth="1"/>
    <col min="11" max="11" width="17.421875" style="0" customWidth="1"/>
    <col min="12" max="12" width="15.8515625" style="0" customWidth="1"/>
    <col min="13" max="13" width="16.57421875" style="0" customWidth="1"/>
    <col min="14" max="14" width="15.28125" style="0" bestFit="1" customWidth="1"/>
    <col min="15" max="15" width="13.7109375" style="0" bestFit="1" customWidth="1"/>
    <col min="25" max="26" width="13.7109375" style="0" bestFit="1" customWidth="1"/>
  </cols>
  <sheetData>
    <row r="1" spans="1:9" ht="15">
      <c r="A1" s="177" t="s">
        <v>0</v>
      </c>
      <c r="B1" s="178"/>
      <c r="C1" s="178"/>
      <c r="D1" s="178"/>
      <c r="E1" s="178"/>
      <c r="F1" s="178"/>
      <c r="G1" s="179"/>
      <c r="H1" s="42"/>
      <c r="I1" s="42"/>
    </row>
    <row r="2" spans="1:9" ht="15">
      <c r="A2" s="177" t="s">
        <v>34</v>
      </c>
      <c r="B2" s="178"/>
      <c r="C2" s="178"/>
      <c r="D2" s="178"/>
      <c r="E2" s="178"/>
      <c r="F2" s="178"/>
      <c r="G2" s="179"/>
      <c r="H2" s="42"/>
      <c r="I2" s="42"/>
    </row>
    <row r="3" spans="1:9" ht="12.75">
      <c r="A3" s="2"/>
      <c r="B3" s="2"/>
      <c r="C3" s="2"/>
      <c r="D3" s="2"/>
      <c r="E3" s="2"/>
      <c r="F3" s="2"/>
      <c r="G3" s="2"/>
      <c r="H3" s="43"/>
      <c r="I3" s="43"/>
    </row>
    <row r="4" spans="1:9" ht="15">
      <c r="A4" s="34" t="s">
        <v>35</v>
      </c>
      <c r="B4" s="34" t="s">
        <v>36</v>
      </c>
      <c r="C4" s="35" t="s">
        <v>37</v>
      </c>
      <c r="D4" s="180" t="s">
        <v>38</v>
      </c>
      <c r="E4" s="180"/>
      <c r="F4" s="36" t="s">
        <v>39</v>
      </c>
      <c r="G4" s="36" t="s">
        <v>40</v>
      </c>
      <c r="H4" s="44"/>
      <c r="I4" s="44"/>
    </row>
    <row r="5" spans="1:9" ht="12.75">
      <c r="A5" s="7" t="s">
        <v>1</v>
      </c>
      <c r="B5" s="7" t="s">
        <v>1</v>
      </c>
      <c r="C5" s="19" t="s">
        <v>1</v>
      </c>
      <c r="D5" s="19" t="s">
        <v>41</v>
      </c>
      <c r="E5" s="19" t="s">
        <v>42</v>
      </c>
      <c r="F5" s="19"/>
      <c r="G5" s="19"/>
      <c r="H5" s="45"/>
      <c r="I5" s="45"/>
    </row>
    <row r="6" spans="1:9" ht="12.75">
      <c r="A6" s="37"/>
      <c r="B6" s="2"/>
      <c r="C6" s="19"/>
      <c r="D6" s="19"/>
      <c r="E6" s="19"/>
      <c r="F6" s="19"/>
      <c r="G6" s="19"/>
      <c r="H6" s="45"/>
      <c r="I6" s="45"/>
    </row>
    <row r="7" spans="1:9" ht="12.75">
      <c r="A7" s="40" t="s">
        <v>105</v>
      </c>
      <c r="B7" s="7" t="s">
        <v>109</v>
      </c>
      <c r="C7" s="19">
        <v>176308480</v>
      </c>
      <c r="D7" s="19"/>
      <c r="E7" s="19">
        <f>+C7</f>
        <v>176308480</v>
      </c>
      <c r="F7" s="8" t="s">
        <v>52</v>
      </c>
      <c r="G7" s="8" t="s">
        <v>106</v>
      </c>
      <c r="H7" s="45"/>
      <c r="I7" s="45"/>
    </row>
    <row r="8" spans="1:9" ht="12.75">
      <c r="A8" s="37"/>
      <c r="B8" s="7" t="s">
        <v>110</v>
      </c>
      <c r="C8" s="19">
        <v>4649844640</v>
      </c>
      <c r="D8" s="19">
        <v>950949821</v>
      </c>
      <c r="E8" s="19">
        <v>585424664</v>
      </c>
      <c r="F8" s="8" t="s">
        <v>111</v>
      </c>
      <c r="G8" s="8" t="s">
        <v>114</v>
      </c>
      <c r="H8" s="45"/>
      <c r="I8" s="45"/>
    </row>
    <row r="9" spans="1:9" ht="12.75">
      <c r="A9" s="37"/>
      <c r="B9" s="7"/>
      <c r="C9" s="19"/>
      <c r="D9" s="19"/>
      <c r="E9" s="19">
        <v>242982823</v>
      </c>
      <c r="F9" s="8" t="s">
        <v>45</v>
      </c>
      <c r="G9" s="8" t="s">
        <v>115</v>
      </c>
      <c r="H9" s="45"/>
      <c r="I9" s="45"/>
    </row>
    <row r="10" spans="1:9" ht="12.75">
      <c r="A10" s="37"/>
      <c r="B10" s="2"/>
      <c r="C10" s="19"/>
      <c r="D10" s="19"/>
      <c r="E10" s="19">
        <v>143247408</v>
      </c>
      <c r="F10" s="8" t="s">
        <v>45</v>
      </c>
      <c r="G10" s="8" t="s">
        <v>116</v>
      </c>
      <c r="H10" s="45"/>
      <c r="I10" s="45"/>
    </row>
    <row r="11" spans="1:9" ht="12.75">
      <c r="A11" s="37"/>
      <c r="B11" s="2"/>
      <c r="C11" s="19"/>
      <c r="D11" s="19"/>
      <c r="E11" s="19">
        <v>90000000</v>
      </c>
      <c r="F11" s="8" t="s">
        <v>112</v>
      </c>
      <c r="G11" s="8" t="s">
        <v>117</v>
      </c>
      <c r="H11" s="45"/>
      <c r="I11" s="45"/>
    </row>
    <row r="12" spans="1:9" ht="12.75">
      <c r="A12" s="37"/>
      <c r="B12" s="2"/>
      <c r="C12" s="19"/>
      <c r="D12" s="19"/>
      <c r="E12" s="19">
        <v>1471477790</v>
      </c>
      <c r="F12" s="8" t="s">
        <v>51</v>
      </c>
      <c r="G12" s="8" t="s">
        <v>118</v>
      </c>
      <c r="H12" s="45"/>
      <c r="I12" s="45"/>
    </row>
    <row r="13" spans="1:9" ht="12.75">
      <c r="A13" s="37"/>
      <c r="B13" s="2"/>
      <c r="C13" s="19"/>
      <c r="D13" s="19"/>
      <c r="E13" s="19">
        <v>240927811</v>
      </c>
      <c r="F13" s="8" t="s">
        <v>46</v>
      </c>
      <c r="G13" s="8" t="s">
        <v>114</v>
      </c>
      <c r="H13" s="45"/>
      <c r="I13" s="45"/>
    </row>
    <row r="14" spans="1:9" ht="12.75">
      <c r="A14" s="37"/>
      <c r="B14" s="2"/>
      <c r="C14" s="19"/>
      <c r="D14" s="19"/>
      <c r="E14" s="19">
        <v>409153771</v>
      </c>
      <c r="F14" s="8" t="s">
        <v>52</v>
      </c>
      <c r="G14" s="8" t="s">
        <v>114</v>
      </c>
      <c r="H14" s="45"/>
      <c r="I14" s="45"/>
    </row>
    <row r="15" spans="1:9" ht="12.75">
      <c r="A15" s="37"/>
      <c r="B15" s="2"/>
      <c r="C15" s="19"/>
      <c r="D15" s="19"/>
      <c r="E15" s="19">
        <v>240000000</v>
      </c>
      <c r="F15" s="63" t="s">
        <v>113</v>
      </c>
      <c r="G15" s="8" t="s">
        <v>114</v>
      </c>
      <c r="H15" s="45"/>
      <c r="I15" s="45"/>
    </row>
    <row r="16" spans="1:10" ht="12.75">
      <c r="A16" s="37"/>
      <c r="B16" s="2"/>
      <c r="C16" s="19"/>
      <c r="D16" s="19"/>
      <c r="E16" s="19">
        <v>10680552</v>
      </c>
      <c r="F16" s="63" t="s">
        <v>43</v>
      </c>
      <c r="G16" s="8" t="s">
        <v>114</v>
      </c>
      <c r="H16" s="45"/>
      <c r="I16" s="45"/>
      <c r="J16" s="38" t="s">
        <v>56</v>
      </c>
    </row>
    <row r="17" spans="1:9" ht="12.75">
      <c r="A17" s="2"/>
      <c r="B17" s="2"/>
      <c r="C17" s="19"/>
      <c r="D17" s="19"/>
      <c r="E17" s="19">
        <v>250000000</v>
      </c>
      <c r="F17" s="8" t="s">
        <v>53</v>
      </c>
      <c r="G17" s="8" t="s">
        <v>115</v>
      </c>
      <c r="H17" s="45"/>
      <c r="I17" s="45"/>
    </row>
    <row r="18" spans="1:9" ht="12.75">
      <c r="A18" s="2"/>
      <c r="B18" s="2"/>
      <c r="C18" s="19"/>
      <c r="D18" s="19"/>
      <c r="E18" s="19">
        <v>15000000</v>
      </c>
      <c r="F18" s="8" t="s">
        <v>54</v>
      </c>
      <c r="G18" s="8" t="s">
        <v>114</v>
      </c>
      <c r="H18" s="45"/>
      <c r="I18" s="45"/>
    </row>
    <row r="19" spans="1:9" ht="12.75">
      <c r="A19" s="37">
        <v>40269</v>
      </c>
      <c r="B19" s="7" t="s">
        <v>125</v>
      </c>
      <c r="C19" s="19">
        <v>500000000</v>
      </c>
      <c r="D19" s="19"/>
      <c r="E19" s="8">
        <f>+C19</f>
        <v>500000000</v>
      </c>
      <c r="F19" s="19" t="str">
        <f>+F13</f>
        <v>03-0900-02</v>
      </c>
      <c r="G19" s="8" t="s">
        <v>126</v>
      </c>
      <c r="H19" s="45"/>
      <c r="I19" s="45"/>
    </row>
    <row r="20" spans="1:9" ht="12.75">
      <c r="A20" s="164">
        <v>41817</v>
      </c>
      <c r="B20" s="2" t="s">
        <v>178</v>
      </c>
      <c r="C20" s="19">
        <v>80000000</v>
      </c>
      <c r="D20" s="8"/>
      <c r="E20" s="8">
        <v>80000000</v>
      </c>
      <c r="F20" s="19" t="s">
        <v>119</v>
      </c>
      <c r="G20" s="19" t="s">
        <v>177</v>
      </c>
      <c r="H20" s="45"/>
      <c r="I20" s="45"/>
    </row>
    <row r="21" spans="1:9" ht="12.75">
      <c r="A21" s="2"/>
      <c r="B21" s="2"/>
      <c r="C21" s="19"/>
      <c r="D21" s="8"/>
      <c r="E21" s="19"/>
      <c r="F21" s="19"/>
      <c r="G21" s="19"/>
      <c r="H21" s="45"/>
      <c r="I21" s="45"/>
    </row>
    <row r="22" spans="1:9" ht="12.75">
      <c r="A22" s="2"/>
      <c r="B22" s="2"/>
      <c r="C22" s="19"/>
      <c r="D22" s="8"/>
      <c r="E22" s="19"/>
      <c r="F22" s="19"/>
      <c r="G22" s="19"/>
      <c r="H22" s="45"/>
      <c r="I22" s="45"/>
    </row>
    <row r="23" spans="1:9" ht="12.75">
      <c r="A23" s="2"/>
      <c r="B23" s="2"/>
      <c r="C23" s="19"/>
      <c r="D23" s="19"/>
      <c r="E23" s="19"/>
      <c r="F23" s="19"/>
      <c r="G23" s="19"/>
      <c r="H23" s="45"/>
      <c r="I23" s="45"/>
    </row>
    <row r="24" spans="1:9" ht="12.75">
      <c r="A24" s="2"/>
      <c r="B24" s="2"/>
      <c r="C24" s="19"/>
      <c r="D24" s="19"/>
      <c r="E24" s="19"/>
      <c r="F24" s="19"/>
      <c r="G24" s="19"/>
      <c r="H24" s="45"/>
      <c r="I24" s="45"/>
    </row>
    <row r="25" spans="1:9" ht="12.75">
      <c r="A25" s="2"/>
      <c r="B25" s="2"/>
      <c r="C25" s="19"/>
      <c r="D25" s="19"/>
      <c r="E25" s="19"/>
      <c r="F25" s="19"/>
      <c r="G25" s="19"/>
      <c r="H25" s="45"/>
      <c r="I25" s="45"/>
    </row>
    <row r="26" spans="1:9" ht="12.75">
      <c r="A26" s="2"/>
      <c r="B26" s="2"/>
      <c r="C26" s="19"/>
      <c r="D26" s="19"/>
      <c r="E26" s="19"/>
      <c r="F26" s="19"/>
      <c r="G26" s="19"/>
      <c r="H26" s="45"/>
      <c r="I26" s="45"/>
    </row>
    <row r="27" spans="1:9" ht="12.75">
      <c r="A27" s="2"/>
      <c r="B27" s="2"/>
      <c r="C27" s="19"/>
      <c r="D27" s="19"/>
      <c r="E27" s="19"/>
      <c r="F27" s="19"/>
      <c r="G27" s="19"/>
      <c r="H27" s="45"/>
      <c r="I27" s="45"/>
    </row>
    <row r="28" spans="1:9" ht="12.75">
      <c r="A28" s="2"/>
      <c r="B28" s="2"/>
      <c r="C28" s="19"/>
      <c r="D28" s="19"/>
      <c r="E28" s="19"/>
      <c r="F28" s="19"/>
      <c r="G28" s="19"/>
      <c r="H28" s="45"/>
      <c r="I28" s="45"/>
    </row>
    <row r="29" spans="1:9" ht="12.75">
      <c r="A29" s="2"/>
      <c r="B29" s="2"/>
      <c r="C29" s="19"/>
      <c r="D29" s="19"/>
      <c r="E29" s="19"/>
      <c r="F29" s="19"/>
      <c r="G29" s="19"/>
      <c r="H29" s="45"/>
      <c r="I29" s="45"/>
    </row>
    <row r="30" spans="1:9" ht="12.75">
      <c r="A30" s="2"/>
      <c r="B30" s="2"/>
      <c r="C30" s="19"/>
      <c r="D30" s="19"/>
      <c r="E30" s="19"/>
      <c r="F30" s="19"/>
      <c r="G30" s="19"/>
      <c r="H30" s="45"/>
      <c r="I30" s="45"/>
    </row>
    <row r="31" spans="1:9" ht="12.75">
      <c r="A31" s="2"/>
      <c r="B31" s="2"/>
      <c r="C31" s="19"/>
      <c r="D31" s="19"/>
      <c r="E31" s="19"/>
      <c r="F31" s="19"/>
      <c r="G31" s="19"/>
      <c r="H31" s="45"/>
      <c r="I31" s="45"/>
    </row>
    <row r="32" spans="1:10" ht="12.75">
      <c r="A32" s="37"/>
      <c r="B32" s="2"/>
      <c r="C32" s="19"/>
      <c r="D32" s="19"/>
      <c r="E32" s="19"/>
      <c r="F32" s="19"/>
      <c r="G32" s="19"/>
      <c r="H32" s="45"/>
      <c r="I32" s="45"/>
      <c r="J32" s="38" t="s">
        <v>1</v>
      </c>
    </row>
    <row r="33" spans="1:9" ht="12.75">
      <c r="A33" s="37"/>
      <c r="B33" s="2"/>
      <c r="C33" s="19"/>
      <c r="D33" s="19"/>
      <c r="E33" s="19"/>
      <c r="F33" s="19"/>
      <c r="G33" s="19"/>
      <c r="H33" s="45"/>
      <c r="I33" s="45"/>
    </row>
    <row r="34" spans="1:9" ht="12.75">
      <c r="A34" s="37"/>
      <c r="B34" s="2"/>
      <c r="C34" s="19"/>
      <c r="D34" s="19"/>
      <c r="E34" s="19"/>
      <c r="F34" s="39"/>
      <c r="G34" s="19"/>
      <c r="H34" s="45"/>
      <c r="I34" s="45"/>
    </row>
    <row r="35" spans="1:9" ht="12.75">
      <c r="A35" s="40"/>
      <c r="B35" s="7"/>
      <c r="C35" s="19"/>
      <c r="D35" s="19"/>
      <c r="E35" s="19"/>
      <c r="F35" s="19"/>
      <c r="G35" s="8"/>
      <c r="H35" s="46"/>
      <c r="I35" s="46"/>
    </row>
    <row r="36" spans="1:9" ht="12.75">
      <c r="A36" s="37"/>
      <c r="B36" s="2"/>
      <c r="C36" s="19"/>
      <c r="D36" s="19"/>
      <c r="E36" s="19"/>
      <c r="F36" s="8"/>
      <c r="G36" s="8"/>
      <c r="H36" s="46"/>
      <c r="I36" s="46"/>
    </row>
    <row r="37" spans="1:9" ht="12.75">
      <c r="A37" s="40" t="s">
        <v>1</v>
      </c>
      <c r="B37" s="7" t="s">
        <v>1</v>
      </c>
      <c r="C37" s="19"/>
      <c r="D37" s="19"/>
      <c r="E37" s="19"/>
      <c r="F37" s="8"/>
      <c r="G37" s="8"/>
      <c r="H37" s="46"/>
      <c r="I37" s="46"/>
    </row>
    <row r="38" spans="1:9" ht="12.75">
      <c r="A38" s="2"/>
      <c r="B38" s="2"/>
      <c r="C38" s="19"/>
      <c r="D38" s="19"/>
      <c r="E38" s="19"/>
      <c r="F38" s="19"/>
      <c r="G38" s="19"/>
      <c r="H38" s="45"/>
      <c r="I38" s="45"/>
    </row>
    <row r="39" spans="1:9" ht="12.75">
      <c r="A39" s="2"/>
      <c r="B39" s="2"/>
      <c r="C39" s="19">
        <f>SUM(C6:C36)</f>
        <v>5406153120</v>
      </c>
      <c r="D39" s="19">
        <f>SUM(D6:D36)</f>
        <v>950949821</v>
      </c>
      <c r="E39" s="19">
        <f>SUM(E6:E36)</f>
        <v>4455203299</v>
      </c>
      <c r="F39" s="19"/>
      <c r="G39" s="19"/>
      <c r="H39" s="45"/>
      <c r="I39" s="45"/>
    </row>
    <row r="40" spans="4:5" ht="12.75">
      <c r="D40" s="6" t="s">
        <v>1</v>
      </c>
      <c r="E40" s="6"/>
    </row>
    <row r="41" ht="12.75">
      <c r="E41" s="6"/>
    </row>
    <row r="42" spans="2:5" ht="12.75">
      <c r="B42" s="7" t="s">
        <v>44</v>
      </c>
      <c r="C42" s="19">
        <v>0</v>
      </c>
      <c r="E42" s="1"/>
    </row>
    <row r="43" spans="2:5" ht="12.75">
      <c r="B43" s="7" t="s">
        <v>120</v>
      </c>
      <c r="C43" s="19">
        <v>0</v>
      </c>
      <c r="E43" s="1"/>
    </row>
    <row r="44" spans="2:5" ht="12.75">
      <c r="B44" s="7" t="s">
        <v>121</v>
      </c>
      <c r="C44" s="19">
        <v>0</v>
      </c>
      <c r="E44" s="1"/>
    </row>
    <row r="45" spans="2:5" ht="12.75">
      <c r="B45" s="7" t="s">
        <v>119</v>
      </c>
      <c r="C45" s="19">
        <f>+E8</f>
        <v>585424664</v>
      </c>
      <c r="E45" s="1"/>
    </row>
    <row r="46" spans="2:5" ht="12.75">
      <c r="B46" s="7" t="s">
        <v>45</v>
      </c>
      <c r="C46" s="19">
        <f>+E9+E10</f>
        <v>386230231</v>
      </c>
      <c r="E46" s="17"/>
    </row>
    <row r="47" spans="2:5" ht="12.75">
      <c r="B47" s="7" t="s">
        <v>50</v>
      </c>
      <c r="C47" s="19">
        <f>+E11</f>
        <v>90000000</v>
      </c>
      <c r="E47" s="17"/>
    </row>
    <row r="48" spans="2:5" ht="12.75">
      <c r="B48" s="7" t="s">
        <v>51</v>
      </c>
      <c r="C48" s="19">
        <f>+E12</f>
        <v>1471477790</v>
      </c>
      <c r="E48" s="17"/>
    </row>
    <row r="49" spans="2:5" ht="12.75">
      <c r="B49" s="7" t="s">
        <v>122</v>
      </c>
      <c r="C49" s="19">
        <v>0</v>
      </c>
      <c r="E49" s="17"/>
    </row>
    <row r="50" spans="2:5" ht="12.75">
      <c r="B50" s="7" t="s">
        <v>46</v>
      </c>
      <c r="C50" s="19">
        <f>+E13+E19</f>
        <v>740927811</v>
      </c>
      <c r="E50" s="17"/>
    </row>
    <row r="51" spans="2:5" ht="12.75">
      <c r="B51" s="7" t="s">
        <v>52</v>
      </c>
      <c r="C51" s="19">
        <f>+E7+E14</f>
        <v>585462251</v>
      </c>
      <c r="E51" s="1"/>
    </row>
    <row r="52" spans="2:5" ht="12.75">
      <c r="B52" s="7" t="s">
        <v>113</v>
      </c>
      <c r="C52" s="19">
        <f>+E15</f>
        <v>240000000</v>
      </c>
      <c r="E52" s="1"/>
    </row>
    <row r="53" spans="2:3" ht="12.75">
      <c r="B53" s="7" t="s">
        <v>43</v>
      </c>
      <c r="C53" s="19">
        <f>+E16</f>
        <v>10680552</v>
      </c>
    </row>
    <row r="54" spans="2:3" ht="12.75">
      <c r="B54" s="7" t="s">
        <v>53</v>
      </c>
      <c r="C54" s="19">
        <f>+E17</f>
        <v>250000000</v>
      </c>
    </row>
    <row r="55" spans="2:3" ht="12.75">
      <c r="B55" s="7" t="s">
        <v>54</v>
      </c>
      <c r="C55" s="19">
        <f>+E18</f>
        <v>15000000</v>
      </c>
    </row>
    <row r="56" spans="2:3" ht="12.75">
      <c r="B56" s="2"/>
      <c r="C56" s="2"/>
    </row>
    <row r="57" spans="2:3" ht="12.75">
      <c r="B57" s="7" t="s">
        <v>55</v>
      </c>
      <c r="C57" s="19">
        <f>SUM(C42:C56)</f>
        <v>4375203299</v>
      </c>
    </row>
    <row r="60" spans="2:7" ht="12.75">
      <c r="B60" s="38" t="s">
        <v>29</v>
      </c>
      <c r="C60" s="38" t="s">
        <v>57</v>
      </c>
      <c r="D60" s="38" t="s">
        <v>30</v>
      </c>
      <c r="E60" s="38" t="s">
        <v>107</v>
      </c>
      <c r="F60" s="38" t="s">
        <v>6</v>
      </c>
      <c r="G60" s="38" t="s">
        <v>130</v>
      </c>
    </row>
    <row r="61" spans="1:15" ht="12.75">
      <c r="A61" s="38" t="s">
        <v>59</v>
      </c>
      <c r="B61" s="1">
        <v>1042086000</v>
      </c>
      <c r="C61" s="1">
        <v>0</v>
      </c>
      <c r="D61" s="1">
        <f>+B61+C61</f>
        <v>1042086000</v>
      </c>
      <c r="E61" s="1">
        <v>646046524</v>
      </c>
      <c r="F61" s="1">
        <f aca="true" t="shared" si="0" ref="F61:F66">+E61</f>
        <v>646046524</v>
      </c>
      <c r="G61" s="1">
        <f aca="true" t="shared" si="1" ref="G61:G74">+F61</f>
        <v>646046524</v>
      </c>
      <c r="H61" s="1"/>
      <c r="I61" s="1"/>
      <c r="J61" s="1"/>
      <c r="K61" s="1"/>
      <c r="L61" s="1"/>
      <c r="M61" s="1"/>
      <c r="N61" s="1"/>
      <c r="O61" s="1"/>
    </row>
    <row r="62" spans="1:15" ht="12.75">
      <c r="A62" s="38" t="s">
        <v>60</v>
      </c>
      <c r="B62" s="1">
        <v>111383000</v>
      </c>
      <c r="C62" s="1"/>
      <c r="D62" s="1">
        <f aca="true" t="shared" si="2" ref="D62:D77">+B62+C62</f>
        <v>111383000</v>
      </c>
      <c r="E62" s="1">
        <v>68086259</v>
      </c>
      <c r="F62" s="1">
        <f t="shared" si="0"/>
        <v>68086259</v>
      </c>
      <c r="G62" s="6">
        <f t="shared" si="1"/>
        <v>68086259</v>
      </c>
      <c r="H62" s="1"/>
      <c r="I62" s="1"/>
      <c r="J62" s="1"/>
      <c r="K62" s="1"/>
      <c r="L62" s="1"/>
      <c r="M62" s="1"/>
      <c r="N62" s="1"/>
      <c r="O62" s="1"/>
    </row>
    <row r="63" spans="1:15" ht="12.75">
      <c r="A63" s="38" t="s">
        <v>61</v>
      </c>
      <c r="B63" s="1">
        <v>11820000</v>
      </c>
      <c r="C63" s="1"/>
      <c r="D63" s="1">
        <f t="shared" si="2"/>
        <v>11820000</v>
      </c>
      <c r="E63" s="1">
        <v>11820000</v>
      </c>
      <c r="F63" s="1">
        <f t="shared" si="0"/>
        <v>11820000</v>
      </c>
      <c r="G63" s="1">
        <f t="shared" si="1"/>
        <v>11820000</v>
      </c>
      <c r="H63" s="1"/>
      <c r="I63" s="1"/>
      <c r="J63" s="1"/>
      <c r="K63" s="1"/>
      <c r="L63" s="1"/>
      <c r="M63" s="1"/>
      <c r="N63" s="1"/>
      <c r="O63" s="1"/>
    </row>
    <row r="64" spans="1:15" ht="12.75">
      <c r="A64" s="38" t="s">
        <v>66</v>
      </c>
      <c r="B64" s="1">
        <v>57319500</v>
      </c>
      <c r="C64" s="1"/>
      <c r="D64" s="1">
        <f t="shared" si="2"/>
        <v>57319500</v>
      </c>
      <c r="E64" s="1">
        <v>0</v>
      </c>
      <c r="F64" s="1">
        <f t="shared" si="0"/>
        <v>0</v>
      </c>
      <c r="G64" s="1">
        <f t="shared" si="1"/>
        <v>0</v>
      </c>
      <c r="H64" s="1"/>
      <c r="I64" s="1"/>
      <c r="J64" s="1"/>
      <c r="K64" s="1"/>
      <c r="L64" s="1"/>
      <c r="M64" s="1"/>
      <c r="N64" s="1"/>
      <c r="O64" s="1"/>
    </row>
    <row r="65" spans="1:15" ht="12.75">
      <c r="A65" s="38" t="s">
        <v>67</v>
      </c>
      <c r="B65" s="1">
        <v>18076500</v>
      </c>
      <c r="C65" s="1"/>
      <c r="D65" s="1">
        <f t="shared" si="2"/>
        <v>18076500</v>
      </c>
      <c r="E65" s="1">
        <v>8792499</v>
      </c>
      <c r="F65" s="1">
        <f t="shared" si="0"/>
        <v>8792499</v>
      </c>
      <c r="G65" s="1">
        <f t="shared" si="1"/>
        <v>8792499</v>
      </c>
      <c r="H65" s="1"/>
      <c r="I65" s="1"/>
      <c r="J65" s="1"/>
      <c r="K65" s="1"/>
      <c r="L65" s="1"/>
      <c r="M65" s="1"/>
      <c r="N65" s="1"/>
      <c r="O65" s="1"/>
    </row>
    <row r="66" spans="1:15" ht="12.75">
      <c r="A66" s="38" t="s">
        <v>68</v>
      </c>
      <c r="B66" s="1">
        <v>114639000</v>
      </c>
      <c r="C66" s="1"/>
      <c r="D66" s="1">
        <f t="shared" si="2"/>
        <v>114639000</v>
      </c>
      <c r="E66" s="1">
        <v>0</v>
      </c>
      <c r="F66" s="1">
        <f t="shared" si="0"/>
        <v>0</v>
      </c>
      <c r="G66" s="1">
        <f t="shared" si="1"/>
        <v>0</v>
      </c>
      <c r="H66" s="1"/>
      <c r="I66" s="1"/>
      <c r="J66" s="1"/>
      <c r="K66" s="1"/>
      <c r="L66" s="1"/>
      <c r="M66" s="1"/>
      <c r="N66" s="1"/>
      <c r="O66" s="1"/>
    </row>
    <row r="67" spans="1:15" ht="12.75">
      <c r="A67" s="38" t="s">
        <v>70</v>
      </c>
      <c r="B67" s="1">
        <v>1346000</v>
      </c>
      <c r="C67" s="1"/>
      <c r="D67" s="1">
        <f t="shared" si="2"/>
        <v>1346000</v>
      </c>
      <c r="E67" s="1">
        <v>620674</v>
      </c>
      <c r="F67" s="1">
        <f aca="true" t="shared" si="3" ref="F67:F74">+E67</f>
        <v>620674</v>
      </c>
      <c r="G67" s="1">
        <f t="shared" si="1"/>
        <v>620674</v>
      </c>
      <c r="H67" s="1"/>
      <c r="I67" s="1"/>
      <c r="J67" s="1"/>
      <c r="K67" s="1"/>
      <c r="L67" s="1"/>
      <c r="M67" s="1"/>
      <c r="N67" s="1"/>
      <c r="O67" s="1"/>
    </row>
    <row r="68" spans="1:15" ht="12.75">
      <c r="A68" s="38" t="s">
        <v>78</v>
      </c>
      <c r="B68" s="1">
        <v>73908425</v>
      </c>
      <c r="C68" s="1"/>
      <c r="D68" s="1">
        <f t="shared" si="2"/>
        <v>73908425</v>
      </c>
      <c r="E68" s="1">
        <v>73908425</v>
      </c>
      <c r="F68" s="1">
        <f t="shared" si="3"/>
        <v>73908425</v>
      </c>
      <c r="G68" s="1">
        <f t="shared" si="1"/>
        <v>73908425</v>
      </c>
      <c r="H68" s="1"/>
      <c r="I68" s="1"/>
      <c r="J68" s="1"/>
      <c r="K68" s="1"/>
      <c r="L68" s="1"/>
      <c r="M68" s="1"/>
      <c r="N68" s="1"/>
      <c r="O68" s="1"/>
    </row>
    <row r="69" spans="1:15" ht="12.75">
      <c r="A69" s="38" t="s">
        <v>79</v>
      </c>
      <c r="B69" s="1">
        <v>178721995</v>
      </c>
      <c r="C69" s="1"/>
      <c r="D69" s="1">
        <f t="shared" si="2"/>
        <v>178721995</v>
      </c>
      <c r="E69" s="1">
        <v>82279195</v>
      </c>
      <c r="F69" s="1">
        <f t="shared" si="3"/>
        <v>82279195</v>
      </c>
      <c r="G69" s="1">
        <f t="shared" si="1"/>
        <v>82279195</v>
      </c>
      <c r="H69" s="1"/>
      <c r="I69" s="1"/>
      <c r="J69" s="1"/>
      <c r="K69" s="1"/>
      <c r="L69" s="1"/>
      <c r="M69" s="1"/>
      <c r="N69" s="1"/>
      <c r="O69" s="1"/>
    </row>
    <row r="70" spans="1:15" ht="12.75">
      <c r="A70" s="38" t="s">
        <v>80</v>
      </c>
      <c r="B70" s="1">
        <v>24506790</v>
      </c>
      <c r="C70" s="1"/>
      <c r="D70" s="1">
        <f t="shared" si="2"/>
        <v>24506790</v>
      </c>
      <c r="E70" s="1">
        <v>17949900</v>
      </c>
      <c r="F70" s="1">
        <f t="shared" si="3"/>
        <v>17949900</v>
      </c>
      <c r="G70" s="1">
        <f t="shared" si="1"/>
        <v>17949900</v>
      </c>
      <c r="H70" s="1"/>
      <c r="I70" s="1"/>
      <c r="J70" s="1"/>
      <c r="K70" s="1"/>
      <c r="L70" s="1"/>
      <c r="M70" s="1"/>
      <c r="N70" s="1"/>
      <c r="O70" s="1"/>
    </row>
    <row r="71" spans="1:15" ht="12.75">
      <c r="A71" s="38" t="s">
        <v>81</v>
      </c>
      <c r="B71" s="1">
        <f>+B70</f>
        <v>24506790</v>
      </c>
      <c r="C71" s="1"/>
      <c r="D71" s="1">
        <f t="shared" si="2"/>
        <v>24506790</v>
      </c>
      <c r="E71" s="1">
        <v>11969600</v>
      </c>
      <c r="F71" s="1">
        <f t="shared" si="3"/>
        <v>11969600</v>
      </c>
      <c r="G71" s="1">
        <f t="shared" si="1"/>
        <v>11969600</v>
      </c>
      <c r="H71" s="1"/>
      <c r="I71" s="1"/>
      <c r="J71" s="1"/>
      <c r="K71" s="1"/>
      <c r="L71" s="1"/>
      <c r="M71" s="1"/>
      <c r="N71" s="1"/>
      <c r="O71" s="1"/>
    </row>
    <row r="72" spans="1:15" ht="12.75">
      <c r="A72" s="38" t="s">
        <v>82</v>
      </c>
      <c r="B72" s="1">
        <v>1333000</v>
      </c>
      <c r="C72" s="1"/>
      <c r="D72" s="1">
        <f t="shared" si="2"/>
        <v>1333000</v>
      </c>
      <c r="E72" s="1">
        <f>+D72</f>
        <v>1333000</v>
      </c>
      <c r="F72" s="1">
        <f t="shared" si="3"/>
        <v>1333000</v>
      </c>
      <c r="G72" s="1">
        <f t="shared" si="1"/>
        <v>1333000</v>
      </c>
      <c r="H72" s="1"/>
      <c r="I72" s="1"/>
      <c r="J72" s="1"/>
      <c r="K72" s="1"/>
      <c r="L72" s="1"/>
      <c r="M72" s="1"/>
      <c r="N72" s="1"/>
      <c r="O72" s="1"/>
    </row>
    <row r="73" spans="1:15" ht="12.75">
      <c r="A73" s="38" t="s">
        <v>88</v>
      </c>
      <c r="B73" s="1">
        <v>25523000</v>
      </c>
      <c r="C73" s="1"/>
      <c r="D73" s="1">
        <f t="shared" si="2"/>
        <v>25523000</v>
      </c>
      <c r="E73" s="1">
        <v>0</v>
      </c>
      <c r="F73" s="1">
        <f t="shared" si="3"/>
        <v>0</v>
      </c>
      <c r="G73" s="1">
        <f t="shared" si="1"/>
        <v>0</v>
      </c>
      <c r="H73" s="1"/>
      <c r="I73" s="1"/>
      <c r="J73" s="1"/>
      <c r="K73" s="1"/>
      <c r="L73" s="1"/>
      <c r="M73" s="1"/>
      <c r="N73" s="1"/>
      <c r="O73" s="1"/>
    </row>
    <row r="74" spans="1:15" ht="12.75">
      <c r="A74" s="38" t="s">
        <v>94</v>
      </c>
      <c r="B74" s="1">
        <v>9578000</v>
      </c>
      <c r="C74" s="1"/>
      <c r="D74" s="1">
        <f t="shared" si="2"/>
        <v>9578000</v>
      </c>
      <c r="E74" s="1">
        <v>0</v>
      </c>
      <c r="F74" s="1">
        <f t="shared" si="3"/>
        <v>0</v>
      </c>
      <c r="G74" s="1">
        <f t="shared" si="1"/>
        <v>0</v>
      </c>
      <c r="H74" s="1"/>
      <c r="I74" s="1"/>
      <c r="J74" s="1"/>
      <c r="K74" s="1"/>
      <c r="L74" s="1"/>
      <c r="M74" s="1"/>
      <c r="N74" s="1"/>
      <c r="O74" s="1"/>
    </row>
    <row r="75" spans="2:15" ht="12.75">
      <c r="B75" s="1">
        <f>SUM(B61:B74)</f>
        <v>1694748000</v>
      </c>
      <c r="C75" s="1"/>
      <c r="D75" s="1">
        <f>SUM(D61:D74)</f>
        <v>1694748000</v>
      </c>
      <c r="E75" s="1">
        <f>SUM(E61:E74)</f>
        <v>922806076</v>
      </c>
      <c r="F75" s="1">
        <f>SUM(F61:F74)</f>
        <v>922806076</v>
      </c>
      <c r="G75" s="1">
        <f>SUM(G61:G74)</f>
        <v>922806076</v>
      </c>
      <c r="H75" s="1"/>
      <c r="I75" s="1"/>
      <c r="J75" s="1"/>
      <c r="K75" s="1"/>
      <c r="L75" s="1"/>
      <c r="M75" s="1"/>
      <c r="N75" s="1"/>
      <c r="O75" s="1"/>
    </row>
    <row r="76" spans="2:15" ht="12.75">
      <c r="B76" s="1" t="s">
        <v>1</v>
      </c>
      <c r="C76" s="1"/>
      <c r="D76" s="6" t="s">
        <v>1</v>
      </c>
      <c r="E76" s="1"/>
      <c r="F76" s="1"/>
      <c r="G76" s="6" t="s">
        <v>1</v>
      </c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">
        <f t="shared" si="2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47"/>
      <c r="B78" s="51" t="s">
        <v>29</v>
      </c>
      <c r="C78" s="181" t="s">
        <v>57</v>
      </c>
      <c r="D78" s="181"/>
      <c r="E78" s="181"/>
      <c r="F78" s="181"/>
      <c r="G78" s="181"/>
      <c r="H78" s="181"/>
      <c r="I78" s="181"/>
      <c r="J78" s="181"/>
      <c r="K78" s="48"/>
      <c r="L78" s="48"/>
      <c r="M78" s="48"/>
      <c r="N78" s="1"/>
      <c r="O78" s="1"/>
    </row>
    <row r="79" spans="1:15" ht="25.5">
      <c r="A79" s="47"/>
      <c r="B79" s="51"/>
      <c r="C79" s="51" t="s">
        <v>110</v>
      </c>
      <c r="D79" s="51"/>
      <c r="E79" s="51"/>
      <c r="F79" s="51"/>
      <c r="G79" s="49"/>
      <c r="H79" s="49"/>
      <c r="I79" s="49"/>
      <c r="J79" s="52" t="s">
        <v>30</v>
      </c>
      <c r="K79" s="49" t="s">
        <v>108</v>
      </c>
      <c r="L79" s="49" t="s">
        <v>6</v>
      </c>
      <c r="M79" s="49" t="s">
        <v>130</v>
      </c>
      <c r="N79" s="146" t="s">
        <v>174</v>
      </c>
      <c r="O79" s="1"/>
    </row>
    <row r="80" spans="1:15" ht="12.75">
      <c r="A80" s="47"/>
      <c r="B80" s="53" t="s">
        <v>1</v>
      </c>
      <c r="C80" s="51"/>
      <c r="D80" s="51"/>
      <c r="E80" s="51"/>
      <c r="F80" s="51"/>
      <c r="G80" s="49"/>
      <c r="H80" s="49"/>
      <c r="I80" s="49"/>
      <c r="J80" s="52"/>
      <c r="K80" s="49"/>
      <c r="L80" s="49"/>
      <c r="M80" s="48"/>
      <c r="N80" s="1"/>
      <c r="O80" s="1"/>
    </row>
    <row r="81" spans="1:15" ht="12.75">
      <c r="A81" s="51" t="s">
        <v>47</v>
      </c>
      <c r="B81" s="49">
        <f>+B82+B98+B102+B103+B104+B105</f>
        <v>1747099361</v>
      </c>
      <c r="C81" s="49">
        <f>+C82+C98+C102+C103+C104+C105</f>
        <v>30000000</v>
      </c>
      <c r="D81" s="49"/>
      <c r="E81" s="49"/>
      <c r="F81" s="49"/>
      <c r="G81" s="49"/>
      <c r="H81" s="49"/>
      <c r="I81" s="49"/>
      <c r="J81" s="49">
        <f>+J82+J98+J102+J103+J104+J105</f>
        <v>1777099361</v>
      </c>
      <c r="K81" s="49">
        <f>+K82+K98+K102+K103+K104+K105</f>
        <v>446623605</v>
      </c>
      <c r="L81" s="49">
        <f>+L82+L98+L102+L103+L104+L105</f>
        <v>433017976</v>
      </c>
      <c r="M81" s="49">
        <f>+M82+M98+M102+M103+M104+M105</f>
        <v>224328659</v>
      </c>
      <c r="N81" s="1">
        <f>+J81-K81</f>
        <v>1330475756</v>
      </c>
      <c r="O81" s="1"/>
    </row>
    <row r="82" spans="1:15" ht="25.5">
      <c r="A82" s="54" t="s">
        <v>98</v>
      </c>
      <c r="B82" s="49">
        <f>+B83+B84+B85+B86+B95</f>
        <v>950013146</v>
      </c>
      <c r="C82" s="49">
        <f>+C83+C84+C85+C86+C95</f>
        <v>10000000</v>
      </c>
      <c r="D82" s="49"/>
      <c r="E82" s="49"/>
      <c r="F82" s="49"/>
      <c r="G82" s="49"/>
      <c r="H82" s="49"/>
      <c r="I82" s="49"/>
      <c r="J82" s="49">
        <f>+J83+J84+J85+J86+J95</f>
        <v>960013146</v>
      </c>
      <c r="K82" s="49">
        <f>+K83+K84+K85+K86+K95</f>
        <v>127966331</v>
      </c>
      <c r="L82" s="49">
        <f>+L83+L84+L85+L86+L95</f>
        <v>114360805</v>
      </c>
      <c r="M82" s="49">
        <f>+M83+M84+M85+M86+M95</f>
        <v>96318602</v>
      </c>
      <c r="N82" s="1">
        <f aca="true" t="shared" si="4" ref="N82:N129">+J82-K82</f>
        <v>832046815</v>
      </c>
      <c r="O82" s="1"/>
    </row>
    <row r="83" spans="1:28" ht="12.75">
      <c r="A83" s="51" t="s">
        <v>59</v>
      </c>
      <c r="B83" s="1">
        <v>574662906</v>
      </c>
      <c r="C83" s="49">
        <v>0</v>
      </c>
      <c r="D83" s="48"/>
      <c r="E83" s="48"/>
      <c r="F83" s="48"/>
      <c r="G83" s="48"/>
      <c r="H83" s="48"/>
      <c r="I83" s="48"/>
      <c r="J83" s="48">
        <f aca="true" t="shared" si="5" ref="J83:J94">SUM(B83:I83)</f>
        <v>574662906</v>
      </c>
      <c r="K83" s="48">
        <v>19777204</v>
      </c>
      <c r="L83" s="48">
        <v>19713540</v>
      </c>
      <c r="M83" s="48">
        <v>1745334</v>
      </c>
      <c r="N83" s="1">
        <f t="shared" si="4"/>
        <v>554885702</v>
      </c>
      <c r="O83" s="1"/>
      <c r="Y83" s="1">
        <v>564629272</v>
      </c>
      <c r="Z83" s="1">
        <v>564629272</v>
      </c>
      <c r="AA83" s="1"/>
      <c r="AB83" s="1"/>
    </row>
    <row r="84" spans="1:28" ht="12.75">
      <c r="A84" s="51" t="s">
        <v>58</v>
      </c>
      <c r="B84" s="1">
        <v>118619482</v>
      </c>
      <c r="C84" s="49">
        <v>0</v>
      </c>
      <c r="D84" s="49"/>
      <c r="E84" s="49"/>
      <c r="F84" s="49"/>
      <c r="G84" s="49"/>
      <c r="H84" s="49"/>
      <c r="I84" s="49"/>
      <c r="J84" s="48">
        <f t="shared" si="5"/>
        <v>118619482</v>
      </c>
      <c r="K84" s="48">
        <v>31365370</v>
      </c>
      <c r="L84" s="48">
        <v>31365370</v>
      </c>
      <c r="M84" s="48">
        <v>31365370</v>
      </c>
      <c r="N84" s="1">
        <f t="shared" si="4"/>
        <v>87254112</v>
      </c>
      <c r="O84" s="1"/>
      <c r="Y84" s="1">
        <v>75588451</v>
      </c>
      <c r="Z84" s="1">
        <v>75588451</v>
      </c>
      <c r="AA84" s="1"/>
      <c r="AB84" s="1"/>
    </row>
    <row r="85" spans="1:28" ht="12.75">
      <c r="A85" s="51" t="s">
        <v>62</v>
      </c>
      <c r="B85" s="1">
        <v>54119215</v>
      </c>
      <c r="C85" s="48">
        <v>0</v>
      </c>
      <c r="D85" s="48"/>
      <c r="E85" s="48"/>
      <c r="F85" s="48"/>
      <c r="G85" s="48"/>
      <c r="H85" s="48"/>
      <c r="I85" s="48"/>
      <c r="J85" s="48">
        <f t="shared" si="5"/>
        <v>54119215</v>
      </c>
      <c r="K85" s="48">
        <v>121159</v>
      </c>
      <c r="L85" s="48">
        <f>+K85</f>
        <v>121159</v>
      </c>
      <c r="M85" s="48">
        <v>120676</v>
      </c>
      <c r="N85" s="1">
        <f t="shared" si="4"/>
        <v>53998056</v>
      </c>
      <c r="O85" s="1"/>
      <c r="Y85" s="1">
        <v>59354766</v>
      </c>
      <c r="Z85" s="1">
        <v>59354766</v>
      </c>
      <c r="AA85" s="1"/>
      <c r="AB85" s="1"/>
    </row>
    <row r="86" spans="1:28" ht="12.75">
      <c r="A86" s="51" t="s">
        <v>72</v>
      </c>
      <c r="B86" s="1">
        <f>SUM(B87:B94)</f>
        <v>192721542</v>
      </c>
      <c r="C86" s="48">
        <v>0</v>
      </c>
      <c r="D86" s="48"/>
      <c r="E86" s="48"/>
      <c r="F86" s="48"/>
      <c r="G86" s="48"/>
      <c r="H86" s="48"/>
      <c r="I86" s="48"/>
      <c r="J86" s="48">
        <f t="shared" si="5"/>
        <v>192721542</v>
      </c>
      <c r="K86" s="48">
        <f>SUM(K87:K94)</f>
        <v>59141840</v>
      </c>
      <c r="L86" s="48">
        <f>SUM(L87:L94)</f>
        <v>48203699</v>
      </c>
      <c r="M86" s="48">
        <f>SUM(M87:M94)</f>
        <v>48159953</v>
      </c>
      <c r="N86" s="1">
        <f t="shared" si="4"/>
        <v>133579702</v>
      </c>
      <c r="O86" s="1"/>
      <c r="Y86" s="1"/>
      <c r="Z86" s="1"/>
      <c r="AA86" s="1"/>
      <c r="AB86" s="1"/>
    </row>
    <row r="87" spans="1:28" ht="12.75">
      <c r="A87" s="51" t="s">
        <v>61</v>
      </c>
      <c r="B87" s="1">
        <v>39875154</v>
      </c>
      <c r="C87" s="48"/>
      <c r="D87" s="48"/>
      <c r="E87" s="48"/>
      <c r="F87" s="48"/>
      <c r="G87" s="48"/>
      <c r="H87" s="48"/>
      <c r="I87" s="48"/>
      <c r="J87" s="48">
        <f t="shared" si="5"/>
        <v>39875154</v>
      </c>
      <c r="K87" s="48">
        <v>17113842</v>
      </c>
      <c r="L87" s="48">
        <v>17113842</v>
      </c>
      <c r="M87" s="48">
        <v>17113842</v>
      </c>
      <c r="N87" s="1">
        <f t="shared" si="4"/>
        <v>22761312</v>
      </c>
      <c r="O87" s="1"/>
      <c r="Y87" s="1"/>
      <c r="Z87" s="1"/>
      <c r="AA87" s="1"/>
      <c r="AB87" s="1"/>
    </row>
    <row r="88" spans="1:28" ht="12.75">
      <c r="A88" s="51" t="s">
        <v>63</v>
      </c>
      <c r="B88" s="1">
        <v>9530530</v>
      </c>
      <c r="C88" s="48"/>
      <c r="D88" s="48"/>
      <c r="E88" s="48"/>
      <c r="F88" s="48"/>
      <c r="G88" s="48"/>
      <c r="H88" s="48"/>
      <c r="I88" s="48"/>
      <c r="J88" s="48">
        <f t="shared" si="5"/>
        <v>9530530</v>
      </c>
      <c r="K88" s="48">
        <v>3598444</v>
      </c>
      <c r="L88" s="48">
        <v>3471117</v>
      </c>
      <c r="M88" s="48">
        <v>3470088</v>
      </c>
      <c r="N88" s="1">
        <f t="shared" si="4"/>
        <v>5932086</v>
      </c>
      <c r="O88" s="1"/>
      <c r="Y88" s="1"/>
      <c r="Z88" s="1"/>
      <c r="AA88" s="1"/>
      <c r="AB88" s="1"/>
    </row>
    <row r="89" spans="1:28" ht="12.75">
      <c r="A89" s="51" t="s">
        <v>64</v>
      </c>
      <c r="B89" s="1">
        <v>6402264</v>
      </c>
      <c r="C89" s="48">
        <v>0</v>
      </c>
      <c r="D89" s="48"/>
      <c r="E89" s="48"/>
      <c r="F89" s="48"/>
      <c r="G89" s="48"/>
      <c r="H89" s="48"/>
      <c r="I89" s="48"/>
      <c r="J89" s="48">
        <f t="shared" si="5"/>
        <v>6402264</v>
      </c>
      <c r="K89" s="48">
        <v>2780216</v>
      </c>
      <c r="L89" s="48">
        <v>2780216</v>
      </c>
      <c r="M89" s="48">
        <v>2780216</v>
      </c>
      <c r="N89" s="1">
        <f t="shared" si="4"/>
        <v>3622048</v>
      </c>
      <c r="O89" s="1"/>
      <c r="Y89" s="1"/>
      <c r="Z89" s="1"/>
      <c r="AA89" s="1"/>
      <c r="AB89" s="1"/>
    </row>
    <row r="90" spans="1:28" ht="12.75">
      <c r="A90" s="51" t="s">
        <v>65</v>
      </c>
      <c r="B90" s="1">
        <v>6218100</v>
      </c>
      <c r="C90" s="48"/>
      <c r="D90" s="48"/>
      <c r="E90" s="48"/>
      <c r="F90" s="48"/>
      <c r="G90" s="48"/>
      <c r="H90" s="48"/>
      <c r="I90" s="48"/>
      <c r="J90" s="48">
        <f t="shared" si="5"/>
        <v>6218100</v>
      </c>
      <c r="K90" s="48">
        <v>2903568</v>
      </c>
      <c r="L90" s="48">
        <v>2903568</v>
      </c>
      <c r="M90" s="48">
        <v>2903568</v>
      </c>
      <c r="N90" s="1">
        <f t="shared" si="4"/>
        <v>3314532</v>
      </c>
      <c r="O90" s="1"/>
      <c r="Y90" s="1"/>
      <c r="Z90" s="1"/>
      <c r="AA90" s="1"/>
      <c r="AB90" s="1"/>
    </row>
    <row r="91" spans="1:28" ht="12.75">
      <c r="A91" s="51" t="s">
        <v>66</v>
      </c>
      <c r="B91" s="1">
        <v>16946610</v>
      </c>
      <c r="C91" s="48">
        <v>0</v>
      </c>
      <c r="D91" s="48"/>
      <c r="E91" s="48"/>
      <c r="F91" s="48"/>
      <c r="G91" s="48"/>
      <c r="H91" s="48"/>
      <c r="I91" s="48"/>
      <c r="J91" s="48">
        <f t="shared" si="5"/>
        <v>16946610</v>
      </c>
      <c r="K91" s="48">
        <v>7968750</v>
      </c>
      <c r="L91" s="48">
        <v>3243195</v>
      </c>
      <c r="M91" s="48">
        <v>3230274</v>
      </c>
      <c r="N91" s="1">
        <f t="shared" si="4"/>
        <v>8977860</v>
      </c>
      <c r="O91" s="1"/>
      <c r="Y91" s="1"/>
      <c r="Z91" s="1"/>
      <c r="AA91" s="1"/>
      <c r="AB91" s="1"/>
    </row>
    <row r="92" spans="1:28" ht="12.75">
      <c r="A92" s="51" t="s">
        <v>67</v>
      </c>
      <c r="B92" s="1">
        <v>59284032</v>
      </c>
      <c r="C92" s="48">
        <v>0</v>
      </c>
      <c r="D92" s="48"/>
      <c r="E92" s="48"/>
      <c r="F92" s="48"/>
      <c r="G92" s="48"/>
      <c r="H92" s="48"/>
      <c r="I92" s="48"/>
      <c r="J92" s="48">
        <f t="shared" si="5"/>
        <v>59284032</v>
      </c>
      <c r="K92" s="48">
        <v>18758088</v>
      </c>
      <c r="L92" s="48">
        <v>13581379</v>
      </c>
      <c r="M92" s="48">
        <v>13560507</v>
      </c>
      <c r="N92" s="1">
        <f t="shared" si="4"/>
        <v>40525944</v>
      </c>
      <c r="O92" s="1"/>
      <c r="Y92" s="1"/>
      <c r="Z92" s="1"/>
      <c r="AA92" s="1"/>
      <c r="AB92" s="1"/>
    </row>
    <row r="93" spans="1:28" ht="12.75">
      <c r="A93" s="51" t="s">
        <v>68</v>
      </c>
      <c r="B93" s="1">
        <v>41687189</v>
      </c>
      <c r="C93" s="48">
        <v>0</v>
      </c>
      <c r="D93" s="48"/>
      <c r="E93" s="48"/>
      <c r="F93" s="48"/>
      <c r="G93" s="48"/>
      <c r="H93" s="48"/>
      <c r="I93" s="48"/>
      <c r="J93" s="48">
        <f t="shared" si="5"/>
        <v>41687189</v>
      </c>
      <c r="K93" s="49">
        <v>2594537</v>
      </c>
      <c r="L93" s="48">
        <v>2240417</v>
      </c>
      <c r="M93" s="48">
        <v>2231493</v>
      </c>
      <c r="N93" s="1">
        <f t="shared" si="4"/>
        <v>39092652</v>
      </c>
      <c r="O93" s="1"/>
      <c r="Y93" s="1"/>
      <c r="Z93" s="1"/>
      <c r="AA93" s="1"/>
      <c r="AB93" s="1"/>
    </row>
    <row r="94" spans="1:28" ht="12.75">
      <c r="A94" s="51" t="s">
        <v>69</v>
      </c>
      <c r="B94" s="1">
        <v>12777663</v>
      </c>
      <c r="C94" s="48"/>
      <c r="D94" s="48"/>
      <c r="E94" s="48"/>
      <c r="F94" s="48"/>
      <c r="G94" s="48"/>
      <c r="H94" s="48"/>
      <c r="I94" s="48"/>
      <c r="J94" s="48">
        <f t="shared" si="5"/>
        <v>12777663</v>
      </c>
      <c r="K94" s="48">
        <v>3424395</v>
      </c>
      <c r="L94" s="48">
        <v>2869965</v>
      </c>
      <c r="M94" s="48">
        <f>+L94</f>
        <v>2869965</v>
      </c>
      <c r="N94" s="1">
        <f t="shared" si="4"/>
        <v>9353268</v>
      </c>
      <c r="O94" s="1"/>
      <c r="Y94" s="1"/>
      <c r="Z94" s="1"/>
      <c r="AA94" s="1"/>
      <c r="AB94" s="1"/>
    </row>
    <row r="95" spans="1:28" ht="12.75">
      <c r="A95" s="51" t="s">
        <v>74</v>
      </c>
      <c r="B95" s="1">
        <f>+B96+B97</f>
        <v>9890001</v>
      </c>
      <c r="C95" s="48">
        <f>+C96+C97</f>
        <v>10000000</v>
      </c>
      <c r="D95" s="48"/>
      <c r="E95" s="48"/>
      <c r="F95" s="48"/>
      <c r="G95" s="48"/>
      <c r="H95" s="48"/>
      <c r="I95" s="48"/>
      <c r="J95" s="1">
        <f>+J96+J97</f>
        <v>19890001</v>
      </c>
      <c r="K95" s="1">
        <f>+K96+K97</f>
        <v>17560758</v>
      </c>
      <c r="L95" s="1">
        <f>+L96+L97</f>
        <v>14957037</v>
      </c>
      <c r="M95" s="1">
        <f>+M96+M97</f>
        <v>14927269</v>
      </c>
      <c r="N95" s="48">
        <f>SUM(F95:M95)</f>
        <v>67335065</v>
      </c>
      <c r="O95" s="1"/>
      <c r="Y95" s="1"/>
      <c r="Z95" s="1"/>
      <c r="AA95" s="1"/>
      <c r="AB95" s="1"/>
    </row>
    <row r="96" spans="1:28" ht="12.75">
      <c r="A96" s="51" t="s">
        <v>70</v>
      </c>
      <c r="B96" s="1">
        <v>0</v>
      </c>
      <c r="C96" s="48"/>
      <c r="D96" s="48"/>
      <c r="E96" s="48"/>
      <c r="F96" s="48"/>
      <c r="G96" s="48"/>
      <c r="H96" s="48"/>
      <c r="I96" s="48"/>
      <c r="J96" s="48">
        <f>SUM(B96:I96)</f>
        <v>0</v>
      </c>
      <c r="K96" s="48">
        <v>0</v>
      </c>
      <c r="L96" s="48">
        <f>+K96</f>
        <v>0</v>
      </c>
      <c r="M96" s="48">
        <f>+L96</f>
        <v>0</v>
      </c>
      <c r="N96" s="1">
        <f t="shared" si="4"/>
        <v>0</v>
      </c>
      <c r="O96" s="1"/>
      <c r="Y96" s="1"/>
      <c r="Z96" s="1"/>
      <c r="AA96" s="1"/>
      <c r="AB96" s="1"/>
    </row>
    <row r="97" spans="1:28" ht="12.75">
      <c r="A97" s="51" t="s">
        <v>71</v>
      </c>
      <c r="B97" s="1">
        <v>9890001</v>
      </c>
      <c r="C97" s="48">
        <v>10000000</v>
      </c>
      <c r="D97" s="48"/>
      <c r="E97" s="48"/>
      <c r="F97" s="48"/>
      <c r="G97" s="48"/>
      <c r="H97" s="48"/>
      <c r="I97" s="48"/>
      <c r="J97" s="48">
        <f>SUM(B97:I97)</f>
        <v>19890001</v>
      </c>
      <c r="K97" s="48">
        <v>17560758</v>
      </c>
      <c r="L97" s="48">
        <v>14957037</v>
      </c>
      <c r="M97" s="48">
        <v>14927269</v>
      </c>
      <c r="N97" s="1">
        <f t="shared" si="4"/>
        <v>2329243</v>
      </c>
      <c r="O97" s="1"/>
      <c r="Y97" s="1"/>
      <c r="Z97" s="1"/>
      <c r="AA97" s="1"/>
      <c r="AB97" s="1"/>
    </row>
    <row r="98" spans="1:28" ht="12.75">
      <c r="A98" s="51" t="s">
        <v>73</v>
      </c>
      <c r="B98" s="1">
        <f>+B99+B100+B101</f>
        <v>389496000</v>
      </c>
      <c r="C98" s="48">
        <f>+C99+C100+C101</f>
        <v>20000000</v>
      </c>
      <c r="D98" s="48"/>
      <c r="E98" s="48"/>
      <c r="F98" s="48"/>
      <c r="G98" s="48"/>
      <c r="H98" s="48"/>
      <c r="I98" s="48"/>
      <c r="J98" s="1">
        <f>+J99+J100+J101</f>
        <v>409496000</v>
      </c>
      <c r="K98" s="1">
        <f>+K99+K100+K101</f>
        <v>247552546</v>
      </c>
      <c r="L98" s="1">
        <f>+L99+L100+L101</f>
        <v>247552544</v>
      </c>
      <c r="M98" s="1">
        <f>+M99+M100+M101</f>
        <v>65567208</v>
      </c>
      <c r="N98" s="1">
        <f t="shared" si="4"/>
        <v>161943454</v>
      </c>
      <c r="O98" s="1"/>
      <c r="Y98" s="1"/>
      <c r="Z98" s="1"/>
      <c r="AA98" s="1"/>
      <c r="AB98" s="1"/>
    </row>
    <row r="99" spans="1:28" ht="12.75">
      <c r="A99" s="51" t="s">
        <v>75</v>
      </c>
      <c r="B99" s="1">
        <v>10000000</v>
      </c>
      <c r="C99" s="48"/>
      <c r="D99" s="48"/>
      <c r="E99" s="48"/>
      <c r="F99" s="48"/>
      <c r="G99" s="48"/>
      <c r="H99" s="48"/>
      <c r="I99" s="48"/>
      <c r="J99" s="48">
        <f aca="true" t="shared" si="6" ref="J99:J106">SUM(B99:I99)</f>
        <v>10000000</v>
      </c>
      <c r="K99" s="48">
        <v>0</v>
      </c>
      <c r="L99" s="48">
        <f>+K99</f>
        <v>0</v>
      </c>
      <c r="M99" s="48">
        <f>+L99</f>
        <v>0</v>
      </c>
      <c r="N99" s="1">
        <f t="shared" si="4"/>
        <v>10000000</v>
      </c>
      <c r="O99" s="1"/>
      <c r="Y99" s="1"/>
      <c r="Z99" s="1"/>
      <c r="AA99" s="1"/>
      <c r="AB99" s="1"/>
    </row>
    <row r="100" spans="1:28" ht="12.75">
      <c r="A100" s="51" t="s">
        <v>76</v>
      </c>
      <c r="B100" s="1">
        <v>15000000</v>
      </c>
      <c r="C100" s="48">
        <v>0</v>
      </c>
      <c r="D100" s="48"/>
      <c r="E100" s="48"/>
      <c r="F100" s="48"/>
      <c r="G100" s="48"/>
      <c r="H100" s="48"/>
      <c r="I100" s="48"/>
      <c r="J100" s="48">
        <f t="shared" si="6"/>
        <v>15000000</v>
      </c>
      <c r="K100" s="48">
        <v>4342270</v>
      </c>
      <c r="L100" s="48">
        <v>4342268</v>
      </c>
      <c r="M100" s="49">
        <v>3110415</v>
      </c>
      <c r="N100" s="1">
        <f t="shared" si="4"/>
        <v>10657730</v>
      </c>
      <c r="O100" s="1"/>
      <c r="Y100" s="1"/>
      <c r="Z100" s="1"/>
      <c r="AA100" s="1"/>
      <c r="AB100" s="1"/>
    </row>
    <row r="101" spans="1:28" ht="12.75">
      <c r="A101" s="51" t="s">
        <v>77</v>
      </c>
      <c r="B101" s="1">
        <v>364496000</v>
      </c>
      <c r="C101" s="48">
        <v>20000000</v>
      </c>
      <c r="D101" s="48"/>
      <c r="E101" s="48"/>
      <c r="F101" s="48"/>
      <c r="G101" s="48"/>
      <c r="H101" s="48"/>
      <c r="I101" s="48"/>
      <c r="J101" s="48">
        <f t="shared" si="6"/>
        <v>384496000</v>
      </c>
      <c r="K101" s="48">
        <v>243210276</v>
      </c>
      <c r="L101" s="48">
        <v>243210276</v>
      </c>
      <c r="M101" s="48">
        <v>62456793</v>
      </c>
      <c r="N101" s="1">
        <f t="shared" si="4"/>
        <v>141285724</v>
      </c>
      <c r="O101" s="6" t="s">
        <v>1</v>
      </c>
      <c r="Y101" s="1"/>
      <c r="Z101" s="1"/>
      <c r="AA101" s="1"/>
      <c r="AB101" s="1"/>
    </row>
    <row r="102" spans="1:28" ht="12.75">
      <c r="A102" s="51" t="s">
        <v>78</v>
      </c>
      <c r="B102" s="1">
        <v>251384094</v>
      </c>
      <c r="C102" s="48">
        <v>0</v>
      </c>
      <c r="D102" s="48"/>
      <c r="E102" s="48"/>
      <c r="F102" s="49"/>
      <c r="G102" s="48"/>
      <c r="H102" s="48"/>
      <c r="I102" s="48"/>
      <c r="J102" s="48">
        <f t="shared" si="6"/>
        <v>251384094</v>
      </c>
      <c r="K102" s="48">
        <v>60202599</v>
      </c>
      <c r="L102" s="48">
        <v>60202498</v>
      </c>
      <c r="M102" s="48">
        <v>59962749</v>
      </c>
      <c r="N102" s="1">
        <f t="shared" si="4"/>
        <v>191181495</v>
      </c>
      <c r="O102" s="1"/>
      <c r="Y102" s="1"/>
      <c r="Z102" s="1"/>
      <c r="AA102" s="1"/>
      <c r="AB102" s="1"/>
    </row>
    <row r="103" spans="1:28" ht="12.75">
      <c r="A103" s="51" t="s">
        <v>79</v>
      </c>
      <c r="B103" s="1">
        <v>101013632</v>
      </c>
      <c r="C103" s="48">
        <v>0</v>
      </c>
      <c r="D103" s="48"/>
      <c r="E103" s="48"/>
      <c r="F103" s="48"/>
      <c r="G103" s="48"/>
      <c r="H103" s="48"/>
      <c r="I103" s="48"/>
      <c r="J103" s="48">
        <f t="shared" si="6"/>
        <v>101013632</v>
      </c>
      <c r="K103" s="48">
        <v>2490021</v>
      </c>
      <c r="L103" s="48">
        <v>2490021</v>
      </c>
      <c r="M103" s="48">
        <v>2480100</v>
      </c>
      <c r="N103" s="1">
        <f t="shared" si="4"/>
        <v>98523611</v>
      </c>
      <c r="O103" s="1"/>
      <c r="Y103" s="1"/>
      <c r="Z103" s="1"/>
      <c r="AA103" s="1"/>
      <c r="AB103" s="1"/>
    </row>
    <row r="104" spans="1:28" ht="12.75">
      <c r="A104" s="51" t="s">
        <v>80</v>
      </c>
      <c r="B104" s="1">
        <v>38016851</v>
      </c>
      <c r="C104" s="48">
        <v>0</v>
      </c>
      <c r="D104" s="48"/>
      <c r="E104" s="48"/>
      <c r="F104" s="48"/>
      <c r="G104" s="48"/>
      <c r="H104" s="48"/>
      <c r="I104" s="48"/>
      <c r="J104" s="48">
        <f t="shared" si="6"/>
        <v>38016851</v>
      </c>
      <c r="K104" s="48">
        <v>0</v>
      </c>
      <c r="L104" s="48">
        <f>+K104</f>
        <v>0</v>
      </c>
      <c r="M104" s="48">
        <f>+L104</f>
        <v>0</v>
      </c>
      <c r="N104" s="1">
        <f t="shared" si="4"/>
        <v>38016851</v>
      </c>
      <c r="O104" s="1"/>
      <c r="Y104" s="1"/>
      <c r="Z104" s="1"/>
      <c r="AA104" s="1"/>
      <c r="AB104" s="1"/>
    </row>
    <row r="105" spans="1:28" ht="12.75">
      <c r="A105" s="51" t="s">
        <v>81</v>
      </c>
      <c r="B105" s="1">
        <v>17175638</v>
      </c>
      <c r="C105" s="48">
        <v>0</v>
      </c>
      <c r="D105" s="48"/>
      <c r="E105" s="48"/>
      <c r="F105" s="48"/>
      <c r="G105" s="48"/>
      <c r="H105" s="48"/>
      <c r="I105" s="48"/>
      <c r="J105" s="48">
        <f t="shared" si="6"/>
        <v>17175638</v>
      </c>
      <c r="K105" s="48">
        <v>8412108</v>
      </c>
      <c r="L105" s="48">
        <v>8412108</v>
      </c>
      <c r="M105" s="48">
        <v>0</v>
      </c>
      <c r="N105" s="1">
        <f t="shared" si="4"/>
        <v>8763530</v>
      </c>
      <c r="O105" s="1"/>
      <c r="Y105" s="1"/>
      <c r="Z105" s="1"/>
      <c r="AA105" s="1"/>
      <c r="AB105" s="1"/>
    </row>
    <row r="106" spans="1:28" ht="12.75">
      <c r="A106" s="51"/>
      <c r="B106" s="48"/>
      <c r="C106" s="48"/>
      <c r="D106" s="48"/>
      <c r="E106" s="48"/>
      <c r="F106" s="48"/>
      <c r="G106" s="48"/>
      <c r="H106" s="48"/>
      <c r="I106" s="48"/>
      <c r="J106" s="48">
        <f t="shared" si="6"/>
        <v>0</v>
      </c>
      <c r="K106" s="48"/>
      <c r="L106" s="48"/>
      <c r="M106" s="48"/>
      <c r="N106" s="1">
        <f t="shared" si="4"/>
        <v>0</v>
      </c>
      <c r="O106" s="1"/>
      <c r="Y106" s="1"/>
      <c r="Z106" s="1"/>
      <c r="AA106" s="1"/>
      <c r="AB106" s="1"/>
    </row>
    <row r="107" spans="1:28" ht="12.75">
      <c r="A107" s="51" t="s">
        <v>48</v>
      </c>
      <c r="B107" s="48">
        <f>SUM(B109:B120)</f>
        <v>989745000</v>
      </c>
      <c r="C107" s="48">
        <f aca="true" t="shared" si="7" ref="C107:L107">SUM(C109:C120)</f>
        <v>636949821</v>
      </c>
      <c r="D107" s="48">
        <f t="shared" si="7"/>
        <v>0</v>
      </c>
      <c r="E107" s="48">
        <f t="shared" si="7"/>
        <v>0</v>
      </c>
      <c r="F107" s="48">
        <f t="shared" si="7"/>
        <v>0</v>
      </c>
      <c r="G107" s="48">
        <f t="shared" si="7"/>
        <v>0</v>
      </c>
      <c r="H107" s="48">
        <f t="shared" si="7"/>
        <v>0</v>
      </c>
      <c r="I107" s="48">
        <f t="shared" si="7"/>
        <v>0</v>
      </c>
      <c r="J107" s="48">
        <f t="shared" si="7"/>
        <v>1626694821</v>
      </c>
      <c r="K107" s="48">
        <f t="shared" si="7"/>
        <v>695868859</v>
      </c>
      <c r="L107" s="48">
        <f t="shared" si="7"/>
        <v>524413386</v>
      </c>
      <c r="M107" s="48">
        <f>SUM(M109:M120)</f>
        <v>235975879</v>
      </c>
      <c r="N107" s="1">
        <f t="shared" si="4"/>
        <v>930825962</v>
      </c>
      <c r="O107" s="1" t="s">
        <v>1</v>
      </c>
      <c r="Y107" s="1"/>
      <c r="Z107" s="1"/>
      <c r="AA107" s="1"/>
      <c r="AB107" s="1"/>
    </row>
    <row r="108" spans="1:28" ht="12.75">
      <c r="A108" s="47"/>
      <c r="B108" s="48"/>
      <c r="C108" s="48"/>
      <c r="D108" s="48"/>
      <c r="E108" s="48"/>
      <c r="F108" s="48"/>
      <c r="G108" s="48"/>
      <c r="H108" s="48"/>
      <c r="I108" s="48"/>
      <c r="J108" s="48">
        <f aca="true" t="shared" si="8" ref="J108:J121">SUM(B108:I108)</f>
        <v>0</v>
      </c>
      <c r="K108" s="48"/>
      <c r="L108" s="48"/>
      <c r="M108" s="48"/>
      <c r="N108" s="1">
        <f t="shared" si="4"/>
        <v>0</v>
      </c>
      <c r="O108" s="1"/>
      <c r="Y108" s="1"/>
      <c r="Z108" s="1"/>
      <c r="AA108" s="1"/>
      <c r="AB108" s="1"/>
    </row>
    <row r="109" spans="1:28" ht="12.75">
      <c r="A109" s="51" t="s">
        <v>82</v>
      </c>
      <c r="B109" s="48">
        <v>44167000</v>
      </c>
      <c r="C109" s="48"/>
      <c r="D109" s="48"/>
      <c r="E109" s="48"/>
      <c r="F109" s="48"/>
      <c r="G109" s="48"/>
      <c r="H109" s="48"/>
      <c r="I109" s="48"/>
      <c r="J109" s="48">
        <f t="shared" si="8"/>
        <v>44167000</v>
      </c>
      <c r="K109" s="48">
        <v>39570251</v>
      </c>
      <c r="L109" s="48">
        <v>38784721</v>
      </c>
      <c r="M109" s="48">
        <f>76510400-37880200</f>
        <v>38630200</v>
      </c>
      <c r="N109" s="1">
        <f t="shared" si="4"/>
        <v>4596749</v>
      </c>
      <c r="O109" s="1">
        <f>76510400-37880200</f>
        <v>38630200</v>
      </c>
      <c r="Q109">
        <v>717000</v>
      </c>
      <c r="Y109" s="1"/>
      <c r="Z109" s="1"/>
      <c r="AA109" s="1"/>
      <c r="AB109" s="1"/>
    </row>
    <row r="110" spans="1:28" ht="12.75">
      <c r="A110" s="51" t="s">
        <v>83</v>
      </c>
      <c r="B110" s="48">
        <v>60000000</v>
      </c>
      <c r="C110" s="48">
        <v>55000000</v>
      </c>
      <c r="D110" s="48"/>
      <c r="E110" s="48"/>
      <c r="F110" s="48"/>
      <c r="G110" s="48"/>
      <c r="H110" s="48"/>
      <c r="I110" s="48"/>
      <c r="J110" s="48">
        <f t="shared" si="8"/>
        <v>115000000</v>
      </c>
      <c r="K110" s="48">
        <v>13498780</v>
      </c>
      <c r="L110" s="48">
        <v>13498780</v>
      </c>
      <c r="M110" s="48">
        <v>13445000</v>
      </c>
      <c r="N110" s="1">
        <f t="shared" si="4"/>
        <v>101501220</v>
      </c>
      <c r="O110" s="1"/>
      <c r="Q110">
        <f>+Q109*1.5</f>
        <v>1075500</v>
      </c>
      <c r="R110">
        <f>+Q110*40/100</f>
        <v>430200</v>
      </c>
      <c r="Y110" s="1"/>
      <c r="Z110" s="1"/>
      <c r="AA110" s="1"/>
      <c r="AB110" s="1"/>
    </row>
    <row r="111" spans="1:28" ht="12.75">
      <c r="A111" s="51" t="s">
        <v>84</v>
      </c>
      <c r="B111" s="48">
        <v>135631000</v>
      </c>
      <c r="C111" s="48"/>
      <c r="D111" s="48"/>
      <c r="E111" s="48"/>
      <c r="F111" s="48"/>
      <c r="G111" s="48"/>
      <c r="H111" s="48"/>
      <c r="I111" s="48"/>
      <c r="J111" s="48">
        <f t="shared" si="8"/>
        <v>135631000</v>
      </c>
      <c r="K111" s="48">
        <v>94713823</v>
      </c>
      <c r="L111" s="48">
        <v>74193544</v>
      </c>
      <c r="M111" s="48">
        <v>6100000</v>
      </c>
      <c r="N111" s="1">
        <f t="shared" si="4"/>
        <v>40917177</v>
      </c>
      <c r="O111" s="1">
        <f>SUM(K112:K120)</f>
        <v>548086005</v>
      </c>
      <c r="Q111">
        <f>+Q110-Q114</f>
        <v>892010</v>
      </c>
      <c r="Y111" s="1"/>
      <c r="Z111" s="1"/>
      <c r="AA111" s="1"/>
      <c r="AB111" s="1"/>
    </row>
    <row r="112" spans="1:28" ht="12.75">
      <c r="A112" s="51" t="s">
        <v>85</v>
      </c>
      <c r="B112" s="48">
        <v>160750000</v>
      </c>
      <c r="C112" s="48">
        <f>481000000+25949821</f>
        <v>506949821</v>
      </c>
      <c r="D112" s="48"/>
      <c r="E112" s="48"/>
      <c r="F112" s="48"/>
      <c r="G112" s="48"/>
      <c r="H112" s="49"/>
      <c r="I112" s="49"/>
      <c r="J112" s="48">
        <f t="shared" si="8"/>
        <v>667699821</v>
      </c>
      <c r="K112" s="48">
        <v>161964567</v>
      </c>
      <c r="L112" s="48">
        <v>115736209</v>
      </c>
      <c r="M112" s="48">
        <f>44010084-500000</f>
        <v>43510084</v>
      </c>
      <c r="N112" s="1">
        <f t="shared" si="4"/>
        <v>505735254</v>
      </c>
      <c r="O112" s="1"/>
      <c r="Y112" s="1"/>
      <c r="Z112" s="1"/>
      <c r="AA112" s="1"/>
      <c r="AB112" s="1"/>
    </row>
    <row r="113" spans="1:28" ht="12.75">
      <c r="A113" s="51" t="s">
        <v>86</v>
      </c>
      <c r="B113" s="48">
        <v>97890000</v>
      </c>
      <c r="C113" s="48"/>
      <c r="D113" s="48"/>
      <c r="E113" s="48"/>
      <c r="F113" s="48"/>
      <c r="G113" s="48"/>
      <c r="H113" s="48"/>
      <c r="I113" s="48"/>
      <c r="J113" s="48">
        <f t="shared" si="8"/>
        <v>97890000</v>
      </c>
      <c r="K113" s="48">
        <v>38639591</v>
      </c>
      <c r="L113" s="170">
        <f>702800+37887075</f>
        <v>38589875</v>
      </c>
      <c r="M113" s="48">
        <v>700000</v>
      </c>
      <c r="N113" s="1">
        <f t="shared" si="4"/>
        <v>59250409</v>
      </c>
      <c r="O113" s="1"/>
      <c r="Q113">
        <v>622000</v>
      </c>
      <c r="Y113" s="1"/>
      <c r="Z113" s="1"/>
      <c r="AA113" s="1"/>
      <c r="AB113" s="1"/>
    </row>
    <row r="114" spans="1:28" ht="12.75">
      <c r="A114" s="51" t="s">
        <v>87</v>
      </c>
      <c r="B114" s="48">
        <v>54720000</v>
      </c>
      <c r="C114" s="48"/>
      <c r="D114" s="48"/>
      <c r="E114" s="48"/>
      <c r="F114" s="48"/>
      <c r="G114" s="48"/>
      <c r="H114" s="48"/>
      <c r="I114" s="48"/>
      <c r="J114" s="48">
        <f t="shared" si="8"/>
        <v>54720000</v>
      </c>
      <c r="K114" s="48">
        <v>18560888</v>
      </c>
      <c r="L114" s="48">
        <v>7177585</v>
      </c>
      <c r="M114" s="48">
        <v>4847300</v>
      </c>
      <c r="N114" s="1">
        <f t="shared" si="4"/>
        <v>36159112</v>
      </c>
      <c r="O114" s="1"/>
      <c r="Q114">
        <f>+Q113*29.5/100</f>
        <v>183490</v>
      </c>
      <c r="Y114" s="1"/>
      <c r="Z114" s="1"/>
      <c r="AA114" s="1"/>
      <c r="AB114" s="1"/>
    </row>
    <row r="115" spans="1:28" ht="12.75">
      <c r="A115" s="51" t="s">
        <v>88</v>
      </c>
      <c r="B115" s="48">
        <v>154477000</v>
      </c>
      <c r="C115" s="48"/>
      <c r="D115" s="48"/>
      <c r="E115" s="48"/>
      <c r="F115" s="48"/>
      <c r="G115" s="48"/>
      <c r="H115" s="48"/>
      <c r="I115" s="48"/>
      <c r="J115" s="48">
        <f t="shared" si="8"/>
        <v>154477000</v>
      </c>
      <c r="K115" s="48">
        <v>100000000</v>
      </c>
      <c r="L115" s="48">
        <v>72942651</v>
      </c>
      <c r="M115" s="48">
        <f>68262120-8601036</f>
        <v>59661084</v>
      </c>
      <c r="N115" s="1">
        <f t="shared" si="4"/>
        <v>54477000</v>
      </c>
      <c r="O115" s="1"/>
      <c r="Y115" s="1"/>
      <c r="Z115" s="1"/>
      <c r="AA115" s="1"/>
      <c r="AB115" s="1"/>
    </row>
    <row r="116" spans="1:28" ht="12.75">
      <c r="A116" s="51" t="s">
        <v>89</v>
      </c>
      <c r="B116" s="48">
        <v>70000000</v>
      </c>
      <c r="C116" s="48"/>
      <c r="D116" s="48"/>
      <c r="E116" s="48"/>
      <c r="F116" s="48"/>
      <c r="G116" s="48"/>
      <c r="H116" s="48"/>
      <c r="I116" s="48"/>
      <c r="J116" s="48">
        <f t="shared" si="8"/>
        <v>70000000</v>
      </c>
      <c r="K116" s="48">
        <v>68301326</v>
      </c>
      <c r="L116" s="48">
        <v>68301326</v>
      </c>
      <c r="M116" s="48">
        <v>15201501</v>
      </c>
      <c r="N116" s="1">
        <f t="shared" si="4"/>
        <v>1698674</v>
      </c>
      <c r="O116" s="1"/>
      <c r="Y116" s="1"/>
      <c r="Z116" s="1"/>
      <c r="AA116" s="1"/>
      <c r="AB116" s="1"/>
    </row>
    <row r="117" spans="1:28" ht="12.75">
      <c r="A117" s="51" t="s">
        <v>90</v>
      </c>
      <c r="B117" s="48">
        <v>35000000</v>
      </c>
      <c r="C117" s="48"/>
      <c r="D117" s="48"/>
      <c r="E117" s="48"/>
      <c r="F117" s="48"/>
      <c r="G117" s="48"/>
      <c r="H117" s="48"/>
      <c r="I117" s="48"/>
      <c r="J117" s="48">
        <f t="shared" si="8"/>
        <v>35000000</v>
      </c>
      <c r="K117" s="48">
        <v>12259985</v>
      </c>
      <c r="L117" s="48">
        <f>+K117</f>
        <v>12259985</v>
      </c>
      <c r="M117" s="48">
        <v>3352689</v>
      </c>
      <c r="N117" s="1">
        <f t="shared" si="4"/>
        <v>22740015</v>
      </c>
      <c r="O117" s="1"/>
      <c r="Y117" s="1"/>
      <c r="Z117" s="1"/>
      <c r="AA117" s="1"/>
      <c r="AB117" s="1"/>
    </row>
    <row r="118" spans="1:28" ht="12.75">
      <c r="A118" s="51" t="s">
        <v>91</v>
      </c>
      <c r="B118" s="48">
        <v>90000000</v>
      </c>
      <c r="C118" s="48">
        <v>30000000</v>
      </c>
      <c r="D118" s="48"/>
      <c r="E118" s="48"/>
      <c r="F118" s="48"/>
      <c r="G118" s="48"/>
      <c r="H118" s="48"/>
      <c r="I118" s="48"/>
      <c r="J118" s="48">
        <f t="shared" si="8"/>
        <v>120000000</v>
      </c>
      <c r="K118" s="48">
        <v>62578150</v>
      </c>
      <c r="L118" s="48">
        <v>60975829</v>
      </c>
      <c r="M118" s="48">
        <v>49028021</v>
      </c>
      <c r="N118" s="1">
        <f t="shared" si="4"/>
        <v>57421850</v>
      </c>
      <c r="O118" s="1"/>
      <c r="Y118" s="1"/>
      <c r="Z118" s="1"/>
      <c r="AA118" s="1"/>
      <c r="AB118" s="1"/>
    </row>
    <row r="119" spans="1:28" ht="12.75">
      <c r="A119" s="51" t="s">
        <v>92</v>
      </c>
      <c r="B119" s="48">
        <v>5000000</v>
      </c>
      <c r="C119" s="48"/>
      <c r="D119" s="48"/>
      <c r="E119" s="48"/>
      <c r="F119" s="48"/>
      <c r="G119" s="48"/>
      <c r="H119" s="48"/>
      <c r="I119" s="48"/>
      <c r="J119" s="48">
        <f t="shared" si="8"/>
        <v>5000000</v>
      </c>
      <c r="K119" s="48">
        <v>4349508</v>
      </c>
      <c r="L119" s="48">
        <v>4349508</v>
      </c>
      <c r="M119" s="48">
        <v>500000</v>
      </c>
      <c r="N119" s="1">
        <f t="shared" si="4"/>
        <v>650492</v>
      </c>
      <c r="O119" s="1"/>
      <c r="Y119" s="1"/>
      <c r="Z119" s="1"/>
      <c r="AA119" s="1"/>
      <c r="AB119" s="1"/>
    </row>
    <row r="120" spans="1:28" ht="12.75">
      <c r="A120" s="51" t="s">
        <v>93</v>
      </c>
      <c r="B120" s="48">
        <v>82110000</v>
      </c>
      <c r="C120" s="48">
        <v>45000000</v>
      </c>
      <c r="D120" s="48"/>
      <c r="E120" s="48"/>
      <c r="F120" s="48"/>
      <c r="G120" s="48"/>
      <c r="H120" s="48"/>
      <c r="I120" s="48"/>
      <c r="J120" s="48">
        <f t="shared" si="8"/>
        <v>127110000</v>
      </c>
      <c r="K120" s="48">
        <v>81431990</v>
      </c>
      <c r="L120" s="48">
        <v>17603373</v>
      </c>
      <c r="M120" s="48">
        <v>1000000</v>
      </c>
      <c r="N120" s="1">
        <f t="shared" si="4"/>
        <v>45678010</v>
      </c>
      <c r="O120" s="1"/>
      <c r="Y120" s="1"/>
      <c r="Z120" s="1"/>
      <c r="AA120" s="1"/>
      <c r="AB120" s="1"/>
    </row>
    <row r="121" spans="1:28" ht="12.75">
      <c r="A121" s="47"/>
      <c r="B121" s="48"/>
      <c r="C121" s="48"/>
      <c r="D121" s="48"/>
      <c r="E121" s="48"/>
      <c r="F121" s="48"/>
      <c r="G121" s="48"/>
      <c r="H121" s="48"/>
      <c r="I121" s="48"/>
      <c r="J121" s="48">
        <f t="shared" si="8"/>
        <v>0</v>
      </c>
      <c r="K121" s="48"/>
      <c r="L121" s="48"/>
      <c r="M121" s="48"/>
      <c r="N121" s="1">
        <f t="shared" si="4"/>
        <v>0</v>
      </c>
      <c r="O121" s="1"/>
      <c r="Y121" s="1"/>
      <c r="Z121" s="1"/>
      <c r="AA121" s="1"/>
      <c r="AB121" s="1"/>
    </row>
    <row r="122" spans="1:28" ht="12.75">
      <c r="A122" s="51" t="s">
        <v>49</v>
      </c>
      <c r="B122" s="48">
        <f>SUM(B124:B127)</f>
        <v>1273647609</v>
      </c>
      <c r="C122" s="48">
        <f aca="true" t="shared" si="9" ref="C122:L122">SUM(C124:C127)</f>
        <v>284000000</v>
      </c>
      <c r="D122" s="48">
        <f t="shared" si="9"/>
        <v>0</v>
      </c>
      <c r="E122" s="48">
        <f t="shared" si="9"/>
        <v>0</v>
      </c>
      <c r="F122" s="48">
        <f t="shared" si="9"/>
        <v>0</v>
      </c>
      <c r="G122" s="48">
        <f t="shared" si="9"/>
        <v>0</v>
      </c>
      <c r="H122" s="48">
        <f t="shared" si="9"/>
        <v>0</v>
      </c>
      <c r="I122" s="48">
        <f t="shared" si="9"/>
        <v>0</v>
      </c>
      <c r="J122" s="48">
        <f t="shared" si="9"/>
        <v>1557647609</v>
      </c>
      <c r="K122" s="48">
        <f t="shared" si="9"/>
        <v>314908759</v>
      </c>
      <c r="L122" s="48">
        <f t="shared" si="9"/>
        <v>314908759</v>
      </c>
      <c r="M122" s="48">
        <f>SUM(M124:M127)</f>
        <v>292149855</v>
      </c>
      <c r="N122" s="1">
        <f t="shared" si="4"/>
        <v>1242738850</v>
      </c>
      <c r="O122" s="1"/>
      <c r="Y122" s="1"/>
      <c r="Z122" s="1"/>
      <c r="AA122" s="1"/>
      <c r="AB122" s="1"/>
    </row>
    <row r="123" spans="1:28" ht="12.75">
      <c r="A123" s="47"/>
      <c r="B123" s="48"/>
      <c r="C123" s="48"/>
      <c r="D123" s="48"/>
      <c r="E123" s="48"/>
      <c r="F123" s="48"/>
      <c r="G123" s="48"/>
      <c r="H123" s="48"/>
      <c r="I123" s="48"/>
      <c r="J123" s="48">
        <f aca="true" t="shared" si="10" ref="J123:J128">SUM(B123:I123)</f>
        <v>0</v>
      </c>
      <c r="K123" s="48"/>
      <c r="L123" s="48"/>
      <c r="M123" s="48"/>
      <c r="N123" s="1">
        <f t="shared" si="4"/>
        <v>0</v>
      </c>
      <c r="O123" s="1"/>
      <c r="Y123" s="1"/>
      <c r="Z123" s="1"/>
      <c r="AA123" s="1"/>
      <c r="AB123" s="1"/>
    </row>
    <row r="124" spans="1:28" ht="12.75">
      <c r="A124" s="51" t="s">
        <v>94</v>
      </c>
      <c r="B124" s="48">
        <v>28536000</v>
      </c>
      <c r="C124" s="48"/>
      <c r="D124" s="48"/>
      <c r="E124" s="48"/>
      <c r="F124" s="48"/>
      <c r="G124" s="48"/>
      <c r="H124" s="48"/>
      <c r="I124" s="48"/>
      <c r="J124" s="48">
        <f t="shared" si="10"/>
        <v>28536000</v>
      </c>
      <c r="K124" s="48">
        <v>0</v>
      </c>
      <c r="L124" s="48">
        <f>+K124</f>
        <v>0</v>
      </c>
      <c r="M124" s="48">
        <f>+L124</f>
        <v>0</v>
      </c>
      <c r="N124" s="1">
        <f t="shared" si="4"/>
        <v>28536000</v>
      </c>
      <c r="O124" s="1"/>
      <c r="Y124" s="1"/>
      <c r="Z124" s="1"/>
      <c r="AA124" s="1"/>
      <c r="AB124" s="1"/>
    </row>
    <row r="125" spans="1:28" ht="25.5">
      <c r="A125" s="54" t="s">
        <v>95</v>
      </c>
      <c r="B125" s="48">
        <v>1212111609</v>
      </c>
      <c r="C125" s="48"/>
      <c r="D125" s="48"/>
      <c r="E125" s="48"/>
      <c r="F125" s="48"/>
      <c r="G125" s="48"/>
      <c r="H125" s="48"/>
      <c r="I125" s="48"/>
      <c r="J125" s="48">
        <f t="shared" si="10"/>
        <v>1212111609</v>
      </c>
      <c r="K125" s="48">
        <v>270555515</v>
      </c>
      <c r="L125" s="48">
        <v>270555515</v>
      </c>
      <c r="M125" s="48">
        <v>269477605</v>
      </c>
      <c r="N125" s="1">
        <f t="shared" si="4"/>
        <v>941556094</v>
      </c>
      <c r="O125" s="1"/>
      <c r="Y125" s="1"/>
      <c r="Z125" s="1"/>
      <c r="AA125" s="1"/>
      <c r="AB125" s="1"/>
    </row>
    <row r="126" spans="1:28" ht="12.75">
      <c r="A126" s="51" t="s">
        <v>96</v>
      </c>
      <c r="B126" s="49">
        <v>23000000</v>
      </c>
      <c r="C126" s="48"/>
      <c r="D126" s="48"/>
      <c r="E126" s="48"/>
      <c r="F126" s="48"/>
      <c r="G126" s="48"/>
      <c r="H126" s="48"/>
      <c r="I126" s="48"/>
      <c r="J126" s="48">
        <f t="shared" si="10"/>
        <v>23000000</v>
      </c>
      <c r="K126" s="48">
        <v>21590305</v>
      </c>
      <c r="L126" s="48">
        <v>21590305</v>
      </c>
      <c r="M126" s="48">
        <v>0</v>
      </c>
      <c r="N126" s="1">
        <f t="shared" si="4"/>
        <v>1409695</v>
      </c>
      <c r="O126" s="1"/>
      <c r="Y126" s="1"/>
      <c r="Z126" s="1"/>
      <c r="AA126" s="1"/>
      <c r="AB126" s="1"/>
    </row>
    <row r="127" spans="1:28" ht="12.75">
      <c r="A127" s="51" t="s">
        <v>97</v>
      </c>
      <c r="B127" s="48">
        <v>10000000</v>
      </c>
      <c r="C127" s="48">
        <v>284000000</v>
      </c>
      <c r="D127" s="48"/>
      <c r="E127" s="48"/>
      <c r="F127" s="48"/>
      <c r="G127" s="48"/>
      <c r="H127" s="48"/>
      <c r="I127" s="48"/>
      <c r="J127" s="48">
        <f t="shared" si="10"/>
        <v>294000000</v>
      </c>
      <c r="K127" s="48">
        <v>22762939</v>
      </c>
      <c r="L127" s="48">
        <f>+K127</f>
        <v>22762939</v>
      </c>
      <c r="M127" s="48">
        <v>22672250</v>
      </c>
      <c r="N127" s="1">
        <f t="shared" si="4"/>
        <v>271237061</v>
      </c>
      <c r="O127" s="1"/>
      <c r="Y127" s="1"/>
      <c r="Z127" s="1"/>
      <c r="AA127" s="1"/>
      <c r="AB127" s="1"/>
    </row>
    <row r="128" spans="1:28" ht="12.75">
      <c r="A128" s="47"/>
      <c r="B128" s="48"/>
      <c r="C128" s="48"/>
      <c r="D128" s="48"/>
      <c r="E128" s="48"/>
      <c r="F128" s="48"/>
      <c r="G128" s="48"/>
      <c r="H128" s="48"/>
      <c r="I128" s="48"/>
      <c r="J128" s="48">
        <f t="shared" si="10"/>
        <v>0</v>
      </c>
      <c r="K128" s="48"/>
      <c r="L128" s="48"/>
      <c r="M128" s="48"/>
      <c r="N128" s="1">
        <f t="shared" si="4"/>
        <v>0</v>
      </c>
      <c r="O128" s="1"/>
      <c r="Y128" s="1"/>
      <c r="Z128" s="1"/>
      <c r="AA128" s="1"/>
      <c r="AB128" s="1"/>
    </row>
    <row r="129" spans="1:28" ht="12.75">
      <c r="A129" s="51" t="s">
        <v>28</v>
      </c>
      <c r="B129" s="48">
        <f>+B81+B107+B122</f>
        <v>4010491970</v>
      </c>
      <c r="C129" s="48">
        <f aca="true" t="shared" si="11" ref="C129:L129">+C81+C107+C122</f>
        <v>950949821</v>
      </c>
      <c r="D129" s="48">
        <f t="shared" si="11"/>
        <v>0</v>
      </c>
      <c r="E129" s="48">
        <f t="shared" si="11"/>
        <v>0</v>
      </c>
      <c r="F129" s="48">
        <f>+F81+F107+F122</f>
        <v>0</v>
      </c>
      <c r="G129" s="48">
        <f t="shared" si="11"/>
        <v>0</v>
      </c>
      <c r="H129" s="48">
        <f t="shared" si="11"/>
        <v>0</v>
      </c>
      <c r="I129" s="48">
        <f t="shared" si="11"/>
        <v>0</v>
      </c>
      <c r="J129" s="48">
        <f t="shared" si="11"/>
        <v>4961441791</v>
      </c>
      <c r="K129" s="48">
        <f>+K81+K107+K122</f>
        <v>1457401223</v>
      </c>
      <c r="L129" s="48">
        <f t="shared" si="11"/>
        <v>1272340121</v>
      </c>
      <c r="M129" s="48">
        <f>+M81+M107+M122</f>
        <v>752454393</v>
      </c>
      <c r="N129" s="1">
        <f t="shared" si="4"/>
        <v>3504040568</v>
      </c>
      <c r="O129" s="1"/>
      <c r="Y129" s="1"/>
      <c r="Z129" s="1"/>
      <c r="AA129" s="1"/>
      <c r="AB129" s="1"/>
    </row>
    <row r="130" spans="1:28" ht="12.75">
      <c r="A130" s="47"/>
      <c r="B130" s="49" t="s">
        <v>1</v>
      </c>
      <c r="C130" s="49" t="s">
        <v>1</v>
      </c>
      <c r="D130" s="48"/>
      <c r="E130" s="48">
        <f>+C129+E129</f>
        <v>950949821</v>
      </c>
      <c r="F130" s="48"/>
      <c r="G130" s="48"/>
      <c r="H130" s="48"/>
      <c r="I130" s="48"/>
      <c r="J130" s="48"/>
      <c r="K130" s="48"/>
      <c r="L130" s="48"/>
      <c r="M130" s="48">
        <v>752454393</v>
      </c>
      <c r="N130" s="1"/>
      <c r="O130" s="1"/>
      <c r="Y130" s="1"/>
      <c r="Z130" s="1"/>
      <c r="AA130" s="1"/>
      <c r="AB130" s="1"/>
    </row>
    <row r="131" spans="1:28" ht="12.75">
      <c r="A131" s="47"/>
      <c r="B131" s="49" t="s">
        <v>1</v>
      </c>
      <c r="C131" s="49" t="s">
        <v>1</v>
      </c>
      <c r="D131" s="48"/>
      <c r="E131" s="48">
        <f>+B129+E130</f>
        <v>4961441791</v>
      </c>
      <c r="F131" s="48"/>
      <c r="G131" s="48"/>
      <c r="H131" s="48"/>
      <c r="I131" s="48"/>
      <c r="J131" s="48"/>
      <c r="K131" s="48"/>
      <c r="L131" s="48"/>
      <c r="M131" s="48">
        <f>+M130-M129</f>
        <v>0</v>
      </c>
      <c r="N131" s="1"/>
      <c r="O131" s="1"/>
      <c r="Y131" s="1"/>
      <c r="Z131" s="1"/>
      <c r="AA131" s="1"/>
      <c r="AB131" s="1"/>
    </row>
    <row r="132" spans="1:28" ht="12.75">
      <c r="A132" s="47"/>
      <c r="B132" s="48"/>
      <c r="C132" s="48"/>
      <c r="D132" s="48"/>
      <c r="E132" s="48" t="e">
        <f>+#REF!</f>
        <v>#REF!</v>
      </c>
      <c r="F132" s="48"/>
      <c r="G132" s="48"/>
      <c r="H132" s="48"/>
      <c r="I132" s="48"/>
      <c r="J132" s="48"/>
      <c r="K132" s="48"/>
      <c r="L132" s="48"/>
      <c r="M132" s="48"/>
      <c r="N132" s="1"/>
      <c r="O132" s="1"/>
      <c r="Y132" s="1"/>
      <c r="Z132" s="1"/>
      <c r="AA132" s="1"/>
      <c r="AB132" s="1"/>
    </row>
    <row r="133" spans="2:28" ht="12.75">
      <c r="B133" s="1"/>
      <c r="C133" s="1"/>
      <c r="D133" s="1"/>
      <c r="E133" s="1" t="e">
        <f>+E132-E130</f>
        <v>#REF!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Y133" s="1"/>
      <c r="Z133" s="1"/>
      <c r="AA133" s="1"/>
      <c r="AB133" s="1"/>
    </row>
    <row r="134" spans="2:2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Y134" s="1"/>
      <c r="Z134" s="1"/>
      <c r="AA134" s="1"/>
      <c r="AB134" s="1"/>
    </row>
    <row r="135" spans="2:2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Y135" s="1"/>
      <c r="Z135" s="1"/>
      <c r="AA135" s="1"/>
      <c r="AB135" s="1"/>
    </row>
    <row r="136" spans="2:2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Y136" s="1"/>
      <c r="Z136" s="1"/>
      <c r="AA136" s="1"/>
      <c r="AB136" s="1"/>
    </row>
    <row r="137" spans="2:2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Y137" s="1"/>
      <c r="Z137" s="1"/>
      <c r="AA137" s="1"/>
      <c r="AB137" s="1"/>
    </row>
    <row r="138" spans="2:2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Y138" s="1"/>
      <c r="Z138" s="1"/>
      <c r="AA138" s="1"/>
      <c r="AB138" s="1"/>
    </row>
    <row r="139" spans="2:2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Y139" s="1"/>
      <c r="Z139" s="1"/>
      <c r="AA139" s="1"/>
      <c r="AB139" s="1"/>
    </row>
    <row r="140" spans="2:2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Y140" s="1"/>
      <c r="Z140" s="1"/>
      <c r="AA140" s="1"/>
      <c r="AB140" s="1"/>
    </row>
    <row r="141" spans="2:2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Y141" s="1"/>
      <c r="Z141" s="1"/>
      <c r="AA141" s="1"/>
      <c r="AB141" s="1"/>
    </row>
    <row r="142" spans="2:2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Y142" s="1"/>
      <c r="Z142" s="1"/>
      <c r="AA142" s="1"/>
      <c r="AB142" s="1"/>
    </row>
    <row r="143" spans="2:2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Y143" s="1"/>
      <c r="Z143" s="1"/>
      <c r="AA143" s="1"/>
      <c r="AB143" s="1"/>
    </row>
    <row r="144" spans="2:2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Y144" s="1"/>
      <c r="Z144" s="1"/>
      <c r="AA144" s="1"/>
      <c r="AB144" s="1"/>
    </row>
    <row r="145" spans="2:2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Y145" s="1"/>
      <c r="Z145" s="1"/>
      <c r="AA145" s="1"/>
      <c r="AB145" s="1"/>
    </row>
    <row r="146" spans="2:2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Y146" s="1"/>
      <c r="Z146" s="1"/>
      <c r="AA146" s="1"/>
      <c r="AB146" s="1"/>
    </row>
    <row r="147" spans="2:2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Y147" s="1"/>
      <c r="Z147" s="1"/>
      <c r="AA147" s="1"/>
      <c r="AB147" s="1"/>
    </row>
    <row r="148" spans="2:2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Y148" s="1"/>
      <c r="Z148" s="1"/>
      <c r="AA148" s="1"/>
      <c r="AB148" s="1"/>
    </row>
    <row r="149" spans="2:2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Y149" s="1"/>
      <c r="Z149" s="1"/>
      <c r="AA149" s="1"/>
      <c r="AB149" s="1"/>
    </row>
    <row r="150" spans="2:2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Y150" s="1"/>
      <c r="Z150" s="1"/>
      <c r="AA150" s="1"/>
      <c r="AB150" s="1"/>
    </row>
    <row r="151" spans="2:2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Y151" s="1"/>
      <c r="Z151" s="1"/>
      <c r="AA151" s="1"/>
      <c r="AB151" s="1"/>
    </row>
    <row r="152" spans="2:2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Y152" s="1"/>
      <c r="Z152" s="1"/>
      <c r="AA152" s="1"/>
      <c r="AB152" s="1"/>
    </row>
    <row r="153" spans="2:2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Y153" s="1"/>
      <c r="Z153" s="1"/>
      <c r="AA153" s="1"/>
      <c r="AB153" s="1"/>
    </row>
    <row r="154" spans="2:2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Y154" s="1"/>
      <c r="Z154" s="1"/>
      <c r="AA154" s="1"/>
      <c r="AB154" s="1"/>
    </row>
    <row r="155" spans="2:2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Y155" s="1"/>
      <c r="Z155" s="1"/>
      <c r="AA155" s="1"/>
      <c r="AB155" s="1"/>
    </row>
    <row r="156" spans="2:2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Y156" s="1"/>
      <c r="Z156" s="1"/>
      <c r="AA156" s="1"/>
      <c r="AB156" s="1"/>
    </row>
    <row r="157" spans="2:2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Y157" s="1"/>
      <c r="Z157" s="1"/>
      <c r="AA157" s="1"/>
      <c r="AB157" s="1"/>
    </row>
    <row r="158" spans="2:2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Y158" s="1"/>
      <c r="Z158" s="1"/>
      <c r="AA158" s="1"/>
      <c r="AB158" s="1"/>
    </row>
    <row r="159" spans="2:2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Y159" s="1"/>
      <c r="Z159" s="1"/>
      <c r="AA159" s="1"/>
      <c r="AB159" s="1"/>
    </row>
    <row r="160" spans="2:2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Y160" s="1"/>
      <c r="Z160" s="1"/>
      <c r="AA160" s="1"/>
      <c r="AB160" s="1"/>
    </row>
    <row r="161" spans="2:2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Y161" s="1"/>
      <c r="Z161" s="1"/>
      <c r="AA161" s="1"/>
      <c r="AB161" s="1"/>
    </row>
    <row r="162" spans="2:2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Y162" s="1"/>
      <c r="Z162" s="1"/>
      <c r="AA162" s="1"/>
      <c r="AB162" s="1"/>
    </row>
    <row r="163" spans="2:2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Y163" s="1"/>
      <c r="Z163" s="1"/>
      <c r="AA163" s="1"/>
      <c r="AB163" s="1"/>
    </row>
    <row r="164" spans="2:2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Y164" s="1"/>
      <c r="Z164" s="1"/>
      <c r="AA164" s="1"/>
      <c r="AB164" s="1"/>
    </row>
    <row r="165" spans="2:2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Y165" s="1"/>
      <c r="Z165" s="1"/>
      <c r="AA165" s="1"/>
      <c r="AB165" s="1"/>
    </row>
    <row r="166" spans="2:2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Y166" s="1"/>
      <c r="Z166" s="1"/>
      <c r="AA166" s="1"/>
      <c r="AB166" s="1"/>
    </row>
    <row r="167" spans="2:2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Y167" s="1"/>
      <c r="Z167" s="1"/>
      <c r="AA167" s="1"/>
      <c r="AB167" s="1"/>
    </row>
    <row r="168" spans="2:2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Y168" s="1"/>
      <c r="Z168" s="1"/>
      <c r="AA168" s="1"/>
      <c r="AB168" s="1"/>
    </row>
    <row r="169" spans="2:2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Y169" s="1"/>
      <c r="Z169" s="1"/>
      <c r="AA169" s="1"/>
      <c r="AB169" s="1"/>
    </row>
    <row r="170" spans="2:2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Y170" s="1"/>
      <c r="Z170" s="1"/>
      <c r="AA170" s="1"/>
      <c r="AB170" s="1"/>
    </row>
    <row r="171" spans="2:2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Y171" s="1"/>
      <c r="Z171" s="1"/>
      <c r="AA171" s="1"/>
      <c r="AB171" s="1"/>
    </row>
    <row r="172" spans="2:2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Y172" s="1"/>
      <c r="Z172" s="1"/>
      <c r="AA172" s="1"/>
      <c r="AB172" s="1"/>
    </row>
    <row r="173" spans="2:2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Y173" s="1"/>
      <c r="Z173" s="1"/>
      <c r="AA173" s="1"/>
      <c r="AB173" s="1"/>
    </row>
    <row r="174" spans="2:2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Y174" s="1"/>
      <c r="Z174" s="1"/>
      <c r="AA174" s="1"/>
      <c r="AB174" s="1"/>
    </row>
    <row r="175" spans="2:2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Y175" s="1"/>
      <c r="Z175" s="1"/>
      <c r="AA175" s="1"/>
      <c r="AB175" s="1"/>
    </row>
    <row r="176" spans="2:2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Y176" s="1"/>
      <c r="Z176" s="1"/>
      <c r="AA176" s="1"/>
      <c r="AB176" s="1"/>
    </row>
    <row r="177" spans="2:2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Y177" s="1"/>
      <c r="Z177" s="1"/>
      <c r="AA177" s="1"/>
      <c r="AB177" s="1"/>
    </row>
    <row r="178" spans="2:2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Y178" s="1"/>
      <c r="Z178" s="1"/>
      <c r="AA178" s="1"/>
      <c r="AB178" s="1"/>
    </row>
    <row r="179" spans="2:2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Y179" s="1"/>
      <c r="Z179" s="1"/>
      <c r="AA179" s="1"/>
      <c r="AB179" s="1"/>
    </row>
    <row r="180" spans="2:2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Y180" s="1"/>
      <c r="Z180" s="1"/>
      <c r="AA180" s="1"/>
      <c r="AB180" s="1"/>
    </row>
    <row r="181" spans="2:2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Y181" s="1"/>
      <c r="Z181" s="1"/>
      <c r="AA181" s="1"/>
      <c r="AB181" s="1"/>
    </row>
    <row r="182" spans="2:2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Y182" s="1"/>
      <c r="Z182" s="1"/>
      <c r="AA182" s="1"/>
      <c r="AB182" s="1"/>
    </row>
    <row r="183" spans="2:2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Y183" s="1"/>
      <c r="Z183" s="1"/>
      <c r="AA183" s="1"/>
      <c r="AB183" s="1"/>
    </row>
    <row r="184" spans="2:2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Y184" s="1"/>
      <c r="Z184" s="1"/>
      <c r="AA184" s="1"/>
      <c r="AB184" s="1"/>
    </row>
    <row r="185" spans="2:2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Y185" s="1"/>
      <c r="Z185" s="1"/>
      <c r="AA185" s="1"/>
      <c r="AB185" s="1"/>
    </row>
    <row r="186" spans="2:2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Y186" s="1"/>
      <c r="Z186" s="1"/>
      <c r="AA186" s="1"/>
      <c r="AB186" s="1"/>
    </row>
    <row r="187" spans="2:2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Y187" s="1"/>
      <c r="Z187" s="1"/>
      <c r="AA187" s="1"/>
      <c r="AB187" s="1"/>
    </row>
    <row r="188" spans="2:2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Y188" s="1"/>
      <c r="Z188" s="1"/>
      <c r="AA188" s="1"/>
      <c r="AB188" s="1"/>
    </row>
    <row r="189" spans="2:2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Y189" s="1"/>
      <c r="Z189" s="1"/>
      <c r="AA189" s="1"/>
      <c r="AB189" s="1"/>
    </row>
    <row r="190" spans="2:2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Y190" s="1"/>
      <c r="Z190" s="1"/>
      <c r="AA190" s="1"/>
      <c r="AB190" s="1"/>
    </row>
    <row r="191" spans="2:2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Y191" s="1"/>
      <c r="Z191" s="1"/>
      <c r="AA191" s="1"/>
      <c r="AB191" s="1"/>
    </row>
    <row r="192" spans="2:2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Y192" s="1"/>
      <c r="Z192" s="1"/>
      <c r="AA192" s="1"/>
      <c r="AB192" s="1"/>
    </row>
    <row r="193" spans="2:2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Y193" s="1"/>
      <c r="Z193" s="1"/>
      <c r="AA193" s="1"/>
      <c r="AB193" s="1"/>
    </row>
    <row r="194" spans="2:2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Y194" s="1"/>
      <c r="Z194" s="1"/>
      <c r="AA194" s="1"/>
      <c r="AB194" s="1"/>
    </row>
    <row r="195" spans="2:2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Y195" s="1"/>
      <c r="Z195" s="1"/>
      <c r="AA195" s="1"/>
      <c r="AB195" s="1"/>
    </row>
    <row r="196" spans="2:2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Y196" s="1"/>
      <c r="Z196" s="1"/>
      <c r="AA196" s="1"/>
      <c r="AB196" s="1"/>
    </row>
    <row r="197" spans="2:2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Y197" s="1"/>
      <c r="Z197" s="1"/>
      <c r="AA197" s="1"/>
      <c r="AB197" s="1"/>
    </row>
    <row r="198" spans="2:2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Y198" s="1"/>
      <c r="Z198" s="1"/>
      <c r="AA198" s="1"/>
      <c r="AB198" s="1"/>
    </row>
    <row r="199" spans="2:2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Y199" s="1"/>
      <c r="Z199" s="1"/>
      <c r="AA199" s="1"/>
      <c r="AB199" s="1"/>
    </row>
    <row r="200" spans="2:2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Y200" s="1"/>
      <c r="Z200" s="1"/>
      <c r="AA200" s="1"/>
      <c r="AB200" s="1"/>
    </row>
    <row r="201" spans="2:2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Y201" s="1"/>
      <c r="Z201" s="1"/>
      <c r="AA201" s="1"/>
      <c r="AB201" s="1"/>
    </row>
    <row r="202" spans="2:2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Y202" s="1"/>
      <c r="Z202" s="1"/>
      <c r="AA202" s="1"/>
      <c r="AB202" s="1"/>
    </row>
    <row r="203" spans="2:2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Y203" s="1"/>
      <c r="Z203" s="1"/>
      <c r="AA203" s="1"/>
      <c r="AB203" s="1"/>
    </row>
    <row r="204" spans="2:2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Y204" s="1"/>
      <c r="Z204" s="1"/>
      <c r="AA204" s="1"/>
      <c r="AB204" s="1"/>
    </row>
    <row r="205" spans="2:2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Y205" s="1"/>
      <c r="Z205" s="1"/>
      <c r="AA205" s="1"/>
      <c r="AB205" s="1"/>
    </row>
    <row r="206" spans="2:2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Y206" s="1"/>
      <c r="Z206" s="1"/>
      <c r="AA206" s="1"/>
      <c r="AB206" s="1"/>
    </row>
    <row r="207" spans="25:28" ht="12.75">
      <c r="Y207" s="1"/>
      <c r="Z207" s="1"/>
      <c r="AA207" s="1"/>
      <c r="AB207" s="1"/>
    </row>
    <row r="208" spans="25:28" ht="12.75">
      <c r="Y208" s="1"/>
      <c r="Z208" s="1"/>
      <c r="AA208" s="1"/>
      <c r="AB208" s="1"/>
    </row>
    <row r="209" spans="25:28" ht="12.75">
      <c r="Y209" s="1"/>
      <c r="Z209" s="1"/>
      <c r="AA209" s="1"/>
      <c r="AB209" s="1"/>
    </row>
    <row r="210" spans="25:28" ht="12.75">
      <c r="Y210" s="1"/>
      <c r="Z210" s="1"/>
      <c r="AA210" s="1"/>
      <c r="AB210" s="1"/>
    </row>
    <row r="211" spans="25:28" ht="12.75">
      <c r="Y211" s="1"/>
      <c r="Z211" s="1"/>
      <c r="AA211" s="1"/>
      <c r="AB211" s="1"/>
    </row>
    <row r="212" spans="25:28" ht="12.75">
      <c r="Y212" s="1"/>
      <c r="Z212" s="1"/>
      <c r="AA212" s="1"/>
      <c r="AB212" s="1"/>
    </row>
    <row r="213" spans="25:28" ht="12.75">
      <c r="Y213" s="1"/>
      <c r="Z213" s="1"/>
      <c r="AA213" s="1"/>
      <c r="AB213" s="1"/>
    </row>
    <row r="214" spans="25:28" ht="12.75">
      <c r="Y214" s="1"/>
      <c r="Z214" s="1"/>
      <c r="AA214" s="1"/>
      <c r="AB214" s="1"/>
    </row>
    <row r="215" spans="25:28" ht="12.75">
      <c r="Y215" s="1"/>
      <c r="Z215" s="1"/>
      <c r="AA215" s="1"/>
      <c r="AB215" s="1"/>
    </row>
    <row r="216" spans="25:28" ht="12.75">
      <c r="Y216" s="1"/>
      <c r="Z216" s="1"/>
      <c r="AA216" s="1"/>
      <c r="AB216" s="1"/>
    </row>
    <row r="217" spans="25:28" ht="12.75">
      <c r="Y217" s="1"/>
      <c r="Z217" s="1"/>
      <c r="AA217" s="1"/>
      <c r="AB217" s="1"/>
    </row>
    <row r="218" spans="25:28" ht="12.75">
      <c r="Y218" s="1"/>
      <c r="Z218" s="1"/>
      <c r="AA218" s="1"/>
      <c r="AB218" s="1"/>
    </row>
    <row r="219" spans="25:28" ht="12.75">
      <c r="Y219" s="1"/>
      <c r="Z219" s="1"/>
      <c r="AA219" s="1"/>
      <c r="AB219" s="1"/>
    </row>
    <row r="220" spans="25:28" ht="12.75">
      <c r="Y220" s="1"/>
      <c r="Z220" s="1"/>
      <c r="AA220" s="1"/>
      <c r="AB220" s="1"/>
    </row>
    <row r="221" spans="25:28" ht="12.75">
      <c r="Y221" s="1"/>
      <c r="Z221" s="1"/>
      <c r="AA221" s="1"/>
      <c r="AB221" s="1"/>
    </row>
    <row r="222" spans="25:28" ht="12.75">
      <c r="Y222" s="1"/>
      <c r="Z222" s="1"/>
      <c r="AA222" s="1"/>
      <c r="AB222" s="1"/>
    </row>
    <row r="223" spans="25:28" ht="12.75">
      <c r="Y223" s="1"/>
      <c r="Z223" s="1"/>
      <c r="AA223" s="1"/>
      <c r="AB223" s="1"/>
    </row>
    <row r="224" spans="25:28" ht="12.75">
      <c r="Y224" s="1"/>
      <c r="Z224" s="1"/>
      <c r="AA224" s="1"/>
      <c r="AB224" s="1"/>
    </row>
    <row r="225" spans="25:28" ht="12.75">
      <c r="Y225" s="1"/>
      <c r="Z225" s="1"/>
      <c r="AA225" s="1"/>
      <c r="AB225" s="1"/>
    </row>
    <row r="226" spans="25:28" ht="12.75">
      <c r="Y226" s="1"/>
      <c r="Z226" s="1"/>
      <c r="AA226" s="1"/>
      <c r="AB226" s="1"/>
    </row>
    <row r="227" spans="25:28" ht="12.75">
      <c r="Y227" s="1"/>
      <c r="Z227" s="1"/>
      <c r="AA227" s="1"/>
      <c r="AB227" s="1"/>
    </row>
    <row r="228" spans="25:28" ht="12.75">
      <c r="Y228" s="1"/>
      <c r="Z228" s="1"/>
      <c r="AA228" s="1"/>
      <c r="AB228" s="1"/>
    </row>
    <row r="229" spans="25:28" ht="12.75">
      <c r="Y229" s="1"/>
      <c r="Z229" s="1"/>
      <c r="AA229" s="1"/>
      <c r="AB229" s="1"/>
    </row>
    <row r="230" spans="25:28" ht="12.75">
      <c r="Y230" s="1"/>
      <c r="Z230" s="1"/>
      <c r="AA230" s="1"/>
      <c r="AB230" s="1"/>
    </row>
  </sheetData>
  <sheetProtection/>
  <mergeCells count="4">
    <mergeCell ref="A1:G1"/>
    <mergeCell ref="A2:G2"/>
    <mergeCell ref="D4:E4"/>
    <mergeCell ref="C78:J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2014-07-10T13:21:34Z</cp:lastPrinted>
  <dcterms:created xsi:type="dcterms:W3CDTF">2007-01-13T18:42:48Z</dcterms:created>
  <dcterms:modified xsi:type="dcterms:W3CDTF">2016-09-29T22:09:31Z</dcterms:modified>
  <cp:category/>
  <cp:version/>
  <cp:contentType/>
  <cp:contentStatus/>
</cp:coreProperties>
</file>