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GASTOS" sheetId="1" r:id="rId1"/>
  </sheets>
  <externalReferences>
    <externalReference r:id="rId4"/>
  </externalReferences>
  <definedNames>
    <definedName name="_xlnm.Print_Area" localSheetId="0">'GASTOS'!$A$48:$L$85</definedName>
  </definedNames>
  <calcPr fullCalcOnLoad="1"/>
</workbook>
</file>

<file path=xl/sharedStrings.xml><?xml version="1.0" encoding="utf-8"?>
<sst xmlns="http://schemas.openxmlformats.org/spreadsheetml/2006/main" count="419" uniqueCount="67">
  <si>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</si>
  <si>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</si>
  <si>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</si>
  <si>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</si>
  <si>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</si>
  <si>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</si>
  <si>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REY ARIEL BORBON ARDILA</t>
  </si>
  <si>
    <t>T</t>
  </si>
  <si>
    <t xml:space="preserve">CTA </t>
  </si>
  <si>
    <t>SCTA</t>
  </si>
  <si>
    <t>OBJ</t>
  </si>
  <si>
    <t>ORD</t>
  </si>
  <si>
    <t>PROG</t>
  </si>
  <si>
    <t>GAS</t>
  </si>
  <si>
    <t>Y/O</t>
  </si>
  <si>
    <t>CONCEPTO</t>
  </si>
  <si>
    <t>PRESUPUESTALES</t>
  </si>
  <si>
    <t>PRY</t>
  </si>
  <si>
    <t>3=1+2</t>
  </si>
  <si>
    <t>A</t>
  </si>
  <si>
    <t>GASTOS DE FUNCIONAMIENTO</t>
  </si>
  <si>
    <t>Gastos de personal</t>
  </si>
  <si>
    <t>servicios personales asociados a nomina</t>
  </si>
  <si>
    <t>sueldos personal de nomina</t>
  </si>
  <si>
    <t>horas extras y dias festivos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</si>
  <si>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</si>
  <si>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</si>
  <si>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</si>
  <si>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</si>
  <si>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</si>
  <si>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</si>
  <si>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</si>
  <si>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</si>
  <si>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</si>
  <si>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</si>
  <si>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>TOTAL PRESUPUESTO</t>
  </si>
  <si>
    <t>Director General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</si>
  <si>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</si>
  <si>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</si>
  <si>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</si>
  <si>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</si>
  <si>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</si>
  <si>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</si>
  <si>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</si>
  <si>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</si>
  <si>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</si>
  <si>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VITELIO BARRERA ALVAREZ</t>
  </si>
  <si>
    <t>Profesional Especializado-contador</t>
  </si>
  <si>
    <t>INFORME DE EJECUCION PRESUPUESTAL DE GASTOS</t>
  </si>
  <si>
    <t>RECURSOS NACION</t>
  </si>
  <si>
    <t>RECURSOS PROPIOS</t>
  </si>
  <si>
    <t>Planificacion y gestiòn de àreas protegias para la conservaciòn  y aprovechamiento sostenible de la biodiversidad y los bienes y servicios ambientales.</t>
  </si>
  <si>
    <t>Planificaciòn y Gestiòn Integral del Recurso Hìdrico</t>
  </si>
  <si>
    <t>Promociòn y Apoyo a Procesos Competitivos Sostenibles y Aprovechamiento de la Oferta Natural de la Regiòn.</t>
  </si>
  <si>
    <t>Gestiòn Integral del Territorio Rural y Urbano</t>
  </si>
  <si>
    <t>Autoridad Ambiental Integral, Oportuna y Efectiva.l</t>
  </si>
  <si>
    <t>Educaciòn y Comunicaciòn para la Participaciòn Ciudadana y Comunitaria en la Gestiòn Ambiental.</t>
  </si>
  <si>
    <t>Fortalecimiento Institucional e Implementaciòn del Sistema de Gestiòn de Calidad.</t>
  </si>
  <si>
    <t>COMPROMISOS</t>
  </si>
  <si>
    <t>ACUMULADOS</t>
  </si>
  <si>
    <t xml:space="preserve">COMPROMISOS </t>
  </si>
  <si>
    <t>MENSUALES</t>
  </si>
  <si>
    <t>MES</t>
  </si>
  <si>
    <t>% de ejecuion</t>
  </si>
  <si>
    <t>% de ejeucion</t>
  </si>
  <si>
    <t>JUNIO</t>
  </si>
  <si>
    <t>CDPS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</si>
</sst>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#,##0.00;[Red]#,##0.00"/>
    <numFmt numFmtId="174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4" fontId="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7" fontId="1" fillId="0" borderId="2" xfId="0" applyNumberFormat="1" applyFont="1" applyBorder="1" applyAlignment="1">
      <alignment/>
    </xf>
    <xf numFmtId="17" fontId="2" fillId="0" borderId="0" xfId="0" applyNumberFormat="1" applyFont="1" applyAlignment="1">
      <alignment/>
    </xf>
    <xf numFmtId="4" fontId="0" fillId="0" borderId="7" xfId="0" applyNumberForma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BEPIN%20INVERSION%202.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3-0900-01 AREAS PROTEGIDAS"/>
      <sheetName val="0113-0900-02 RECURSO HIDRICO"/>
      <sheetName val="0113-0900-03 PROCESOS COMPETITI"/>
      <sheetName val="0310-0900-04 TERRITORIO RURAL U"/>
      <sheetName val="0310-0900-05 AUTORIDAD AMBIENTA"/>
      <sheetName val="0310-0900-06 EDUCACION AMBIENTA"/>
      <sheetName val="0630-0900-01-290"/>
      <sheetName val="0630-0900-01-294"/>
      <sheetName val="0520-0900-07 FORTALECIMIENTO"/>
    </sheetNames>
    <sheetDataSet>
      <sheetData sheetId="1">
        <row r="13">
          <cell r="D13">
            <v>1</v>
          </cell>
        </row>
      </sheetData>
      <sheetData sheetId="5">
        <row r="13">
          <cell r="D13">
            <v>25000</v>
          </cell>
        </row>
        <row r="14">
          <cell r="D14">
            <v>12</v>
          </cell>
        </row>
      </sheetData>
      <sheetData sheetId="8">
        <row r="9">
          <cell r="D9">
            <v>20000000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workbookViewId="0" topLeftCell="A41">
      <selection activeCell="K74" sqref="K74"/>
    </sheetView>
  </sheetViews>
  <sheetFormatPr defaultColWidth="11.421875" defaultRowHeight="12.75"/>
  <cols>
    <col min="1" max="1" width="3.421875" style="0" customWidth="1"/>
    <col min="2" max="2" width="6.57421875" style="0" customWidth="1"/>
    <col min="3" max="3" width="6.00390625" style="0" customWidth="1"/>
    <col min="4" max="4" width="5.140625" style="0" customWidth="1"/>
    <col min="5" max="5" width="4.7109375" style="0" customWidth="1"/>
    <col min="6" max="6" width="37.140625" style="0" customWidth="1"/>
    <col min="7" max="7" width="16.28125" style="0" customWidth="1"/>
    <col min="8" max="8" width="20.8515625" style="0" customWidth="1"/>
    <col min="9" max="9" width="18.421875" style="0" customWidth="1"/>
    <col min="10" max="10" width="18.421875" style="0" hidden="1" customWidth="1"/>
    <col min="11" max="11" width="19.00390625" style="0" customWidth="1"/>
    <col min="12" max="12" width="16.28125" style="0" customWidth="1"/>
    <col min="13" max="13" width="17.28125" style="0" customWidth="1"/>
    <col min="14" max="14" width="13.7109375" style="0" bestFit="1" customWidth="1"/>
  </cols>
  <sheetData>
    <row r="1" spans="3:7" ht="12.75">
      <c r="C1" s="2" t="s">
        <v>1</v>
      </c>
      <c r="D1" s="1" t="s">
        <v>1</v>
      </c>
      <c r="E1" s="1" t="s">
        <v>1</v>
      </c>
      <c r="F1" s="1" t="s">
        <v>0</v>
      </c>
      <c r="G1" s="1"/>
    </row>
    <row r="2" spans="1:11" ht="12.75">
      <c r="A2" s="5"/>
      <c r="B2" s="5"/>
      <c r="C2" s="6" t="s">
        <v>1</v>
      </c>
      <c r="D2" s="7" t="s">
        <v>1</v>
      </c>
      <c r="E2" s="7" t="s">
        <v>1</v>
      </c>
      <c r="F2" s="7" t="s">
        <v>48</v>
      </c>
      <c r="G2" s="7"/>
      <c r="H2" s="7"/>
      <c r="I2" s="5"/>
      <c r="J2" s="5"/>
      <c r="K2" s="5"/>
    </row>
    <row r="3" spans="1:11" ht="12.75">
      <c r="A3" s="8"/>
      <c r="B3" s="8"/>
      <c r="C3" s="8"/>
      <c r="D3" s="8"/>
      <c r="E3" s="8"/>
      <c r="F3" s="9" t="s">
        <v>49</v>
      </c>
      <c r="G3" s="9"/>
      <c r="H3" s="9"/>
      <c r="I3" s="8"/>
      <c r="J3" s="18"/>
      <c r="K3" s="35">
        <v>39630</v>
      </c>
    </row>
    <row r="4" spans="6:9" ht="12.75">
      <c r="F4" s="1"/>
      <c r="I4" t="s">
        <v>1</v>
      </c>
    </row>
    <row r="5" spans="1:12" ht="12.75">
      <c r="A5" s="11" t="s">
        <v>7</v>
      </c>
      <c r="B5" s="11" t="s">
        <v>8</v>
      </c>
      <c r="C5" s="12" t="s">
        <v>9</v>
      </c>
      <c r="D5" s="12" t="s">
        <v>10</v>
      </c>
      <c r="E5" s="12" t="s">
        <v>11</v>
      </c>
      <c r="F5" s="13"/>
      <c r="G5" s="13"/>
      <c r="H5" s="12" t="s">
        <v>1</v>
      </c>
      <c r="I5" s="13"/>
      <c r="J5" s="13"/>
      <c r="K5" s="11" t="s">
        <v>1</v>
      </c>
      <c r="L5" s="13"/>
    </row>
    <row r="6" spans="1:12" ht="12.75">
      <c r="A6" s="12"/>
      <c r="B6" s="11" t="s">
        <v>12</v>
      </c>
      <c r="C6" s="12"/>
      <c r="D6" s="12" t="s">
        <v>13</v>
      </c>
      <c r="E6" s="12"/>
      <c r="F6" s="13"/>
      <c r="G6" s="11" t="s">
        <v>3</v>
      </c>
      <c r="H6" s="11" t="s">
        <v>2</v>
      </c>
      <c r="I6" s="11" t="s">
        <v>3</v>
      </c>
      <c r="J6" s="11" t="s">
        <v>58</v>
      </c>
      <c r="K6" s="11" t="s">
        <v>66</v>
      </c>
      <c r="L6" s="32" t="s">
        <v>63</v>
      </c>
    </row>
    <row r="7" spans="1:12" ht="12.75">
      <c r="A7" s="12"/>
      <c r="B7" s="12"/>
      <c r="C7" s="12"/>
      <c r="D7" s="12" t="s">
        <v>14</v>
      </c>
      <c r="E7" s="12"/>
      <c r="F7" s="11" t="s">
        <v>15</v>
      </c>
      <c r="G7" s="11" t="s">
        <v>4</v>
      </c>
      <c r="H7" s="11" t="s">
        <v>16</v>
      </c>
      <c r="I7" s="11" t="s">
        <v>5</v>
      </c>
      <c r="J7" s="11" t="s">
        <v>62</v>
      </c>
      <c r="K7" s="11" t="s">
        <v>59</v>
      </c>
      <c r="L7" s="33"/>
    </row>
    <row r="8" spans="1:12" ht="12.75">
      <c r="A8" s="12"/>
      <c r="B8" s="12"/>
      <c r="C8" s="12"/>
      <c r="D8" s="12" t="s">
        <v>17</v>
      </c>
      <c r="E8" s="12"/>
      <c r="F8" s="13"/>
      <c r="G8" s="11">
        <v>1</v>
      </c>
      <c r="H8" s="11">
        <v>2</v>
      </c>
      <c r="I8" s="11" t="s">
        <v>18</v>
      </c>
      <c r="J8" s="11"/>
      <c r="K8" s="11"/>
      <c r="L8" s="13"/>
    </row>
    <row r="9" spans="1:12" ht="12.75">
      <c r="A9" s="13"/>
      <c r="B9" s="13"/>
      <c r="C9" s="13"/>
      <c r="D9" s="13"/>
      <c r="E9" s="13"/>
      <c r="F9" s="13"/>
      <c r="G9" s="14" t="s">
        <v>1</v>
      </c>
      <c r="H9" s="14"/>
      <c r="I9" s="14" t="s">
        <v>1</v>
      </c>
      <c r="J9" s="14"/>
      <c r="K9" s="14"/>
      <c r="L9" s="13"/>
    </row>
    <row r="10" spans="1:12" ht="12.75">
      <c r="A10" s="13" t="s">
        <v>19</v>
      </c>
      <c r="B10" s="13"/>
      <c r="C10" s="13"/>
      <c r="D10" s="13"/>
      <c r="E10" s="13"/>
      <c r="F10" s="15" t="s">
        <v>20</v>
      </c>
      <c r="G10" s="16">
        <f>SUM(G11+G19+G22)</f>
        <v>1334597240</v>
      </c>
      <c r="H10" s="16">
        <f>SUM(H11+H19+H21+H22)</f>
        <v>0</v>
      </c>
      <c r="I10" s="16">
        <f>+G10+H10</f>
        <v>1334597240</v>
      </c>
      <c r="J10" s="16">
        <f>SUM(J11+J19+J22)</f>
        <v>131043164</v>
      </c>
      <c r="K10" s="16">
        <f>+K11+K19+K22</f>
        <v>1067095337</v>
      </c>
      <c r="L10" s="14">
        <f>+K10/I10*100</f>
        <v>79.9563572452765</v>
      </c>
    </row>
    <row r="11" spans="1:12" ht="12.75">
      <c r="A11" s="13" t="s">
        <v>19</v>
      </c>
      <c r="B11" s="13">
        <v>1</v>
      </c>
      <c r="C11" s="13">
        <v>1</v>
      </c>
      <c r="D11" s="13">
        <v>0</v>
      </c>
      <c r="E11" s="13">
        <v>0</v>
      </c>
      <c r="F11" s="15" t="s">
        <v>21</v>
      </c>
      <c r="G11" s="16">
        <f>+G12+G17+G18</f>
        <v>1300610322</v>
      </c>
      <c r="H11" s="16">
        <f>+H12+H17+H18</f>
        <v>0</v>
      </c>
      <c r="I11" s="16">
        <f>+I12+I17+I18</f>
        <v>1300610322</v>
      </c>
      <c r="J11" s="16">
        <f>+J12+J17+J18</f>
        <v>130267298</v>
      </c>
      <c r="K11" s="16">
        <f>+K12+K17+K18</f>
        <v>1041541807</v>
      </c>
      <c r="L11" s="14">
        <f aca="true" t="shared" si="0" ref="L11:L27">+K11/I11*100</f>
        <v>80.08100423179634</v>
      </c>
    </row>
    <row r="12" spans="1:13" ht="12.75">
      <c r="A12" s="13" t="s">
        <v>19</v>
      </c>
      <c r="B12" s="13">
        <v>1</v>
      </c>
      <c r="C12" s="13">
        <v>1</v>
      </c>
      <c r="D12" s="13">
        <v>1</v>
      </c>
      <c r="E12" s="13">
        <v>0</v>
      </c>
      <c r="F12" s="13" t="s">
        <v>22</v>
      </c>
      <c r="G12" s="14">
        <f>SUM(G13:G16)</f>
        <v>1031377534</v>
      </c>
      <c r="H12" s="14">
        <f>SUM(H13:H16)</f>
        <v>0</v>
      </c>
      <c r="I12" s="14">
        <f>+G12+H12</f>
        <v>1031377534</v>
      </c>
      <c r="J12" s="14">
        <f>SUM(J13:J16)</f>
        <v>130267298</v>
      </c>
      <c r="K12" s="16">
        <f>+K13+K14+K15+K16</f>
        <v>878424578</v>
      </c>
      <c r="L12" s="14">
        <f t="shared" si="0"/>
        <v>85.17003221828952</v>
      </c>
      <c r="M12" t="s">
        <v>1</v>
      </c>
    </row>
    <row r="13" spans="1:14" ht="12.75">
      <c r="A13" s="13" t="s">
        <v>19</v>
      </c>
      <c r="B13" s="13">
        <v>1</v>
      </c>
      <c r="C13" s="13">
        <v>1</v>
      </c>
      <c r="D13" s="13">
        <v>1</v>
      </c>
      <c r="E13" s="13">
        <v>1</v>
      </c>
      <c r="F13" s="13" t="s">
        <v>23</v>
      </c>
      <c r="G13" s="14">
        <v>749992267</v>
      </c>
      <c r="H13" s="14">
        <v>0</v>
      </c>
      <c r="I13" s="14">
        <f>+G13+H13</f>
        <v>749992267</v>
      </c>
      <c r="J13" s="14">
        <v>105878989</v>
      </c>
      <c r="K13" s="37">
        <f>659584616+54631954+3574584+3506224</f>
        <v>721297378</v>
      </c>
      <c r="L13" s="14">
        <f t="shared" si="0"/>
        <v>96.17397535113518</v>
      </c>
      <c r="M13" s="3" t="s">
        <v>1</v>
      </c>
      <c r="N13" s="3" t="s">
        <v>1</v>
      </c>
    </row>
    <row r="14" spans="1:15" ht="12.75">
      <c r="A14" s="13" t="s">
        <v>19</v>
      </c>
      <c r="B14" s="13">
        <v>1</v>
      </c>
      <c r="C14" s="13">
        <v>1</v>
      </c>
      <c r="D14" s="13">
        <v>9</v>
      </c>
      <c r="E14" s="13">
        <v>1</v>
      </c>
      <c r="F14" s="13" t="s">
        <v>24</v>
      </c>
      <c r="G14" s="14">
        <v>1146602</v>
      </c>
      <c r="H14" s="14">
        <v>0</v>
      </c>
      <c r="I14" s="14">
        <f aca="true" t="shared" si="1" ref="I14:I19">+G14+H14</f>
        <v>1146602</v>
      </c>
      <c r="J14" s="14"/>
      <c r="K14" s="37">
        <f>150945+144800+162500+156000+147895</f>
        <v>762140</v>
      </c>
      <c r="L14" s="14">
        <f t="shared" si="0"/>
        <v>66.46944624202644</v>
      </c>
      <c r="M14" s="3" t="s">
        <v>1</v>
      </c>
      <c r="N14" s="3" t="s">
        <v>1</v>
      </c>
      <c r="O14" t="s">
        <v>1</v>
      </c>
    </row>
    <row r="15" spans="1:13" ht="12.75">
      <c r="A15" s="13" t="s">
        <v>19</v>
      </c>
      <c r="B15" s="13">
        <v>1</v>
      </c>
      <c r="C15" s="13">
        <v>1</v>
      </c>
      <c r="D15" s="13">
        <v>4</v>
      </c>
      <c r="E15" s="13">
        <v>2</v>
      </c>
      <c r="F15" s="13" t="s">
        <v>25</v>
      </c>
      <c r="G15" s="14">
        <v>99683709</v>
      </c>
      <c r="H15" s="14">
        <f>0</f>
        <v>0</v>
      </c>
      <c r="I15" s="14">
        <f t="shared" si="1"/>
        <v>99683709</v>
      </c>
      <c r="J15" s="14">
        <v>11798520</v>
      </c>
      <c r="K15" s="37">
        <f>72952971+4878120</f>
        <v>77831091</v>
      </c>
      <c r="L15" s="14">
        <f t="shared" si="0"/>
        <v>78.07804482876936</v>
      </c>
      <c r="M15" s="3" t="s">
        <v>1</v>
      </c>
    </row>
    <row r="16" spans="1:13" ht="12.75">
      <c r="A16" s="13" t="s">
        <v>19</v>
      </c>
      <c r="B16" s="13">
        <v>1</v>
      </c>
      <c r="C16" s="13">
        <v>1</v>
      </c>
      <c r="D16" s="13">
        <v>5</v>
      </c>
      <c r="E16" s="13">
        <v>0</v>
      </c>
      <c r="F16" s="13" t="s">
        <v>26</v>
      </c>
      <c r="G16" s="14">
        <v>180554956</v>
      </c>
      <c r="H16" s="14">
        <f>0</f>
        <v>0</v>
      </c>
      <c r="I16" s="14">
        <f t="shared" si="1"/>
        <v>180554956</v>
      </c>
      <c r="J16" s="14">
        <v>12589789</v>
      </c>
      <c r="K16" s="37">
        <f>9608186+52000000-49351153+14154956+1874189+49351153+896638</f>
        <v>78533969</v>
      </c>
      <c r="L16" s="14">
        <f t="shared" si="0"/>
        <v>43.495881110015056</v>
      </c>
      <c r="M16" s="3"/>
    </row>
    <row r="17" spans="1:13" ht="12.75">
      <c r="A17" s="13" t="s">
        <v>19</v>
      </c>
      <c r="B17" s="13">
        <v>1</v>
      </c>
      <c r="C17" s="13">
        <v>5</v>
      </c>
      <c r="D17" s="13">
        <v>0</v>
      </c>
      <c r="E17" s="13">
        <v>1</v>
      </c>
      <c r="F17" s="13" t="s">
        <v>27</v>
      </c>
      <c r="G17" s="14">
        <v>60237480</v>
      </c>
      <c r="H17" s="14">
        <v>0</v>
      </c>
      <c r="I17" s="14">
        <f t="shared" si="1"/>
        <v>60237480</v>
      </c>
      <c r="J17" s="14">
        <v>0</v>
      </c>
      <c r="K17" s="37">
        <f>16263323+16776491+20364910+6267600</f>
        <v>59672324</v>
      </c>
      <c r="L17" s="14">
        <f t="shared" si="0"/>
        <v>99.06178678125313</v>
      </c>
      <c r="M17" s="3"/>
    </row>
    <row r="18" spans="1:13" ht="12.75">
      <c r="A18" s="13" t="s">
        <v>19</v>
      </c>
      <c r="B18" s="13">
        <v>1</v>
      </c>
      <c r="C18" s="13">
        <v>5</v>
      </c>
      <c r="D18" s="13">
        <v>0</v>
      </c>
      <c r="E18" s="13">
        <v>2</v>
      </c>
      <c r="F18" s="13" t="s">
        <v>28</v>
      </c>
      <c r="G18" s="14">
        <v>208995308</v>
      </c>
      <c r="H18" s="14">
        <f>0</f>
        <v>0</v>
      </c>
      <c r="I18" s="14">
        <f t="shared" si="1"/>
        <v>208995308</v>
      </c>
      <c r="J18" s="14">
        <v>0</v>
      </c>
      <c r="K18" s="37">
        <f>77167305+15767100+10510500</f>
        <v>103444905</v>
      </c>
      <c r="L18" s="14">
        <f t="shared" si="0"/>
        <v>49.49628103612738</v>
      </c>
      <c r="M18" s="3"/>
    </row>
    <row r="19" spans="1:13" ht="12.75">
      <c r="A19" s="13" t="s">
        <v>19</v>
      </c>
      <c r="B19" s="13">
        <v>2</v>
      </c>
      <c r="C19" s="13">
        <v>0</v>
      </c>
      <c r="D19" s="13">
        <v>0</v>
      </c>
      <c r="E19" s="13">
        <v>0</v>
      </c>
      <c r="F19" s="15" t="s">
        <v>29</v>
      </c>
      <c r="G19" s="16">
        <f>SUM(G20:G21)</f>
        <v>25553530</v>
      </c>
      <c r="H19" s="16">
        <f>SUM(H20:H21)</f>
        <v>0</v>
      </c>
      <c r="I19" s="16">
        <f t="shared" si="1"/>
        <v>25553530</v>
      </c>
      <c r="J19" s="16">
        <f>SUM(J20:J21)</f>
        <v>775866</v>
      </c>
      <c r="K19" s="37">
        <f>+K20+K21</f>
        <v>25553530</v>
      </c>
      <c r="L19" s="14">
        <f t="shared" si="0"/>
        <v>100</v>
      </c>
      <c r="M19" s="3"/>
    </row>
    <row r="20" spans="1:13" ht="12.75">
      <c r="A20" s="13" t="s">
        <v>19</v>
      </c>
      <c r="B20" s="13">
        <v>2</v>
      </c>
      <c r="C20" s="13">
        <v>0</v>
      </c>
      <c r="D20" s="13">
        <v>4</v>
      </c>
      <c r="E20" s="13">
        <v>0</v>
      </c>
      <c r="F20" s="13" t="s">
        <v>30</v>
      </c>
      <c r="G20" s="14">
        <v>24286957</v>
      </c>
      <c r="H20" s="14">
        <v>0</v>
      </c>
      <c r="I20" s="14">
        <f>+G20+H20</f>
        <v>24286957</v>
      </c>
      <c r="J20" s="16">
        <f>24286957-23511091</f>
        <v>775866</v>
      </c>
      <c r="K20" s="16">
        <f>23511091+J20</f>
        <v>24286957</v>
      </c>
      <c r="L20" s="14">
        <f t="shared" si="0"/>
        <v>100</v>
      </c>
      <c r="M20" s="3"/>
    </row>
    <row r="21" spans="1:13" ht="12.75">
      <c r="A21" s="13" t="s">
        <v>19</v>
      </c>
      <c r="B21" s="13">
        <v>2</v>
      </c>
      <c r="C21" s="13">
        <v>0</v>
      </c>
      <c r="D21" s="13">
        <v>3</v>
      </c>
      <c r="E21" s="13">
        <v>50</v>
      </c>
      <c r="F21" s="13" t="s">
        <v>31</v>
      </c>
      <c r="G21" s="14">
        <v>1266573</v>
      </c>
      <c r="H21" s="14">
        <v>0</v>
      </c>
      <c r="I21" s="14">
        <f>+G21+H21</f>
        <v>1266573</v>
      </c>
      <c r="J21" s="14">
        <v>0</v>
      </c>
      <c r="K21" s="16">
        <v>1266573</v>
      </c>
      <c r="L21" s="14">
        <f t="shared" si="0"/>
        <v>100</v>
      </c>
      <c r="M21" s="3"/>
    </row>
    <row r="22" spans="1:13" ht="12.75">
      <c r="A22" s="13" t="s">
        <v>19</v>
      </c>
      <c r="B22" s="13">
        <v>3</v>
      </c>
      <c r="C22" s="13">
        <v>2</v>
      </c>
      <c r="D22" s="13">
        <v>1</v>
      </c>
      <c r="E22" s="13">
        <v>1</v>
      </c>
      <c r="F22" s="13" t="s">
        <v>32</v>
      </c>
      <c r="G22" s="14">
        <v>8433388</v>
      </c>
      <c r="H22" s="14">
        <v>0</v>
      </c>
      <c r="I22" s="14">
        <f>+G22+H22</f>
        <v>8433388</v>
      </c>
      <c r="J22" s="14">
        <v>0</v>
      </c>
      <c r="K22" s="16">
        <v>0</v>
      </c>
      <c r="L22" s="14">
        <f t="shared" si="0"/>
        <v>0</v>
      </c>
      <c r="M22" s="3"/>
    </row>
    <row r="23" spans="1:13" ht="12.75">
      <c r="A23" s="13"/>
      <c r="B23" s="13"/>
      <c r="C23" s="13"/>
      <c r="D23" s="13"/>
      <c r="E23" s="13"/>
      <c r="F23" s="13"/>
      <c r="G23" s="14"/>
      <c r="H23" s="14"/>
      <c r="I23" s="14"/>
      <c r="J23" s="14"/>
      <c r="K23" s="16" t="s">
        <v>1</v>
      </c>
      <c r="L23" s="14" t="s">
        <v>1</v>
      </c>
      <c r="M23" s="3"/>
    </row>
    <row r="24" spans="1:13" ht="12.75">
      <c r="A24" s="13" t="s">
        <v>33</v>
      </c>
      <c r="B24" s="13"/>
      <c r="C24" s="13"/>
      <c r="D24" s="13"/>
      <c r="E24" s="13"/>
      <c r="F24" s="15" t="s">
        <v>34</v>
      </c>
      <c r="G24" s="16">
        <v>0</v>
      </c>
      <c r="H24" s="16">
        <v>1243847230</v>
      </c>
      <c r="I24" s="16">
        <f>+G24+H24</f>
        <v>1243847230</v>
      </c>
      <c r="J24" s="16">
        <v>0</v>
      </c>
      <c r="K24" s="16">
        <f>239729000+694010600</f>
        <v>933739600</v>
      </c>
      <c r="L24" s="14">
        <f t="shared" si="0"/>
        <v>75.06867221949757</v>
      </c>
      <c r="M24" s="3"/>
    </row>
    <row r="25" spans="1:13" ht="12.75">
      <c r="A25" s="13"/>
      <c r="B25" s="13"/>
      <c r="C25" s="13"/>
      <c r="D25" s="13"/>
      <c r="E25" s="13"/>
      <c r="F25" s="13"/>
      <c r="G25" s="14"/>
      <c r="H25" s="14"/>
      <c r="I25" s="14"/>
      <c r="J25" s="14"/>
      <c r="K25" s="16" t="s">
        <v>1</v>
      </c>
      <c r="L25" s="14" t="s">
        <v>1</v>
      </c>
      <c r="M25" s="3"/>
    </row>
    <row r="26" spans="1:12" ht="12.75">
      <c r="A26" s="13" t="s">
        <v>1</v>
      </c>
      <c r="B26" s="13" t="s">
        <v>1</v>
      </c>
      <c r="C26" s="13" t="s">
        <v>1</v>
      </c>
      <c r="D26" s="13" t="s">
        <v>1</v>
      </c>
      <c r="E26" s="13" t="s">
        <v>1</v>
      </c>
      <c r="F26" s="17" t="s">
        <v>1</v>
      </c>
      <c r="G26" s="14" t="s">
        <v>1</v>
      </c>
      <c r="H26" s="14" t="s">
        <v>1</v>
      </c>
      <c r="I26" s="14" t="s">
        <v>1</v>
      </c>
      <c r="J26" s="14" t="s">
        <v>1</v>
      </c>
      <c r="K26" s="16" t="s">
        <v>1</v>
      </c>
      <c r="L26" s="14" t="s">
        <v>1</v>
      </c>
    </row>
    <row r="27" spans="1:12" ht="12.75">
      <c r="A27" s="13"/>
      <c r="B27" s="13"/>
      <c r="C27" s="13"/>
      <c r="D27" s="13"/>
      <c r="E27" s="13"/>
      <c r="F27" s="15" t="s">
        <v>35</v>
      </c>
      <c r="G27" s="16">
        <f>+G10+G24</f>
        <v>1334597240</v>
      </c>
      <c r="H27" s="16">
        <f>+H10+H24</f>
        <v>1243847230</v>
      </c>
      <c r="I27" s="16">
        <f>+I10+I24</f>
        <v>2578444470</v>
      </c>
      <c r="J27" s="16">
        <f>+J10+J24</f>
        <v>131043164</v>
      </c>
      <c r="K27" s="16">
        <f>+K10+K24</f>
        <v>2000834937</v>
      </c>
      <c r="L27" s="14">
        <f t="shared" si="0"/>
        <v>77.59852734001286</v>
      </c>
    </row>
    <row r="28" spans="2:11" ht="12.75">
      <c r="B28" s="18"/>
      <c r="C28" s="18"/>
      <c r="D28" s="18"/>
      <c r="E28" s="18"/>
      <c r="F28" s="18"/>
      <c r="G28" s="19" t="s">
        <v>1</v>
      </c>
      <c r="H28" s="18"/>
      <c r="I28" s="19" t="s">
        <v>1</v>
      </c>
      <c r="J28" s="19"/>
      <c r="K28" s="19" t="s">
        <v>1</v>
      </c>
    </row>
    <row r="29" spans="7:10" ht="12.75">
      <c r="G29" s="3" t="s">
        <v>1</v>
      </c>
      <c r="I29" s="3" t="s">
        <v>1</v>
      </c>
      <c r="J29" s="3"/>
    </row>
    <row r="32" spans="6:11" ht="12.75">
      <c r="F32" s="4" t="s">
        <v>6</v>
      </c>
      <c r="G32" s="4"/>
      <c r="H32" s="4" t="s">
        <v>46</v>
      </c>
      <c r="I32" s="4"/>
      <c r="J32" s="4"/>
      <c r="K32" s="4"/>
    </row>
    <row r="33" spans="6:11" ht="12.75">
      <c r="F33" s="4" t="s">
        <v>36</v>
      </c>
      <c r="G33" s="4"/>
      <c r="H33" s="4" t="s">
        <v>47</v>
      </c>
      <c r="I33" s="4"/>
      <c r="J33" s="4"/>
      <c r="K33" s="4"/>
    </row>
    <row r="38" spans="8:9" ht="12.75">
      <c r="H38" t="s">
        <v>1</v>
      </c>
      <c r="I38" t="s">
        <v>1</v>
      </c>
    </row>
    <row r="39" ht="12.75">
      <c r="H39" t="s">
        <v>1</v>
      </c>
    </row>
    <row r="40" ht="12.75">
      <c r="H40" t="s">
        <v>1</v>
      </c>
    </row>
    <row r="45" ht="12.75">
      <c r="I45" t="s">
        <v>1</v>
      </c>
    </row>
    <row r="46" spans="1:10" ht="12.75">
      <c r="A46" t="s">
        <v>1</v>
      </c>
      <c r="F46" s="1" t="s">
        <v>1</v>
      </c>
      <c r="G46" s="1"/>
      <c r="I46" s="3" t="s">
        <v>1</v>
      </c>
      <c r="J46" s="3"/>
    </row>
    <row r="47" spans="1:9" ht="12.75">
      <c r="A47" t="s">
        <v>1</v>
      </c>
      <c r="E47" s="1" t="s">
        <v>1</v>
      </c>
      <c r="F47" s="1" t="s">
        <v>1</v>
      </c>
      <c r="G47" s="1"/>
      <c r="I47" t="s">
        <v>1</v>
      </c>
    </row>
    <row r="48" spans="3:7" ht="12.75">
      <c r="C48" s="2" t="s">
        <v>1</v>
      </c>
      <c r="D48" s="1" t="s">
        <v>1</v>
      </c>
      <c r="E48" s="1" t="s">
        <v>1</v>
      </c>
      <c r="F48" s="1" t="s">
        <v>0</v>
      </c>
      <c r="G48" s="1"/>
    </row>
    <row r="49" spans="1:11" ht="12.75">
      <c r="A49" s="5"/>
      <c r="B49" s="5"/>
      <c r="C49" s="6" t="s">
        <v>1</v>
      </c>
      <c r="D49" s="7" t="s">
        <v>1</v>
      </c>
      <c r="E49" s="7" t="s">
        <v>1</v>
      </c>
      <c r="F49" s="7" t="s">
        <v>48</v>
      </c>
      <c r="G49" s="7"/>
      <c r="H49" s="7"/>
      <c r="I49" s="5"/>
      <c r="J49" s="5"/>
      <c r="K49" s="5"/>
    </row>
    <row r="50" spans="1:11" ht="12.75">
      <c r="A50" s="8"/>
      <c r="B50" s="8"/>
      <c r="C50" s="8"/>
      <c r="D50" s="8"/>
      <c r="E50" s="8"/>
      <c r="F50" s="9" t="s">
        <v>50</v>
      </c>
      <c r="G50" s="9"/>
      <c r="H50" s="9" t="s">
        <v>1</v>
      </c>
      <c r="I50" s="20" t="s">
        <v>1</v>
      </c>
      <c r="J50" s="20"/>
      <c r="K50" s="34">
        <f>+K3</f>
        <v>39630</v>
      </c>
    </row>
    <row r="51" spans="6:11" ht="12.75">
      <c r="F51" s="1"/>
      <c r="I51" s="3" t="s">
        <v>37</v>
      </c>
      <c r="J51" s="3"/>
      <c r="K51" s="10"/>
    </row>
    <row r="52" spans="1:12" ht="12.75">
      <c r="A52" s="12"/>
      <c r="B52" s="11" t="s">
        <v>12</v>
      </c>
      <c r="C52" s="12"/>
      <c r="D52" s="12" t="s">
        <v>13</v>
      </c>
      <c r="E52" s="12"/>
      <c r="F52" s="21"/>
      <c r="G52" s="11" t="s">
        <v>3</v>
      </c>
      <c r="H52" s="11" t="s">
        <v>2</v>
      </c>
      <c r="I52" s="11" t="s">
        <v>3</v>
      </c>
      <c r="J52" s="11" t="s">
        <v>60</v>
      </c>
      <c r="K52" s="22" t="s">
        <v>66</v>
      </c>
      <c r="L52" s="32" t="s">
        <v>64</v>
      </c>
    </row>
    <row r="53" spans="1:12" ht="12.75">
      <c r="A53" s="12"/>
      <c r="B53" s="12"/>
      <c r="C53" s="12"/>
      <c r="D53" s="12" t="s">
        <v>14</v>
      </c>
      <c r="E53" s="12"/>
      <c r="F53" s="11" t="s">
        <v>15</v>
      </c>
      <c r="G53" s="11" t="s">
        <v>4</v>
      </c>
      <c r="H53" s="11" t="s">
        <v>16</v>
      </c>
      <c r="I53" s="11" t="s">
        <v>5</v>
      </c>
      <c r="J53" s="11" t="s">
        <v>61</v>
      </c>
      <c r="K53" s="11" t="s">
        <v>59</v>
      </c>
      <c r="L53" s="33"/>
    </row>
    <row r="54" spans="1:12" ht="12.75">
      <c r="A54" s="12"/>
      <c r="B54" s="12"/>
      <c r="C54" s="12"/>
      <c r="D54" s="12" t="s">
        <v>17</v>
      </c>
      <c r="E54" s="12"/>
      <c r="F54" s="21"/>
      <c r="G54" s="11">
        <v>1</v>
      </c>
      <c r="H54" s="11">
        <v>2</v>
      </c>
      <c r="I54" s="11" t="s">
        <v>18</v>
      </c>
      <c r="J54" s="11"/>
      <c r="K54" s="11"/>
      <c r="L54" s="13"/>
    </row>
    <row r="55" spans="1:12" ht="12.75">
      <c r="A55" s="21"/>
      <c r="B55" s="21"/>
      <c r="C55" s="21"/>
      <c r="D55" s="21"/>
      <c r="E55" s="21"/>
      <c r="F55" s="21"/>
      <c r="G55" s="23" t="s">
        <v>1</v>
      </c>
      <c r="H55" s="23" t="s">
        <v>1</v>
      </c>
      <c r="I55" s="23" t="s">
        <v>1</v>
      </c>
      <c r="J55" s="23"/>
      <c r="K55" s="23" t="s">
        <v>1</v>
      </c>
      <c r="L55" s="13"/>
    </row>
    <row r="56" spans="1:12" ht="12.75">
      <c r="A56" s="21" t="s">
        <v>19</v>
      </c>
      <c r="B56" s="21"/>
      <c r="C56" s="21"/>
      <c r="D56" s="21"/>
      <c r="E56" s="21"/>
      <c r="F56" s="21" t="s">
        <v>38</v>
      </c>
      <c r="G56" s="23">
        <f>SUM(G57+G66+G70)</f>
        <v>3256343679</v>
      </c>
      <c r="H56" s="23">
        <f>SUM(H57+H66+H70)</f>
        <v>0</v>
      </c>
      <c r="I56" s="23">
        <f>SUM(I57+I66+I70)</f>
        <v>3256343679</v>
      </c>
      <c r="J56" s="23">
        <f>SUM(J57+J66+J70)</f>
        <v>204336876</v>
      </c>
      <c r="K56" s="23">
        <f>+K57+K66+K70</f>
        <v>1808043528</v>
      </c>
      <c r="L56" s="14">
        <f>+K56/I56*100</f>
        <v>55.52373171357752</v>
      </c>
    </row>
    <row r="57" spans="1:12" ht="12.75">
      <c r="A57" s="21" t="s">
        <v>19</v>
      </c>
      <c r="B57" s="21">
        <v>1</v>
      </c>
      <c r="C57" s="21">
        <v>1</v>
      </c>
      <c r="D57" s="21">
        <v>0</v>
      </c>
      <c r="E57" s="21">
        <v>0</v>
      </c>
      <c r="F57" s="21" t="s">
        <v>21</v>
      </c>
      <c r="G57" s="23">
        <f>SUM(G58+G63+G64+G65)</f>
        <v>1423687311</v>
      </c>
      <c r="H57" s="23">
        <f>SUM(H58+H63+H64+H65)</f>
        <v>0</v>
      </c>
      <c r="I57" s="23">
        <f>+I58+I63+I64+I65</f>
        <v>1423687311</v>
      </c>
      <c r="J57" s="23">
        <f>SUM(J58+J63+J64+J65)</f>
        <v>0</v>
      </c>
      <c r="K57" s="23">
        <f>+K58+K63+K64+K65</f>
        <v>547865833</v>
      </c>
      <c r="L57" s="14">
        <f aca="true" t="shared" si="2" ref="L57:L85">+K57/I57*100</f>
        <v>38.48217433469841</v>
      </c>
    </row>
    <row r="58" spans="1:12" ht="12.75">
      <c r="A58" s="21" t="s">
        <v>19</v>
      </c>
      <c r="B58" s="21">
        <v>1</v>
      </c>
      <c r="C58" s="21">
        <v>1</v>
      </c>
      <c r="D58" s="21">
        <v>1</v>
      </c>
      <c r="E58" s="21">
        <v>0</v>
      </c>
      <c r="F58" s="21" t="s">
        <v>22</v>
      </c>
      <c r="G58" s="23">
        <f>SUM(G59:G62)</f>
        <v>909053395</v>
      </c>
      <c r="H58" s="23">
        <f>SUM(H59:H62)</f>
        <v>0</v>
      </c>
      <c r="I58" s="23">
        <f>SUM(I59:I62)</f>
        <v>909053395</v>
      </c>
      <c r="J58" s="23">
        <f>SUM(J59:J62)</f>
        <v>0</v>
      </c>
      <c r="K58" s="23">
        <f>SUM(K59:K62)</f>
        <v>235407318</v>
      </c>
      <c r="L58" s="14">
        <f t="shared" si="2"/>
        <v>25.89587358617147</v>
      </c>
    </row>
    <row r="59" spans="1:12" ht="12.75">
      <c r="A59" s="21" t="s">
        <v>19</v>
      </c>
      <c r="B59" s="21">
        <v>1</v>
      </c>
      <c r="C59" s="21">
        <v>1</v>
      </c>
      <c r="D59" s="21">
        <v>1</v>
      </c>
      <c r="E59" s="21">
        <v>1</v>
      </c>
      <c r="F59" s="21" t="s">
        <v>23</v>
      </c>
      <c r="G59" s="23">
        <v>700765929</v>
      </c>
      <c r="H59" s="23">
        <v>-10000000</v>
      </c>
      <c r="I59" s="23">
        <f>SUM(G59+H59)</f>
        <v>690765929</v>
      </c>
      <c r="J59" s="23">
        <v>0</v>
      </c>
      <c r="K59" s="23">
        <f>58925151+58945336</f>
        <v>117870487</v>
      </c>
      <c r="L59" s="14">
        <f t="shared" si="2"/>
        <v>17.06373780922249</v>
      </c>
    </row>
    <row r="60" spans="1:12" ht="12.75">
      <c r="A60" s="21" t="s">
        <v>19</v>
      </c>
      <c r="B60" s="21">
        <v>1</v>
      </c>
      <c r="C60" s="21">
        <v>1</v>
      </c>
      <c r="D60" s="21">
        <v>9</v>
      </c>
      <c r="E60" s="21">
        <v>3</v>
      </c>
      <c r="F60" s="21" t="s">
        <v>39</v>
      </c>
      <c r="G60" s="23">
        <v>10000000</v>
      </c>
      <c r="H60" s="23">
        <v>10000000</v>
      </c>
      <c r="I60" s="23">
        <f>SUM(G60+H60)</f>
        <v>20000000</v>
      </c>
      <c r="J60" s="23">
        <v>0</v>
      </c>
      <c r="K60" s="23">
        <f>10640910-980772+3756370+980772+4723517</f>
        <v>19120797</v>
      </c>
      <c r="L60" s="14">
        <f t="shared" si="2"/>
        <v>95.60398500000001</v>
      </c>
    </row>
    <row r="61" spans="1:13" ht="12.75">
      <c r="A61" s="21" t="s">
        <v>19</v>
      </c>
      <c r="B61" s="21">
        <v>1</v>
      </c>
      <c r="C61" s="21">
        <v>1</v>
      </c>
      <c r="D61" s="21">
        <v>4</v>
      </c>
      <c r="E61" s="21">
        <v>2</v>
      </c>
      <c r="F61" s="21" t="s">
        <v>25</v>
      </c>
      <c r="G61" s="23">
        <v>57007680</v>
      </c>
      <c r="H61" s="23">
        <v>0</v>
      </c>
      <c r="I61" s="23">
        <f>SUM(G61+H61)</f>
        <v>57007680</v>
      </c>
      <c r="J61" s="23">
        <v>0</v>
      </c>
      <c r="K61" s="23">
        <f>5878789+6643983</f>
        <v>12522772</v>
      </c>
      <c r="L61" s="14">
        <f t="shared" si="2"/>
        <v>21.96681569921807</v>
      </c>
      <c r="M61" s="3"/>
    </row>
    <row r="62" spans="1:13" ht="12.75">
      <c r="A62" s="21" t="s">
        <v>19</v>
      </c>
      <c r="B62" s="21">
        <v>1</v>
      </c>
      <c r="C62" s="21">
        <v>1</v>
      </c>
      <c r="D62" s="21">
        <v>5</v>
      </c>
      <c r="E62" s="21">
        <v>0</v>
      </c>
      <c r="F62" s="21" t="s">
        <v>26</v>
      </c>
      <c r="G62" s="23">
        <v>141279786</v>
      </c>
      <c r="H62" s="23">
        <v>0</v>
      </c>
      <c r="I62" s="23">
        <f>SUM(G62+H62)</f>
        <v>141279786</v>
      </c>
      <c r="J62" s="23">
        <v>0</v>
      </c>
      <c r="K62" s="23">
        <f>18331296+3053288+2489927+2312153+6815597+40111708+896638-111401-750003-896638-6815597+6815597+750003+111401+675166+590449+4998775+4745619+1064317+178365+150619+192049+183934</f>
        <v>85893262</v>
      </c>
      <c r="L62" s="14">
        <f t="shared" si="2"/>
        <v>60.79656859049886</v>
      </c>
      <c r="M62" s="3"/>
    </row>
    <row r="63" spans="1:13" ht="12.75">
      <c r="A63" s="21" t="s">
        <v>19</v>
      </c>
      <c r="B63" s="21">
        <v>1</v>
      </c>
      <c r="C63" s="21">
        <v>0</v>
      </c>
      <c r="D63" s="21">
        <v>2</v>
      </c>
      <c r="E63" s="21">
        <v>0</v>
      </c>
      <c r="F63" s="21" t="s">
        <v>40</v>
      </c>
      <c r="G63" s="23">
        <v>153630000</v>
      </c>
      <c r="H63" s="24">
        <v>0</v>
      </c>
      <c r="I63" s="23">
        <f>SUM(G63+H63)</f>
        <v>153630000</v>
      </c>
      <c r="J63" s="23">
        <v>0</v>
      </c>
      <c r="K63" s="23">
        <f>15663771+15000000+121786458</f>
        <v>152450229</v>
      </c>
      <c r="L63" s="14">
        <f t="shared" si="2"/>
        <v>99.23206990822105</v>
      </c>
      <c r="M63" s="3"/>
    </row>
    <row r="64" spans="1:13" ht="12.75">
      <c r="A64" s="21" t="s">
        <v>19</v>
      </c>
      <c r="B64" s="21">
        <v>1</v>
      </c>
      <c r="C64" s="21">
        <v>5</v>
      </c>
      <c r="D64" s="21">
        <v>0</v>
      </c>
      <c r="E64" s="21">
        <v>1</v>
      </c>
      <c r="F64" s="21" t="s">
        <v>27</v>
      </c>
      <c r="G64" s="23">
        <v>241216416</v>
      </c>
      <c r="H64" s="24">
        <v>0</v>
      </c>
      <c r="I64" s="23">
        <f>+G64+H64</f>
        <v>241216416</v>
      </c>
      <c r="J64" s="23">
        <v>0</v>
      </c>
      <c r="K64" s="23">
        <f>4257275+5629428+4121720+2814915+9591486+881110+89254152</f>
        <v>116550086</v>
      </c>
      <c r="L64" s="14">
        <f t="shared" si="2"/>
        <v>48.31764269310759</v>
      </c>
      <c r="M64" s="3"/>
    </row>
    <row r="65" spans="1:13" ht="12.75">
      <c r="A65" s="21" t="s">
        <v>19</v>
      </c>
      <c r="B65" s="21">
        <v>1</v>
      </c>
      <c r="C65" s="21">
        <v>5</v>
      </c>
      <c r="D65" s="21">
        <v>0</v>
      </c>
      <c r="E65" s="21">
        <v>2</v>
      </c>
      <c r="F65" s="21" t="s">
        <v>28</v>
      </c>
      <c r="G65" s="23">
        <v>119787500</v>
      </c>
      <c r="H65" s="24">
        <v>0</v>
      </c>
      <c r="I65" s="23">
        <f>+G65+H65</f>
        <v>119787500</v>
      </c>
      <c r="J65" s="23">
        <v>0</v>
      </c>
      <c r="K65" s="23">
        <f>17805325+3811987+2541526+1533819+6291375+11474168</f>
        <v>43458200</v>
      </c>
      <c r="L65" s="14">
        <f t="shared" si="2"/>
        <v>36.279411457789834</v>
      </c>
      <c r="M65" s="3"/>
    </row>
    <row r="66" spans="1:12" ht="12.75">
      <c r="A66" s="21" t="s">
        <v>19</v>
      </c>
      <c r="B66" s="21">
        <v>2</v>
      </c>
      <c r="C66" s="21">
        <v>0</v>
      </c>
      <c r="D66" s="21">
        <v>0</v>
      </c>
      <c r="E66" s="21">
        <v>0</v>
      </c>
      <c r="F66" s="21" t="s">
        <v>29</v>
      </c>
      <c r="G66" s="23">
        <f>SUM(G67:G69)</f>
        <v>732132319</v>
      </c>
      <c r="H66" s="23">
        <v>0</v>
      </c>
      <c r="I66" s="23">
        <f>+I67+I68+I69</f>
        <v>732132319</v>
      </c>
      <c r="J66" s="23">
        <f>SUM(J67:J69)</f>
        <v>204336876</v>
      </c>
      <c r="K66" s="23">
        <f>+K67+K68+K69</f>
        <v>592333455</v>
      </c>
      <c r="L66" s="14">
        <f t="shared" si="2"/>
        <v>80.90524617313064</v>
      </c>
    </row>
    <row r="67" spans="1:13" ht="12.75">
      <c r="A67" s="21" t="s">
        <v>19</v>
      </c>
      <c r="B67" s="21">
        <v>2</v>
      </c>
      <c r="C67" s="21">
        <v>4</v>
      </c>
      <c r="D67" s="21">
        <v>0</v>
      </c>
      <c r="E67" s="21">
        <v>0</v>
      </c>
      <c r="F67" s="21" t="s">
        <v>41</v>
      </c>
      <c r="G67" s="23">
        <v>112638790</v>
      </c>
      <c r="H67" s="24">
        <v>0</v>
      </c>
      <c r="I67" s="23">
        <f>+G67+H67</f>
        <v>112638790</v>
      </c>
      <c r="J67" s="23">
        <v>45878986</v>
      </c>
      <c r="K67" s="23">
        <f>249996+39735606</f>
        <v>39985602</v>
      </c>
      <c r="L67" s="14">
        <f t="shared" si="2"/>
        <v>35.49896265753565</v>
      </c>
      <c r="M67" s="3"/>
    </row>
    <row r="68" spans="1:13" ht="12.75">
      <c r="A68" s="21" t="s">
        <v>19</v>
      </c>
      <c r="B68" s="21">
        <v>2</v>
      </c>
      <c r="C68" s="21">
        <v>4</v>
      </c>
      <c r="D68" s="21">
        <v>0</v>
      </c>
      <c r="E68" s="21">
        <v>0</v>
      </c>
      <c r="F68" s="21" t="s">
        <v>30</v>
      </c>
      <c r="G68" s="23">
        <v>585760102</v>
      </c>
      <c r="H68" s="24">
        <v>0</v>
      </c>
      <c r="I68" s="23">
        <f>+G68+H68</f>
        <v>585760102</v>
      </c>
      <c r="J68" s="23">
        <v>158457890</v>
      </c>
      <c r="K68" s="23">
        <f>132527580+33634080+36092012+154393043+74242223+22000000+602400+58825178+7220768-524088-6831502+3012000+1284718+524088+542243+83320+800375+66864+184595+733937+454293+484236+965039+1922764+602386+140560+524456+50210+1005728+250792+644193+682886+269231+583462+301193+301193+301193+1229194+98994+334518+212145+644193+70230+250055+462636-1284718+275397+227908</f>
        <v>531418201</v>
      </c>
      <c r="L68" s="14">
        <f t="shared" si="2"/>
        <v>90.72284015001077</v>
      </c>
      <c r="M68" s="3" t="s">
        <v>1</v>
      </c>
    </row>
    <row r="69" spans="1:13" ht="12.75">
      <c r="A69" s="21" t="s">
        <v>19</v>
      </c>
      <c r="B69" s="21">
        <v>2</v>
      </c>
      <c r="C69" s="21">
        <v>0</v>
      </c>
      <c r="D69" s="21">
        <v>3</v>
      </c>
      <c r="E69" s="21">
        <v>0</v>
      </c>
      <c r="F69" s="21" t="s">
        <v>31</v>
      </c>
      <c r="G69" s="23">
        <v>33733427</v>
      </c>
      <c r="H69" s="23">
        <v>0</v>
      </c>
      <c r="I69" s="23">
        <f>+G69+H69</f>
        <v>33733427</v>
      </c>
      <c r="J69" s="23">
        <v>0</v>
      </c>
      <c r="K69" s="23">
        <f>19644934+1284718</f>
        <v>20929652</v>
      </c>
      <c r="L69" s="14">
        <f t="shared" si="2"/>
        <v>62.04425064788111</v>
      </c>
      <c r="M69" s="3"/>
    </row>
    <row r="70" spans="1:12" ht="12.75">
      <c r="A70" s="21" t="s">
        <v>19</v>
      </c>
      <c r="B70" s="21">
        <v>3</v>
      </c>
      <c r="C70" s="21">
        <v>0</v>
      </c>
      <c r="D70" s="21">
        <v>0</v>
      </c>
      <c r="E70" s="21">
        <v>0</v>
      </c>
      <c r="F70" s="21" t="s">
        <v>32</v>
      </c>
      <c r="G70" s="23">
        <f>SUM(G71:G74)</f>
        <v>1100524049</v>
      </c>
      <c r="H70" s="23">
        <v>0</v>
      </c>
      <c r="I70" s="23">
        <f>SUM(I71:I74)</f>
        <v>1100524049</v>
      </c>
      <c r="J70" s="23">
        <f>SUM(J71:J74)</f>
        <v>0</v>
      </c>
      <c r="K70" s="23">
        <f>SUM(K71:K74)</f>
        <v>667844240</v>
      </c>
      <c r="L70" s="14">
        <f t="shared" si="2"/>
        <v>60.684202276800946</v>
      </c>
    </row>
    <row r="71" spans="1:13" ht="12.75">
      <c r="A71" s="21" t="s">
        <v>19</v>
      </c>
      <c r="B71" s="21">
        <v>3</v>
      </c>
      <c r="C71" s="21">
        <v>2</v>
      </c>
      <c r="D71" s="21">
        <v>1</v>
      </c>
      <c r="E71" s="21">
        <v>1</v>
      </c>
      <c r="F71" s="21" t="s">
        <v>42</v>
      </c>
      <c r="G71" s="23">
        <v>18566612</v>
      </c>
      <c r="H71" s="23">
        <v>0</v>
      </c>
      <c r="I71" s="23">
        <f>+G71+H71</f>
        <v>18566612</v>
      </c>
      <c r="J71" s="23">
        <v>0</v>
      </c>
      <c r="K71" s="23">
        <v>0</v>
      </c>
      <c r="L71" s="14">
        <f t="shared" si="2"/>
        <v>0</v>
      </c>
      <c r="M71" s="3"/>
    </row>
    <row r="72" spans="1:13" ht="12.75">
      <c r="A72" s="21" t="s">
        <v>19</v>
      </c>
      <c r="B72" s="21">
        <v>3</v>
      </c>
      <c r="C72" s="21">
        <v>2</v>
      </c>
      <c r="D72" s="21">
        <v>1</v>
      </c>
      <c r="E72" s="21">
        <v>2</v>
      </c>
      <c r="F72" s="21" t="s">
        <v>43</v>
      </c>
      <c r="G72" s="23">
        <v>950211052</v>
      </c>
      <c r="H72" s="23">
        <v>0</v>
      </c>
      <c r="I72" s="23">
        <f>+G72+H72</f>
        <v>950211052</v>
      </c>
      <c r="J72" s="23">
        <v>0</v>
      </c>
      <c r="K72" s="23">
        <f>459528269+82192010</f>
        <v>541720279</v>
      </c>
      <c r="L72" s="14">
        <f t="shared" si="2"/>
        <v>57.01052180563355</v>
      </c>
      <c r="M72" s="3"/>
    </row>
    <row r="73" spans="1:13" ht="12.75">
      <c r="A73" s="21" t="s">
        <v>19</v>
      </c>
      <c r="B73" s="21">
        <v>3</v>
      </c>
      <c r="C73" s="21">
        <v>2</v>
      </c>
      <c r="D73" s="21">
        <v>1</v>
      </c>
      <c r="E73" s="21">
        <v>3</v>
      </c>
      <c r="F73" s="21" t="s">
        <v>44</v>
      </c>
      <c r="G73" s="23">
        <v>21746385</v>
      </c>
      <c r="H73" s="23">
        <v>0</v>
      </c>
      <c r="I73" s="23">
        <f>+G73+H73</f>
        <v>21746385</v>
      </c>
      <c r="J73" s="23">
        <v>0</v>
      </c>
      <c r="K73" s="23">
        <f>17917771+3900000-71386</f>
        <v>21746385</v>
      </c>
      <c r="L73" s="14">
        <f t="shared" si="2"/>
        <v>100</v>
      </c>
      <c r="M73" s="36" t="s">
        <v>1</v>
      </c>
    </row>
    <row r="74" spans="1:13" ht="12.75">
      <c r="A74" s="21" t="s">
        <v>19</v>
      </c>
      <c r="B74" s="21">
        <v>3</v>
      </c>
      <c r="C74" s="21">
        <v>6</v>
      </c>
      <c r="D74" s="21">
        <v>1</v>
      </c>
      <c r="E74" s="21">
        <v>1</v>
      </c>
      <c r="F74" s="21" t="s">
        <v>45</v>
      </c>
      <c r="G74" s="23">
        <v>110000000</v>
      </c>
      <c r="H74" s="23">
        <v>0</v>
      </c>
      <c r="I74" s="23">
        <f>+G74+H74</f>
        <v>110000000</v>
      </c>
      <c r="J74" s="23">
        <v>0</v>
      </c>
      <c r="K74" s="23">
        <v>104377576</v>
      </c>
      <c r="L74" s="14">
        <f t="shared" si="2"/>
        <v>94.88870545454546</v>
      </c>
      <c r="M74" s="3"/>
    </row>
    <row r="75" spans="1:12" ht="12.75">
      <c r="A75" s="21"/>
      <c r="B75" s="21"/>
      <c r="C75" s="21"/>
      <c r="D75" s="21"/>
      <c r="E75" s="21"/>
      <c r="F75" s="21" t="s">
        <v>1</v>
      </c>
      <c r="G75" s="23" t="s">
        <v>1</v>
      </c>
      <c r="H75" s="23" t="s">
        <v>1</v>
      </c>
      <c r="I75" s="23" t="s">
        <v>1</v>
      </c>
      <c r="J75" s="23"/>
      <c r="K75" s="23" t="s">
        <v>1</v>
      </c>
      <c r="L75" s="14" t="s">
        <v>1</v>
      </c>
    </row>
    <row r="76" spans="1:12" ht="12.75">
      <c r="A76" s="21" t="s">
        <v>33</v>
      </c>
      <c r="B76" s="21"/>
      <c r="C76" s="21"/>
      <c r="D76" s="21" t="s">
        <v>1</v>
      </c>
      <c r="E76" s="21"/>
      <c r="F76" s="21" t="s">
        <v>34</v>
      </c>
      <c r="G76" s="25">
        <f>SUM(G78:G84)</f>
        <v>7007419579</v>
      </c>
      <c r="H76" s="25">
        <f>SUM(H78:H84)</f>
        <v>574696436</v>
      </c>
      <c r="I76" s="25">
        <f>SUM(G76+H76)</f>
        <v>7582116015</v>
      </c>
      <c r="J76" s="25">
        <f>SUM(J78:J84)</f>
        <v>20025013</v>
      </c>
      <c r="K76" s="25">
        <f>SUM(K77:K84)</f>
        <v>4230947377.32</v>
      </c>
      <c r="L76" s="14">
        <f t="shared" si="2"/>
        <v>55.80167025866856</v>
      </c>
    </row>
    <row r="77" spans="1:12" ht="12.75">
      <c r="A77" s="21"/>
      <c r="B77" s="21"/>
      <c r="C77" s="21"/>
      <c r="D77" s="21"/>
      <c r="E77" s="21"/>
      <c r="F77" s="21"/>
      <c r="G77" s="23"/>
      <c r="H77" s="23" t="s">
        <v>1</v>
      </c>
      <c r="I77" s="23" t="s">
        <v>1</v>
      </c>
      <c r="J77" s="23"/>
      <c r="K77" s="23"/>
      <c r="L77" s="14" t="s">
        <v>1</v>
      </c>
    </row>
    <row r="78" spans="1:13" ht="33.75">
      <c r="A78" s="26" t="s">
        <v>33</v>
      </c>
      <c r="B78" s="26">
        <v>113</v>
      </c>
      <c r="C78" s="26">
        <v>900</v>
      </c>
      <c r="D78" s="26">
        <v>1</v>
      </c>
      <c r="E78" s="26"/>
      <c r="F78" s="29" t="s">
        <v>51</v>
      </c>
      <c r="G78" s="25">
        <v>884106469</v>
      </c>
      <c r="H78" s="31">
        <v>110451608</v>
      </c>
      <c r="I78" s="25">
        <f aca="true" t="shared" si="3" ref="I78:I84">SUM(G78+H78)</f>
        <v>994558077</v>
      </c>
      <c r="J78" s="25">
        <f>+'[1]0113-0900-01 AREAS PROTEGIDAS'!$D$18</f>
        <v>0</v>
      </c>
      <c r="K78" s="25">
        <v>539969746</v>
      </c>
      <c r="L78" s="14">
        <f t="shared" si="2"/>
        <v>54.29242982257737</v>
      </c>
      <c r="M78" s="3"/>
    </row>
    <row r="79" spans="1:13" ht="12.75">
      <c r="A79" s="26" t="s">
        <v>33</v>
      </c>
      <c r="B79" s="26">
        <v>113</v>
      </c>
      <c r="C79" s="26">
        <v>900</v>
      </c>
      <c r="D79" s="26">
        <v>2</v>
      </c>
      <c r="E79" s="26"/>
      <c r="F79" s="29" t="s">
        <v>52</v>
      </c>
      <c r="G79" s="25">
        <v>4396711060</v>
      </c>
      <c r="H79" s="31">
        <v>137746338</v>
      </c>
      <c r="I79" s="25">
        <f t="shared" si="3"/>
        <v>4534457398</v>
      </c>
      <c r="J79" s="25">
        <f>+'[1]0113-0900-02 RECURSO HIDRICO'!$D$13</f>
        <v>1</v>
      </c>
      <c r="K79" s="25">
        <v>2120773566</v>
      </c>
      <c r="L79" s="14">
        <f t="shared" si="2"/>
        <v>46.77017291937517</v>
      </c>
      <c r="M79" s="3"/>
    </row>
    <row r="80" spans="1:13" ht="33.75">
      <c r="A80" s="26" t="s">
        <v>33</v>
      </c>
      <c r="B80" s="26">
        <v>113</v>
      </c>
      <c r="C80" s="26">
        <v>900</v>
      </c>
      <c r="D80" s="26">
        <v>3</v>
      </c>
      <c r="E80" s="26"/>
      <c r="F80" s="29" t="s">
        <v>53</v>
      </c>
      <c r="G80" s="25">
        <v>400000000</v>
      </c>
      <c r="H80" s="31">
        <f>180000000+56086490</f>
        <v>236086490</v>
      </c>
      <c r="I80" s="25">
        <f t="shared" si="3"/>
        <v>636086490</v>
      </c>
      <c r="J80" s="25">
        <v>0</v>
      </c>
      <c r="K80" s="25">
        <v>560175183</v>
      </c>
      <c r="L80" s="14">
        <f t="shared" si="2"/>
        <v>88.06588283300908</v>
      </c>
      <c r="M80" s="3"/>
    </row>
    <row r="81" spans="1:13" ht="12.75">
      <c r="A81" s="26" t="s">
        <v>33</v>
      </c>
      <c r="B81" s="26">
        <v>310</v>
      </c>
      <c r="C81" s="26">
        <v>900</v>
      </c>
      <c r="D81" s="26">
        <v>4</v>
      </c>
      <c r="E81" s="26"/>
      <c r="F81" s="28" t="s">
        <v>54</v>
      </c>
      <c r="G81" s="25">
        <v>150000000</v>
      </c>
      <c r="H81" s="25">
        <v>6212000</v>
      </c>
      <c r="I81" s="25">
        <f t="shared" si="3"/>
        <v>156212000</v>
      </c>
      <c r="J81" s="25">
        <v>0</v>
      </c>
      <c r="K81" s="25">
        <v>101351894.32</v>
      </c>
      <c r="L81" s="14">
        <f t="shared" si="2"/>
        <v>64.8809914219138</v>
      </c>
      <c r="M81" s="3"/>
    </row>
    <row r="82" spans="1:14" ht="12.75">
      <c r="A82" s="26" t="s">
        <v>33</v>
      </c>
      <c r="B82" s="26">
        <v>310</v>
      </c>
      <c r="C82" s="26">
        <v>900</v>
      </c>
      <c r="D82" s="26">
        <v>5</v>
      </c>
      <c r="E82" s="26"/>
      <c r="F82" s="28" t="s">
        <v>55</v>
      </c>
      <c r="G82" s="25">
        <v>757602050</v>
      </c>
      <c r="H82" s="31">
        <v>3200000</v>
      </c>
      <c r="I82" s="25">
        <f t="shared" si="3"/>
        <v>760802050</v>
      </c>
      <c r="J82" s="25">
        <f>+'[1]0310-0900-05 AUTORIDAD AMBIENTA'!$E$47</f>
        <v>0</v>
      </c>
      <c r="K82" s="25">
        <v>566448988</v>
      </c>
      <c r="L82" s="14">
        <f t="shared" si="2"/>
        <v>74.45418791918344</v>
      </c>
      <c r="M82" s="3"/>
      <c r="N82" s="3" t="s">
        <v>1</v>
      </c>
    </row>
    <row r="83" spans="1:13" ht="22.5">
      <c r="A83" s="26" t="s">
        <v>33</v>
      </c>
      <c r="B83" s="26">
        <v>310</v>
      </c>
      <c r="C83" s="26">
        <v>900</v>
      </c>
      <c r="D83" s="26">
        <v>6</v>
      </c>
      <c r="E83" s="26"/>
      <c r="F83" s="28" t="s">
        <v>56</v>
      </c>
      <c r="G83" s="25">
        <v>169000000</v>
      </c>
      <c r="H83" s="25">
        <v>0</v>
      </c>
      <c r="I83" s="25">
        <f t="shared" si="3"/>
        <v>169000000</v>
      </c>
      <c r="J83" s="25">
        <f>+'[1]0310-0900-06 EDUCACION AMBIENTA'!$D$13+'[1]0310-0900-06 EDUCACION AMBIENTA'!$D$14</f>
        <v>25012</v>
      </c>
      <c r="K83" s="25">
        <v>130937857</v>
      </c>
      <c r="L83" s="14">
        <f t="shared" si="2"/>
        <v>77.47802189349112</v>
      </c>
      <c r="M83" s="3"/>
    </row>
    <row r="84" spans="1:13" ht="22.5">
      <c r="A84" s="26" t="s">
        <v>33</v>
      </c>
      <c r="B84" s="26">
        <v>520</v>
      </c>
      <c r="C84" s="26">
        <v>900</v>
      </c>
      <c r="D84" s="26">
        <v>7</v>
      </c>
      <c r="E84" s="26"/>
      <c r="F84" s="30" t="s">
        <v>57</v>
      </c>
      <c r="G84" s="25">
        <v>250000000</v>
      </c>
      <c r="H84" s="25">
        <f>61000000+20000000</f>
        <v>81000000</v>
      </c>
      <c r="I84" s="25">
        <f t="shared" si="3"/>
        <v>331000000</v>
      </c>
      <c r="J84" s="25">
        <f>+'[1]0520-0900-07 FORTALECIMIENTO'!$D$9+'[1]0520-0900-07 FORTALECIMIENTO'!$D$10</f>
        <v>20000000</v>
      </c>
      <c r="K84" s="25">
        <v>211290143</v>
      </c>
      <c r="L84" s="14">
        <f t="shared" si="2"/>
        <v>63.83388006042296</v>
      </c>
      <c r="M84" s="3"/>
    </row>
    <row r="85" spans="1:12" ht="12.75">
      <c r="A85" s="13" t="s">
        <v>33</v>
      </c>
      <c r="B85" s="13"/>
      <c r="C85" s="13"/>
      <c r="D85" s="13"/>
      <c r="E85" s="13"/>
      <c r="F85" s="27" t="s">
        <v>35</v>
      </c>
      <c r="G85" s="16">
        <f>+G76+G56</f>
        <v>10263763258</v>
      </c>
      <c r="H85" s="16">
        <f>+H76+H56</f>
        <v>574696436</v>
      </c>
      <c r="I85" s="16">
        <f>+I76+I56</f>
        <v>10838459694</v>
      </c>
      <c r="J85" s="16">
        <f>+J76+J56</f>
        <v>224361889</v>
      </c>
      <c r="K85" s="16">
        <f>+K76+K56</f>
        <v>6038990905.32</v>
      </c>
      <c r="L85" s="14">
        <f t="shared" si="2"/>
        <v>55.71816545724748</v>
      </c>
    </row>
    <row r="86" spans="7:12" ht="12.75">
      <c r="G86" s="3" t="s">
        <v>1</v>
      </c>
      <c r="I86" s="3" t="s">
        <v>1</v>
      </c>
      <c r="L86" s="3"/>
    </row>
    <row r="87" spans="9:12" ht="12.75">
      <c r="I87" s="3"/>
      <c r="L87" s="3"/>
    </row>
    <row r="88" spans="9:11" ht="12.75">
      <c r="I88" s="3"/>
      <c r="K88" s="3" t="s">
        <v>1</v>
      </c>
    </row>
    <row r="89" spans="3:7" ht="12.75">
      <c r="C89" s="2" t="s">
        <v>1</v>
      </c>
      <c r="D89" s="1" t="s">
        <v>1</v>
      </c>
      <c r="E89" s="1" t="s">
        <v>1</v>
      </c>
      <c r="F89" s="1" t="s">
        <v>0</v>
      </c>
      <c r="G89" s="1"/>
    </row>
    <row r="90" spans="1:11" ht="12.75">
      <c r="A90" s="5"/>
      <c r="B90" s="5"/>
      <c r="C90" s="6" t="s">
        <v>1</v>
      </c>
      <c r="D90" s="7" t="s">
        <v>1</v>
      </c>
      <c r="E90" s="7" t="s">
        <v>1</v>
      </c>
      <c r="F90" s="7" t="s">
        <v>48</v>
      </c>
      <c r="G90" s="7"/>
      <c r="H90" s="7"/>
      <c r="I90" s="5"/>
      <c r="J90" s="5"/>
      <c r="K90" s="5"/>
    </row>
    <row r="91" spans="1:11" ht="12.75">
      <c r="A91" s="8"/>
      <c r="B91" s="8"/>
      <c r="C91" s="8"/>
      <c r="D91" s="8"/>
      <c r="E91" s="8"/>
      <c r="F91" s="9" t="s">
        <v>49</v>
      </c>
      <c r="G91" s="9"/>
      <c r="H91" s="9"/>
      <c r="I91" s="8"/>
      <c r="J91" s="18"/>
      <c r="K91" s="35" t="s">
        <v>65</v>
      </c>
    </row>
    <row r="92" spans="6:9" ht="12.75">
      <c r="F92" s="1"/>
      <c r="I92" t="s">
        <v>1</v>
      </c>
    </row>
    <row r="93" spans="1:12" ht="12.75">
      <c r="A93" s="11" t="s">
        <v>7</v>
      </c>
      <c r="B93" s="11" t="s">
        <v>8</v>
      </c>
      <c r="C93" s="12" t="s">
        <v>9</v>
      </c>
      <c r="D93" s="12" t="s">
        <v>10</v>
      </c>
      <c r="E93" s="12" t="s">
        <v>11</v>
      </c>
      <c r="F93" s="13"/>
      <c r="G93" s="13"/>
      <c r="H93" s="12" t="s">
        <v>1</v>
      </c>
      <c r="I93" s="13"/>
      <c r="J93" s="13"/>
      <c r="K93" s="11" t="s">
        <v>1</v>
      </c>
      <c r="L93" s="13"/>
    </row>
    <row r="94" spans="1:12" ht="12.75">
      <c r="A94" s="12"/>
      <c r="B94" s="11" t="s">
        <v>12</v>
      </c>
      <c r="C94" s="12"/>
      <c r="D94" s="12" t="s">
        <v>13</v>
      </c>
      <c r="E94" s="12"/>
      <c r="F94" s="13"/>
      <c r="G94" s="11" t="s">
        <v>3</v>
      </c>
      <c r="H94" s="11" t="s">
        <v>2</v>
      </c>
      <c r="I94" s="11" t="s">
        <v>3</v>
      </c>
      <c r="J94" s="11" t="s">
        <v>58</v>
      </c>
      <c r="K94" s="11" t="s">
        <v>58</v>
      </c>
      <c r="L94" s="32" t="s">
        <v>63</v>
      </c>
    </row>
    <row r="95" spans="1:12" ht="12.75">
      <c r="A95" s="12"/>
      <c r="B95" s="12"/>
      <c r="C95" s="12"/>
      <c r="D95" s="12" t="s">
        <v>14</v>
      </c>
      <c r="E95" s="12"/>
      <c r="F95" s="11" t="s">
        <v>15</v>
      </c>
      <c r="G95" s="11" t="s">
        <v>4</v>
      </c>
      <c r="H95" s="11" t="s">
        <v>16</v>
      </c>
      <c r="I95" s="11" t="s">
        <v>5</v>
      </c>
      <c r="J95" s="11" t="s">
        <v>62</v>
      </c>
      <c r="K95" s="11" t="s">
        <v>59</v>
      </c>
      <c r="L95" s="33"/>
    </row>
    <row r="96" spans="1:12" ht="12.75">
      <c r="A96" s="12"/>
      <c r="B96" s="12"/>
      <c r="C96" s="12"/>
      <c r="D96" s="12" t="s">
        <v>17</v>
      </c>
      <c r="E96" s="12"/>
      <c r="F96" s="13"/>
      <c r="G96" s="11">
        <v>1</v>
      </c>
      <c r="H96" s="11">
        <v>2</v>
      </c>
      <c r="I96" s="11" t="s">
        <v>18</v>
      </c>
      <c r="J96" s="11"/>
      <c r="K96" s="11"/>
      <c r="L96" s="13"/>
    </row>
    <row r="97" spans="1:12" ht="12.75">
      <c r="A97" s="13"/>
      <c r="B97" s="13"/>
      <c r="C97" s="13"/>
      <c r="D97" s="13"/>
      <c r="E97" s="13"/>
      <c r="F97" s="13"/>
      <c r="G97" s="14" t="s">
        <v>1</v>
      </c>
      <c r="H97" s="14"/>
      <c r="I97" s="14" t="s">
        <v>1</v>
      </c>
      <c r="J97" s="14"/>
      <c r="K97" s="14"/>
      <c r="L97" s="13"/>
    </row>
    <row r="98" spans="1:12" ht="12.75">
      <c r="A98" s="13" t="s">
        <v>19</v>
      </c>
      <c r="B98" s="13"/>
      <c r="C98" s="13"/>
      <c r="D98" s="13"/>
      <c r="E98" s="13"/>
      <c r="F98" s="15" t="s">
        <v>20</v>
      </c>
      <c r="G98" s="16">
        <f>SUM(G99+G107+G110)</f>
        <v>1334597240</v>
      </c>
      <c r="H98" s="16">
        <f>SUM(H99+H107+H109+H110)</f>
        <v>0</v>
      </c>
      <c r="I98" s="16">
        <f>+G98+H98</f>
        <v>1334597240</v>
      </c>
      <c r="J98" s="16">
        <f>SUM(J99+J107+J110)</f>
        <v>131043164</v>
      </c>
      <c r="K98" s="16">
        <f>+K99+K107+K110</f>
        <v>950108769</v>
      </c>
      <c r="L98" s="14">
        <f>+K98/I98*100</f>
        <v>71.19067389949045</v>
      </c>
    </row>
    <row r="99" spans="1:12" ht="12.75">
      <c r="A99" s="13" t="s">
        <v>19</v>
      </c>
      <c r="B99" s="13">
        <v>1</v>
      </c>
      <c r="C99" s="13">
        <v>1</v>
      </c>
      <c r="D99" s="13">
        <v>0</v>
      </c>
      <c r="E99" s="13">
        <v>0</v>
      </c>
      <c r="F99" s="15" t="s">
        <v>21</v>
      </c>
      <c r="G99" s="16">
        <f>+G100+G105+G106</f>
        <v>1300610322</v>
      </c>
      <c r="H99" s="16">
        <f>+H100+H105+H106</f>
        <v>0</v>
      </c>
      <c r="I99" s="16">
        <f>+I100+I105+I106</f>
        <v>1300610322</v>
      </c>
      <c r="J99" s="16">
        <f>+J100+J105+J106</f>
        <v>130267298</v>
      </c>
      <c r="K99" s="16">
        <f>+K100+K105+K106</f>
        <v>924555239</v>
      </c>
      <c r="L99" s="14">
        <f aca="true" t="shared" si="4" ref="L99:L110">+K99/I99*100</f>
        <v>71.08626030110808</v>
      </c>
    </row>
    <row r="100" spans="1:12" ht="12.75">
      <c r="A100" s="13" t="s">
        <v>19</v>
      </c>
      <c r="B100" s="13">
        <v>1</v>
      </c>
      <c r="C100" s="13">
        <v>1</v>
      </c>
      <c r="D100" s="13">
        <v>1</v>
      </c>
      <c r="E100" s="13">
        <v>0</v>
      </c>
      <c r="F100" s="13" t="s">
        <v>22</v>
      </c>
      <c r="G100" s="14">
        <f>SUM(G101:G104)</f>
        <v>1031377534</v>
      </c>
      <c r="H100" s="14">
        <f>SUM(H101:H104)</f>
        <v>0</v>
      </c>
      <c r="I100" s="14">
        <f>+G100+H100</f>
        <v>1031377534</v>
      </c>
      <c r="J100" s="14">
        <f>SUM(J101:J104)</f>
        <v>130267298</v>
      </c>
      <c r="K100" s="16">
        <f>+K101+K102+K103+K104</f>
        <v>761438010</v>
      </c>
      <c r="L100" s="14">
        <f t="shared" si="4"/>
        <v>73.82728292004856</v>
      </c>
    </row>
    <row r="101" spans="1:12" ht="12.75">
      <c r="A101" s="13" t="s">
        <v>19</v>
      </c>
      <c r="B101" s="13">
        <v>1</v>
      </c>
      <c r="C101" s="13">
        <v>1</v>
      </c>
      <c r="D101" s="13">
        <v>1</v>
      </c>
      <c r="E101" s="13">
        <v>1</v>
      </c>
      <c r="F101" s="13" t="s">
        <v>23</v>
      </c>
      <c r="G101" s="14">
        <v>749992267</v>
      </c>
      <c r="H101" s="14">
        <v>0</v>
      </c>
      <c r="I101" s="14">
        <f>+G101+H101</f>
        <v>749992267</v>
      </c>
      <c r="J101" s="14">
        <v>105878989</v>
      </c>
      <c r="K101" s="37">
        <v>659584616</v>
      </c>
      <c r="L101" s="14">
        <f t="shared" si="4"/>
        <v>87.94552224363134</v>
      </c>
    </row>
    <row r="102" spans="1:12" ht="12.75">
      <c r="A102" s="13" t="s">
        <v>19</v>
      </c>
      <c r="B102" s="13">
        <v>1</v>
      </c>
      <c r="C102" s="13">
        <v>1</v>
      </c>
      <c r="D102" s="13">
        <v>9</v>
      </c>
      <c r="E102" s="13">
        <v>1</v>
      </c>
      <c r="F102" s="13" t="s">
        <v>24</v>
      </c>
      <c r="G102" s="14">
        <v>1146602</v>
      </c>
      <c r="H102" s="14">
        <v>0</v>
      </c>
      <c r="I102" s="14">
        <f aca="true" t="shared" si="5" ref="I102:I107">+G102+H102</f>
        <v>1146602</v>
      </c>
      <c r="J102" s="14"/>
      <c r="K102" s="37">
        <f>150945+144800+162500+156000</f>
        <v>614245</v>
      </c>
      <c r="L102" s="14">
        <f t="shared" si="4"/>
        <v>53.570899056516566</v>
      </c>
    </row>
    <row r="103" spans="1:12" ht="12.75">
      <c r="A103" s="13" t="s">
        <v>19</v>
      </c>
      <c r="B103" s="13">
        <v>1</v>
      </c>
      <c r="C103" s="13">
        <v>1</v>
      </c>
      <c r="D103" s="13">
        <v>4</v>
      </c>
      <c r="E103" s="13">
        <v>2</v>
      </c>
      <c r="F103" s="13" t="s">
        <v>25</v>
      </c>
      <c r="G103" s="14">
        <v>99683709</v>
      </c>
      <c r="H103" s="14">
        <f>0</f>
        <v>0</v>
      </c>
      <c r="I103" s="14">
        <f t="shared" si="5"/>
        <v>99683709</v>
      </c>
      <c r="J103" s="14">
        <v>11798520</v>
      </c>
      <c r="K103" s="37">
        <v>72952971</v>
      </c>
      <c r="L103" s="14">
        <f t="shared" si="4"/>
        <v>73.18444681868729</v>
      </c>
    </row>
    <row r="104" spans="1:12" ht="12.75">
      <c r="A104" s="13" t="s">
        <v>19</v>
      </c>
      <c r="B104" s="13">
        <v>1</v>
      </c>
      <c r="C104" s="13">
        <v>1</v>
      </c>
      <c r="D104" s="13">
        <v>5</v>
      </c>
      <c r="E104" s="13">
        <v>0</v>
      </c>
      <c r="F104" s="13" t="s">
        <v>26</v>
      </c>
      <c r="G104" s="14">
        <v>180554956</v>
      </c>
      <c r="H104" s="14">
        <f>0</f>
        <v>0</v>
      </c>
      <c r="I104" s="14">
        <f t="shared" si="5"/>
        <v>180554956</v>
      </c>
      <c r="J104" s="14">
        <v>12589789</v>
      </c>
      <c r="K104" s="37">
        <f>9608186+52000000-49351153+14154956+1874189</f>
        <v>28286178</v>
      </c>
      <c r="L104" s="14">
        <f t="shared" si="4"/>
        <v>15.666242913874932</v>
      </c>
    </row>
    <row r="105" spans="1:12" ht="12.75">
      <c r="A105" s="13" t="s">
        <v>19</v>
      </c>
      <c r="B105" s="13">
        <v>1</v>
      </c>
      <c r="C105" s="13">
        <v>5</v>
      </c>
      <c r="D105" s="13">
        <v>0</v>
      </c>
      <c r="E105" s="13">
        <v>1</v>
      </c>
      <c r="F105" s="13" t="s">
        <v>27</v>
      </c>
      <c r="G105" s="14">
        <v>60237480</v>
      </c>
      <c r="H105" s="14">
        <v>0</v>
      </c>
      <c r="I105" s="14">
        <f t="shared" si="5"/>
        <v>60237480</v>
      </c>
      <c r="J105" s="14">
        <v>0</v>
      </c>
      <c r="K105" s="37">
        <f>16263323+16776491+20364910+6267600</f>
        <v>59672324</v>
      </c>
      <c r="L105" s="14">
        <f t="shared" si="4"/>
        <v>99.06178678125313</v>
      </c>
    </row>
    <row r="106" spans="1:12" ht="12.75">
      <c r="A106" s="13" t="s">
        <v>19</v>
      </c>
      <c r="B106" s="13">
        <v>1</v>
      </c>
      <c r="C106" s="13">
        <v>5</v>
      </c>
      <c r="D106" s="13">
        <v>0</v>
      </c>
      <c r="E106" s="13">
        <v>2</v>
      </c>
      <c r="F106" s="13" t="s">
        <v>28</v>
      </c>
      <c r="G106" s="14">
        <v>208995308</v>
      </c>
      <c r="H106" s="14">
        <f>0</f>
        <v>0</v>
      </c>
      <c r="I106" s="14">
        <f t="shared" si="5"/>
        <v>208995308</v>
      </c>
      <c r="J106" s="14">
        <v>0</v>
      </c>
      <c r="K106" s="37">
        <f>77167305+15767100+10510500</f>
        <v>103444905</v>
      </c>
      <c r="L106" s="14">
        <f t="shared" si="4"/>
        <v>49.49628103612738</v>
      </c>
    </row>
    <row r="107" spans="1:12" ht="12.75">
      <c r="A107" s="13" t="s">
        <v>19</v>
      </c>
      <c r="B107" s="13">
        <v>2</v>
      </c>
      <c r="C107" s="13">
        <v>0</v>
      </c>
      <c r="D107" s="13">
        <v>0</v>
      </c>
      <c r="E107" s="13">
        <v>0</v>
      </c>
      <c r="F107" s="15" t="s">
        <v>29</v>
      </c>
      <c r="G107" s="16">
        <f>SUM(G108:G109)</f>
        <v>25553530</v>
      </c>
      <c r="H107" s="16">
        <f>SUM(H108:H109)</f>
        <v>0</v>
      </c>
      <c r="I107" s="16">
        <f t="shared" si="5"/>
        <v>25553530</v>
      </c>
      <c r="J107" s="16">
        <f>SUM(J108:J109)</f>
        <v>775866</v>
      </c>
      <c r="K107" s="37">
        <f>+K108+K109</f>
        <v>25553530</v>
      </c>
      <c r="L107" s="14">
        <f t="shared" si="4"/>
        <v>100</v>
      </c>
    </row>
    <row r="108" spans="1:12" ht="12.75">
      <c r="A108" s="13" t="s">
        <v>19</v>
      </c>
      <c r="B108" s="13">
        <v>2</v>
      </c>
      <c r="C108" s="13">
        <v>0</v>
      </c>
      <c r="D108" s="13">
        <v>4</v>
      </c>
      <c r="E108" s="13">
        <v>0</v>
      </c>
      <c r="F108" s="13" t="s">
        <v>30</v>
      </c>
      <c r="G108" s="14">
        <v>24286957</v>
      </c>
      <c r="H108" s="14">
        <v>0</v>
      </c>
      <c r="I108" s="14">
        <f>+G108+H108</f>
        <v>24286957</v>
      </c>
      <c r="J108" s="16">
        <f>24286957-23511091</f>
        <v>775866</v>
      </c>
      <c r="K108" s="16">
        <f>23511091+J108</f>
        <v>24286957</v>
      </c>
      <c r="L108" s="14">
        <f t="shared" si="4"/>
        <v>100</v>
      </c>
    </row>
    <row r="109" spans="1:12" ht="12.75">
      <c r="A109" s="13" t="s">
        <v>19</v>
      </c>
      <c r="B109" s="13">
        <v>2</v>
      </c>
      <c r="C109" s="13">
        <v>0</v>
      </c>
      <c r="D109" s="13">
        <v>3</v>
      </c>
      <c r="E109" s="13">
        <v>50</v>
      </c>
      <c r="F109" s="13" t="s">
        <v>31</v>
      </c>
      <c r="G109" s="14">
        <v>1266573</v>
      </c>
      <c r="H109" s="14">
        <v>0</v>
      </c>
      <c r="I109" s="14">
        <f>+G109+H109</f>
        <v>1266573</v>
      </c>
      <c r="J109" s="14">
        <v>0</v>
      </c>
      <c r="K109" s="16">
        <v>1266573</v>
      </c>
      <c r="L109" s="14">
        <f t="shared" si="4"/>
        <v>100</v>
      </c>
    </row>
    <row r="110" spans="1:12" ht="12.75">
      <c r="A110" s="13" t="s">
        <v>19</v>
      </c>
      <c r="B110" s="13">
        <v>3</v>
      </c>
      <c r="C110" s="13">
        <v>2</v>
      </c>
      <c r="D110" s="13">
        <v>1</v>
      </c>
      <c r="E110" s="13">
        <v>1</v>
      </c>
      <c r="F110" s="13" t="s">
        <v>32</v>
      </c>
      <c r="G110" s="14">
        <v>8433388</v>
      </c>
      <c r="H110" s="14">
        <v>0</v>
      </c>
      <c r="I110" s="14">
        <f>+G110+H110</f>
        <v>8433388</v>
      </c>
      <c r="J110" s="14">
        <v>0</v>
      </c>
      <c r="K110" s="16">
        <v>0</v>
      </c>
      <c r="L110" s="14">
        <f t="shared" si="4"/>
        <v>0</v>
      </c>
    </row>
    <row r="111" spans="1:12" ht="12.75">
      <c r="A111" s="13"/>
      <c r="B111" s="13"/>
      <c r="C111" s="13"/>
      <c r="D111" s="13"/>
      <c r="E111" s="13"/>
      <c r="F111" s="13"/>
      <c r="G111" s="14"/>
      <c r="H111" s="14"/>
      <c r="I111" s="14"/>
      <c r="J111" s="14"/>
      <c r="K111" s="16" t="s">
        <v>1</v>
      </c>
      <c r="L111" s="14" t="s">
        <v>1</v>
      </c>
    </row>
    <row r="112" spans="1:12" ht="12.75">
      <c r="A112" s="13" t="s">
        <v>33</v>
      </c>
      <c r="B112" s="13"/>
      <c r="C112" s="13"/>
      <c r="D112" s="13"/>
      <c r="E112" s="13"/>
      <c r="F112" s="15" t="s">
        <v>34</v>
      </c>
      <c r="G112" s="16">
        <v>0</v>
      </c>
      <c r="H112" s="16">
        <v>1243847230</v>
      </c>
      <c r="I112" s="16">
        <f>+G112+H112</f>
        <v>1243847230</v>
      </c>
      <c r="J112" s="16">
        <v>0</v>
      </c>
      <c r="K112" s="16">
        <f>804673880-71030000-17700000-77600000-12195000</f>
        <v>626148880</v>
      </c>
      <c r="L112" s="14">
        <f>+K112/I112*100</f>
        <v>50.33969324351833</v>
      </c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6" t="s">
        <v>1</v>
      </c>
      <c r="L113" s="14" t="s">
        <v>1</v>
      </c>
    </row>
    <row r="114" spans="1:12" ht="12.75">
      <c r="A114" s="13" t="s">
        <v>1</v>
      </c>
      <c r="B114" s="13" t="s">
        <v>1</v>
      </c>
      <c r="C114" s="13" t="s">
        <v>1</v>
      </c>
      <c r="D114" s="13" t="s">
        <v>1</v>
      </c>
      <c r="E114" s="13" t="s">
        <v>1</v>
      </c>
      <c r="F114" s="17" t="s">
        <v>1</v>
      </c>
      <c r="G114" s="14" t="s">
        <v>1</v>
      </c>
      <c r="H114" s="14" t="s">
        <v>1</v>
      </c>
      <c r="I114" s="14" t="s">
        <v>1</v>
      </c>
      <c r="J114" s="14" t="s">
        <v>1</v>
      </c>
      <c r="K114" s="16" t="s">
        <v>1</v>
      </c>
      <c r="L114" s="14" t="s">
        <v>1</v>
      </c>
    </row>
    <row r="115" spans="1:12" ht="12.75">
      <c r="A115" s="13"/>
      <c r="B115" s="13"/>
      <c r="C115" s="13"/>
      <c r="D115" s="13"/>
      <c r="E115" s="13"/>
      <c r="F115" s="15" t="s">
        <v>35</v>
      </c>
      <c r="G115" s="16">
        <f>+G98+G112</f>
        <v>1334597240</v>
      </c>
      <c r="H115" s="16">
        <f>+H98+H112</f>
        <v>1243847230</v>
      </c>
      <c r="I115" s="16">
        <f>+I98+I112</f>
        <v>2578444470</v>
      </c>
      <c r="J115" s="16">
        <f>+J98+J112</f>
        <v>131043164</v>
      </c>
      <c r="K115" s="16">
        <f>+K98+K112</f>
        <v>1576257649</v>
      </c>
      <c r="L115" s="14">
        <f>+K115/I115*100</f>
        <v>61.13211540289638</v>
      </c>
    </row>
    <row r="116" spans="2:11" ht="12.75">
      <c r="B116" s="18"/>
      <c r="C116" s="18"/>
      <c r="D116" s="18"/>
      <c r="E116" s="18"/>
      <c r="F116" s="18"/>
      <c r="G116" s="19" t="s">
        <v>1</v>
      </c>
      <c r="H116" s="18"/>
      <c r="I116" s="19" t="s">
        <v>1</v>
      </c>
      <c r="J116" s="19"/>
      <c r="K116" s="19" t="s">
        <v>1</v>
      </c>
    </row>
    <row r="117" spans="7:11" ht="12.75">
      <c r="G117" s="3" t="s">
        <v>1</v>
      </c>
      <c r="I117" s="3" t="s">
        <v>1</v>
      </c>
      <c r="J117" s="3"/>
      <c r="K117" s="38" t="s">
        <v>1</v>
      </c>
    </row>
    <row r="118" ht="12.75">
      <c r="K118" s="3">
        <f>+K112+K164</f>
        <v>3676760248</v>
      </c>
    </row>
    <row r="119" ht="12.75">
      <c r="K119" s="3">
        <f>+K115+K173</f>
        <v>6143416342</v>
      </c>
    </row>
    <row r="120" spans="6:11" ht="12.75">
      <c r="F120" s="4" t="s">
        <v>6</v>
      </c>
      <c r="G120" s="4"/>
      <c r="H120" s="4" t="s">
        <v>46</v>
      </c>
      <c r="I120" s="4"/>
      <c r="J120" s="4"/>
      <c r="K120" s="4"/>
    </row>
    <row r="121" spans="6:11" ht="12.75">
      <c r="F121" s="4" t="s">
        <v>36</v>
      </c>
      <c r="G121" s="4"/>
      <c r="H121" s="4" t="s">
        <v>47</v>
      </c>
      <c r="I121" s="4"/>
      <c r="J121" s="4"/>
      <c r="K121" s="4"/>
    </row>
    <row r="126" spans="8:9" ht="12.75">
      <c r="H126" t="s">
        <v>1</v>
      </c>
      <c r="I126" t="s">
        <v>1</v>
      </c>
    </row>
    <row r="127" ht="12.75">
      <c r="H127" t="s">
        <v>1</v>
      </c>
    </row>
    <row r="128" ht="12.75">
      <c r="H128" t="s">
        <v>1</v>
      </c>
    </row>
    <row r="129" ht="12.75">
      <c r="K129" s="3" t="s">
        <v>1</v>
      </c>
    </row>
    <row r="133" ht="12.75">
      <c r="I133" t="s">
        <v>1</v>
      </c>
    </row>
    <row r="134" spans="1:10" ht="12.75">
      <c r="A134" t="s">
        <v>1</v>
      </c>
      <c r="F134" s="1" t="s">
        <v>1</v>
      </c>
      <c r="G134" s="1"/>
      <c r="I134" s="3" t="s">
        <v>1</v>
      </c>
      <c r="J134" s="3"/>
    </row>
    <row r="135" spans="1:9" ht="12.75">
      <c r="A135" t="s">
        <v>1</v>
      </c>
      <c r="E135" s="1" t="s">
        <v>1</v>
      </c>
      <c r="F135" s="1" t="s">
        <v>1</v>
      </c>
      <c r="G135" s="1"/>
      <c r="I135" t="s">
        <v>1</v>
      </c>
    </row>
    <row r="136" spans="3:7" ht="12.75">
      <c r="C136" s="2" t="s">
        <v>1</v>
      </c>
      <c r="D136" s="1" t="s">
        <v>1</v>
      </c>
      <c r="E136" s="1" t="s">
        <v>1</v>
      </c>
      <c r="F136" s="1" t="s">
        <v>0</v>
      </c>
      <c r="G136" s="1"/>
    </row>
    <row r="137" spans="1:11" ht="12.75">
      <c r="A137" s="5"/>
      <c r="B137" s="5"/>
      <c r="C137" s="6" t="s">
        <v>1</v>
      </c>
      <c r="D137" s="7" t="s">
        <v>1</v>
      </c>
      <c r="E137" s="7" t="s">
        <v>1</v>
      </c>
      <c r="F137" s="7" t="s">
        <v>48</v>
      </c>
      <c r="G137" s="7"/>
      <c r="H137" s="7"/>
      <c r="I137" s="5"/>
      <c r="J137" s="5"/>
      <c r="K137" s="5"/>
    </row>
    <row r="138" spans="1:11" ht="12.75">
      <c r="A138" s="8"/>
      <c r="B138" s="8"/>
      <c r="C138" s="8"/>
      <c r="D138" s="8"/>
      <c r="E138" s="8"/>
      <c r="F138" s="9" t="s">
        <v>50</v>
      </c>
      <c r="G138" s="9"/>
      <c r="H138" s="9" t="s">
        <v>1</v>
      </c>
      <c r="I138" s="20" t="s">
        <v>1</v>
      </c>
      <c r="J138" s="20"/>
      <c r="K138" s="34" t="s">
        <v>65</v>
      </c>
    </row>
    <row r="139" spans="6:11" ht="12.75">
      <c r="F139" s="1"/>
      <c r="I139" s="3" t="s">
        <v>37</v>
      </c>
      <c r="J139" s="3"/>
      <c r="K139" s="10"/>
    </row>
    <row r="140" spans="1:12" ht="12.75">
      <c r="A140" s="12"/>
      <c r="B140" s="11" t="s">
        <v>12</v>
      </c>
      <c r="C140" s="12"/>
      <c r="D140" s="12" t="s">
        <v>13</v>
      </c>
      <c r="E140" s="12"/>
      <c r="F140" s="21"/>
      <c r="G140" s="11" t="s">
        <v>3</v>
      </c>
      <c r="H140" s="11" t="s">
        <v>2</v>
      </c>
      <c r="I140" s="11" t="s">
        <v>3</v>
      </c>
      <c r="J140" s="11" t="s">
        <v>60</v>
      </c>
      <c r="K140" s="22" t="s">
        <v>66</v>
      </c>
      <c r="L140" s="32" t="s">
        <v>64</v>
      </c>
    </row>
    <row r="141" spans="1:12" ht="12.75">
      <c r="A141" s="12"/>
      <c r="B141" s="12"/>
      <c r="C141" s="12"/>
      <c r="D141" s="12" t="s">
        <v>14</v>
      </c>
      <c r="E141" s="12"/>
      <c r="F141" s="11" t="s">
        <v>15</v>
      </c>
      <c r="G141" s="11" t="s">
        <v>4</v>
      </c>
      <c r="H141" s="11" t="s">
        <v>16</v>
      </c>
      <c r="I141" s="11" t="s">
        <v>5</v>
      </c>
      <c r="J141" s="11" t="s">
        <v>61</v>
      </c>
      <c r="K141" s="11" t="s">
        <v>59</v>
      </c>
      <c r="L141" s="33"/>
    </row>
    <row r="142" spans="1:12" ht="12.75">
      <c r="A142" s="12"/>
      <c r="B142" s="12"/>
      <c r="C142" s="12"/>
      <c r="D142" s="12" t="s">
        <v>17</v>
      </c>
      <c r="E142" s="12"/>
      <c r="F142" s="21"/>
      <c r="G142" s="11">
        <v>1</v>
      </c>
      <c r="H142" s="11">
        <v>2</v>
      </c>
      <c r="I142" s="11" t="s">
        <v>18</v>
      </c>
      <c r="J142" s="11"/>
      <c r="K142" s="11"/>
      <c r="L142" s="13"/>
    </row>
    <row r="143" spans="1:12" ht="12.75">
      <c r="A143" s="21"/>
      <c r="B143" s="21"/>
      <c r="C143" s="21"/>
      <c r="D143" s="21"/>
      <c r="E143" s="21"/>
      <c r="F143" s="21"/>
      <c r="G143" s="23" t="s">
        <v>1</v>
      </c>
      <c r="H143" s="23" t="s">
        <v>1</v>
      </c>
      <c r="I143" s="23" t="s">
        <v>1</v>
      </c>
      <c r="J143" s="23"/>
      <c r="K143" s="23" t="s">
        <v>1</v>
      </c>
      <c r="L143" s="13"/>
    </row>
    <row r="144" spans="1:12" ht="12.75">
      <c r="A144" s="21" t="s">
        <v>19</v>
      </c>
      <c r="B144" s="21"/>
      <c r="C144" s="21"/>
      <c r="D144" s="21"/>
      <c r="E144" s="21"/>
      <c r="F144" s="21" t="s">
        <v>38</v>
      </c>
      <c r="G144" s="23">
        <f>SUM(G145+G154+G158)</f>
        <v>3256343679</v>
      </c>
      <c r="H144" s="23">
        <f>SUM(H145+H154+H158)</f>
        <v>0</v>
      </c>
      <c r="I144" s="23">
        <f>SUM(I145+I154+I158)</f>
        <v>3256343679</v>
      </c>
      <c r="J144" s="23">
        <f>SUM(J145+J154+J158)</f>
        <v>204336876</v>
      </c>
      <c r="K144" s="23">
        <f>+K145+K154+K158</f>
        <v>1516547325</v>
      </c>
      <c r="L144" s="14">
        <f>+K144/I144*100</f>
        <v>46.572090494628654</v>
      </c>
    </row>
    <row r="145" spans="1:12" ht="12.75">
      <c r="A145" s="21" t="s">
        <v>19</v>
      </c>
      <c r="B145" s="21">
        <v>1</v>
      </c>
      <c r="C145" s="21">
        <v>1</v>
      </c>
      <c r="D145" s="21">
        <v>0</v>
      </c>
      <c r="E145" s="21">
        <v>0</v>
      </c>
      <c r="F145" s="21" t="s">
        <v>21</v>
      </c>
      <c r="G145" s="23">
        <f>SUM(G146+G151+G152+G153)</f>
        <v>1423687311</v>
      </c>
      <c r="H145" s="23">
        <f>SUM(H146+H151+H152+H153)</f>
        <v>0</v>
      </c>
      <c r="I145" s="23">
        <f>+I146+I151+I152+I153</f>
        <v>1423687311</v>
      </c>
      <c r="J145" s="23">
        <f>SUM(J146+J151+J152+J153)</f>
        <v>0</v>
      </c>
      <c r="K145" s="23">
        <f>+K146+K151+K152+K153</f>
        <v>359082865</v>
      </c>
      <c r="L145" s="14">
        <f aca="true" t="shared" si="6" ref="L145:L162">+K145/I145*100</f>
        <v>25.222031707775756</v>
      </c>
    </row>
    <row r="146" spans="1:12" ht="12.75">
      <c r="A146" s="21" t="s">
        <v>19</v>
      </c>
      <c r="B146" s="21">
        <v>1</v>
      </c>
      <c r="C146" s="21">
        <v>1</v>
      </c>
      <c r="D146" s="21">
        <v>1</v>
      </c>
      <c r="E146" s="21">
        <v>0</v>
      </c>
      <c r="F146" s="21" t="s">
        <v>22</v>
      </c>
      <c r="G146" s="23">
        <f>SUM(G147:G150)</f>
        <v>909053395</v>
      </c>
      <c r="H146" s="23">
        <f>SUM(H147:H150)</f>
        <v>0</v>
      </c>
      <c r="I146" s="23">
        <f>SUM(I147:I150)</f>
        <v>909053395</v>
      </c>
      <c r="J146" s="23">
        <f>SUM(J147:J150)</f>
        <v>0</v>
      </c>
      <c r="K146" s="23">
        <f>SUM(K147:K150)</f>
        <v>139901046</v>
      </c>
      <c r="L146" s="14">
        <f t="shared" si="6"/>
        <v>15.389750125733814</v>
      </c>
    </row>
    <row r="147" spans="1:12" ht="12.75">
      <c r="A147" s="21" t="s">
        <v>19</v>
      </c>
      <c r="B147" s="21">
        <v>1</v>
      </c>
      <c r="C147" s="21">
        <v>1</v>
      </c>
      <c r="D147" s="21">
        <v>1</v>
      </c>
      <c r="E147" s="21">
        <v>1</v>
      </c>
      <c r="F147" s="21" t="s">
        <v>23</v>
      </c>
      <c r="G147" s="23">
        <v>700765929</v>
      </c>
      <c r="H147" s="23">
        <v>0</v>
      </c>
      <c r="I147" s="23">
        <f>SUM(G147+H147)</f>
        <v>700765929</v>
      </c>
      <c r="J147" s="23">
        <v>0</v>
      </c>
      <c r="K147" s="23">
        <v>58925151</v>
      </c>
      <c r="L147" s="14">
        <f t="shared" si="6"/>
        <v>8.408678070876931</v>
      </c>
    </row>
    <row r="148" spans="1:12" ht="12.75">
      <c r="A148" s="21" t="s">
        <v>19</v>
      </c>
      <c r="B148" s="21">
        <v>1</v>
      </c>
      <c r="C148" s="21">
        <v>1</v>
      </c>
      <c r="D148" s="21">
        <v>9</v>
      </c>
      <c r="E148" s="21">
        <v>3</v>
      </c>
      <c r="F148" s="21" t="s">
        <v>39</v>
      </c>
      <c r="G148" s="23">
        <v>10000000</v>
      </c>
      <c r="H148" s="23">
        <v>0</v>
      </c>
      <c r="I148" s="23">
        <f>SUM(G148+H148)</f>
        <v>10000000</v>
      </c>
      <c r="J148" s="23">
        <v>0</v>
      </c>
      <c r="K148" s="23">
        <f>10640910-980772</f>
        <v>9660138</v>
      </c>
      <c r="L148" s="14">
        <f t="shared" si="6"/>
        <v>96.60138</v>
      </c>
    </row>
    <row r="149" spans="1:12" ht="12.75">
      <c r="A149" s="21" t="s">
        <v>19</v>
      </c>
      <c r="B149" s="21">
        <v>1</v>
      </c>
      <c r="C149" s="21">
        <v>1</v>
      </c>
      <c r="D149" s="21">
        <v>4</v>
      </c>
      <c r="E149" s="21">
        <v>2</v>
      </c>
      <c r="F149" s="21" t="s">
        <v>25</v>
      </c>
      <c r="G149" s="23">
        <v>57007680</v>
      </c>
      <c r="H149" s="23">
        <v>0</v>
      </c>
      <c r="I149" s="23">
        <f>SUM(G149+H149)</f>
        <v>57007680</v>
      </c>
      <c r="J149" s="23">
        <v>0</v>
      </c>
      <c r="K149" s="23">
        <v>5878789</v>
      </c>
      <c r="L149" s="14">
        <f t="shared" si="6"/>
        <v>10.31227546884911</v>
      </c>
    </row>
    <row r="150" spans="1:12" ht="12.75">
      <c r="A150" s="21" t="s">
        <v>19</v>
      </c>
      <c r="B150" s="21">
        <v>1</v>
      </c>
      <c r="C150" s="21">
        <v>1</v>
      </c>
      <c r="D150" s="21">
        <v>5</v>
      </c>
      <c r="E150" s="21">
        <v>0</v>
      </c>
      <c r="F150" s="21" t="s">
        <v>26</v>
      </c>
      <c r="G150" s="23">
        <v>141279786</v>
      </c>
      <c r="H150" s="23">
        <v>0</v>
      </c>
      <c r="I150" s="23">
        <f>SUM(G150+H150)</f>
        <v>141279786</v>
      </c>
      <c r="J150" s="23">
        <v>0</v>
      </c>
      <c r="K150" s="23">
        <f>18331296+3053288+2489927+2312153+6815597+40111708+896638-111401-750003-896638-6815597</f>
        <v>65436968</v>
      </c>
      <c r="L150" s="14">
        <f t="shared" si="6"/>
        <v>46.31728986339206</v>
      </c>
    </row>
    <row r="151" spans="1:12" ht="12.75">
      <c r="A151" s="21" t="s">
        <v>19</v>
      </c>
      <c r="B151" s="21">
        <v>1</v>
      </c>
      <c r="C151" s="21">
        <v>0</v>
      </c>
      <c r="D151" s="21">
        <v>2</v>
      </c>
      <c r="E151" s="21">
        <v>0</v>
      </c>
      <c r="F151" s="21" t="s">
        <v>40</v>
      </c>
      <c r="G151" s="23">
        <v>153630000</v>
      </c>
      <c r="H151" s="24">
        <v>0</v>
      </c>
      <c r="I151" s="23">
        <f>SUM(G151+H151)</f>
        <v>153630000</v>
      </c>
      <c r="J151" s="23">
        <v>0</v>
      </c>
      <c r="K151" s="23">
        <f>15663771+15000000+121786458</f>
        <v>152450229</v>
      </c>
      <c r="L151" s="14">
        <f t="shared" si="6"/>
        <v>99.23206990822105</v>
      </c>
    </row>
    <row r="152" spans="1:12" ht="12.75">
      <c r="A152" s="21" t="s">
        <v>19</v>
      </c>
      <c r="B152" s="21">
        <v>1</v>
      </c>
      <c r="C152" s="21">
        <v>5</v>
      </c>
      <c r="D152" s="21">
        <v>0</v>
      </c>
      <c r="E152" s="21">
        <v>1</v>
      </c>
      <c r="F152" s="21" t="s">
        <v>27</v>
      </c>
      <c r="G152" s="23">
        <v>241216416</v>
      </c>
      <c r="H152" s="24">
        <v>0</v>
      </c>
      <c r="I152" s="23">
        <f>+G152+H152</f>
        <v>241216416</v>
      </c>
      <c r="J152" s="23">
        <v>0</v>
      </c>
      <c r="K152" s="23">
        <v>42572752</v>
      </c>
      <c r="L152" s="14">
        <f t="shared" si="6"/>
        <v>17.649193494359853</v>
      </c>
    </row>
    <row r="153" spans="1:12" ht="12.75">
      <c r="A153" s="21" t="s">
        <v>19</v>
      </c>
      <c r="B153" s="21">
        <v>1</v>
      </c>
      <c r="C153" s="21">
        <v>5</v>
      </c>
      <c r="D153" s="21">
        <v>0</v>
      </c>
      <c r="E153" s="21">
        <v>2</v>
      </c>
      <c r="F153" s="21" t="s">
        <v>28</v>
      </c>
      <c r="G153" s="23">
        <v>119787500</v>
      </c>
      <c r="H153" s="24">
        <v>0</v>
      </c>
      <c r="I153" s="23">
        <f>+G153+H153</f>
        <v>119787500</v>
      </c>
      <c r="J153" s="23">
        <v>0</v>
      </c>
      <c r="K153" s="23">
        <f>17805325+3811987+2541526</f>
        <v>24158838</v>
      </c>
      <c r="L153" s="14">
        <f t="shared" si="6"/>
        <v>20.168079307106336</v>
      </c>
    </row>
    <row r="154" spans="1:12" ht="12.75">
      <c r="A154" s="21" t="s">
        <v>19</v>
      </c>
      <c r="B154" s="21">
        <v>2</v>
      </c>
      <c r="C154" s="21">
        <v>0</v>
      </c>
      <c r="D154" s="21">
        <v>0</v>
      </c>
      <c r="E154" s="21">
        <v>0</v>
      </c>
      <c r="F154" s="21" t="s">
        <v>29</v>
      </c>
      <c r="G154" s="23">
        <f>SUM(G155:G157)</f>
        <v>732132319</v>
      </c>
      <c r="H154" s="23">
        <v>0</v>
      </c>
      <c r="I154" s="23">
        <f>+I155+I156+I157</f>
        <v>732132319</v>
      </c>
      <c r="J154" s="23">
        <f>SUM(J155:J157)</f>
        <v>204336876</v>
      </c>
      <c r="K154" s="23">
        <f>+K155+K156+K157</f>
        <v>571812230</v>
      </c>
      <c r="L154" s="14">
        <f t="shared" si="6"/>
        <v>78.10230680446166</v>
      </c>
    </row>
    <row r="155" spans="1:12" ht="12.75">
      <c r="A155" s="21" t="s">
        <v>19</v>
      </c>
      <c r="B155" s="21">
        <v>2</v>
      </c>
      <c r="C155" s="21">
        <v>4</v>
      </c>
      <c r="D155" s="21">
        <v>0</v>
      </c>
      <c r="E155" s="21">
        <v>0</v>
      </c>
      <c r="F155" s="21" t="s">
        <v>41</v>
      </c>
      <c r="G155" s="23">
        <v>112638790</v>
      </c>
      <c r="H155" s="24">
        <v>0</v>
      </c>
      <c r="I155" s="23">
        <f>+G155+H155</f>
        <v>112638790</v>
      </c>
      <c r="J155" s="23">
        <v>45878986</v>
      </c>
      <c r="K155" s="23">
        <f>249996+39735606</f>
        <v>39985602</v>
      </c>
      <c r="L155" s="14">
        <f t="shared" si="6"/>
        <v>35.49896265753565</v>
      </c>
    </row>
    <row r="156" spans="1:12" ht="12.75">
      <c r="A156" s="21" t="s">
        <v>19</v>
      </c>
      <c r="B156" s="21">
        <v>2</v>
      </c>
      <c r="C156" s="21">
        <v>4</v>
      </c>
      <c r="D156" s="21">
        <v>0</v>
      </c>
      <c r="E156" s="21">
        <v>0</v>
      </c>
      <c r="F156" s="21" t="s">
        <v>30</v>
      </c>
      <c r="G156" s="23">
        <v>585760102</v>
      </c>
      <c r="H156" s="24">
        <v>0</v>
      </c>
      <c r="I156" s="23">
        <f>+G156+H156</f>
        <v>585760102</v>
      </c>
      <c r="J156" s="23">
        <v>158457890</v>
      </c>
      <c r="K156" s="23">
        <f>132527580+33634080+36092012+154393043+74242223+22000000+602400+58825178+7220768-524088-6831502</f>
        <v>512181694</v>
      </c>
      <c r="L156" s="14">
        <f t="shared" si="6"/>
        <v>87.43881535311533</v>
      </c>
    </row>
    <row r="157" spans="1:12" ht="12.75">
      <c r="A157" s="21" t="s">
        <v>19</v>
      </c>
      <c r="B157" s="21">
        <v>2</v>
      </c>
      <c r="C157" s="21">
        <v>0</v>
      </c>
      <c r="D157" s="21">
        <v>3</v>
      </c>
      <c r="E157" s="21">
        <v>0</v>
      </c>
      <c r="F157" s="21" t="s">
        <v>31</v>
      </c>
      <c r="G157" s="23">
        <v>33733427</v>
      </c>
      <c r="H157" s="23">
        <v>0</v>
      </c>
      <c r="I157" s="23">
        <f>+G157+H157</f>
        <v>33733427</v>
      </c>
      <c r="J157" s="23">
        <v>0</v>
      </c>
      <c r="K157" s="23">
        <v>19644934</v>
      </c>
      <c r="L157" s="14">
        <f t="shared" si="6"/>
        <v>58.23580865353526</v>
      </c>
    </row>
    <row r="158" spans="1:12" ht="12.75">
      <c r="A158" s="21" t="s">
        <v>19</v>
      </c>
      <c r="B158" s="21">
        <v>3</v>
      </c>
      <c r="C158" s="21">
        <v>0</v>
      </c>
      <c r="D158" s="21">
        <v>0</v>
      </c>
      <c r="E158" s="21">
        <v>0</v>
      </c>
      <c r="F158" s="21" t="s">
        <v>32</v>
      </c>
      <c r="G158" s="23">
        <f>SUM(G159:G162)</f>
        <v>1100524049</v>
      </c>
      <c r="H158" s="23">
        <v>0</v>
      </c>
      <c r="I158" s="23">
        <f>SUM(I159:I162)</f>
        <v>1100524049</v>
      </c>
      <c r="J158" s="23">
        <f>SUM(J159:J162)</f>
        <v>0</v>
      </c>
      <c r="K158" s="23">
        <f>SUM(K159:K162)</f>
        <v>585652230</v>
      </c>
      <c r="L158" s="14">
        <f t="shared" si="6"/>
        <v>53.21575939500437</v>
      </c>
    </row>
    <row r="159" spans="1:12" ht="12.75">
      <c r="A159" s="21" t="s">
        <v>19</v>
      </c>
      <c r="B159" s="21">
        <v>3</v>
      </c>
      <c r="C159" s="21">
        <v>2</v>
      </c>
      <c r="D159" s="21">
        <v>1</v>
      </c>
      <c r="E159" s="21">
        <v>1</v>
      </c>
      <c r="F159" s="21" t="s">
        <v>42</v>
      </c>
      <c r="G159" s="23">
        <v>18566612</v>
      </c>
      <c r="H159" s="23">
        <v>0</v>
      </c>
      <c r="I159" s="23">
        <f>+G159+H159</f>
        <v>18566612</v>
      </c>
      <c r="J159" s="23">
        <v>0</v>
      </c>
      <c r="K159" s="23">
        <v>0</v>
      </c>
      <c r="L159" s="14">
        <f t="shared" si="6"/>
        <v>0</v>
      </c>
    </row>
    <row r="160" spans="1:12" ht="12.75">
      <c r="A160" s="21" t="s">
        <v>19</v>
      </c>
      <c r="B160" s="21">
        <v>3</v>
      </c>
      <c r="C160" s="21">
        <v>2</v>
      </c>
      <c r="D160" s="21">
        <v>1</v>
      </c>
      <c r="E160" s="21">
        <v>2</v>
      </c>
      <c r="F160" s="21" t="s">
        <v>43</v>
      </c>
      <c r="G160" s="23">
        <v>950211052</v>
      </c>
      <c r="H160" s="23">
        <v>0</v>
      </c>
      <c r="I160" s="23">
        <f>+G160+H160</f>
        <v>950211052</v>
      </c>
      <c r="J160" s="23">
        <v>0</v>
      </c>
      <c r="K160" s="23">
        <v>459528269</v>
      </c>
      <c r="L160" s="14">
        <f t="shared" si="6"/>
        <v>48.36065293418625</v>
      </c>
    </row>
    <row r="161" spans="1:12" ht="12.75">
      <c r="A161" s="21" t="s">
        <v>19</v>
      </c>
      <c r="B161" s="21">
        <v>3</v>
      </c>
      <c r="C161" s="21">
        <v>2</v>
      </c>
      <c r="D161" s="21">
        <v>1</v>
      </c>
      <c r="E161" s="21">
        <v>3</v>
      </c>
      <c r="F161" s="21" t="s">
        <v>44</v>
      </c>
      <c r="G161" s="23">
        <v>21746385</v>
      </c>
      <c r="H161" s="23">
        <v>0</v>
      </c>
      <c r="I161" s="23">
        <f>+G161+H161</f>
        <v>21746385</v>
      </c>
      <c r="J161" s="23">
        <v>0</v>
      </c>
      <c r="K161" s="23">
        <f>17917771+3900000-71386</f>
        <v>21746385</v>
      </c>
      <c r="L161" s="14">
        <f t="shared" si="6"/>
        <v>100</v>
      </c>
    </row>
    <row r="162" spans="1:12" ht="12.75">
      <c r="A162" s="21" t="s">
        <v>19</v>
      </c>
      <c r="B162" s="21">
        <v>3</v>
      </c>
      <c r="C162" s="21">
        <v>6</v>
      </c>
      <c r="D162" s="21">
        <v>1</v>
      </c>
      <c r="E162" s="21">
        <v>1</v>
      </c>
      <c r="F162" s="21" t="s">
        <v>45</v>
      </c>
      <c r="G162" s="23">
        <v>110000000</v>
      </c>
      <c r="H162" s="23">
        <v>0</v>
      </c>
      <c r="I162" s="23">
        <f>+G162+H162</f>
        <v>110000000</v>
      </c>
      <c r="J162" s="23">
        <v>0</v>
      </c>
      <c r="K162" s="23">
        <v>104377576</v>
      </c>
      <c r="L162" s="14">
        <f t="shared" si="6"/>
        <v>94.88870545454546</v>
      </c>
    </row>
    <row r="163" spans="1:12" ht="12.75">
      <c r="A163" s="21"/>
      <c r="B163" s="21"/>
      <c r="C163" s="21"/>
      <c r="D163" s="21"/>
      <c r="E163" s="21"/>
      <c r="F163" s="21" t="s">
        <v>1</v>
      </c>
      <c r="G163" s="23" t="s">
        <v>1</v>
      </c>
      <c r="H163" s="23" t="s">
        <v>1</v>
      </c>
      <c r="I163" s="23" t="s">
        <v>1</v>
      </c>
      <c r="J163" s="23"/>
      <c r="K163" s="23" t="s">
        <v>1</v>
      </c>
      <c r="L163" s="14" t="s">
        <v>1</v>
      </c>
    </row>
    <row r="164" spans="1:12" ht="12.75">
      <c r="A164" s="21" t="s">
        <v>33</v>
      </c>
      <c r="B164" s="21"/>
      <c r="C164" s="21"/>
      <c r="D164" s="21" t="s">
        <v>1</v>
      </c>
      <c r="E164" s="21"/>
      <c r="F164" s="21" t="s">
        <v>34</v>
      </c>
      <c r="G164" s="25">
        <f>SUM(G166:G172)</f>
        <v>7007419579</v>
      </c>
      <c r="H164" s="25">
        <f>SUM(H166:H172)</f>
        <v>574696436</v>
      </c>
      <c r="I164" s="25">
        <f>SUM(G164+H164)</f>
        <v>7582116015</v>
      </c>
      <c r="J164" s="25">
        <f>SUM(J166:J172)</f>
        <v>20025013</v>
      </c>
      <c r="K164" s="25">
        <f>SUM(K165:K172)</f>
        <v>3050611368</v>
      </c>
      <c r="L164" s="14">
        <f>+K164/I164*100</f>
        <v>40.23430084642407</v>
      </c>
    </row>
    <row r="165" spans="1:12" ht="12.75">
      <c r="A165" s="21"/>
      <c r="B165" s="21"/>
      <c r="C165" s="21"/>
      <c r="D165" s="21"/>
      <c r="E165" s="21"/>
      <c r="F165" s="21"/>
      <c r="G165" s="23"/>
      <c r="H165" s="23" t="s">
        <v>1</v>
      </c>
      <c r="I165" s="23" t="s">
        <v>1</v>
      </c>
      <c r="J165" s="23"/>
      <c r="K165" s="23"/>
      <c r="L165" s="14" t="s">
        <v>1</v>
      </c>
    </row>
    <row r="166" spans="1:12" ht="33.75">
      <c r="A166" s="26" t="s">
        <v>33</v>
      </c>
      <c r="B166" s="26">
        <v>113</v>
      </c>
      <c r="C166" s="26">
        <v>900</v>
      </c>
      <c r="D166" s="26">
        <v>1</v>
      </c>
      <c r="E166" s="26"/>
      <c r="F166" s="29" t="s">
        <v>51</v>
      </c>
      <c r="G166" s="25">
        <v>884106469</v>
      </c>
      <c r="H166" s="31">
        <v>110451608</v>
      </c>
      <c r="I166" s="25">
        <f aca="true" t="shared" si="7" ref="I166:I172">SUM(G166+H166)</f>
        <v>994558077</v>
      </c>
      <c r="J166" s="25">
        <f>+'[1]0113-0900-01 AREAS PROTEGIDAS'!$D$18</f>
        <v>0</v>
      </c>
      <c r="K166" s="25">
        <f>511286005-120961185-123022961-4420532-10040000-882516</f>
        <v>251958811</v>
      </c>
      <c r="L166" s="14">
        <f aca="true" t="shared" si="8" ref="L166:L173">+K166/I166*100</f>
        <v>25.33374539172336</v>
      </c>
    </row>
    <row r="167" spans="1:12" ht="12.75">
      <c r="A167" s="26" t="s">
        <v>33</v>
      </c>
      <c r="B167" s="26">
        <v>113</v>
      </c>
      <c r="C167" s="26">
        <v>900</v>
      </c>
      <c r="D167" s="26">
        <v>2</v>
      </c>
      <c r="E167" s="26"/>
      <c r="F167" s="29" t="s">
        <v>52</v>
      </c>
      <c r="G167" s="25">
        <v>4396711060</v>
      </c>
      <c r="H167" s="31">
        <v>137746338</v>
      </c>
      <c r="I167" s="25">
        <f t="shared" si="7"/>
        <v>4534457398</v>
      </c>
      <c r="J167" s="25">
        <f>+'[1]0113-0900-02 RECURSO HIDRICO'!$D$13</f>
        <v>1</v>
      </c>
      <c r="K167" s="25">
        <f>2079391849-22660857-11664376-27216879-14268814-8625966-13029129-169997280-48917301-139587205-95184750-13171969-9819884</f>
        <v>1505247439</v>
      </c>
      <c r="L167" s="14">
        <f t="shared" si="8"/>
        <v>33.19575655653784</v>
      </c>
    </row>
    <row r="168" spans="1:12" ht="33.75">
      <c r="A168" s="26" t="s">
        <v>33</v>
      </c>
      <c r="B168" s="26">
        <v>113</v>
      </c>
      <c r="C168" s="26">
        <v>900</v>
      </c>
      <c r="D168" s="26">
        <v>3</v>
      </c>
      <c r="E168" s="26"/>
      <c r="F168" s="29" t="s">
        <v>53</v>
      </c>
      <c r="G168" s="25">
        <v>400000000</v>
      </c>
      <c r="H168" s="31">
        <f>180000000+56086490</f>
        <v>236086490</v>
      </c>
      <c r="I168" s="25">
        <f t="shared" si="7"/>
        <v>636086490</v>
      </c>
      <c r="J168" s="25">
        <v>0</v>
      </c>
      <c r="K168" s="25">
        <f>560175183-4536072-25405129-54158743-46241257-20080000-18072000-2000000-397584</f>
        <v>389284398</v>
      </c>
      <c r="L168" s="14">
        <f t="shared" si="8"/>
        <v>61.199916068017735</v>
      </c>
    </row>
    <row r="169" spans="1:12" ht="12.75">
      <c r="A169" s="26" t="s">
        <v>33</v>
      </c>
      <c r="B169" s="26">
        <v>310</v>
      </c>
      <c r="C169" s="26">
        <v>900</v>
      </c>
      <c r="D169" s="26">
        <v>4</v>
      </c>
      <c r="E169" s="26"/>
      <c r="F169" s="28" t="s">
        <v>54</v>
      </c>
      <c r="G169" s="25">
        <v>150000000</v>
      </c>
      <c r="H169" s="25">
        <v>6212000</v>
      </c>
      <c r="I169" s="25">
        <f t="shared" si="7"/>
        <v>156212000</v>
      </c>
      <c r="J169" s="25">
        <v>0</v>
      </c>
      <c r="K169" s="25">
        <f>99945973-750000-73794-73794</f>
        <v>99048385</v>
      </c>
      <c r="L169" s="14">
        <f t="shared" si="8"/>
        <v>63.40638683327785</v>
      </c>
    </row>
    <row r="170" spans="1:12" ht="12.75">
      <c r="A170" s="26" t="s">
        <v>33</v>
      </c>
      <c r="B170" s="26">
        <v>310</v>
      </c>
      <c r="C170" s="26">
        <v>900</v>
      </c>
      <c r="D170" s="26">
        <v>5</v>
      </c>
      <c r="E170" s="26"/>
      <c r="F170" s="28" t="s">
        <v>55</v>
      </c>
      <c r="G170" s="25">
        <v>757602050</v>
      </c>
      <c r="H170" s="31">
        <v>3200000</v>
      </c>
      <c r="I170" s="25">
        <f t="shared" si="7"/>
        <v>760802050</v>
      </c>
      <c r="J170" s="25">
        <f>+'[1]0310-0900-05 AUTORIDAD AMBIENTA'!$E$47</f>
        <v>0</v>
      </c>
      <c r="K170" s="25">
        <f>553438289-70680-54216000-7425584-883520-201</f>
        <v>490842304</v>
      </c>
      <c r="L170" s="14">
        <f t="shared" si="8"/>
        <v>64.5164276305512</v>
      </c>
    </row>
    <row r="171" spans="1:12" ht="22.5">
      <c r="A171" s="26" t="s">
        <v>33</v>
      </c>
      <c r="B171" s="26">
        <v>310</v>
      </c>
      <c r="C171" s="26">
        <v>900</v>
      </c>
      <c r="D171" s="26">
        <v>6</v>
      </c>
      <c r="E171" s="26"/>
      <c r="F171" s="28" t="s">
        <v>56</v>
      </c>
      <c r="G171" s="25">
        <v>169000000</v>
      </c>
      <c r="H171" s="25">
        <v>0</v>
      </c>
      <c r="I171" s="25">
        <f t="shared" si="7"/>
        <v>169000000</v>
      </c>
      <c r="J171" s="25">
        <f>+'[1]0310-0900-06 EDUCACION AMBIENTA'!$D$13+'[1]0310-0900-06 EDUCACION AMBIENTA'!$D$14</f>
        <v>25012</v>
      </c>
      <c r="K171" s="25">
        <f>130937857-845000-168672</f>
        <v>129924185</v>
      </c>
      <c r="L171" s="14">
        <f t="shared" si="8"/>
        <v>76.87821597633136</v>
      </c>
    </row>
    <row r="172" spans="1:12" ht="22.5">
      <c r="A172" s="26" t="s">
        <v>33</v>
      </c>
      <c r="B172" s="26">
        <v>520</v>
      </c>
      <c r="C172" s="26">
        <v>900</v>
      </c>
      <c r="D172" s="26">
        <v>7</v>
      </c>
      <c r="E172" s="26"/>
      <c r="F172" s="30" t="s">
        <v>57</v>
      </c>
      <c r="G172" s="25">
        <v>250000000</v>
      </c>
      <c r="H172" s="25">
        <f>61000000+20000000</f>
        <v>81000000</v>
      </c>
      <c r="I172" s="25">
        <f t="shared" si="7"/>
        <v>331000000</v>
      </c>
      <c r="J172" s="25">
        <f>+'[1]0520-0900-07 FORTALECIMIENTO'!$D$9+'[1]0520-0900-07 FORTALECIMIENTO'!$D$10</f>
        <v>20000000</v>
      </c>
      <c r="K172" s="25">
        <f>191460972-5525614-1250000-379512</f>
        <v>184305846</v>
      </c>
      <c r="L172" s="14">
        <f t="shared" si="8"/>
        <v>55.68152447129909</v>
      </c>
    </row>
    <row r="173" spans="1:12" ht="12.75">
      <c r="A173" s="13" t="s">
        <v>33</v>
      </c>
      <c r="B173" s="13"/>
      <c r="C173" s="13"/>
      <c r="D173" s="13"/>
      <c r="E173" s="13"/>
      <c r="F173" s="27" t="s">
        <v>35</v>
      </c>
      <c r="G173" s="16">
        <f>+G164+G144</f>
        <v>10263763258</v>
      </c>
      <c r="H173" s="16">
        <f>+H164+H144</f>
        <v>574696436</v>
      </c>
      <c r="I173" s="16">
        <f>+I164+I144</f>
        <v>10838459694</v>
      </c>
      <c r="J173" s="16">
        <f>+J164+J144</f>
        <v>224361889</v>
      </c>
      <c r="K173" s="16">
        <f>+K164+K144</f>
        <v>4567158693</v>
      </c>
      <c r="L173" s="14">
        <f t="shared" si="8"/>
        <v>42.13844791551245</v>
      </c>
    </row>
  </sheetData>
  <printOptions/>
  <pageMargins left="0.8" right="0.75" top="1" bottom="1" header="0" footer="0"/>
  <pageSetup horizontalDpi="120" verticalDpi="12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2009-08-13T21:47:03Z</cp:lastPrinted>
  <dcterms:created xsi:type="dcterms:W3CDTF">2007-01-13T18:42:48Z</dcterms:created>
  <dcterms:modified xsi:type="dcterms:W3CDTF">2009-08-13T22:57:11Z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