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<sst xmlns="http://schemas.openxmlformats.org/spreadsheetml/2006/main" count="754" uniqueCount="103">
  <si>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</si>
  <si>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</si>
  <si>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</si>
  <si>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</si>
  <si>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</si>
  <si>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</si>
  <si>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</si>
  <si>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</si>
  <si>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</si>
  <si>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</si>
  <si>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</si>
  <si>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</si>
  <si>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</si>
  <si>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</si>
  <si>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</si>
  <si>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</si>
  <si>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</si>
  <si>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</si>
  <si>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</si>
  <si>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</si>
  <si>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</si>
  <si>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</si>
  <si>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</si>
  <si>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</si>
  <si>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</si>
  <si>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</si>
  <si>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</si>
  <si>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</si>
  <si>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</si>
  <si>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</si>
  <si>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</si>
  <si>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</si>
  <si>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</si>
  <si>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</si>
  <si>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</si>
  <si>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</si>
  <si>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</si>
  <si>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</si>
  <si>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</si>
  <si>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</si>
  <si>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</si>
  <si>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</si>
  <si>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</si>
  <si>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</si>
  <si>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</si>
  <si>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</si>
  <si>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</si>
  <si>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</si>
  <si>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</si>
  <si>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</si>
  <si>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</si>
  <si>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</si>
  <si>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</si>
  <si>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</si>
  <si>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</si>
  <si>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</si>
  <si>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</si>
  <si>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</si>
  <si>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</si>
  <si>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</si>
  <si>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</si>
  <si>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</si>
  <si>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</si>
  <si>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</si>
  <si>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</si>
  <si>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</si>
  <si>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</si>
  <si>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</si>
  <si>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</si>
  <si>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</si>
  <si>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</si>
  <si>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</si>
  <si>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</si>
  <si>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</si>
  <si>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</si>
  <si>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</si>
  <si>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</si>
  <si>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</si>
  <si>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</si>
  <si>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</si>
  <si>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</si>
  <si>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</si>
  <si>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</si>
  <si>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</si>
  <si>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</si>
  <si>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</si>
  <si>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</si>
  <si>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</si>
  <si>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</si>
  <si>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</si>
  <si>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</si>
  <si>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</si>
  <si>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</si>
  <si>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</si>
  <si>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</si>
  <si>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</si>
  <si>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</si>
  <si>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</si>
  <si>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NEIVA CONSIGNO $ 1,500,000,000,00 CONSIGNADO EN MAYO</t>
  </si>
  <si>
    <t>CHB CONSIGNACION MES DE ENERO</t>
  </si>
  <si>
    <t>RECAUDOS DEL MES</t>
  </si>
  <si>
    <t>PHILIPS MORRIS</t>
  </si>
  <si>
    <t>INGEOMINAS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</si>
</sst>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INGRESOS2009ab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7"/>
      <sheetName val="SEPTIEMBRE07"/>
      <sheetName val="OCTUBRE07"/>
      <sheetName val="NOVIEMBRE07"/>
      <sheetName val="DICIEMBRE06"/>
      <sheetName val="ENERO2008"/>
    </sheetNames>
    <sheetDataSet>
      <sheetData sheetId="5">
        <row r="12">
          <cell r="B12">
            <v>1384500</v>
          </cell>
        </row>
        <row r="20">
          <cell r="B20">
            <v>2322000</v>
          </cell>
        </row>
        <row r="35">
          <cell r="B35">
            <v>166575</v>
          </cell>
        </row>
        <row r="64">
          <cell r="B64">
            <v>7500150</v>
          </cell>
          <cell r="C64">
            <v>1664474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analisis"/>
      <sheetName val="0630-0900-01-81"/>
      <sheetName val="0630-0900-01-82"/>
      <sheetName val="0520-0900-07 FORTALECIMIENTO"/>
    </sheetNames>
    <sheetDataSet>
      <sheetData sheetId="7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GRESOS"/>
    </sheetNames>
    <sheetDataSet>
      <sheetData sheetId="1">
        <row r="7">
          <cell r="R7">
            <v>990002669.64</v>
          </cell>
        </row>
        <row r="9">
          <cell r="R9">
            <v>613406753</v>
          </cell>
        </row>
        <row r="10">
          <cell r="R10">
            <v>613406753</v>
          </cell>
        </row>
        <row r="11">
          <cell r="R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1" t="s">
        <v>0</v>
      </c>
      <c r="B1" s="42"/>
      <c r="C1" s="42"/>
      <c r="D1" s="42"/>
      <c r="E1" s="42"/>
      <c r="F1" s="42"/>
      <c r="G1" s="42"/>
      <c r="H1" s="27"/>
    </row>
    <row r="2" spans="1:8" ht="12.75">
      <c r="A2" s="43" t="s">
        <v>53</v>
      </c>
      <c r="B2" s="44"/>
      <c r="C2" s="44"/>
      <c r="D2" s="44"/>
      <c r="E2" s="44"/>
      <c r="F2" s="44"/>
      <c r="G2" s="44"/>
      <c r="H2" s="28"/>
    </row>
    <row r="3" spans="1:8" ht="12.75">
      <c r="A3" s="29"/>
      <c r="B3" s="20"/>
      <c r="C3" s="20"/>
      <c r="D3" s="20"/>
      <c r="E3" s="20"/>
      <c r="F3" s="20"/>
      <c r="G3" s="20"/>
      <c r="H3" s="28"/>
    </row>
    <row r="4" spans="1:8" ht="25.5">
      <c r="A4" s="30" t="s">
        <v>54</v>
      </c>
      <c r="B4" s="21" t="s">
        <v>55</v>
      </c>
      <c r="C4" s="21" t="s">
        <v>84</v>
      </c>
      <c r="D4" s="45" t="s">
        <v>56</v>
      </c>
      <c r="E4" s="45" t="s">
        <v>57</v>
      </c>
      <c r="F4" s="19" t="s">
        <v>58</v>
      </c>
      <c r="G4" s="19" t="s">
        <v>59</v>
      </c>
      <c r="H4" s="31" t="s">
        <v>60</v>
      </c>
    </row>
    <row r="5" spans="1:8" ht="12.75">
      <c r="A5" s="29"/>
      <c r="B5" s="20"/>
      <c r="C5" s="20"/>
      <c r="D5" s="46"/>
      <c r="E5" s="46"/>
      <c r="F5" s="19"/>
      <c r="G5" s="19" t="s">
        <v>61</v>
      </c>
      <c r="H5" s="28"/>
    </row>
    <row r="6" spans="1:8" ht="12.75">
      <c r="A6" s="32" t="s">
        <v>7</v>
      </c>
      <c r="B6" s="22" t="s">
        <v>1</v>
      </c>
      <c r="C6" s="22" t="s">
        <v>1</v>
      </c>
      <c r="D6" s="23" t="s">
        <v>1</v>
      </c>
      <c r="E6" s="23" t="s">
        <v>1</v>
      </c>
      <c r="F6" s="23" t="s">
        <v>52</v>
      </c>
      <c r="G6" s="23" t="s">
        <v>1</v>
      </c>
      <c r="H6" s="28"/>
    </row>
    <row r="7" spans="1:8" ht="12.75">
      <c r="A7" s="29"/>
      <c r="B7" s="23" t="s">
        <v>1</v>
      </c>
      <c r="C7" s="23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8"/>
    </row>
    <row r="8" spans="1:9" ht="12.75">
      <c r="A8" s="33" t="s">
        <v>62</v>
      </c>
      <c r="B8" s="25">
        <v>2536800000</v>
      </c>
      <c r="C8" s="25">
        <f>+INGRESOS!U288</f>
        <v>2141075725</v>
      </c>
      <c r="D8" s="25">
        <f>+C8*70%</f>
        <v>1498753007.5</v>
      </c>
      <c r="E8" s="25">
        <f>+C8*10%</f>
        <v>214107572.5</v>
      </c>
      <c r="F8" s="25">
        <f>+C8*20%</f>
        <v>428215145</v>
      </c>
      <c r="G8" s="25">
        <f>+D8+E8+F8</f>
        <v>2141075725</v>
      </c>
      <c r="H8" s="34" t="s">
        <v>63</v>
      </c>
      <c r="I8" s="1"/>
    </row>
    <row r="9" spans="1:9" ht="12.75">
      <c r="A9" s="33" t="s">
        <v>64</v>
      </c>
      <c r="B9" s="25">
        <f>+B10+B11</f>
        <v>3306000000</v>
      </c>
      <c r="C9" s="25">
        <f>+C10+C11</f>
        <v>2819654019.8999996</v>
      </c>
      <c r="D9" s="25">
        <f>SUM(D10:D11)</f>
        <v>1451115937.634985</v>
      </c>
      <c r="E9" s="25">
        <f>SUM(E10:E11)</f>
        <v>1368538082.265015</v>
      </c>
      <c r="F9" s="25">
        <f>SUM(F10:F11)</f>
        <v>0</v>
      </c>
      <c r="G9" s="25">
        <f>+D9+E9+F9</f>
        <v>2819654019.8999996</v>
      </c>
      <c r="H9" s="34" t="s">
        <v>65</v>
      </c>
      <c r="I9" s="1"/>
    </row>
    <row r="10" spans="1:9" ht="12.75">
      <c r="A10" s="29" t="s">
        <v>66</v>
      </c>
      <c r="B10" s="23">
        <v>2006000000</v>
      </c>
      <c r="C10" s="23">
        <f>+INGRESOS!U284</f>
        <v>1546425752.85</v>
      </c>
      <c r="D10" s="23">
        <f>+C10*55%</f>
        <v>850534164.0675</v>
      </c>
      <c r="E10" s="23">
        <f>+C10-D10</f>
        <v>695891588.7824999</v>
      </c>
      <c r="F10" s="23"/>
      <c r="G10" s="23">
        <f>+D10+E10+F10</f>
        <v>1546425752.85</v>
      </c>
      <c r="H10" s="34" t="str">
        <f>+H9</f>
        <v>Art 44 Ley 99/93</v>
      </c>
      <c r="I10" s="1"/>
    </row>
    <row r="11" spans="1:9" ht="12.75">
      <c r="A11" s="29" t="s">
        <v>67</v>
      </c>
      <c r="B11" s="23">
        <v>1300000000</v>
      </c>
      <c r="C11" s="23">
        <f>+INGRESOS!U285</f>
        <v>1273228267.05</v>
      </c>
      <c r="D11" s="23">
        <f>+C11-E11</f>
        <v>600581773.567485</v>
      </c>
      <c r="E11" s="23">
        <f>+C11*52.83%</f>
        <v>672646493.482515</v>
      </c>
      <c r="F11" s="23"/>
      <c r="G11" s="23">
        <f>+D11+E11+F11</f>
        <v>1273228267.05</v>
      </c>
      <c r="H11" s="34" t="str">
        <f>+H10</f>
        <v>Art 44 Ley 99/93</v>
      </c>
      <c r="I11" s="1"/>
    </row>
    <row r="12" spans="1:9" ht="12.75">
      <c r="A12" s="33" t="s">
        <v>5</v>
      </c>
      <c r="B12" s="25">
        <f>SUM(B13:B18)</f>
        <v>1864850000</v>
      </c>
      <c r="C12" s="25">
        <f>SUM(C13:C18)</f>
        <v>503497318.64</v>
      </c>
      <c r="D12" s="25">
        <f>SUM(D13:D18)</f>
        <v>429633483.876</v>
      </c>
      <c r="E12" s="25">
        <f>SUM(E13:E18)</f>
        <v>23514102.900000002</v>
      </c>
      <c r="F12" s="25">
        <f>SUM(F13:F18)</f>
        <v>50349732.064</v>
      </c>
      <c r="G12" s="25">
        <f>+D12+E12+F12</f>
        <v>503497318.84</v>
      </c>
      <c r="H12" s="34" t="s">
        <v>1</v>
      </c>
      <c r="I12" s="1"/>
    </row>
    <row r="13" spans="1:9" ht="12.75">
      <c r="A13" s="29" t="s">
        <v>68</v>
      </c>
      <c r="B13" s="23">
        <v>689850000</v>
      </c>
      <c r="C13" s="23">
        <f>+INGRESOS!U292</f>
        <v>93566330</v>
      </c>
      <c r="D13" s="23">
        <f>+C13*90%</f>
        <v>84209697</v>
      </c>
      <c r="E13" s="23">
        <v>0</v>
      </c>
      <c r="F13" s="23">
        <f>+C13*0.1</f>
        <v>9356633</v>
      </c>
      <c r="G13" s="23">
        <f aca="true" t="shared" si="0" ref="G13:G33">+D13+E13+F13</f>
        <v>93566330</v>
      </c>
      <c r="H13" s="34" t="s">
        <v>69</v>
      </c>
      <c r="I13" s="1"/>
    </row>
    <row r="14" spans="1:9" ht="12.75">
      <c r="A14" s="29" t="s">
        <v>70</v>
      </c>
      <c r="B14" s="23">
        <v>981000000</v>
      </c>
      <c r="C14" s="23">
        <f>+INGRESOS!U291</f>
        <v>260064609</v>
      </c>
      <c r="D14" s="23">
        <f>+C14*0.9</f>
        <v>234058148.1</v>
      </c>
      <c r="E14" s="23">
        <v>0</v>
      </c>
      <c r="F14" s="23">
        <f>+C14*0.1+0.2</f>
        <v>26006461.1</v>
      </c>
      <c r="G14" s="23">
        <f t="shared" si="0"/>
        <v>260064609.2</v>
      </c>
      <c r="H14" s="34" t="s">
        <v>71</v>
      </c>
      <c r="I14" s="1"/>
    </row>
    <row r="15" spans="1:9" ht="12.75">
      <c r="A15" s="29" t="s">
        <v>72</v>
      </c>
      <c r="B15" s="23">
        <v>62000000</v>
      </c>
      <c r="C15" s="23">
        <f>+INGRESOS!U294</f>
        <v>26126781</v>
      </c>
      <c r="D15" s="23">
        <v>0</v>
      </c>
      <c r="E15" s="23">
        <f>+C15*90%</f>
        <v>23514102.900000002</v>
      </c>
      <c r="F15" s="23">
        <f>+C15*10%</f>
        <v>2612678.1</v>
      </c>
      <c r="G15" s="23">
        <f t="shared" si="0"/>
        <v>26126781.000000004</v>
      </c>
      <c r="H15" s="34" t="s">
        <v>73</v>
      </c>
      <c r="I15" s="1"/>
    </row>
    <row r="16" spans="1:9" ht="12.75">
      <c r="A16" s="29" t="s">
        <v>74</v>
      </c>
      <c r="B16" s="23">
        <f>1000000</f>
        <v>1000000</v>
      </c>
      <c r="C16" s="23">
        <v>0</v>
      </c>
      <c r="D16" s="23">
        <v>0</v>
      </c>
      <c r="E16" s="23">
        <f>+C16*0.9</f>
        <v>0</v>
      </c>
      <c r="F16" s="23">
        <f>+C16*0.1</f>
        <v>0</v>
      </c>
      <c r="G16" s="23">
        <f t="shared" si="0"/>
        <v>0</v>
      </c>
      <c r="H16" s="34" t="s">
        <v>73</v>
      </c>
      <c r="I16" s="1"/>
    </row>
    <row r="17" spans="1:9" ht="12.75">
      <c r="A17" s="29" t="s">
        <v>32</v>
      </c>
      <c r="B17" s="23">
        <v>15000000</v>
      </c>
      <c r="C17" s="23">
        <f>+INGRESOS!U293</f>
        <v>7027691</v>
      </c>
      <c r="D17" s="23">
        <f>+C17*0.9</f>
        <v>6324921.9</v>
      </c>
      <c r="E17" s="23"/>
      <c r="F17" s="23">
        <f>+C17*0.1</f>
        <v>702769.1000000001</v>
      </c>
      <c r="G17" s="23">
        <f t="shared" si="0"/>
        <v>7027691</v>
      </c>
      <c r="H17" s="34" t="s">
        <v>73</v>
      </c>
      <c r="I17" s="1"/>
    </row>
    <row r="18" spans="1:9" ht="12.75">
      <c r="A18" s="29" t="s">
        <v>75</v>
      </c>
      <c r="B18" s="26">
        <v>116000000</v>
      </c>
      <c r="C18" s="23">
        <f>+INGRESOS!U297</f>
        <v>116711907.64</v>
      </c>
      <c r="D18" s="23">
        <f>+C18*0.9</f>
        <v>105040716.876</v>
      </c>
      <c r="E18" s="23">
        <v>0</v>
      </c>
      <c r="F18" s="23">
        <f>+C18*0.1</f>
        <v>11671190.764</v>
      </c>
      <c r="G18" s="23">
        <f t="shared" si="0"/>
        <v>116711907.64</v>
      </c>
      <c r="H18" s="34" t="s">
        <v>73</v>
      </c>
      <c r="I18" s="1"/>
    </row>
    <row r="19" spans="1:9" ht="12.75">
      <c r="A19" s="33" t="s">
        <v>76</v>
      </c>
      <c r="B19" s="25">
        <v>68500000</v>
      </c>
      <c r="C19" s="25">
        <f>+INGRESOS!U298</f>
        <v>27413843</v>
      </c>
      <c r="D19" s="25">
        <v>0</v>
      </c>
      <c r="E19" s="25">
        <f>+C19*0.9</f>
        <v>24672458.7</v>
      </c>
      <c r="F19" s="25">
        <f>+C19*0.1</f>
        <v>2741384.3000000003</v>
      </c>
      <c r="G19" s="25">
        <f t="shared" si="0"/>
        <v>27413843</v>
      </c>
      <c r="H19" s="34" t="s">
        <v>73</v>
      </c>
      <c r="I19" s="1"/>
    </row>
    <row r="20" spans="1:9" ht="12.75">
      <c r="A20" s="33" t="s">
        <v>77</v>
      </c>
      <c r="B20" s="23" t="e">
        <f>+#REF!+B21</f>
        <v>#REF!</v>
      </c>
      <c r="C20" s="25">
        <f>SUM(C21:C23)</f>
        <v>1511772478</v>
      </c>
      <c r="D20" s="25">
        <f>SUM(D21:D23)</f>
        <v>1511772478</v>
      </c>
      <c r="E20" s="25">
        <f>+E21+E22</f>
        <v>0</v>
      </c>
      <c r="F20" s="25">
        <f>+F21+F22</f>
        <v>0</v>
      </c>
      <c r="G20" s="25">
        <f>+G21+G22</f>
        <v>1365632090</v>
      </c>
      <c r="H20" s="34" t="s">
        <v>1</v>
      </c>
      <c r="I20" s="1"/>
    </row>
    <row r="21" spans="1:9" ht="12.75">
      <c r="A21" s="29" t="s">
        <v>45</v>
      </c>
      <c r="B21" s="23">
        <v>0</v>
      </c>
      <c r="C21" s="23">
        <f>+INGRESOS!U300</f>
        <v>1286432090</v>
      </c>
      <c r="D21" s="23">
        <f>+C21*100%</f>
        <v>1286432090</v>
      </c>
      <c r="E21" s="23"/>
      <c r="F21" s="23"/>
      <c r="G21" s="23">
        <f t="shared" si="0"/>
        <v>1286432090</v>
      </c>
      <c r="H21" s="34" t="s">
        <v>92</v>
      </c>
      <c r="I21" s="1"/>
    </row>
    <row r="22" spans="1:9" ht="12.75">
      <c r="A22" s="29" t="s">
        <v>48</v>
      </c>
      <c r="B22" s="23"/>
      <c r="C22" s="23">
        <f>+INGRESOS!U301</f>
        <v>79200000</v>
      </c>
      <c r="D22" s="23">
        <f>+C22*100%</f>
        <v>79200000</v>
      </c>
      <c r="E22" s="23"/>
      <c r="F22" s="23"/>
      <c r="G22" s="23">
        <f t="shared" si="0"/>
        <v>79200000</v>
      </c>
      <c r="H22" s="34" t="s">
        <v>92</v>
      </c>
      <c r="I22" s="1"/>
    </row>
    <row r="23" spans="1:9" ht="12.75">
      <c r="A23" s="29" t="s">
        <v>88</v>
      </c>
      <c r="B23" s="23"/>
      <c r="C23" s="23">
        <f>+INGRESOS!U302</f>
        <v>146140388</v>
      </c>
      <c r="D23" s="23">
        <f>+C23</f>
        <v>146140388</v>
      </c>
      <c r="E23" s="23"/>
      <c r="F23" s="23"/>
      <c r="G23" s="23">
        <f t="shared" si="0"/>
        <v>146140388</v>
      </c>
      <c r="H23" s="34" t="s">
        <v>92</v>
      </c>
      <c r="I23" s="1"/>
    </row>
    <row r="24" spans="1:9" ht="12.75">
      <c r="A24" s="33" t="s">
        <v>38</v>
      </c>
      <c r="B24" s="23">
        <f>+B26+B27</f>
        <v>1826329576.3333333</v>
      </c>
      <c r="C24" s="25">
        <f>+C25+C26+C27</f>
        <v>3286021416.77</v>
      </c>
      <c r="D24" s="25">
        <f>+D26+D27+D25</f>
        <v>2425360696.4</v>
      </c>
      <c r="E24" s="25">
        <f>+E26+E27+E25</f>
        <v>141227878.593</v>
      </c>
      <c r="F24" s="25">
        <f>+F26+F27+F25</f>
        <v>204022895.77699995</v>
      </c>
      <c r="G24" s="25">
        <f t="shared" si="0"/>
        <v>2770611470.77</v>
      </c>
      <c r="H24" s="34" t="str">
        <f>+H20</f>
        <v> </v>
      </c>
      <c r="I24" s="1"/>
    </row>
    <row r="25" spans="1:9" ht="12.75">
      <c r="A25" s="33" t="s">
        <v>83</v>
      </c>
      <c r="B25" s="23"/>
      <c r="C25" s="25">
        <f>+INGRESOS!U305</f>
        <v>2095812285</v>
      </c>
      <c r="D25" s="25">
        <f>737744285+0+691656071</f>
        <v>1429400356</v>
      </c>
      <c r="E25" s="25">
        <f>151001983-85001983</f>
        <v>66000000</v>
      </c>
      <c r="F25" s="25">
        <v>85001983</v>
      </c>
      <c r="G25" s="25">
        <f>+D25+E25+F25</f>
        <v>1580402339</v>
      </c>
      <c r="H25" s="34" t="s">
        <v>93</v>
      </c>
      <c r="I25" s="1"/>
    </row>
    <row r="26" spans="1:9" ht="12.75">
      <c r="A26" s="33" t="s">
        <v>6</v>
      </c>
      <c r="B26" s="25">
        <v>70000000</v>
      </c>
      <c r="C26" s="25">
        <f>+INGRESOS!U304</f>
        <v>83586531.77</v>
      </c>
      <c r="D26" s="25">
        <v>0</v>
      </c>
      <c r="E26" s="25">
        <f>+C26*0.9</f>
        <v>75227878.593</v>
      </c>
      <c r="F26" s="25">
        <f>+C26*0.1</f>
        <v>8358653.177</v>
      </c>
      <c r="G26" s="25">
        <f t="shared" si="0"/>
        <v>83586531.77</v>
      </c>
      <c r="H26" s="34" t="str">
        <f>+H19</f>
        <v>Art 46 Ley 99/93</v>
      </c>
      <c r="I26" s="1"/>
    </row>
    <row r="27" spans="1:9" ht="12.75">
      <c r="A27" s="33" t="s">
        <v>78</v>
      </c>
      <c r="B27" s="23">
        <f>+B28+B29</f>
        <v>1756329576.3333333</v>
      </c>
      <c r="C27" s="25">
        <f>+C28+C29</f>
        <v>1106622600</v>
      </c>
      <c r="D27" s="25">
        <f>SUM(D28:D29)</f>
        <v>995960340.4000001</v>
      </c>
      <c r="E27" s="25">
        <f>SUM(E28:E29)</f>
        <v>0</v>
      </c>
      <c r="F27" s="25">
        <f>SUM(F28:F29)</f>
        <v>110662259.59999996</v>
      </c>
      <c r="G27" s="25">
        <f>+D27+E27+F27</f>
        <v>1106622600</v>
      </c>
      <c r="H27" s="34" t="str">
        <f>+H11</f>
        <v>Art 44 Ley 99/93</v>
      </c>
      <c r="I27" s="1"/>
    </row>
    <row r="28" spans="1:9" ht="12.75">
      <c r="A28" s="29" t="s">
        <v>31</v>
      </c>
      <c r="B28" s="23">
        <v>585175077</v>
      </c>
      <c r="C28" s="23">
        <f>+INGRESOS!U307</f>
        <v>225724052</v>
      </c>
      <c r="D28" s="23">
        <f>+C28*90%</f>
        <v>203151646.8</v>
      </c>
      <c r="E28" s="23"/>
      <c r="F28" s="23">
        <f>+C28-D28</f>
        <v>22572405.199999988</v>
      </c>
      <c r="G28" s="23">
        <f t="shared" si="0"/>
        <v>225724052</v>
      </c>
      <c r="H28" s="34" t="str">
        <f>+H13</f>
        <v>Art 43 Ley 99/93</v>
      </c>
      <c r="I28" s="1"/>
    </row>
    <row r="29" spans="1:9" ht="12.75">
      <c r="A29" s="35" t="s">
        <v>70</v>
      </c>
      <c r="B29" s="23">
        <f>3513463498/3</f>
        <v>1171154499.3333333</v>
      </c>
      <c r="C29" s="23">
        <f>+INGRESOS!U308</f>
        <v>880898548</v>
      </c>
      <c r="D29" s="23">
        <f>+C29*90%+0.4</f>
        <v>792808693.6</v>
      </c>
      <c r="E29" s="23"/>
      <c r="F29" s="23">
        <f>+C29-D29</f>
        <v>88089854.39999998</v>
      </c>
      <c r="G29" s="23">
        <f t="shared" si="0"/>
        <v>880898548</v>
      </c>
      <c r="H29" s="34" t="str">
        <f>+H14</f>
        <v>Art 42 Ley 99/93</v>
      </c>
      <c r="I29" s="1"/>
    </row>
    <row r="30" spans="1:9" ht="12.75">
      <c r="A30" s="33"/>
      <c r="B30" s="23"/>
      <c r="C30" s="23" t="s">
        <v>1</v>
      </c>
      <c r="D30" s="23"/>
      <c r="E30" s="23"/>
      <c r="F30" s="23"/>
      <c r="G30" s="23" t="s">
        <v>1</v>
      </c>
      <c r="H30" s="34"/>
      <c r="I30" s="1"/>
    </row>
    <row r="31" spans="1:9" ht="12.75">
      <c r="A31" s="32" t="s">
        <v>79</v>
      </c>
      <c r="B31" s="23" t="e">
        <f>+B8+B9+B12+B19+B24+B20</f>
        <v>#REF!</v>
      </c>
      <c r="C31" s="25">
        <f>+C8+C9+C12+C19+C20+C24</f>
        <v>10289434801.31</v>
      </c>
      <c r="D31" s="25">
        <f>+D8+D9+D12+D19+D24+D20</f>
        <v>7316635603.410985</v>
      </c>
      <c r="E31" s="25">
        <f>+E8+E9+E12+E19+E24+E20</f>
        <v>1772060094.958015</v>
      </c>
      <c r="F31" s="25">
        <f>+F8+F9+F12+F19+F24+F20</f>
        <v>685329157.141</v>
      </c>
      <c r="G31" s="25">
        <f>+D31+E31+F31</f>
        <v>9774024855.51</v>
      </c>
      <c r="H31" s="34" t="s">
        <v>1</v>
      </c>
      <c r="I31" s="1"/>
    </row>
    <row r="32" spans="1:9" ht="12.75">
      <c r="A32" s="29"/>
      <c r="B32" s="23" t="s">
        <v>1</v>
      </c>
      <c r="C32" s="23" t="s">
        <v>1</v>
      </c>
      <c r="D32" s="23"/>
      <c r="E32" s="23" t="s">
        <v>1</v>
      </c>
      <c r="F32" s="23" t="s">
        <v>1</v>
      </c>
      <c r="G32" s="23" t="s">
        <v>1</v>
      </c>
      <c r="H32" s="36" t="s">
        <v>1</v>
      </c>
      <c r="I32" s="1"/>
    </row>
    <row r="33" spans="1:9" ht="12.75">
      <c r="A33" s="33" t="s">
        <v>80</v>
      </c>
      <c r="B33" s="23">
        <v>1242271202</v>
      </c>
      <c r="C33" s="25">
        <f>+INGRESOS!U312</f>
        <v>3267216194</v>
      </c>
      <c r="D33" s="25">
        <v>1155800000</v>
      </c>
      <c r="E33" s="25">
        <f>+C33-D33</f>
        <v>2111416194</v>
      </c>
      <c r="F33" s="25">
        <v>0</v>
      </c>
      <c r="G33" s="25">
        <f t="shared" si="0"/>
        <v>3267216194</v>
      </c>
      <c r="H33" s="37" t="s">
        <v>81</v>
      </c>
      <c r="I33" s="1"/>
    </row>
    <row r="34" spans="1:9" ht="12.75">
      <c r="A34" s="33" t="s">
        <v>1</v>
      </c>
      <c r="B34" s="23"/>
      <c r="C34" s="23" t="s">
        <v>1</v>
      </c>
      <c r="D34" s="23"/>
      <c r="E34" s="23" t="s">
        <v>1</v>
      </c>
      <c r="F34" s="23" t="s">
        <v>1</v>
      </c>
      <c r="G34" s="23"/>
      <c r="H34" s="37"/>
      <c r="I34" s="1"/>
    </row>
    <row r="35" spans="1:9" ht="12.75">
      <c r="A35" s="33" t="s">
        <v>82</v>
      </c>
      <c r="B35" s="23" t="e">
        <f aca="true" t="shared" si="1" ref="B35:G35">+B31+B33</f>
        <v>#REF!</v>
      </c>
      <c r="C35" s="25">
        <f>+C31+C33</f>
        <v>13556650995.31</v>
      </c>
      <c r="D35" s="25">
        <f t="shared" si="1"/>
        <v>8472435603.410985</v>
      </c>
      <c r="E35" s="25">
        <f t="shared" si="1"/>
        <v>3883476288.958015</v>
      </c>
      <c r="F35" s="25">
        <f t="shared" si="1"/>
        <v>685329157.141</v>
      </c>
      <c r="G35" s="25">
        <f t="shared" si="1"/>
        <v>13041241049.51</v>
      </c>
      <c r="H35" s="37"/>
      <c r="I35" s="1"/>
    </row>
    <row r="36" spans="1:9" ht="12.75">
      <c r="A36" s="29"/>
      <c r="B36" s="20"/>
      <c r="C36" s="23" t="s">
        <v>1</v>
      </c>
      <c r="D36" s="20"/>
      <c r="E36" s="23" t="s">
        <v>1</v>
      </c>
      <c r="F36" s="20"/>
      <c r="G36" s="20"/>
      <c r="H36" s="28"/>
      <c r="I36" s="1"/>
    </row>
    <row r="37" spans="1:8" ht="12.75">
      <c r="A37" s="29"/>
      <c r="B37" s="20"/>
      <c r="C37" s="20"/>
      <c r="D37" s="23"/>
      <c r="E37" s="23"/>
      <c r="F37" s="20"/>
      <c r="G37" s="20"/>
      <c r="H37" s="28"/>
    </row>
    <row r="38" spans="1:8" ht="12.75">
      <c r="A38" s="33" t="s">
        <v>94</v>
      </c>
      <c r="B38" s="24"/>
      <c r="C38" s="24"/>
      <c r="D38" s="23"/>
      <c r="E38" s="23"/>
      <c r="F38" s="20"/>
      <c r="G38" s="20"/>
      <c r="H38" s="28"/>
    </row>
    <row r="39" spans="1:8" ht="12.75">
      <c r="A39" s="29"/>
      <c r="B39" s="20"/>
      <c r="C39" s="20"/>
      <c r="D39" s="23"/>
      <c r="E39" s="23"/>
      <c r="F39" s="20"/>
      <c r="G39" s="20"/>
      <c r="H39" s="28"/>
    </row>
    <row r="40" spans="1:8" ht="12.75">
      <c r="A40" s="29"/>
      <c r="B40" s="20"/>
      <c r="C40" s="20"/>
      <c r="D40" s="23"/>
      <c r="E40" s="23"/>
      <c r="F40" s="20"/>
      <c r="G40" s="20"/>
      <c r="H40" s="28"/>
    </row>
    <row r="41" spans="1:8" ht="12.75">
      <c r="A41" s="29"/>
      <c r="B41" s="20"/>
      <c r="C41" s="20"/>
      <c r="D41" s="20"/>
      <c r="E41" s="20"/>
      <c r="F41" s="20"/>
      <c r="G41" s="20"/>
      <c r="H41" s="28"/>
    </row>
    <row r="42" spans="1:8" ht="12.75">
      <c r="A42" s="29"/>
      <c r="B42" s="20"/>
      <c r="C42" s="20"/>
      <c r="D42" s="20"/>
      <c r="E42" s="20"/>
      <c r="F42" s="20"/>
      <c r="G42" s="20"/>
      <c r="H42" s="28"/>
    </row>
    <row r="43" spans="1:8" ht="12.75">
      <c r="A43" s="29"/>
      <c r="B43" s="20"/>
      <c r="C43" s="20"/>
      <c r="D43" s="20"/>
      <c r="E43" s="20"/>
      <c r="F43" s="20"/>
      <c r="G43" s="20"/>
      <c r="H43" s="28"/>
    </row>
    <row r="44" spans="1:8" ht="12.75">
      <c r="A44" s="29"/>
      <c r="B44" s="20"/>
      <c r="C44" s="20"/>
      <c r="D44" s="20"/>
      <c r="E44" s="20"/>
      <c r="F44" s="20"/>
      <c r="G44" s="20"/>
      <c r="H44" s="28"/>
    </row>
    <row r="45" spans="1:8" ht="12.75">
      <c r="A45" s="29"/>
      <c r="B45" s="20"/>
      <c r="C45" s="20"/>
      <c r="D45" s="20"/>
      <c r="E45" s="20"/>
      <c r="F45" s="20"/>
      <c r="G45" s="20"/>
      <c r="H45" s="28"/>
    </row>
    <row r="46" spans="1:8" ht="12.75">
      <c r="A46" s="33" t="s">
        <v>90</v>
      </c>
      <c r="B46" s="20"/>
      <c r="C46" s="20"/>
      <c r="D46" s="20"/>
      <c r="E46" s="20"/>
      <c r="F46" s="20"/>
      <c r="G46" s="20"/>
      <c r="H46" s="28"/>
    </row>
    <row r="47" spans="1:8" ht="12.75">
      <c r="A47" s="33" t="s">
        <v>91</v>
      </c>
      <c r="B47" s="20"/>
      <c r="C47" s="20"/>
      <c r="D47" s="20"/>
      <c r="E47" s="20"/>
      <c r="F47" s="20"/>
      <c r="G47" s="20"/>
      <c r="H47" s="28"/>
    </row>
    <row r="48" spans="1:8" ht="13.5" thickBot="1">
      <c r="A48" s="38"/>
      <c r="B48" s="39"/>
      <c r="C48" s="39"/>
      <c r="D48" s="39"/>
      <c r="E48" s="39"/>
      <c r="F48" s="39"/>
      <c r="G48" s="39"/>
      <c r="H48" s="40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7"/>
  <sheetViews>
    <sheetView tabSelected="1" workbookViewId="0" topLeftCell="A1">
      <selection activeCell="R35" sqref="R35"/>
    </sheetView>
  </sheetViews>
  <sheetFormatPr defaultColWidth="11.421875" defaultRowHeight="12.75"/>
  <cols>
    <col min="1" max="1" width="40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7" width="21.00390625" style="0" hidden="1" customWidth="1"/>
    <col min="18" max="18" width="21.00390625" style="0" customWidth="1"/>
    <col min="19" max="19" width="21.8515625" style="0" customWidth="1"/>
    <col min="20" max="21" width="18.28125" style="0" hidden="1" customWidth="1"/>
    <col min="22" max="22" width="17.57421875" style="0" customWidth="1"/>
    <col min="23" max="23" width="25.140625" style="0" customWidth="1"/>
    <col min="24" max="24" width="18.140625" style="0" customWidth="1"/>
    <col min="25" max="25" width="14.00390625" style="0" customWidth="1"/>
    <col min="26" max="26" width="15.8515625" style="0" bestFit="1" customWidth="1"/>
    <col min="27" max="27" width="18.140625" style="0" customWidth="1"/>
    <col min="28" max="28" width="16.57421875" style="0" customWidth="1"/>
    <col min="29" max="29" width="18.421875" style="0" customWidth="1"/>
    <col min="30" max="30" width="13.7109375" style="0" bestFit="1" customWidth="1"/>
    <col min="31" max="31" width="15.7109375" style="0" customWidth="1"/>
    <col min="32" max="32" width="13.00390625" style="0" customWidth="1"/>
  </cols>
  <sheetData>
    <row r="1" spans="1:25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 t="s">
        <v>1</v>
      </c>
      <c r="T3" s="3"/>
      <c r="U3" s="3"/>
      <c r="V3" s="17">
        <v>39934</v>
      </c>
      <c r="W3" s="3" t="s">
        <v>1</v>
      </c>
      <c r="X3" s="5"/>
      <c r="Y3" s="5"/>
    </row>
    <row r="4" spans="1:29" ht="25.5">
      <c r="A4" s="4" t="s">
        <v>7</v>
      </c>
      <c r="B4" s="6" t="s">
        <v>10</v>
      </c>
      <c r="C4" s="48" t="s">
        <v>11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4" t="s">
        <v>2</v>
      </c>
      <c r="P4" s="6" t="s">
        <v>12</v>
      </c>
      <c r="Q4" s="6" t="s">
        <v>95</v>
      </c>
      <c r="R4" s="6" t="s">
        <v>100</v>
      </c>
      <c r="S4" s="8" t="s">
        <v>50</v>
      </c>
      <c r="T4" s="8"/>
      <c r="U4" s="8"/>
      <c r="V4" s="8" t="s">
        <v>96</v>
      </c>
      <c r="W4" s="8"/>
      <c r="X4" s="6"/>
      <c r="Y4" s="6"/>
      <c r="Z4" s="8"/>
      <c r="AA4" s="8"/>
      <c r="AB4" s="8"/>
      <c r="AC4" s="8"/>
    </row>
    <row r="5" spans="1:25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4"/>
      <c r="X6" s="4"/>
      <c r="Y6" s="4"/>
      <c r="AB6" s="1"/>
    </row>
    <row r="7" spans="1:25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+O9+O14</f>
        <v>59286490</v>
      </c>
      <c r="P7" s="3">
        <f>+P9+P14</f>
        <v>8390801748</v>
      </c>
      <c r="Q7" s="3">
        <f>+Q9+Q14</f>
        <v>5028404</v>
      </c>
      <c r="R7" s="3">
        <f>+R9+R14</f>
        <v>1943265664.85</v>
      </c>
      <c r="S7" s="3">
        <f>+R7+'[5]INGRESOS'!$R$7</f>
        <v>2933268334.49</v>
      </c>
      <c r="T7" s="3"/>
      <c r="U7" s="3"/>
      <c r="V7" s="3">
        <f>+S7/P7*100</f>
        <v>34.95814133839073</v>
      </c>
      <c r="W7" s="3" t="s">
        <v>1</v>
      </c>
      <c r="X7" s="3"/>
      <c r="Y7" s="4"/>
    </row>
    <row r="8" spans="1:25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 t="s">
        <v>1</v>
      </c>
      <c r="T8" s="3"/>
      <c r="U8" s="3"/>
      <c r="V8" s="3" t="s">
        <v>1</v>
      </c>
      <c r="W8" s="4"/>
      <c r="X8" s="4"/>
      <c r="Y8" s="4"/>
    </row>
    <row r="9" spans="1:29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1657893718.85</v>
      </c>
      <c r="S9" s="3">
        <f>+R9+'[5]INGRESOS'!$R$9</f>
        <v>2271300471.85</v>
      </c>
      <c r="T9" s="3"/>
      <c r="U9" s="3"/>
      <c r="V9" s="3">
        <f aca="true" t="shared" si="0" ref="V9:V32">+S9/P9*100</f>
        <v>61.72720001723023</v>
      </c>
      <c r="W9" s="10"/>
      <c r="X9" s="3"/>
      <c r="Y9" s="3"/>
      <c r="Z9" s="10"/>
      <c r="AA9" s="10"/>
      <c r="AB9" s="10"/>
      <c r="AC9" s="1"/>
    </row>
    <row r="10" spans="1:29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1657893718.85</v>
      </c>
      <c r="S10" s="3">
        <f>+R10+'[5]INGRESOS'!$R$10</f>
        <v>2271300471.85</v>
      </c>
      <c r="T10" s="3"/>
      <c r="U10" s="3"/>
      <c r="V10" s="3">
        <f t="shared" si="0"/>
        <v>61.72720001723023</v>
      </c>
      <c r="W10" s="10"/>
      <c r="X10" s="3"/>
      <c r="Y10" s="3"/>
      <c r="Z10" s="10"/>
      <c r="AA10" s="10"/>
      <c r="AB10" s="10"/>
      <c r="AC10" s="1"/>
    </row>
    <row r="11" spans="1:29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1546425752.85</v>
      </c>
      <c r="S11" s="3">
        <f>+R11+'[5]INGRESOS'!$R$11</f>
        <v>1546425752.85</v>
      </c>
      <c r="T11" s="3"/>
      <c r="U11" s="3"/>
      <c r="V11" s="3">
        <f t="shared" si="0"/>
        <v>69.26326827469074</v>
      </c>
      <c r="W11" s="11"/>
      <c r="X11" s="3"/>
      <c r="Y11" s="3"/>
      <c r="Z11" s="11"/>
      <c r="AA11" s="11"/>
      <c r="AB11" s="11"/>
      <c r="AC11" s="1"/>
    </row>
    <row r="12" spans="1:29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f>1657893718.85-1546425752.85</f>
        <v>111467966</v>
      </c>
      <c r="S12" s="3">
        <f>+R12+'[5]INGRESOS'!$R$10</f>
        <v>724874719</v>
      </c>
      <c r="T12" s="3"/>
      <c r="U12" s="3"/>
      <c r="V12" s="3">
        <f t="shared" si="0"/>
        <v>50.098466998410395</v>
      </c>
      <c r="W12" s="11"/>
      <c r="X12" s="3"/>
      <c r="Y12" s="3"/>
      <c r="Z12" s="11"/>
      <c r="AA12" s="11"/>
      <c r="AB12" s="11"/>
      <c r="AC12" s="1"/>
    </row>
    <row r="13" spans="1:29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3" t="s">
        <v>1</v>
      </c>
      <c r="T13" s="3"/>
      <c r="U13" s="3"/>
      <c r="V13" s="3" t="s">
        <v>52</v>
      </c>
      <c r="W13" s="10"/>
      <c r="X13" s="3"/>
      <c r="Y13" s="3"/>
      <c r="Z13" s="10"/>
      <c r="AA13" s="10"/>
      <c r="AB13" s="10"/>
      <c r="AC13" s="1"/>
    </row>
    <row r="14" spans="1:29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59286490</v>
      </c>
      <c r="P14" s="10">
        <f>+P15+P16+P25+P26</f>
        <v>4711223748</v>
      </c>
      <c r="Q14" s="10">
        <f>+Q15+Q16+Q25+Q26</f>
        <v>5028404</v>
      </c>
      <c r="R14" s="10">
        <f>+R15+R16+R25+R26</f>
        <v>285371946</v>
      </c>
      <c r="S14" s="3">
        <f>+S15+S16+S25</f>
        <v>661967862.64</v>
      </c>
      <c r="T14" s="3"/>
      <c r="U14" s="3"/>
      <c r="V14" s="3">
        <f t="shared" si="0"/>
        <v>14.050868692471195</v>
      </c>
      <c r="W14" s="10"/>
      <c r="X14" s="3"/>
      <c r="Y14" s="3"/>
      <c r="Z14" s="10"/>
      <c r="AA14" s="10"/>
      <c r="AB14" s="10"/>
      <c r="AC14" s="1"/>
    </row>
    <row r="15" spans="1:29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1" ref="P15:P32">+B15+O15</f>
        <v>2917925258</v>
      </c>
      <c r="Q15" s="10">
        <v>0</v>
      </c>
      <c r="R15" s="11">
        <v>268131851</v>
      </c>
      <c r="S15" s="3">
        <f>291070670+R15</f>
        <v>559202521</v>
      </c>
      <c r="T15" s="3"/>
      <c r="U15" s="3"/>
      <c r="V15" s="3">
        <f t="shared" si="0"/>
        <v>19.164388103048527</v>
      </c>
      <c r="W15" s="10"/>
      <c r="X15" s="3"/>
      <c r="Y15" s="3"/>
      <c r="Z15" s="10"/>
      <c r="AA15" s="10"/>
      <c r="AB15" s="10"/>
      <c r="AC15" s="1"/>
    </row>
    <row r="16" spans="1:29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1"/>
        <v>1653024000</v>
      </c>
      <c r="Q16" s="10">
        <f>+Q17+Q21+Q22+Q23</f>
        <v>3440508</v>
      </c>
      <c r="R16" s="10">
        <f>+R17+R21+R22+R23</f>
        <v>15900950</v>
      </c>
      <c r="S16" s="3">
        <f>+S17+S21+S22+S23</f>
        <v>78688694.64</v>
      </c>
      <c r="T16" s="3"/>
      <c r="U16" s="3"/>
      <c r="V16" s="3">
        <f t="shared" si="0"/>
        <v>4.760287487658981</v>
      </c>
      <c r="W16" s="10"/>
      <c r="X16" s="3"/>
      <c r="Y16" s="3"/>
      <c r="Z16" s="10"/>
      <c r="AA16" s="10"/>
      <c r="AB16" s="10"/>
      <c r="AC16" s="1"/>
    </row>
    <row r="17" spans="1:29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2" ref="D17:N17">SUM(D18:D20)</f>
        <v>9764370</v>
      </c>
      <c r="E17" s="11">
        <f t="shared" si="2"/>
        <v>1633088</v>
      </c>
      <c r="F17" s="11">
        <f t="shared" si="2"/>
        <v>9527326</v>
      </c>
      <c r="G17" s="11">
        <f t="shared" si="2"/>
        <v>5166613</v>
      </c>
      <c r="H17" s="11">
        <f t="shared" si="2"/>
        <v>8550758</v>
      </c>
      <c r="I17" s="11">
        <f t="shared" si="2"/>
        <v>19667967</v>
      </c>
      <c r="J17" s="11">
        <f t="shared" si="2"/>
        <v>32121947.88</v>
      </c>
      <c r="K17" s="11">
        <f t="shared" si="2"/>
        <v>57803883</v>
      </c>
      <c r="L17" s="11">
        <f t="shared" si="2"/>
        <v>248550137</v>
      </c>
      <c r="M17" s="11">
        <f t="shared" si="2"/>
        <v>56476839</v>
      </c>
      <c r="N17" s="11">
        <f t="shared" si="2"/>
        <v>203635166</v>
      </c>
      <c r="O17" s="10">
        <f>SUM(O18:O20)</f>
        <v>0</v>
      </c>
      <c r="P17" s="11">
        <f t="shared" si="1"/>
        <v>1419629000</v>
      </c>
      <c r="Q17" s="10">
        <f>SUM(Q18:Q20)</f>
        <v>0</v>
      </c>
      <c r="R17" s="10">
        <f>SUM(R18:R20)</f>
        <v>3859441</v>
      </c>
      <c r="S17" s="3">
        <f>+S18+S19+S20</f>
        <v>7034617</v>
      </c>
      <c r="T17" s="3"/>
      <c r="U17" s="3"/>
      <c r="V17" s="3">
        <f t="shared" si="0"/>
        <v>0.49552502801788356</v>
      </c>
      <c r="W17" s="10"/>
      <c r="X17" s="3"/>
      <c r="Y17" s="3"/>
      <c r="Z17" s="10"/>
      <c r="AA17" s="10"/>
      <c r="AB17" s="10"/>
      <c r="AC17" s="1"/>
    </row>
    <row r="18" spans="1:29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1"/>
        <v>895837000</v>
      </c>
      <c r="Q18" s="11">
        <v>0</v>
      </c>
      <c r="R18" s="11">
        <v>3805441</v>
      </c>
      <c r="S18" s="3">
        <f>+R18</f>
        <v>3805441</v>
      </c>
      <c r="T18" s="3"/>
      <c r="U18" s="3"/>
      <c r="V18" s="3">
        <f t="shared" si="0"/>
        <v>0.4247916752712826</v>
      </c>
      <c r="W18" s="11"/>
      <c r="X18" s="3"/>
      <c r="Y18" s="3"/>
      <c r="Z18" s="11"/>
      <c r="AA18" s="11"/>
      <c r="AB18" s="11"/>
      <c r="AC18" s="1"/>
    </row>
    <row r="19" spans="1:29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1"/>
        <v>511069000</v>
      </c>
      <c r="Q19" s="11">
        <v>0</v>
      </c>
      <c r="R19" s="11">
        <f>+'[4]ENERO 09'!$F$98</f>
        <v>0</v>
      </c>
      <c r="S19" s="3">
        <v>0</v>
      </c>
      <c r="T19" s="3"/>
      <c r="U19" s="3"/>
      <c r="V19" s="3">
        <f t="shared" si="0"/>
        <v>0</v>
      </c>
      <c r="W19" s="11"/>
      <c r="X19" s="3"/>
      <c r="Y19" s="3"/>
      <c r="Z19" s="11"/>
      <c r="AA19" s="11"/>
      <c r="AB19" s="11"/>
      <c r="AC19" s="1"/>
    </row>
    <row r="20" spans="1:29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1"/>
        <v>12723000</v>
      </c>
      <c r="Q20" s="11">
        <v>0</v>
      </c>
      <c r="R20" s="11">
        <v>54000</v>
      </c>
      <c r="S20" s="3">
        <f>3175176+R20</f>
        <v>3229176</v>
      </c>
      <c r="T20" s="3"/>
      <c r="U20" s="3"/>
      <c r="V20" s="3">
        <f t="shared" si="0"/>
        <v>25.380617778825748</v>
      </c>
      <c r="W20" s="11"/>
      <c r="X20" s="3"/>
      <c r="Y20" s="3"/>
      <c r="Z20" s="11"/>
      <c r="AA20" s="11"/>
      <c r="AB20" s="11"/>
      <c r="AC20" s="1"/>
    </row>
    <row r="21" spans="1:29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1"/>
        <v>54428000</v>
      </c>
      <c r="Q21" s="10">
        <v>850652</v>
      </c>
      <c r="R21" s="11">
        <v>464700</v>
      </c>
      <c r="S21" s="3">
        <f>10158108+R21</f>
        <v>10622808</v>
      </c>
      <c r="T21" s="3"/>
      <c r="U21" s="3"/>
      <c r="V21" s="3">
        <f t="shared" si="0"/>
        <v>19.517174983464393</v>
      </c>
      <c r="W21" s="10"/>
      <c r="X21" s="3"/>
      <c r="Y21" s="3"/>
      <c r="Z21" s="10"/>
      <c r="AA21" s="10"/>
      <c r="AB21" s="10"/>
      <c r="AC21" s="1"/>
    </row>
    <row r="22" spans="1:29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1"/>
        <v>1000000</v>
      </c>
      <c r="Q22" s="10">
        <v>0</v>
      </c>
      <c r="R22" s="11"/>
      <c r="S22" s="3">
        <f>+S153+Q22</f>
        <v>0</v>
      </c>
      <c r="T22" s="3"/>
      <c r="U22" s="3"/>
      <c r="V22" s="3">
        <f t="shared" si="0"/>
        <v>0</v>
      </c>
      <c r="W22" s="10"/>
      <c r="X22" s="3"/>
      <c r="Y22" s="3"/>
      <c r="Z22" s="10"/>
      <c r="AA22" s="10"/>
      <c r="AB22" s="10"/>
      <c r="AC22" s="1"/>
    </row>
    <row r="23" spans="1:29" ht="12.75">
      <c r="A23" s="7" t="s">
        <v>35</v>
      </c>
      <c r="B23" s="10">
        <f aca="true" t="shared" si="3" ref="B23:O23">SUM(B24:B24)</f>
        <v>177967000</v>
      </c>
      <c r="C23" s="11">
        <f t="shared" si="3"/>
        <v>4768052</v>
      </c>
      <c r="D23" s="11">
        <f t="shared" si="3"/>
        <v>8290086</v>
      </c>
      <c r="E23" s="11">
        <f t="shared" si="3"/>
        <v>10672897</v>
      </c>
      <c r="F23" s="11">
        <f t="shared" si="3"/>
        <v>13361106</v>
      </c>
      <c r="G23" s="11">
        <f t="shared" si="3"/>
        <v>5435392</v>
      </c>
      <c r="H23" s="11">
        <f t="shared" si="3"/>
        <v>6359364</v>
      </c>
      <c r="I23" s="11">
        <f t="shared" si="3"/>
        <v>17667466</v>
      </c>
      <c r="J23" s="11">
        <f t="shared" si="3"/>
        <v>22629676</v>
      </c>
      <c r="K23" s="11">
        <f t="shared" si="3"/>
        <v>24318846</v>
      </c>
      <c r="L23" s="11">
        <f t="shared" si="3"/>
        <v>14234424</v>
      </c>
      <c r="M23" s="11">
        <f t="shared" si="3"/>
        <v>14378768</v>
      </c>
      <c r="N23" s="11">
        <f t="shared" si="3"/>
        <v>23388888</v>
      </c>
      <c r="O23" s="10">
        <f t="shared" si="3"/>
        <v>0</v>
      </c>
      <c r="P23" s="11">
        <f t="shared" si="1"/>
        <v>177967000</v>
      </c>
      <c r="Q23" s="10">
        <f>+Q24</f>
        <v>2589856</v>
      </c>
      <c r="R23" s="10">
        <f>SUM(R24:R24)</f>
        <v>11576809</v>
      </c>
      <c r="S23" s="3">
        <f>+S24</f>
        <v>61031269.64</v>
      </c>
      <c r="T23" s="3"/>
      <c r="U23" s="3"/>
      <c r="V23" s="3">
        <f t="shared" si="0"/>
        <v>34.29358793484185</v>
      </c>
      <c r="W23" s="10"/>
      <c r="X23" s="3"/>
      <c r="Y23" s="3"/>
      <c r="Z23" s="10"/>
      <c r="AA23" s="10"/>
      <c r="AB23" s="10"/>
      <c r="AC23" s="1"/>
    </row>
    <row r="24" spans="1:29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1"/>
        <v>177967000</v>
      </c>
      <c r="Q24" s="11">
        <v>2589856</v>
      </c>
      <c r="R24" s="11">
        <f>11144409+432400</f>
        <v>11576809</v>
      </c>
      <c r="S24" s="3">
        <f>49454460.64+R24</f>
        <v>61031269.64</v>
      </c>
      <c r="T24" s="3"/>
      <c r="U24" s="3"/>
      <c r="V24" s="3">
        <f t="shared" si="0"/>
        <v>34.29358793484185</v>
      </c>
      <c r="W24" s="11" t="s">
        <v>1</v>
      </c>
      <c r="X24" s="3"/>
      <c r="Y24" s="3"/>
      <c r="Z24" s="11"/>
      <c r="AA24" s="11"/>
      <c r="AB24" s="11"/>
      <c r="AC24" s="1"/>
    </row>
    <row r="25" spans="1:29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1"/>
        <v>80988000</v>
      </c>
      <c r="Q25" s="11">
        <v>1587896</v>
      </c>
      <c r="R25" s="10">
        <f>1296000+43145+0</f>
        <v>1339145</v>
      </c>
      <c r="S25" s="3">
        <f>22737502+R25</f>
        <v>24076647</v>
      </c>
      <c r="T25" s="3"/>
      <c r="U25" s="3"/>
      <c r="V25" s="3">
        <f t="shared" si="0"/>
        <v>29.728659801452068</v>
      </c>
      <c r="W25" s="11"/>
      <c r="X25" s="3"/>
      <c r="Y25" s="3"/>
      <c r="Z25" s="10"/>
      <c r="AA25" s="10"/>
      <c r="AB25" s="10"/>
      <c r="AC25" s="1"/>
    </row>
    <row r="26" spans="1:29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1"/>
        <v>59286490</v>
      </c>
      <c r="Q26" s="10">
        <f>+Q27</f>
        <v>0</v>
      </c>
      <c r="R26" s="10">
        <f>+R27</f>
        <v>0</v>
      </c>
      <c r="S26" s="3">
        <f>+S27</f>
        <v>56086490</v>
      </c>
      <c r="T26" s="3"/>
      <c r="U26" s="3"/>
      <c r="V26" s="3">
        <v>0</v>
      </c>
      <c r="W26" s="10"/>
      <c r="X26" s="3"/>
      <c r="Y26" s="3"/>
      <c r="Z26" s="10"/>
      <c r="AA26" s="10"/>
      <c r="AB26" s="10"/>
      <c r="AC26" s="1"/>
    </row>
    <row r="27" spans="1:29" ht="12.75">
      <c r="A27" s="7" t="s">
        <v>101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1"/>
        <v>56086490</v>
      </c>
      <c r="Q27" s="10">
        <v>0</v>
      </c>
      <c r="R27" s="10">
        <v>0</v>
      </c>
      <c r="S27" s="3">
        <f>56086490+R27</f>
        <v>56086490</v>
      </c>
      <c r="T27" s="3"/>
      <c r="U27" s="3"/>
      <c r="V27" s="3">
        <v>0</v>
      </c>
      <c r="W27" s="10"/>
      <c r="X27" s="3"/>
      <c r="Y27" s="3"/>
      <c r="Z27" s="10"/>
      <c r="AA27" s="10"/>
      <c r="AB27" s="10"/>
      <c r="AC27" s="1"/>
    </row>
    <row r="28" spans="1:29" ht="12.75">
      <c r="A28" s="7" t="s">
        <v>102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0</v>
      </c>
      <c r="S28" s="3">
        <f>+R28</f>
        <v>0</v>
      </c>
      <c r="T28" s="3"/>
      <c r="U28" s="3"/>
      <c r="V28" s="3"/>
      <c r="W28" s="10"/>
      <c r="X28" s="3"/>
      <c r="Y28" s="3"/>
      <c r="Z28" s="10"/>
      <c r="AA28" s="10"/>
      <c r="AB28" s="10"/>
      <c r="AC28" s="1"/>
    </row>
    <row r="29" spans="1:29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515409946</v>
      </c>
      <c r="P29" s="11">
        <f>+B29+O29</f>
        <v>2447657946</v>
      </c>
      <c r="Q29" s="10" t="e">
        <f>+Q30+Q31+Q32</f>
        <v>#REF!</v>
      </c>
      <c r="R29" s="10">
        <f>+R30+R31+R32</f>
        <v>67777224.22</v>
      </c>
      <c r="S29" s="3">
        <f>+S30+S31+S32</f>
        <v>1245945609.77</v>
      </c>
      <c r="T29" s="3"/>
      <c r="U29" s="3"/>
      <c r="V29" s="3">
        <f t="shared" si="0"/>
        <v>50.90358364027716</v>
      </c>
      <c r="W29" s="10"/>
      <c r="X29" s="3"/>
      <c r="Y29" s="3"/>
      <c r="Z29" s="10"/>
      <c r="AA29" s="10"/>
      <c r="AB29" s="10"/>
      <c r="AC29" s="1"/>
    </row>
    <row r="30" spans="1:29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1"/>
        <v>171248000</v>
      </c>
      <c r="Q30" s="10" t="e">
        <f>+'[4]ENERO 09'!$A$69</f>
        <v>#REF!</v>
      </c>
      <c r="R30" s="11">
        <f>13215169.37+1038710.85</f>
        <v>14253880.219999999</v>
      </c>
      <c r="S30" s="3">
        <f>43722060.55+R30</f>
        <v>57975940.769999996</v>
      </c>
      <c r="T30" s="3"/>
      <c r="U30" s="3"/>
      <c r="V30" s="3">
        <f t="shared" si="0"/>
        <v>33.85495933967112</v>
      </c>
      <c r="W30" s="10">
        <f>+S30-57975940.77</f>
        <v>0</v>
      </c>
      <c r="X30" s="3"/>
      <c r="Y30" s="3"/>
      <c r="Z30" s="10"/>
      <c r="AA30" s="10"/>
      <c r="AB30" s="10"/>
      <c r="AC30" s="1"/>
    </row>
    <row r="31" spans="1:29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v>515409946</v>
      </c>
      <c r="P31" s="11">
        <f t="shared" si="1"/>
        <v>515409946</v>
      </c>
      <c r="Q31" s="11">
        <v>0</v>
      </c>
      <c r="R31" s="11">
        <v>0</v>
      </c>
      <c r="S31" s="3">
        <f>515409946+R31</f>
        <v>515409946</v>
      </c>
      <c r="T31" s="3"/>
      <c r="U31" s="3"/>
      <c r="V31" s="3">
        <f>+S31/P31*100</f>
        <v>100</v>
      </c>
      <c r="W31" s="11" t="s">
        <v>1</v>
      </c>
      <c r="X31" s="3"/>
      <c r="Y31" s="3"/>
      <c r="Z31" s="11"/>
      <c r="AA31" s="11"/>
      <c r="AB31" s="11"/>
      <c r="AC31" s="1"/>
    </row>
    <row r="32" spans="1:29" ht="12.75">
      <c r="A32" s="7" t="s">
        <v>39</v>
      </c>
      <c r="B32" s="10"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1"/>
        <v>1761000000</v>
      </c>
      <c r="Q32" s="10">
        <v>120584565</v>
      </c>
      <c r="R32" s="10">
        <f>43204143+10319201</f>
        <v>53523344</v>
      </c>
      <c r="S32" s="3">
        <f>619036379+R32</f>
        <v>672559723</v>
      </c>
      <c r="T32" s="3"/>
      <c r="U32" s="3"/>
      <c r="V32" s="3">
        <f t="shared" si="0"/>
        <v>38.19192067007382</v>
      </c>
      <c r="W32" s="10" t="s">
        <v>1</v>
      </c>
      <c r="X32" s="3"/>
      <c r="Y32" s="3"/>
      <c r="Z32" s="10"/>
      <c r="AA32" s="10"/>
      <c r="AB32" s="10"/>
      <c r="AC32" s="1"/>
    </row>
    <row r="33" spans="1:29" ht="12.75">
      <c r="A33" s="5"/>
      <c r="B33" s="11"/>
      <c r="C33" s="11"/>
      <c r="D33" s="11"/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  <c r="O33" s="11"/>
      <c r="P33" s="11" t="s">
        <v>1</v>
      </c>
      <c r="Q33" s="11" t="s">
        <v>1</v>
      </c>
      <c r="R33" s="11"/>
      <c r="S33" s="3" t="s">
        <v>1</v>
      </c>
      <c r="T33" s="3"/>
      <c r="U33" s="3"/>
      <c r="V33" s="3" t="s">
        <v>1</v>
      </c>
      <c r="W33" s="11" t="s">
        <v>1</v>
      </c>
      <c r="X33" s="3"/>
      <c r="Z33" s="1"/>
      <c r="AA33" s="1"/>
      <c r="AB33" s="1"/>
      <c r="AC33" s="1"/>
    </row>
    <row r="34" spans="1:28" ht="12.75">
      <c r="A34" s="7" t="s">
        <v>40</v>
      </c>
      <c r="B34" s="10">
        <f>+B7+B29</f>
        <v>10263763258</v>
      </c>
      <c r="C34" s="10" t="e">
        <f>+C10+C15+C17+C21+C22+C23+C25+#REF!+#REF!+C30+C31+C32+#REF!</f>
        <v>#REF!</v>
      </c>
      <c r="D34" s="10" t="e">
        <f>+D10+D15+D17+D21+D22+D23+D25+#REF!+#REF!+D30+D31+D32+#REF!</f>
        <v>#REF!</v>
      </c>
      <c r="E34" s="10" t="e">
        <f>+E10+E15+E17+E21+E22+E23+E25+#REF!+#REF!+E30+E31+E32+#REF!</f>
        <v>#REF!</v>
      </c>
      <c r="F34" s="10" t="e">
        <f>+F10+F15+F17+F21+F22+F23+F25+#REF!+#REF!+F30+F31+F32+#REF!</f>
        <v>#REF!</v>
      </c>
      <c r="G34" s="10" t="e">
        <f>+G10+G15+G17+G21+G22+G23+G25+#REF!+#REF!+G30+G31+G32+#REF!</f>
        <v>#REF!</v>
      </c>
      <c r="H34" s="10" t="e">
        <f>+H10+H15+H17+H21+H22+H23+H25+#REF!+#REF!+H30+H31+H32+#REF!</f>
        <v>#REF!</v>
      </c>
      <c r="I34" s="10" t="e">
        <f>+I10+I15+I17+I21+I22+I23+I25+#REF!+#REF!+I30+I31+I32+#REF!</f>
        <v>#REF!</v>
      </c>
      <c r="J34" s="10" t="e">
        <f>+J10+J15+J17+J21+J22+J23+J25+#REF!+#REF!+J30+J31+J32+#REF!</f>
        <v>#REF!</v>
      </c>
      <c r="K34" s="10" t="e">
        <f>+K10+K15+K17+K21+K22+K23+K25+#REF!+#REF!+K30+K31+K32+#REF!</f>
        <v>#REF!</v>
      </c>
      <c r="L34" s="10" t="e">
        <f>+L10+L15+L17+L21+L22+L23+L25+#REF!+#REF!+L30+L31+L32+#REF!</f>
        <v>#REF!</v>
      </c>
      <c r="M34" s="10" t="e">
        <f>+M10+M15+M17+M21+M22+M23+M25+#REF!+#REF!+M30+M31+M32+#REF!</f>
        <v>#REF!</v>
      </c>
      <c r="N34" s="10" t="e">
        <f>+N10+N15+N17+N21+N22+N23+N25+#REF!+#REF!+N30+N31+N32+#REF!</f>
        <v>#REF!</v>
      </c>
      <c r="O34" s="10">
        <f>+O7+O29</f>
        <v>574696436</v>
      </c>
      <c r="P34" s="10">
        <f>+P7+P29</f>
        <v>10838459694</v>
      </c>
      <c r="Q34" s="16" t="e">
        <f>+Q29+Q7</f>
        <v>#REF!</v>
      </c>
      <c r="R34" s="10">
        <f>+R7+R29</f>
        <v>2011042889.07</v>
      </c>
      <c r="S34" s="3">
        <f>+S7+S29</f>
        <v>4179213944.2599998</v>
      </c>
      <c r="T34" s="3"/>
      <c r="U34" s="3"/>
      <c r="V34" s="3">
        <f>+S34/P34*100</f>
        <v>38.559113215815586</v>
      </c>
      <c r="W34" s="16"/>
      <c r="X34" s="12"/>
      <c r="AB34" s="1"/>
    </row>
    <row r="35" spans="1:29" ht="12.75">
      <c r="A35" s="7" t="s">
        <v>41</v>
      </c>
      <c r="B35" s="11">
        <v>1334597240</v>
      </c>
      <c r="O35" s="1">
        <v>1243847230</v>
      </c>
      <c r="P35" s="1">
        <f>+B35+O35</f>
        <v>2578444470</v>
      </c>
      <c r="Q35" s="1">
        <v>83587896</v>
      </c>
      <c r="R35" s="1">
        <v>1349006124</v>
      </c>
      <c r="S35" s="3">
        <f>397695190+R35</f>
        <v>1746701314</v>
      </c>
      <c r="T35" s="3"/>
      <c r="U35" s="3"/>
      <c r="V35" s="3">
        <f>+S35/P35*100</f>
        <v>67.74244449794182</v>
      </c>
      <c r="W35" s="1" t="s">
        <v>1</v>
      </c>
      <c r="X35" s="12"/>
      <c r="AC35" s="1"/>
    </row>
    <row r="36" spans="2:24" ht="12.75">
      <c r="B36" s="1" t="s">
        <v>1</v>
      </c>
      <c r="O36" s="1" t="s">
        <v>1</v>
      </c>
      <c r="Q36" s="1"/>
      <c r="R36" s="1" t="s">
        <v>1</v>
      </c>
      <c r="S36" s="3" t="s">
        <v>1</v>
      </c>
      <c r="T36" s="3"/>
      <c r="U36" s="3"/>
      <c r="V36" s="3" t="s">
        <v>1</v>
      </c>
      <c r="W36" s="1"/>
      <c r="X36" s="12"/>
    </row>
    <row r="37" spans="1:24" ht="12.75">
      <c r="A37" s="7" t="s">
        <v>42</v>
      </c>
      <c r="B37" s="16">
        <f>+B34+B35</f>
        <v>11598360498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6">
        <f>+O34+O35</f>
        <v>1818543666</v>
      </c>
      <c r="P37" s="16">
        <f>+P34+P35</f>
        <v>13416904164</v>
      </c>
      <c r="Q37" s="16" t="e">
        <f>+Q34+Q35</f>
        <v>#REF!</v>
      </c>
      <c r="R37" s="16">
        <f>+R34+R35</f>
        <v>3360049013.0699997</v>
      </c>
      <c r="S37" s="3">
        <f>+S34+S35</f>
        <v>5925915258.26</v>
      </c>
      <c r="T37" s="3"/>
      <c r="U37" s="3"/>
      <c r="V37" s="3">
        <f>+S37/P37*100</f>
        <v>44.16753064511194</v>
      </c>
      <c r="W37" s="16"/>
      <c r="X37" s="12"/>
    </row>
    <row r="38" spans="16:24" ht="12.75">
      <c r="P38" s="1" t="s">
        <v>1</v>
      </c>
      <c r="Q38" s="1"/>
      <c r="R38" s="1"/>
      <c r="S38" s="1" t="s">
        <v>1</v>
      </c>
      <c r="T38" s="1"/>
      <c r="U38" s="1"/>
      <c r="X38" s="12"/>
    </row>
    <row r="39" spans="17:24" ht="12.75">
      <c r="Q39" s="1" t="s">
        <v>1</v>
      </c>
      <c r="R39" s="1"/>
      <c r="S39" t="s">
        <v>1</v>
      </c>
      <c r="V39" t="s">
        <v>1</v>
      </c>
      <c r="X39" s="12"/>
    </row>
    <row r="40" spans="1:24" ht="12.75">
      <c r="A40" s="2" t="s">
        <v>98</v>
      </c>
      <c r="Q40" s="1" t="s">
        <v>1</v>
      </c>
      <c r="R40" s="1"/>
      <c r="X40" s="12"/>
    </row>
    <row r="41" spans="1:24" ht="12.75">
      <c r="A41" s="2" t="s">
        <v>99</v>
      </c>
      <c r="X41" s="12"/>
    </row>
    <row r="42" ht="12.75">
      <c r="X42" s="1"/>
    </row>
    <row r="43" ht="12.75">
      <c r="X43" s="1"/>
    </row>
    <row r="44" ht="12.75">
      <c r="X44" s="1"/>
    </row>
    <row r="45" ht="12.75">
      <c r="X45" s="1"/>
    </row>
    <row r="46" ht="12.75" hidden="1">
      <c r="X46" s="1"/>
    </row>
    <row r="47" spans="1:24" ht="12.75" hidden="1">
      <c r="A47" s="47" t="s">
        <v>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X47" s="1"/>
    </row>
    <row r="48" spans="1:22" ht="12.75" hidden="1">
      <c r="A48" s="47" t="s">
        <v>47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22:31" ht="12.75" hidden="1">
      <c r="V49" s="18">
        <v>39448</v>
      </c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25.5" hidden="1">
      <c r="A50" s="5"/>
      <c r="B50" s="6" t="s">
        <v>10</v>
      </c>
      <c r="C50" s="48" t="s">
        <v>11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"/>
      <c r="O50" s="4" t="s">
        <v>2</v>
      </c>
      <c r="P50" s="6" t="s">
        <v>12</v>
      </c>
      <c r="Q50" s="6" t="s">
        <v>49</v>
      </c>
      <c r="R50" s="6"/>
      <c r="S50" s="8" t="s">
        <v>50</v>
      </c>
      <c r="T50" s="8"/>
      <c r="U50" s="8"/>
      <c r="V50" s="8" t="s">
        <v>46</v>
      </c>
      <c r="W50" s="47"/>
      <c r="X50" s="47"/>
      <c r="Y50" s="47"/>
      <c r="Z50" s="47"/>
      <c r="AA50" s="47"/>
      <c r="AB50" s="47"/>
      <c r="AC50" s="47"/>
      <c r="AD50" s="47"/>
      <c r="AE50" s="47"/>
    </row>
    <row r="51" spans="1:26" ht="12.75" hidden="1">
      <c r="A51" s="4" t="s">
        <v>7</v>
      </c>
      <c r="B51" s="4" t="s">
        <v>1</v>
      </c>
      <c r="C51" s="4" t="s">
        <v>13</v>
      </c>
      <c r="D51" s="4" t="s">
        <v>14</v>
      </c>
      <c r="E51" s="4" t="s">
        <v>15</v>
      </c>
      <c r="F51" s="4" t="s">
        <v>16</v>
      </c>
      <c r="G51" s="4" t="s">
        <v>8</v>
      </c>
      <c r="H51" s="4" t="s">
        <v>17</v>
      </c>
      <c r="I51" s="4" t="s">
        <v>18</v>
      </c>
      <c r="J51" s="4" t="s">
        <v>19</v>
      </c>
      <c r="K51" s="4" t="s">
        <v>20</v>
      </c>
      <c r="L51" s="4" t="s">
        <v>21</v>
      </c>
      <c r="M51" s="4" t="s">
        <v>22</v>
      </c>
      <c r="N51" s="4" t="s">
        <v>23</v>
      </c>
      <c r="O51" s="4"/>
      <c r="P51" s="4"/>
      <c r="Q51" s="4"/>
      <c r="R51" s="4"/>
      <c r="S51" s="4"/>
      <c r="T51" s="4"/>
      <c r="U51" s="4"/>
      <c r="V51" s="4"/>
      <c r="W51" s="2"/>
      <c r="X51" s="2"/>
      <c r="Y51" s="2"/>
      <c r="Z51" s="2"/>
    </row>
    <row r="52" spans="1:31" ht="12.75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"/>
      <c r="T52" s="3"/>
      <c r="U52" s="3"/>
      <c r="V52" s="3"/>
      <c r="W52" s="13"/>
      <c r="X52" s="13"/>
      <c r="Y52" s="13"/>
      <c r="Z52" s="13"/>
      <c r="AA52" s="13"/>
      <c r="AB52" s="13"/>
      <c r="AC52" s="13"/>
      <c r="AD52" s="15"/>
      <c r="AE52" s="13"/>
    </row>
    <row r="53" spans="1:31" ht="12.75" hidden="1">
      <c r="A53" s="9" t="s">
        <v>24</v>
      </c>
      <c r="B53" s="3">
        <f>+B55+B60</f>
        <v>8163010065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>
        <f>+O55+O60</f>
        <v>1230345600</v>
      </c>
      <c r="P53" s="3">
        <f>+P55+P60</f>
        <v>9393355665</v>
      </c>
      <c r="Q53" s="3">
        <f>+Q55+Q60</f>
        <v>42955807</v>
      </c>
      <c r="R53" s="3"/>
      <c r="S53" s="3">
        <f>+S55+S60</f>
        <v>345047922</v>
      </c>
      <c r="T53" s="3"/>
      <c r="U53" s="3"/>
      <c r="V53" s="3">
        <f>+S53/P53*100</f>
        <v>3.6733190385376515</v>
      </c>
      <c r="W53" s="13"/>
      <c r="X53" s="13"/>
      <c r="Y53" s="13"/>
      <c r="Z53" s="15"/>
      <c r="AA53" s="13"/>
      <c r="AB53" s="15"/>
      <c r="AC53" s="13"/>
      <c r="AD53" s="13"/>
      <c r="AE53" s="13"/>
    </row>
    <row r="54" spans="1:31" ht="12.75" hidden="1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13"/>
      <c r="X54" s="13"/>
      <c r="Y54" s="13"/>
      <c r="Z54" s="15"/>
      <c r="AA54" s="13"/>
      <c r="AB54" s="15"/>
      <c r="AC54" s="13"/>
      <c r="AD54" s="13"/>
      <c r="AE54" s="13"/>
    </row>
    <row r="55" spans="1:32" ht="12.75" hidden="1">
      <c r="A55" s="7" t="s">
        <v>3</v>
      </c>
      <c r="B55" s="10">
        <f>+B56</f>
        <v>3471300000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0">
        <f>+O56</f>
        <v>0</v>
      </c>
      <c r="P55" s="11">
        <f>+B55+O55</f>
        <v>3471300000</v>
      </c>
      <c r="Q55" s="10">
        <f>+Q56</f>
        <v>0</v>
      </c>
      <c r="R55" s="10"/>
      <c r="S55" s="10">
        <f>+S56</f>
        <v>0</v>
      </c>
      <c r="T55" s="10"/>
      <c r="U55" s="10"/>
      <c r="V55" s="3">
        <f>+S55/P55*100</f>
        <v>0</v>
      </c>
      <c r="X55" s="1"/>
      <c r="Y55" s="1"/>
      <c r="Z55" s="1"/>
      <c r="AA55" s="1"/>
      <c r="AE55" s="1"/>
      <c r="AF55" s="1">
        <f aca="true" t="shared" si="4" ref="AF55:AF60">+X55-AE55</f>
        <v>0</v>
      </c>
    </row>
    <row r="56" spans="1:32" ht="12.75" hidden="1">
      <c r="A56" s="7" t="s">
        <v>25</v>
      </c>
      <c r="B56" s="10">
        <f>+B57+B58</f>
        <v>3471300000</v>
      </c>
      <c r="C56" s="11"/>
      <c r="D56" s="11">
        <v>177520</v>
      </c>
      <c r="E56" s="11"/>
      <c r="F56" s="11">
        <v>165006728</v>
      </c>
      <c r="G56" s="11">
        <v>1414514385</v>
      </c>
      <c r="H56" s="11">
        <v>4948458</v>
      </c>
      <c r="I56" s="11">
        <v>573117327</v>
      </c>
      <c r="J56" s="11">
        <f>139033811-14448995.38</f>
        <v>124584815.62</v>
      </c>
      <c r="K56" s="11">
        <v>93361900</v>
      </c>
      <c r="L56" s="11">
        <v>25720312</v>
      </c>
      <c r="M56" s="11">
        <v>242733948</v>
      </c>
      <c r="N56" s="11">
        <f>65086606+14219504.38-900076.38-6867260+6687809</f>
        <v>78226583</v>
      </c>
      <c r="O56" s="10">
        <f>+O57+O58</f>
        <v>0</v>
      </c>
      <c r="P56" s="11">
        <f>+B56+O56</f>
        <v>3471300000</v>
      </c>
      <c r="Q56" s="10">
        <f>+Q57+Q58</f>
        <v>0</v>
      </c>
      <c r="R56" s="10"/>
      <c r="S56" s="10">
        <f>+S57+S58</f>
        <v>0</v>
      </c>
      <c r="T56" s="10"/>
      <c r="U56" s="10"/>
      <c r="V56" s="3">
        <f>+S56/P56*100</f>
        <v>0</v>
      </c>
      <c r="X56" s="1"/>
      <c r="Y56" s="1"/>
      <c r="Z56" s="1"/>
      <c r="AA56" s="1"/>
      <c r="AB56" s="1"/>
      <c r="AC56" s="1"/>
      <c r="AD56" s="1"/>
      <c r="AE56" s="1"/>
      <c r="AF56" s="1">
        <f t="shared" si="4"/>
        <v>0</v>
      </c>
    </row>
    <row r="57" spans="1:32" ht="12.75" hidden="1">
      <c r="A57" s="5" t="s">
        <v>26</v>
      </c>
      <c r="B57" s="11">
        <v>2106300000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>+B57+O57</f>
        <v>2106300000</v>
      </c>
      <c r="Q57" s="11">
        <v>0</v>
      </c>
      <c r="R57" s="11"/>
      <c r="S57" s="11">
        <v>0</v>
      </c>
      <c r="T57" s="11"/>
      <c r="U57" s="11"/>
      <c r="V57" s="3">
        <f>+S57/P57*100</f>
        <v>0</v>
      </c>
      <c r="X57" s="1"/>
      <c r="Y57" s="1"/>
      <c r="Z57" s="1"/>
      <c r="AA57" s="1"/>
      <c r="AC57" s="1"/>
      <c r="AE57" s="1"/>
      <c r="AF57" s="1">
        <f t="shared" si="4"/>
        <v>0</v>
      </c>
    </row>
    <row r="58" spans="1:32" ht="12.75" hidden="1">
      <c r="A58" s="5" t="s">
        <v>27</v>
      </c>
      <c r="B58" s="11">
        <v>1365000000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f>+B58+O58</f>
        <v>1365000000</v>
      </c>
      <c r="Q58" s="11">
        <v>0</v>
      </c>
      <c r="R58" s="11"/>
      <c r="S58" s="11">
        <v>0</v>
      </c>
      <c r="T58" s="11"/>
      <c r="U58" s="11"/>
      <c r="V58" s="3">
        <f>+S58/P58*100</f>
        <v>0</v>
      </c>
      <c r="X58" s="1"/>
      <c r="Y58" s="1"/>
      <c r="Z58" s="1"/>
      <c r="AA58" s="1"/>
      <c r="AC58" s="1"/>
      <c r="AE58" s="1"/>
      <c r="AF58" s="1">
        <f t="shared" si="4"/>
        <v>0</v>
      </c>
    </row>
    <row r="59" spans="1:32" ht="12.75" hidden="1">
      <c r="A59" s="7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 t="s">
        <v>1</v>
      </c>
      <c r="Q59" s="10"/>
      <c r="R59" s="10"/>
      <c r="S59" s="10"/>
      <c r="T59" s="10"/>
      <c r="U59" s="10"/>
      <c r="V59" s="3" t="s">
        <v>1</v>
      </c>
      <c r="X59" s="1"/>
      <c r="Y59" s="1"/>
      <c r="Z59" s="1"/>
      <c r="AA59" s="1"/>
      <c r="AB59" s="1"/>
      <c r="AE59" s="1"/>
      <c r="AF59" s="1">
        <f t="shared" si="4"/>
        <v>0</v>
      </c>
    </row>
    <row r="60" spans="1:32" ht="12.75" hidden="1">
      <c r="A60" s="7" t="s">
        <v>4</v>
      </c>
      <c r="B60" s="10">
        <f>+B61+B62+B71+B72</f>
        <v>4691710065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0">
        <f>+O61+O62+O71+O72</f>
        <v>1230345600</v>
      </c>
      <c r="P60" s="10">
        <f>+P61+P62+P71+P72</f>
        <v>5922055665</v>
      </c>
      <c r="Q60" s="10">
        <f>+Q61+Q62+Q71+Q72</f>
        <v>42955807</v>
      </c>
      <c r="R60" s="10"/>
      <c r="S60" s="10">
        <f>+S61+S62+S71+S72</f>
        <v>345047922</v>
      </c>
      <c r="T60" s="10"/>
      <c r="U60" s="10"/>
      <c r="V60" s="3">
        <f aca="true" t="shared" si="5" ref="V60:V75">+S60/P60*100</f>
        <v>5.826489001771313</v>
      </c>
      <c r="X60" s="1"/>
      <c r="Y60" s="1"/>
      <c r="Z60" s="1"/>
      <c r="AA60" s="1"/>
      <c r="AC60" s="1"/>
      <c r="AE60" s="1"/>
      <c r="AF60" s="1">
        <f t="shared" si="4"/>
        <v>0</v>
      </c>
    </row>
    <row r="61" spans="1:32" ht="12.75" hidden="1">
      <c r="A61" s="7" t="s">
        <v>28</v>
      </c>
      <c r="B61" s="10">
        <v>2752759677</v>
      </c>
      <c r="C61" s="11">
        <v>0</v>
      </c>
      <c r="D61" s="11">
        <v>0</v>
      </c>
      <c r="E61" s="11">
        <v>0</v>
      </c>
      <c r="F61" s="11">
        <v>196495882</v>
      </c>
      <c r="G61" s="11">
        <v>164927418</v>
      </c>
      <c r="H61" s="11">
        <v>262941303</v>
      </c>
      <c r="I61" s="11">
        <v>280282246</v>
      </c>
      <c r="J61" s="11">
        <v>246192273</v>
      </c>
      <c r="K61" s="11">
        <v>308626989</v>
      </c>
      <c r="L61" s="11">
        <v>243645342</v>
      </c>
      <c r="M61" s="11">
        <v>247491577</v>
      </c>
      <c r="N61" s="11">
        <v>165492691</v>
      </c>
      <c r="O61" s="11"/>
      <c r="P61" s="11">
        <f aca="true" t="shared" si="6" ref="P61:P73">+B61+O61</f>
        <v>2752759677</v>
      </c>
      <c r="Q61" s="10">
        <v>0</v>
      </c>
      <c r="R61" s="10"/>
      <c r="S61" s="10">
        <f>+Q61</f>
        <v>0</v>
      </c>
      <c r="T61" s="10"/>
      <c r="U61" s="10"/>
      <c r="V61" s="3">
        <f t="shared" si="5"/>
        <v>0</v>
      </c>
      <c r="X61" s="1"/>
      <c r="Y61" s="1"/>
      <c r="Z61" s="1"/>
      <c r="AA61" s="1"/>
      <c r="AE61" s="1"/>
      <c r="AF61" s="1" t="s">
        <v>1</v>
      </c>
    </row>
    <row r="62" spans="1:32" ht="12.75" hidden="1">
      <c r="A62" s="7" t="s">
        <v>5</v>
      </c>
      <c r="B62" s="10">
        <f>+B63+B67+B68+B69</f>
        <v>1867025388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+O63+O67+O68+O69</f>
        <v>0</v>
      </c>
      <c r="P62" s="11">
        <f t="shared" si="6"/>
        <v>1867025388</v>
      </c>
      <c r="Q62" s="10">
        <f>+Q63+Q67+Q68+Q69</f>
        <v>42940422</v>
      </c>
      <c r="R62" s="10"/>
      <c r="S62" s="10">
        <f>+S63+S67+S68+S69</f>
        <v>42940422</v>
      </c>
      <c r="T62" s="10"/>
      <c r="U62" s="10"/>
      <c r="V62" s="3">
        <f t="shared" si="5"/>
        <v>2.299937766031064</v>
      </c>
      <c r="W62" s="14"/>
      <c r="X62" s="16"/>
      <c r="Y62" s="16"/>
      <c r="Z62" s="16"/>
      <c r="AA62" s="16"/>
      <c r="AB62" s="16"/>
      <c r="AC62" s="16"/>
      <c r="AD62" s="16"/>
      <c r="AE62" s="16"/>
      <c r="AF62" s="1">
        <f aca="true" t="shared" si="7" ref="AF62:AF71">+X62-AE62</f>
        <v>0</v>
      </c>
    </row>
    <row r="63" spans="1:32" ht="12.75" hidden="1">
      <c r="A63" s="7" t="s">
        <v>29</v>
      </c>
      <c r="B63" s="10">
        <f>SUM(B64:B66)</f>
        <v>1679125388</v>
      </c>
      <c r="C63" s="11">
        <f>SUM(C64:C66)</f>
        <v>0</v>
      </c>
      <c r="D63" s="11">
        <f aca="true" t="shared" si="8" ref="D63:N63">SUM(D64:D66)</f>
        <v>9764370</v>
      </c>
      <c r="E63" s="11">
        <f t="shared" si="8"/>
        <v>1633088</v>
      </c>
      <c r="F63" s="11">
        <f t="shared" si="8"/>
        <v>9527326</v>
      </c>
      <c r="G63" s="11">
        <f t="shared" si="8"/>
        <v>5166613</v>
      </c>
      <c r="H63" s="11">
        <f t="shared" si="8"/>
        <v>8550758</v>
      </c>
      <c r="I63" s="11">
        <f t="shared" si="8"/>
        <v>19667967</v>
      </c>
      <c r="J63" s="11">
        <f t="shared" si="8"/>
        <v>32121947.88</v>
      </c>
      <c r="K63" s="11">
        <f t="shared" si="8"/>
        <v>57803883</v>
      </c>
      <c r="L63" s="11">
        <f t="shared" si="8"/>
        <v>248550137</v>
      </c>
      <c r="M63" s="11">
        <f t="shared" si="8"/>
        <v>56476839</v>
      </c>
      <c r="N63" s="11">
        <f t="shared" si="8"/>
        <v>203635166</v>
      </c>
      <c r="O63" s="10">
        <f>SUM(O64:O66)</f>
        <v>0</v>
      </c>
      <c r="P63" s="11">
        <f t="shared" si="6"/>
        <v>1679125388</v>
      </c>
      <c r="Q63" s="10">
        <f>SUM(Q64:Q66)</f>
        <v>42651562</v>
      </c>
      <c r="R63" s="10"/>
      <c r="S63" s="10">
        <f>SUM(S64:S66)</f>
        <v>42651562</v>
      </c>
      <c r="T63" s="10"/>
      <c r="U63" s="10"/>
      <c r="V63" s="3">
        <f t="shared" si="5"/>
        <v>2.5401058375278405</v>
      </c>
      <c r="X63" s="1"/>
      <c r="Y63" s="1"/>
      <c r="Z63" s="1"/>
      <c r="AA63" s="1"/>
      <c r="AE63" s="1"/>
      <c r="AF63" s="1">
        <f t="shared" si="7"/>
        <v>0</v>
      </c>
    </row>
    <row r="64" spans="1:32" ht="12.75" hidden="1">
      <c r="A64" s="5" t="s">
        <v>30</v>
      </c>
      <c r="B64" s="11">
        <v>939032888</v>
      </c>
      <c r="C64" s="11">
        <v>0</v>
      </c>
      <c r="D64" s="11">
        <v>9764370</v>
      </c>
      <c r="E64" s="11">
        <v>0</v>
      </c>
      <c r="F64" s="11">
        <f>274606+765092</f>
        <v>1039698</v>
      </c>
      <c r="G64" s="11">
        <v>4660304</v>
      </c>
      <c r="H64" s="11">
        <v>7848958</v>
      </c>
      <c r="I64" s="11">
        <v>15343416</v>
      </c>
      <c r="J64" s="11">
        <v>22521927</v>
      </c>
      <c r="K64" s="11">
        <v>33311437</v>
      </c>
      <c r="L64" s="11">
        <f>309295398-94490110</f>
        <v>214805288</v>
      </c>
      <c r="M64" s="11">
        <v>28836508</v>
      </c>
      <c r="N64" s="11">
        <f>98225097-2027734+2337372</f>
        <v>98534735</v>
      </c>
      <c r="O64" s="11"/>
      <c r="P64" s="11">
        <f t="shared" si="6"/>
        <v>939032888</v>
      </c>
      <c r="Q64" s="11">
        <v>42651562</v>
      </c>
      <c r="R64" s="11"/>
      <c r="S64" s="11">
        <v>42651562</v>
      </c>
      <c r="T64" s="11"/>
      <c r="U64" s="11"/>
      <c r="V64" s="3">
        <f t="shared" si="5"/>
        <v>4.542073291047501</v>
      </c>
      <c r="W64" s="14"/>
      <c r="X64" s="1"/>
      <c r="Y64" s="1"/>
      <c r="Z64" s="1"/>
      <c r="AA64" s="1"/>
      <c r="AE64" s="1"/>
      <c r="AF64" s="1">
        <f t="shared" si="7"/>
        <v>0</v>
      </c>
    </row>
    <row r="65" spans="1:32" ht="12.75" hidden="1">
      <c r="A65" s="5" t="s">
        <v>31</v>
      </c>
      <c r="B65" s="11">
        <v>724342500</v>
      </c>
      <c r="C65" s="11"/>
      <c r="D65" s="11">
        <v>0</v>
      </c>
      <c r="E65" s="11">
        <v>0</v>
      </c>
      <c r="F65" s="11">
        <v>0</v>
      </c>
      <c r="G65" s="11">
        <v>0</v>
      </c>
      <c r="H65" s="11">
        <v>25090</v>
      </c>
      <c r="I65" s="11">
        <v>946365</v>
      </c>
      <c r="J65" s="11">
        <v>8764131</v>
      </c>
      <c r="K65" s="11">
        <v>21523596</v>
      </c>
      <c r="L65" s="11">
        <v>33159819</v>
      </c>
      <c r="M65" s="11">
        <v>27504331</v>
      </c>
      <c r="N65" s="11">
        <f>101300092+707323</f>
        <v>102007415</v>
      </c>
      <c r="O65" s="11">
        <v>0</v>
      </c>
      <c r="P65" s="11">
        <f t="shared" si="6"/>
        <v>724342500</v>
      </c>
      <c r="Q65" s="11">
        <v>0</v>
      </c>
      <c r="R65" s="11"/>
      <c r="S65" s="11">
        <v>0</v>
      </c>
      <c r="T65" s="11"/>
      <c r="U65" s="11"/>
      <c r="V65" s="3">
        <f t="shared" si="5"/>
        <v>0</v>
      </c>
      <c r="X65" s="1"/>
      <c r="Y65" s="1"/>
      <c r="Z65" s="1"/>
      <c r="AA65" s="1"/>
      <c r="AE65" s="1"/>
      <c r="AF65" s="1">
        <f t="shared" si="7"/>
        <v>0</v>
      </c>
    </row>
    <row r="66" spans="1:32" ht="12.75" hidden="1">
      <c r="A66" s="5" t="s">
        <v>32</v>
      </c>
      <c r="B66" s="11">
        <v>15750000</v>
      </c>
      <c r="C66" s="11"/>
      <c r="D66" s="11"/>
      <c r="E66" s="11">
        <v>1633088</v>
      </c>
      <c r="F66" s="11">
        <v>8487628</v>
      </c>
      <c r="G66" s="11">
        <v>506309</v>
      </c>
      <c r="H66" s="11">
        <v>676710</v>
      </c>
      <c r="I66" s="11">
        <v>3378186</v>
      </c>
      <c r="J66" s="11">
        <f>628640+207249.88</f>
        <v>835889.88</v>
      </c>
      <c r="K66" s="11">
        <v>2968850</v>
      </c>
      <c r="L66" s="11">
        <v>585030</v>
      </c>
      <c r="M66" s="11">
        <v>136000</v>
      </c>
      <c r="N66" s="11">
        <f>22300706.88-19207690.88</f>
        <v>3093016</v>
      </c>
      <c r="O66" s="11"/>
      <c r="P66" s="11">
        <f t="shared" si="6"/>
        <v>15750000</v>
      </c>
      <c r="Q66" s="11">
        <v>0</v>
      </c>
      <c r="R66" s="11"/>
      <c r="S66" s="11">
        <v>0</v>
      </c>
      <c r="T66" s="11"/>
      <c r="U66" s="11"/>
      <c r="V66" s="3">
        <f t="shared" si="5"/>
        <v>0</v>
      </c>
      <c r="X66" s="1"/>
      <c r="Y66" s="1"/>
      <c r="Z66" s="1"/>
      <c r="AA66" s="1"/>
      <c r="AD66" s="1"/>
      <c r="AE66" s="1"/>
      <c r="AF66" s="1">
        <f t="shared" si="7"/>
        <v>0</v>
      </c>
    </row>
    <row r="67" spans="1:32" ht="12.75" hidden="1">
      <c r="A67" s="7" t="s">
        <v>33</v>
      </c>
      <c r="B67" s="10">
        <v>65100000</v>
      </c>
      <c r="C67" s="11">
        <v>426256</v>
      </c>
      <c r="D67" s="11">
        <v>177520</v>
      </c>
      <c r="E67" s="11">
        <v>815304</v>
      </c>
      <c r="F67" s="11">
        <v>1044670</v>
      </c>
      <c r="G67" s="11">
        <v>210000</v>
      </c>
      <c r="H67" s="11">
        <v>497000</v>
      </c>
      <c r="I67" s="11">
        <v>1908400</v>
      </c>
      <c r="J67" s="11">
        <v>2080000</v>
      </c>
      <c r="K67" s="11">
        <v>1960300</v>
      </c>
      <c r="L67" s="11">
        <v>1071750</v>
      </c>
      <c r="M67" s="11">
        <v>486631</v>
      </c>
      <c r="N67" s="11">
        <v>3040000</v>
      </c>
      <c r="O67" s="11"/>
      <c r="P67" s="11">
        <f t="shared" si="6"/>
        <v>65100000</v>
      </c>
      <c r="Q67" s="10">
        <v>288860</v>
      </c>
      <c r="R67" s="10"/>
      <c r="S67" s="10">
        <v>288860</v>
      </c>
      <c r="T67" s="10"/>
      <c r="U67" s="10"/>
      <c r="V67" s="3">
        <f t="shared" si="5"/>
        <v>0.4437173579109063</v>
      </c>
      <c r="X67" s="1"/>
      <c r="Y67" s="1"/>
      <c r="Z67" s="1"/>
      <c r="AA67" s="1"/>
      <c r="AC67" s="1"/>
      <c r="AE67" s="1"/>
      <c r="AF67" s="1">
        <f t="shared" si="7"/>
        <v>0</v>
      </c>
    </row>
    <row r="68" spans="1:32" ht="12.75" hidden="1">
      <c r="A68" s="7" t="s">
        <v>34</v>
      </c>
      <c r="B68" s="10">
        <v>1000000</v>
      </c>
      <c r="C68" s="11">
        <v>7540000</v>
      </c>
      <c r="D68" s="11"/>
      <c r="E68" s="11"/>
      <c r="F68" s="11"/>
      <c r="G68" s="11"/>
      <c r="H68" s="11"/>
      <c r="I68" s="11">
        <v>294000</v>
      </c>
      <c r="J68" s="11"/>
      <c r="K68" s="11"/>
      <c r="L68" s="11">
        <v>29000</v>
      </c>
      <c r="M68" s="11"/>
      <c r="N68" s="11"/>
      <c r="O68" s="11"/>
      <c r="P68" s="11">
        <f t="shared" si="6"/>
        <v>1000000</v>
      </c>
      <c r="Q68" s="10">
        <v>0</v>
      </c>
      <c r="R68" s="10"/>
      <c r="S68" s="10">
        <v>0</v>
      </c>
      <c r="T68" s="10"/>
      <c r="U68" s="10"/>
      <c r="V68" s="3">
        <f t="shared" si="5"/>
        <v>0</v>
      </c>
      <c r="X68" s="1"/>
      <c r="Y68" s="1"/>
      <c r="Z68" s="1"/>
      <c r="AA68" s="1"/>
      <c r="AE68" s="1"/>
      <c r="AF68" s="1">
        <f t="shared" si="7"/>
        <v>0</v>
      </c>
    </row>
    <row r="69" spans="1:32" ht="12.75" hidden="1">
      <c r="A69" s="7" t="s">
        <v>35</v>
      </c>
      <c r="B69" s="10">
        <f aca="true" t="shared" si="9" ref="B69:O69">SUM(B70:B70)</f>
        <v>121800000</v>
      </c>
      <c r="C69" s="11">
        <f t="shared" si="9"/>
        <v>4768052</v>
      </c>
      <c r="D69" s="11">
        <f t="shared" si="9"/>
        <v>8290086</v>
      </c>
      <c r="E69" s="11">
        <f t="shared" si="9"/>
        <v>10672897</v>
      </c>
      <c r="F69" s="11">
        <f t="shared" si="9"/>
        <v>13361106</v>
      </c>
      <c r="G69" s="11">
        <f t="shared" si="9"/>
        <v>5435392</v>
      </c>
      <c r="H69" s="11">
        <f t="shared" si="9"/>
        <v>6359364</v>
      </c>
      <c r="I69" s="11">
        <f t="shared" si="9"/>
        <v>17667466</v>
      </c>
      <c r="J69" s="11">
        <f t="shared" si="9"/>
        <v>22629676</v>
      </c>
      <c r="K69" s="11">
        <f t="shared" si="9"/>
        <v>24318846</v>
      </c>
      <c r="L69" s="11">
        <f t="shared" si="9"/>
        <v>14234424</v>
      </c>
      <c r="M69" s="11">
        <f t="shared" si="9"/>
        <v>14378768</v>
      </c>
      <c r="N69" s="11">
        <f t="shared" si="9"/>
        <v>23388888</v>
      </c>
      <c r="O69" s="10">
        <f t="shared" si="9"/>
        <v>0</v>
      </c>
      <c r="P69" s="11">
        <f t="shared" si="6"/>
        <v>121800000</v>
      </c>
      <c r="Q69" s="10">
        <f>SUM(Q70:Q70)</f>
        <v>0</v>
      </c>
      <c r="R69" s="10"/>
      <c r="S69" s="10">
        <f>SUM(S70:S70)</f>
        <v>0</v>
      </c>
      <c r="T69" s="10"/>
      <c r="U69" s="10"/>
      <c r="V69" s="3">
        <f t="shared" si="5"/>
        <v>0</v>
      </c>
      <c r="W69" s="14"/>
      <c r="X69" s="16"/>
      <c r="Y69" s="16"/>
      <c r="Z69" s="16"/>
      <c r="AA69" s="16"/>
      <c r="AB69" s="16"/>
      <c r="AC69" s="16"/>
      <c r="AD69" s="16"/>
      <c r="AE69" s="16"/>
      <c r="AF69" s="1">
        <f t="shared" si="7"/>
        <v>0</v>
      </c>
    </row>
    <row r="70" spans="1:32" ht="12.75" hidden="1">
      <c r="A70" s="5" t="s">
        <v>36</v>
      </c>
      <c r="B70" s="11">
        <v>121800000</v>
      </c>
      <c r="C70" s="11">
        <v>4768052</v>
      </c>
      <c r="D70" s="11">
        <v>8290086</v>
      </c>
      <c r="E70" s="11">
        <v>10672897</v>
      </c>
      <c r="F70" s="11">
        <v>13361106</v>
      </c>
      <c r="G70" s="11">
        <v>5435392</v>
      </c>
      <c r="H70" s="11">
        <v>6359364</v>
      </c>
      <c r="I70" s="11">
        <v>17667466</v>
      </c>
      <c r="J70" s="11">
        <f>15777671+6852005</f>
        <v>22629676</v>
      </c>
      <c r="K70" s="11">
        <v>24318846</v>
      </c>
      <c r="L70" s="11">
        <v>14234424</v>
      </c>
      <c r="M70" s="11">
        <f>14378768</f>
        <v>14378768</v>
      </c>
      <c r="N70" s="11">
        <f>165504965-142116077</f>
        <v>23388888</v>
      </c>
      <c r="O70" s="11"/>
      <c r="P70" s="11">
        <f t="shared" si="6"/>
        <v>121800000</v>
      </c>
      <c r="Q70" s="11">
        <v>0</v>
      </c>
      <c r="R70" s="11"/>
      <c r="S70" s="11">
        <v>0</v>
      </c>
      <c r="T70" s="11"/>
      <c r="U70" s="11"/>
      <c r="V70" s="3">
        <f t="shared" si="5"/>
        <v>0</v>
      </c>
      <c r="W70" s="2"/>
      <c r="X70" s="16"/>
      <c r="Y70" s="16"/>
      <c r="Z70" s="16"/>
      <c r="AA70" s="16"/>
      <c r="AB70" s="16"/>
      <c r="AC70" s="16"/>
      <c r="AD70" s="16"/>
      <c r="AE70" s="16"/>
      <c r="AF70" s="1">
        <f t="shared" si="7"/>
        <v>0</v>
      </c>
    </row>
    <row r="71" spans="1:32" ht="12.75" hidden="1">
      <c r="A71" s="7" t="s">
        <v>37</v>
      </c>
      <c r="B71" s="10">
        <v>71925000</v>
      </c>
      <c r="C71" s="11" t="e">
        <f>SUM(#REF!)</f>
        <v>#REF!</v>
      </c>
      <c r="D71" s="11" t="e">
        <f>SUM(#REF!)</f>
        <v>#REF!</v>
      </c>
      <c r="E71" s="11" t="e">
        <f>SUM(#REF!)</f>
        <v>#REF!</v>
      </c>
      <c r="F71" s="11" t="e">
        <f>SUM(#REF!)</f>
        <v>#REF!</v>
      </c>
      <c r="G71" s="11" t="e">
        <f>SUM(#REF!)</f>
        <v>#REF!</v>
      </c>
      <c r="H71" s="11" t="e">
        <f>SUM(#REF!)</f>
        <v>#REF!</v>
      </c>
      <c r="I71" s="11" t="e">
        <f>SUM(#REF!)</f>
        <v>#REF!</v>
      </c>
      <c r="J71" s="11" t="e">
        <f>SUM(#REF!)</f>
        <v>#REF!</v>
      </c>
      <c r="K71" s="11" t="e">
        <f>SUM(#REF!)</f>
        <v>#REF!</v>
      </c>
      <c r="L71" s="11" t="e">
        <f>SUM(#REF!)</f>
        <v>#REF!</v>
      </c>
      <c r="M71" s="11" t="e">
        <f>SUM(#REF!)</f>
        <v>#REF!</v>
      </c>
      <c r="N71" s="11" t="e">
        <f>SUM(#REF!)</f>
        <v>#REF!</v>
      </c>
      <c r="O71" s="10">
        <v>0</v>
      </c>
      <c r="P71" s="11">
        <f t="shared" si="6"/>
        <v>71925000</v>
      </c>
      <c r="Q71" s="11">
        <f>15385+0</f>
        <v>15385</v>
      </c>
      <c r="R71" s="11"/>
      <c r="S71" s="11">
        <f>15385+0</f>
        <v>15385</v>
      </c>
      <c r="T71" s="11"/>
      <c r="U71" s="11"/>
      <c r="V71" s="3">
        <f t="shared" si="5"/>
        <v>0.021390337156760517</v>
      </c>
      <c r="W71" s="2"/>
      <c r="X71" s="16"/>
      <c r="Y71" s="16"/>
      <c r="Z71" s="16"/>
      <c r="AA71" s="16"/>
      <c r="AB71" s="16"/>
      <c r="AC71" s="16"/>
      <c r="AD71" s="16"/>
      <c r="AE71" s="16"/>
      <c r="AF71" s="1">
        <f t="shared" si="7"/>
        <v>0</v>
      </c>
    </row>
    <row r="72" spans="1:32" ht="12.75" hidden="1">
      <c r="A72" s="7" t="s">
        <v>44</v>
      </c>
      <c r="B72" s="10">
        <f>+B73</f>
        <v>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0">
        <f>+O73</f>
        <v>1230345600</v>
      </c>
      <c r="P72" s="11">
        <f t="shared" si="6"/>
        <v>1230345600</v>
      </c>
      <c r="Q72" s="10">
        <f>+Q73</f>
        <v>0</v>
      </c>
      <c r="R72" s="10"/>
      <c r="S72" s="10">
        <f>+S73+S74+S75</f>
        <v>302092115</v>
      </c>
      <c r="T72" s="10"/>
      <c r="U72" s="10"/>
      <c r="V72" s="3">
        <f t="shared" si="5"/>
        <v>24.553435636296015</v>
      </c>
      <c r="X72" s="1"/>
      <c r="Y72" s="1"/>
      <c r="Z72" s="1"/>
      <c r="AA72" s="1"/>
      <c r="AE72" s="1"/>
      <c r="AF72" s="1"/>
    </row>
    <row r="73" spans="1:32" ht="12.75" hidden="1">
      <c r="A73" s="7" t="s">
        <v>45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0">
        <v>1230345600</v>
      </c>
      <c r="P73" s="11">
        <f t="shared" si="6"/>
        <v>1230345600</v>
      </c>
      <c r="Q73" s="10">
        <v>0</v>
      </c>
      <c r="R73" s="10"/>
      <c r="S73" s="10">
        <v>0</v>
      </c>
      <c r="T73" s="10"/>
      <c r="U73" s="10"/>
      <c r="V73" s="3">
        <f t="shared" si="5"/>
        <v>0</v>
      </c>
      <c r="X73" s="1"/>
      <c r="Y73" s="1"/>
      <c r="Z73" s="1"/>
      <c r="AA73" s="1"/>
      <c r="AE73" s="1"/>
      <c r="AF73" s="1"/>
    </row>
    <row r="74" spans="1:32" ht="12.75" hidden="1">
      <c r="A74" s="7" t="s">
        <v>38</v>
      </c>
      <c r="B74" s="10">
        <f>+B75+B76+B77</f>
        <v>1914146055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+O75+O76+O77</f>
        <v>0</v>
      </c>
      <c r="P74" s="11">
        <f>+B74+O74</f>
        <v>1914146055</v>
      </c>
      <c r="Q74" s="10">
        <f>+Q75+Q76+Q77</f>
        <v>300904887</v>
      </c>
      <c r="R74" s="10"/>
      <c r="S74" s="10">
        <f>+S75+S76+S77</f>
        <v>300904887</v>
      </c>
      <c r="T74" s="10"/>
      <c r="U74" s="10"/>
      <c r="V74" s="3">
        <f t="shared" si="5"/>
        <v>15.720058885475174</v>
      </c>
      <c r="X74" s="1"/>
      <c r="Y74" s="1"/>
      <c r="Z74" s="1"/>
      <c r="AA74" s="1"/>
      <c r="AE74" s="1"/>
      <c r="AF74" s="1"/>
    </row>
    <row r="75" spans="1:32" ht="12.75" hidden="1">
      <c r="A75" s="7" t="s">
        <v>6</v>
      </c>
      <c r="B75" s="10">
        <v>70000000</v>
      </c>
      <c r="C75" s="11">
        <v>898886</v>
      </c>
      <c r="D75" s="11">
        <f>4306726+216132</f>
        <v>4522858</v>
      </c>
      <c r="E75" s="11">
        <f>751140+23292827</f>
        <v>24043967</v>
      </c>
      <c r="F75" s="11">
        <v>8452240</v>
      </c>
      <c r="G75" s="11">
        <v>4422172</v>
      </c>
      <c r="H75" s="11">
        <f>7484642+234363</f>
        <v>7719005</v>
      </c>
      <c r="I75" s="11">
        <f>102855+5416914</f>
        <v>5519769</v>
      </c>
      <c r="J75" s="11">
        <f>6098966+444960+3514791+65855</f>
        <v>10124572</v>
      </c>
      <c r="K75" s="11">
        <f>191152+1348022+3219820.01</f>
        <v>4758994.01</v>
      </c>
      <c r="L75" s="11">
        <f>350566+9695840</f>
        <v>10046406</v>
      </c>
      <c r="M75" s="11">
        <f>579536+7833208+436291+345639</f>
        <v>9194674</v>
      </c>
      <c r="N75" s="11">
        <f>112132152.5-89703543.01</f>
        <v>22428609.489999995</v>
      </c>
      <c r="O75" s="11"/>
      <c r="P75" s="11">
        <f>+B75+O75</f>
        <v>70000000</v>
      </c>
      <c r="Q75" s="10">
        <f>1187228+0</f>
        <v>1187228</v>
      </c>
      <c r="R75" s="10"/>
      <c r="S75" s="10">
        <f>1187228+0</f>
        <v>1187228</v>
      </c>
      <c r="T75" s="10"/>
      <c r="U75" s="10"/>
      <c r="V75" s="3">
        <f t="shared" si="5"/>
        <v>1.69604</v>
      </c>
      <c r="X75" s="1"/>
      <c r="Y75" s="1"/>
      <c r="Z75" s="1"/>
      <c r="AA75" s="1"/>
      <c r="AE75" s="1"/>
      <c r="AF75" s="1"/>
    </row>
    <row r="76" spans="1:32" ht="12.75" hidden="1">
      <c r="A76" s="7" t="s">
        <v>9</v>
      </c>
      <c r="B76" s="10">
        <v>0</v>
      </c>
      <c r="C76" s="11"/>
      <c r="D76" s="11"/>
      <c r="E76" s="11"/>
      <c r="F76" s="11">
        <f>+B76</f>
        <v>0</v>
      </c>
      <c r="G76" s="11"/>
      <c r="H76" s="11"/>
      <c r="I76" s="11"/>
      <c r="J76" s="11"/>
      <c r="K76" s="11"/>
      <c r="L76" s="11"/>
      <c r="M76" s="11"/>
      <c r="N76" s="11"/>
      <c r="O76" s="11">
        <v>0</v>
      </c>
      <c r="P76" s="11">
        <f>+B76+O76</f>
        <v>0</v>
      </c>
      <c r="Q76" s="11">
        <f>+O76</f>
        <v>0</v>
      </c>
      <c r="R76" s="11"/>
      <c r="S76" s="11">
        <f>+P76</f>
        <v>0</v>
      </c>
      <c r="T76" s="11"/>
      <c r="U76" s="11"/>
      <c r="V76" s="3" t="s">
        <v>1</v>
      </c>
      <c r="X76" s="1"/>
      <c r="Y76" s="1"/>
      <c r="Z76" s="1"/>
      <c r="AA76" s="1"/>
      <c r="AE76" s="1"/>
      <c r="AF76" s="1"/>
    </row>
    <row r="77" spans="1:32" ht="12.75" hidden="1">
      <c r="A77" s="7" t="s">
        <v>39</v>
      </c>
      <c r="B77" s="10">
        <v>1844146055</v>
      </c>
      <c r="C77" s="11" t="e">
        <f>+#REF!+#REF!</f>
        <v>#REF!</v>
      </c>
      <c r="D77" s="11" t="e">
        <f>+#REF!+#REF!</f>
        <v>#REF!</v>
      </c>
      <c r="E77" s="11" t="e">
        <f>+#REF!+#REF!</f>
        <v>#REF!</v>
      </c>
      <c r="F77" s="11" t="e">
        <f>+#REF!+#REF!</f>
        <v>#REF!</v>
      </c>
      <c r="G77" s="11" t="e">
        <f>+#REF!+#REF!</f>
        <v>#REF!</v>
      </c>
      <c r="H77" s="11" t="e">
        <f>+#REF!+#REF!</f>
        <v>#REF!</v>
      </c>
      <c r="I77" s="11" t="e">
        <f>+#REF!+#REF!</f>
        <v>#REF!</v>
      </c>
      <c r="J77" s="11" t="e">
        <f>+#REF!+#REF!</f>
        <v>#REF!</v>
      </c>
      <c r="K77" s="11" t="e">
        <f>+#REF!+#REF!</f>
        <v>#REF!</v>
      </c>
      <c r="L77" s="11" t="e">
        <f>+#REF!+#REF!</f>
        <v>#REF!</v>
      </c>
      <c r="M77" s="11" t="e">
        <f>+#REF!+#REF!</f>
        <v>#REF!</v>
      </c>
      <c r="N77" s="11" t="e">
        <f>+#REF!+#REF!</f>
        <v>#REF!</v>
      </c>
      <c r="O77" s="10">
        <v>0</v>
      </c>
      <c r="P77" s="11">
        <f>+B77+O77</f>
        <v>1844146055</v>
      </c>
      <c r="Q77" s="10">
        <f>260296153+39421506</f>
        <v>299717659</v>
      </c>
      <c r="R77" s="10"/>
      <c r="S77" s="10">
        <f>260296153+39421506</f>
        <v>299717659</v>
      </c>
      <c r="T77" s="10"/>
      <c r="U77" s="10"/>
      <c r="V77" s="3">
        <f>+S77/P77*100</f>
        <v>16.25238186462406</v>
      </c>
      <c r="X77" s="1"/>
      <c r="Y77" s="1"/>
      <c r="Z77" s="1"/>
      <c r="AA77" s="1"/>
      <c r="AE77" s="1"/>
      <c r="AF77" s="1"/>
    </row>
    <row r="78" spans="1:32" ht="12.75" hidden="1">
      <c r="A78" s="5"/>
      <c r="B78" s="11"/>
      <c r="C78" s="11"/>
      <c r="D78" s="11"/>
      <c r="E78" s="11" t="s">
        <v>1</v>
      </c>
      <c r="F78" s="11" t="s">
        <v>1</v>
      </c>
      <c r="G78" s="11" t="s">
        <v>1</v>
      </c>
      <c r="H78" s="11" t="s">
        <v>1</v>
      </c>
      <c r="I78" s="11" t="s">
        <v>1</v>
      </c>
      <c r="J78" s="11" t="s">
        <v>1</v>
      </c>
      <c r="K78" s="11" t="s">
        <v>1</v>
      </c>
      <c r="L78" s="11" t="s">
        <v>1</v>
      </c>
      <c r="M78" s="11" t="s">
        <v>1</v>
      </c>
      <c r="N78" s="11" t="s">
        <v>1</v>
      </c>
      <c r="O78" s="11"/>
      <c r="P78" s="11" t="s">
        <v>1</v>
      </c>
      <c r="Q78" s="11" t="s">
        <v>1</v>
      </c>
      <c r="R78" s="11"/>
      <c r="S78" s="11" t="s">
        <v>1</v>
      </c>
      <c r="T78" s="11"/>
      <c r="U78" s="11"/>
      <c r="V78" s="3" t="s">
        <v>1</v>
      </c>
      <c r="X78" s="1"/>
      <c r="Y78" s="1"/>
      <c r="Z78" s="1"/>
      <c r="AA78" s="1"/>
      <c r="AE78" s="1"/>
      <c r="AF78" s="1"/>
    </row>
    <row r="79" spans="1:32" ht="12.75" hidden="1">
      <c r="A79" s="7" t="s">
        <v>40</v>
      </c>
      <c r="B79" s="10">
        <f>+B53+B74</f>
        <v>10077156120</v>
      </c>
      <c r="C79" s="10" t="e">
        <f>+C56+C61+C63+C67+C68+C69+C71+#REF!+#REF!+C75+C76+C77+#REF!</f>
        <v>#REF!</v>
      </c>
      <c r="D79" s="10" t="e">
        <f>+D56+D61+D63+D67+D68+D69+D71+#REF!+#REF!+D75+D76+D77+#REF!</f>
        <v>#REF!</v>
      </c>
      <c r="E79" s="10" t="e">
        <f>+E56+E61+E63+E67+E68+E69+E71+#REF!+#REF!+E75+E76+E77+#REF!</f>
        <v>#REF!</v>
      </c>
      <c r="F79" s="10" t="e">
        <f>+F56+F61+F63+F67+F68+F69+F71+#REF!+#REF!+F75+F76+F77+#REF!</f>
        <v>#REF!</v>
      </c>
      <c r="G79" s="10" t="e">
        <f>+G56+G61+G63+G67+G68+G69+G71+#REF!+#REF!+G75+G76+G77+#REF!</f>
        <v>#REF!</v>
      </c>
      <c r="H79" s="10" t="e">
        <f>+H56+H61+H63+H67+H68+H69+H71+#REF!+#REF!+H75+H76+H77+#REF!</f>
        <v>#REF!</v>
      </c>
      <c r="I79" s="10" t="e">
        <f>+I56+I61+I63+I67+I68+I69+I71+#REF!+#REF!+I75+I76+I77+#REF!</f>
        <v>#REF!</v>
      </c>
      <c r="J79" s="10" t="e">
        <f>+J56+J61+J63+J67+J68+J69+J71+#REF!+#REF!+J75+J76+J77+#REF!</f>
        <v>#REF!</v>
      </c>
      <c r="K79" s="10" t="e">
        <f>+K56+K61+K63+K67+K68+K69+K71+#REF!+#REF!+K75+K76+K77+#REF!</f>
        <v>#REF!</v>
      </c>
      <c r="L79" s="10" t="e">
        <f>+L56+L61+L63+L67+L68+L69+L71+#REF!+#REF!+L75+L76+L77+#REF!</f>
        <v>#REF!</v>
      </c>
      <c r="M79" s="10" t="e">
        <f>+M56+M61+M63+M67+M68+M69+M71+#REF!+#REF!+M75+M76+M77+#REF!</f>
        <v>#REF!</v>
      </c>
      <c r="N79" s="10" t="e">
        <f>+N56+N61+N63+N67+N68+N69+N71+#REF!+#REF!+N75+N76+N77+#REF!</f>
        <v>#REF!</v>
      </c>
      <c r="O79" s="10">
        <f>+O53+O74</f>
        <v>1230345600</v>
      </c>
      <c r="P79" s="10">
        <f>+P53+P74</f>
        <v>11307501720</v>
      </c>
      <c r="Q79" s="16">
        <f>+Q53+Q74</f>
        <v>343860694</v>
      </c>
      <c r="R79" s="16"/>
      <c r="S79" s="16">
        <f>+Q79</f>
        <v>343860694</v>
      </c>
      <c r="T79" s="16"/>
      <c r="U79" s="16"/>
      <c r="V79" s="3">
        <f>+S79/P79*100</f>
        <v>3.040996167984664</v>
      </c>
      <c r="X79" s="1"/>
      <c r="Y79" s="1"/>
      <c r="Z79" s="1"/>
      <c r="AA79" s="1"/>
      <c r="AE79" s="1"/>
      <c r="AF79" s="1"/>
    </row>
    <row r="80" spans="1:32" ht="12.75" hidden="1">
      <c r="A80" s="7" t="s">
        <v>41</v>
      </c>
      <c r="B80" s="11">
        <f>+B35</f>
        <v>1334597240</v>
      </c>
      <c r="O80">
        <v>0</v>
      </c>
      <c r="P80" s="1">
        <f>+B80+O80</f>
        <v>1334597240</v>
      </c>
      <c r="Q80" s="1">
        <v>0</v>
      </c>
      <c r="R80" s="1"/>
      <c r="S80" s="1">
        <v>0</v>
      </c>
      <c r="T80" s="1"/>
      <c r="U80" s="1"/>
      <c r="V80" s="3">
        <f>+S80/P80*100</f>
        <v>0</v>
      </c>
      <c r="X80" s="1"/>
      <c r="Y80" s="1"/>
      <c r="Z80" s="1"/>
      <c r="AA80" s="1"/>
      <c r="AE80" s="1"/>
      <c r="AF80" s="1"/>
    </row>
    <row r="81" spans="2:32" ht="12.75" hidden="1">
      <c r="B81" s="1" t="s">
        <v>1</v>
      </c>
      <c r="O81" s="1" t="s">
        <v>1</v>
      </c>
      <c r="Q81" s="1"/>
      <c r="R81" s="1"/>
      <c r="S81" s="1"/>
      <c r="T81" s="1"/>
      <c r="U81" s="1"/>
      <c r="V81" s="3" t="s">
        <v>1</v>
      </c>
      <c r="X81" s="1"/>
      <c r="Y81" s="1"/>
      <c r="Z81" s="1"/>
      <c r="AA81" s="1"/>
      <c r="AE81" s="1"/>
      <c r="AF81" s="1"/>
    </row>
    <row r="82" spans="1:32" ht="12.75" hidden="1">
      <c r="A82" s="7" t="s">
        <v>42</v>
      </c>
      <c r="B82" s="16">
        <f>+B79+B80</f>
        <v>11411753360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6">
        <f>+O79+O80</f>
        <v>1230345600</v>
      </c>
      <c r="P82" s="16">
        <f>+P79+P80</f>
        <v>12642098960</v>
      </c>
      <c r="Q82" s="16">
        <f>+Q79+Q80</f>
        <v>343860694</v>
      </c>
      <c r="R82" s="16"/>
      <c r="S82" s="16">
        <f>+S79+S80</f>
        <v>343860694</v>
      </c>
      <c r="T82" s="16"/>
      <c r="U82" s="16"/>
      <c r="V82" s="3">
        <f>+S82/P82*100</f>
        <v>2.7199652137511823</v>
      </c>
      <c r="X82" s="1"/>
      <c r="Y82" s="1"/>
      <c r="Z82" s="1"/>
      <c r="AA82" s="1"/>
      <c r="AE82" s="1"/>
      <c r="AF82" s="1"/>
    </row>
    <row r="83" spans="16:32" ht="12.75" hidden="1">
      <c r="P83" s="1" t="s">
        <v>1</v>
      </c>
      <c r="Q83" s="1"/>
      <c r="R83" s="1"/>
      <c r="X83" s="1"/>
      <c r="Y83" s="1"/>
      <c r="Z83" s="1"/>
      <c r="AA83" s="1"/>
      <c r="AE83" s="1"/>
      <c r="AF83" s="1"/>
    </row>
    <row r="84" spans="24:32" ht="12.75" hidden="1">
      <c r="X84" s="1"/>
      <c r="Y84" s="1"/>
      <c r="Z84" s="1"/>
      <c r="AA84" s="1"/>
      <c r="AE84" s="1"/>
      <c r="AF84" s="1"/>
    </row>
    <row r="85" spans="24:32" ht="12.75" hidden="1">
      <c r="X85" s="1"/>
      <c r="Y85" s="1"/>
      <c r="Z85" s="1"/>
      <c r="AA85" s="1"/>
      <c r="AE85" s="1"/>
      <c r="AF85" s="1"/>
    </row>
    <row r="86" spans="1:32" ht="12.75" hidden="1">
      <c r="A86" s="47" t="s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X86" s="1"/>
      <c r="Y86" s="1"/>
      <c r="Z86" s="1"/>
      <c r="AA86" s="1"/>
      <c r="AE86" s="1"/>
      <c r="AF86" s="1"/>
    </row>
    <row r="87" spans="1:32" ht="12.75" hidden="1">
      <c r="A87" s="47" t="s">
        <v>47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X87" s="1"/>
      <c r="Y87" s="1"/>
      <c r="Z87" s="1"/>
      <c r="AA87" s="1"/>
      <c r="AE87" s="1"/>
      <c r="AF87" s="1"/>
    </row>
    <row r="88" spans="22:32" ht="12.75" hidden="1">
      <c r="V88" s="18">
        <v>39479</v>
      </c>
      <c r="X88" s="1"/>
      <c r="Y88" s="1"/>
      <c r="Z88" s="1"/>
      <c r="AA88" s="1"/>
      <c r="AE88" s="1"/>
      <c r="AF88" s="1"/>
    </row>
    <row r="89" spans="1:32" ht="25.5" hidden="1">
      <c r="A89" s="5"/>
      <c r="B89" s="6" t="s">
        <v>10</v>
      </c>
      <c r="C89" s="48" t="s">
        <v>11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"/>
      <c r="O89" s="4" t="s">
        <v>2</v>
      </c>
      <c r="P89" s="6" t="s">
        <v>12</v>
      </c>
      <c r="Q89" s="6"/>
      <c r="R89" s="6"/>
      <c r="S89" s="8" t="s">
        <v>43</v>
      </c>
      <c r="T89" s="8"/>
      <c r="U89" s="8"/>
      <c r="V89" s="8" t="s">
        <v>46</v>
      </c>
      <c r="X89" s="1"/>
      <c r="Y89" s="1"/>
      <c r="Z89" s="1"/>
      <c r="AA89" s="1"/>
      <c r="AE89" s="1"/>
      <c r="AF89" s="1"/>
    </row>
    <row r="90" spans="1:32" ht="12.75" hidden="1">
      <c r="A90" s="4" t="s">
        <v>7</v>
      </c>
      <c r="B90" s="4" t="s">
        <v>1</v>
      </c>
      <c r="C90" s="4" t="s">
        <v>13</v>
      </c>
      <c r="D90" s="4" t="s">
        <v>14</v>
      </c>
      <c r="E90" s="4" t="s">
        <v>15</v>
      </c>
      <c r="F90" s="4" t="s">
        <v>16</v>
      </c>
      <c r="G90" s="4" t="s">
        <v>8</v>
      </c>
      <c r="H90" s="4" t="s">
        <v>17</v>
      </c>
      <c r="I90" s="4" t="s">
        <v>18</v>
      </c>
      <c r="J90" s="4" t="s">
        <v>19</v>
      </c>
      <c r="K90" s="4" t="s">
        <v>20</v>
      </c>
      <c r="L90" s="4" t="s">
        <v>21</v>
      </c>
      <c r="M90" s="4" t="s">
        <v>22</v>
      </c>
      <c r="N90" s="4" t="s">
        <v>23</v>
      </c>
      <c r="O90" s="4"/>
      <c r="P90" s="4"/>
      <c r="Q90" s="4"/>
      <c r="R90" s="4"/>
      <c r="S90" s="4"/>
      <c r="T90" s="4"/>
      <c r="U90" s="4"/>
      <c r="V90" s="4"/>
      <c r="X90" s="1"/>
      <c r="Y90" s="1"/>
      <c r="Z90" s="1"/>
      <c r="AA90" s="1"/>
      <c r="AE90" s="1"/>
      <c r="AF90" s="1"/>
    </row>
    <row r="91" spans="1:32" ht="12.75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3"/>
      <c r="T91" s="3"/>
      <c r="U91" s="3"/>
      <c r="V91" s="3"/>
      <c r="X91" s="1"/>
      <c r="Y91" s="1"/>
      <c r="Z91" s="1"/>
      <c r="AA91" s="1"/>
      <c r="AE91" s="1"/>
      <c r="AF91" s="1"/>
    </row>
    <row r="92" spans="1:32" ht="12.75" hidden="1">
      <c r="A92" s="9" t="s">
        <v>24</v>
      </c>
      <c r="B92" s="3">
        <f>+B94+B99</f>
        <v>8163010065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3">
        <f>+O94+O99</f>
        <v>1230345600</v>
      </c>
      <c r="P92" s="3">
        <f>+P94+P99</f>
        <v>9393355665</v>
      </c>
      <c r="Q92" s="3">
        <f>+Q94+Q99</f>
        <v>19232471</v>
      </c>
      <c r="R92" s="3"/>
      <c r="S92" s="3">
        <f>+S53+Q92</f>
        <v>364280393</v>
      </c>
      <c r="T92" s="3"/>
      <c r="U92" s="3"/>
      <c r="V92" s="3">
        <f>+S92/P92*100</f>
        <v>3.878064517000273</v>
      </c>
      <c r="X92" s="1"/>
      <c r="Y92" s="1"/>
      <c r="Z92" s="1"/>
      <c r="AA92" s="1"/>
      <c r="AE92" s="1"/>
      <c r="AF92" s="1"/>
    </row>
    <row r="93" spans="1:32" ht="12.75" hidden="1">
      <c r="A93" s="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3"/>
      <c r="X93" s="1"/>
      <c r="Y93" s="1"/>
      <c r="Z93" s="1"/>
      <c r="AA93" s="1"/>
      <c r="AE93" s="1"/>
      <c r="AF93" s="1"/>
    </row>
    <row r="94" spans="1:32" ht="12.75" hidden="1">
      <c r="A94" s="7" t="s">
        <v>3</v>
      </c>
      <c r="B94" s="10">
        <f>+B95</f>
        <v>3471300000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0">
        <f>+O95</f>
        <v>0</v>
      </c>
      <c r="P94" s="11">
        <f>+B94+O94</f>
        <v>3471300000</v>
      </c>
      <c r="Q94" s="10">
        <f>+Q95</f>
        <v>0</v>
      </c>
      <c r="R94" s="10"/>
      <c r="S94" s="3">
        <f aca="true" t="shared" si="10" ref="S94:S121">+S55+Q94</f>
        <v>0</v>
      </c>
      <c r="T94" s="3"/>
      <c r="U94" s="3"/>
      <c r="V94" s="3">
        <f>+S94/P94*100</f>
        <v>0</v>
      </c>
      <c r="X94" s="1"/>
      <c r="Y94" s="1"/>
      <c r="Z94" s="1"/>
      <c r="AA94" s="1"/>
      <c r="AE94" s="1"/>
      <c r="AF94" s="1"/>
    </row>
    <row r="95" spans="1:32" ht="12.75" hidden="1">
      <c r="A95" s="7" t="s">
        <v>25</v>
      </c>
      <c r="B95" s="10">
        <f>+B96+B97</f>
        <v>3471300000</v>
      </c>
      <c r="C95" s="11"/>
      <c r="D95" s="11">
        <v>177520</v>
      </c>
      <c r="E95" s="11"/>
      <c r="F95" s="11">
        <v>165006728</v>
      </c>
      <c r="G95" s="11">
        <v>1414514385</v>
      </c>
      <c r="H95" s="11">
        <v>4948458</v>
      </c>
      <c r="I95" s="11">
        <v>573117327</v>
      </c>
      <c r="J95" s="11">
        <f>139033811-14448995.38</f>
        <v>124584815.62</v>
      </c>
      <c r="K95" s="11">
        <v>93361900</v>
      </c>
      <c r="L95" s="11">
        <v>25720312</v>
      </c>
      <c r="M95" s="11">
        <v>242733948</v>
      </c>
      <c r="N95" s="11">
        <f>65086606+14219504.38-900076.38-6867260+6687809</f>
        <v>78226583</v>
      </c>
      <c r="O95" s="10">
        <f>+O96+O97</f>
        <v>0</v>
      </c>
      <c r="P95" s="11">
        <f>+B95+O95</f>
        <v>3471300000</v>
      </c>
      <c r="Q95" s="10">
        <f>+Q96+Q97</f>
        <v>0</v>
      </c>
      <c r="R95" s="10"/>
      <c r="S95" s="3">
        <f t="shared" si="10"/>
        <v>0</v>
      </c>
      <c r="T95" s="3"/>
      <c r="U95" s="3"/>
      <c r="V95" s="3">
        <f>+S95/P95*100</f>
        <v>0</v>
      </c>
      <c r="X95" s="1"/>
      <c r="Y95" s="1"/>
      <c r="Z95" s="1"/>
      <c r="AA95" s="1"/>
      <c r="AE95" s="1"/>
      <c r="AF95" s="1"/>
    </row>
    <row r="96" spans="1:32" ht="12.75" hidden="1">
      <c r="A96" s="5" t="s">
        <v>26</v>
      </c>
      <c r="B96" s="11">
        <v>2106300000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>+B96+O96</f>
        <v>2106300000</v>
      </c>
      <c r="Q96" s="11">
        <v>0</v>
      </c>
      <c r="R96" s="11"/>
      <c r="S96" s="3">
        <f t="shared" si="10"/>
        <v>0</v>
      </c>
      <c r="T96" s="3"/>
      <c r="U96" s="3"/>
      <c r="V96" s="3">
        <f>+S96/P96*100</f>
        <v>0</v>
      </c>
      <c r="X96" s="1"/>
      <c r="Y96" s="1"/>
      <c r="Z96" s="1"/>
      <c r="AA96" s="1"/>
      <c r="AE96" s="1"/>
      <c r="AF96" s="1"/>
    </row>
    <row r="97" spans="1:32" ht="12.75" hidden="1">
      <c r="A97" s="5" t="s">
        <v>27</v>
      </c>
      <c r="B97" s="11">
        <v>1365000000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>
        <f>+B97+O97</f>
        <v>1365000000</v>
      </c>
      <c r="Q97" s="11">
        <v>0</v>
      </c>
      <c r="R97" s="11"/>
      <c r="S97" s="3">
        <f t="shared" si="10"/>
        <v>0</v>
      </c>
      <c r="T97" s="3"/>
      <c r="U97" s="3"/>
      <c r="V97" s="3">
        <f>+S97/P97*100</f>
        <v>0</v>
      </c>
      <c r="X97" s="1"/>
      <c r="Y97" s="1"/>
      <c r="Z97" s="1"/>
      <c r="AA97" s="1"/>
      <c r="AE97" s="1"/>
      <c r="AF97" s="1"/>
    </row>
    <row r="98" spans="1:27" ht="12.75" hidden="1">
      <c r="A98" s="7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 t="s">
        <v>1</v>
      </c>
      <c r="Q98" s="10"/>
      <c r="R98" s="10"/>
      <c r="S98" s="3">
        <f t="shared" si="10"/>
        <v>0</v>
      </c>
      <c r="T98" s="3"/>
      <c r="U98" s="3"/>
      <c r="V98" s="3" t="s">
        <v>1</v>
      </c>
      <c r="X98" s="1"/>
      <c r="Y98" s="1"/>
      <c r="Z98" s="1"/>
      <c r="AA98" s="1"/>
    </row>
    <row r="99" spans="1:27" ht="12.75" hidden="1">
      <c r="A99" s="7" t="s">
        <v>4</v>
      </c>
      <c r="B99" s="10">
        <f>+B100+B101+B110+B111</f>
        <v>4691710065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0">
        <f>+O100+O101+O110+O111</f>
        <v>1230345600</v>
      </c>
      <c r="P99" s="10">
        <f>+P100+P101+P110+P111</f>
        <v>5922055665</v>
      </c>
      <c r="Q99" s="10">
        <f>+Q100+Q101+Q110+Q111</f>
        <v>19232471</v>
      </c>
      <c r="R99" s="10"/>
      <c r="S99" s="3">
        <f t="shared" si="10"/>
        <v>364280393</v>
      </c>
      <c r="T99" s="3"/>
      <c r="U99" s="3"/>
      <c r="V99" s="3">
        <f aca="true" t="shared" si="11" ref="V99:V116">+S99/P99*100</f>
        <v>6.151249052806733</v>
      </c>
      <c r="X99" s="1"/>
      <c r="Y99" s="1"/>
      <c r="Z99" s="1"/>
      <c r="AA99" s="1"/>
    </row>
    <row r="100" spans="1:22" ht="12.75" hidden="1">
      <c r="A100" s="7" t="s">
        <v>28</v>
      </c>
      <c r="B100" s="10">
        <v>2752759677</v>
      </c>
      <c r="C100" s="11">
        <v>0</v>
      </c>
      <c r="D100" s="11">
        <v>0</v>
      </c>
      <c r="E100" s="11">
        <v>0</v>
      </c>
      <c r="F100" s="11">
        <v>196495882</v>
      </c>
      <c r="G100" s="11">
        <v>164927418</v>
      </c>
      <c r="H100" s="11">
        <v>262941303</v>
      </c>
      <c r="I100" s="11">
        <v>280282246</v>
      </c>
      <c r="J100" s="11">
        <v>246192273</v>
      </c>
      <c r="K100" s="11">
        <v>308626989</v>
      </c>
      <c r="L100" s="11">
        <v>243645342</v>
      </c>
      <c r="M100" s="11">
        <v>247491577</v>
      </c>
      <c r="N100" s="11">
        <v>165492691</v>
      </c>
      <c r="O100" s="11"/>
      <c r="P100" s="11">
        <f aca="true" t="shared" si="12" ref="P100:P112">+B100+O100</f>
        <v>2752759677</v>
      </c>
      <c r="Q100" s="10">
        <v>0</v>
      </c>
      <c r="R100" s="10"/>
      <c r="S100" s="3">
        <f t="shared" si="10"/>
        <v>0</v>
      </c>
      <c r="T100" s="3"/>
      <c r="U100" s="3"/>
      <c r="V100" s="3">
        <f t="shared" si="11"/>
        <v>0</v>
      </c>
    </row>
    <row r="101" spans="1:22" ht="12.75" hidden="1">
      <c r="A101" s="7" t="s">
        <v>5</v>
      </c>
      <c r="B101" s="10">
        <f>+B102+B106+B107+B108</f>
        <v>1867025388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+O102+O106+O107+O108</f>
        <v>0</v>
      </c>
      <c r="P101" s="11">
        <f t="shared" si="12"/>
        <v>1867025388</v>
      </c>
      <c r="Q101" s="10">
        <f>+Q102+Q106+Q107+Q108</f>
        <v>17203551</v>
      </c>
      <c r="R101" s="10"/>
      <c r="S101" s="3">
        <f t="shared" si="10"/>
        <v>60143973</v>
      </c>
      <c r="T101" s="3"/>
      <c r="U101" s="3"/>
      <c r="V101" s="3">
        <f t="shared" si="11"/>
        <v>3.2213794941710776</v>
      </c>
    </row>
    <row r="102" spans="1:22" ht="12.75" hidden="1">
      <c r="A102" s="7" t="s">
        <v>29</v>
      </c>
      <c r="B102" s="10">
        <f>SUM(B103:B105)</f>
        <v>1679125388</v>
      </c>
      <c r="C102" s="11">
        <f>SUM(C103:C105)</f>
        <v>0</v>
      </c>
      <c r="D102" s="11">
        <f aca="true" t="shared" si="13" ref="D102:N102">SUM(D103:D105)</f>
        <v>9764370</v>
      </c>
      <c r="E102" s="11">
        <f t="shared" si="13"/>
        <v>1633088</v>
      </c>
      <c r="F102" s="11">
        <f t="shared" si="13"/>
        <v>9527326</v>
      </c>
      <c r="G102" s="11">
        <f t="shared" si="13"/>
        <v>5166613</v>
      </c>
      <c r="H102" s="11">
        <f t="shared" si="13"/>
        <v>8550758</v>
      </c>
      <c r="I102" s="11">
        <f t="shared" si="13"/>
        <v>19667967</v>
      </c>
      <c r="J102" s="11">
        <f t="shared" si="13"/>
        <v>32121947.88</v>
      </c>
      <c r="K102" s="11">
        <f t="shared" si="13"/>
        <v>57803883</v>
      </c>
      <c r="L102" s="11">
        <f t="shared" si="13"/>
        <v>248550137</v>
      </c>
      <c r="M102" s="11">
        <f t="shared" si="13"/>
        <v>56476839</v>
      </c>
      <c r="N102" s="11">
        <f t="shared" si="13"/>
        <v>203635166</v>
      </c>
      <c r="O102" s="10">
        <f>SUM(O103:O105)</f>
        <v>0</v>
      </c>
      <c r="P102" s="11">
        <f t="shared" si="12"/>
        <v>1679125388</v>
      </c>
      <c r="Q102" s="10">
        <f>SUM(Q103:Q105)</f>
        <v>196000</v>
      </c>
      <c r="R102" s="10"/>
      <c r="S102" s="3">
        <f t="shared" si="10"/>
        <v>42847562</v>
      </c>
      <c r="T102" s="3"/>
      <c r="U102" s="3"/>
      <c r="V102" s="3">
        <f t="shared" si="11"/>
        <v>2.551778581052578</v>
      </c>
    </row>
    <row r="103" spans="1:22" ht="12.75" hidden="1">
      <c r="A103" s="5" t="s">
        <v>30</v>
      </c>
      <c r="B103" s="11">
        <v>939032888</v>
      </c>
      <c r="C103" s="11">
        <v>0</v>
      </c>
      <c r="D103" s="11">
        <v>9764370</v>
      </c>
      <c r="E103" s="11">
        <v>0</v>
      </c>
      <c r="F103" s="11">
        <f>274606+765092</f>
        <v>1039698</v>
      </c>
      <c r="G103" s="11">
        <v>4660304</v>
      </c>
      <c r="H103" s="11">
        <v>7848958</v>
      </c>
      <c r="I103" s="11">
        <v>15343416</v>
      </c>
      <c r="J103" s="11">
        <v>22521927</v>
      </c>
      <c r="K103" s="11">
        <v>33311437</v>
      </c>
      <c r="L103" s="11">
        <f>309295398-94490110</f>
        <v>214805288</v>
      </c>
      <c r="M103" s="11">
        <v>28836508</v>
      </c>
      <c r="N103" s="11">
        <f>98225097-2027734+2337372</f>
        <v>98534735</v>
      </c>
      <c r="O103" s="11"/>
      <c r="P103" s="11">
        <f t="shared" si="12"/>
        <v>939032888</v>
      </c>
      <c r="Q103" s="11">
        <v>0</v>
      </c>
      <c r="R103" s="11"/>
      <c r="S103" s="3">
        <f t="shared" si="10"/>
        <v>42651562</v>
      </c>
      <c r="T103" s="3"/>
      <c r="U103" s="3"/>
      <c r="V103" s="3">
        <f t="shared" si="11"/>
        <v>4.542073291047501</v>
      </c>
    </row>
    <row r="104" spans="1:22" ht="12.75" hidden="1">
      <c r="A104" s="5" t="s">
        <v>31</v>
      </c>
      <c r="B104" s="11">
        <v>724342500</v>
      </c>
      <c r="C104" s="11"/>
      <c r="D104" s="11">
        <v>0</v>
      </c>
      <c r="E104" s="11">
        <v>0</v>
      </c>
      <c r="F104" s="11">
        <v>0</v>
      </c>
      <c r="G104" s="11">
        <v>0</v>
      </c>
      <c r="H104" s="11">
        <v>25090</v>
      </c>
      <c r="I104" s="11">
        <v>946365</v>
      </c>
      <c r="J104" s="11">
        <v>8764131</v>
      </c>
      <c r="K104" s="11">
        <v>21523596</v>
      </c>
      <c r="L104" s="11">
        <v>33159819</v>
      </c>
      <c r="M104" s="11">
        <v>27504331</v>
      </c>
      <c r="N104" s="11">
        <f>101300092+707323</f>
        <v>102007415</v>
      </c>
      <c r="O104" s="11">
        <v>0</v>
      </c>
      <c r="P104" s="11">
        <f t="shared" si="12"/>
        <v>724342500</v>
      </c>
      <c r="Q104" s="11">
        <v>0</v>
      </c>
      <c r="R104" s="11"/>
      <c r="S104" s="3">
        <f t="shared" si="10"/>
        <v>0</v>
      </c>
      <c r="T104" s="3"/>
      <c r="U104" s="3"/>
      <c r="V104" s="3">
        <f t="shared" si="11"/>
        <v>0</v>
      </c>
    </row>
    <row r="105" spans="1:22" ht="12.75" hidden="1">
      <c r="A105" s="5" t="s">
        <v>32</v>
      </c>
      <c r="B105" s="11">
        <v>15750000</v>
      </c>
      <c r="C105" s="11"/>
      <c r="D105" s="11"/>
      <c r="E105" s="11">
        <v>1633088</v>
      </c>
      <c r="F105" s="11">
        <v>8487628</v>
      </c>
      <c r="G105" s="11">
        <v>506309</v>
      </c>
      <c r="H105" s="11">
        <v>676710</v>
      </c>
      <c r="I105" s="11">
        <v>3378186</v>
      </c>
      <c r="J105" s="11">
        <f>628640+207249.88</f>
        <v>835889.88</v>
      </c>
      <c r="K105" s="11">
        <v>2968850</v>
      </c>
      <c r="L105" s="11">
        <v>585030</v>
      </c>
      <c r="M105" s="11">
        <v>136000</v>
      </c>
      <c r="N105" s="11">
        <f>22300706.88-19207690.88</f>
        <v>3093016</v>
      </c>
      <c r="O105" s="11"/>
      <c r="P105" s="11">
        <f t="shared" si="12"/>
        <v>15750000</v>
      </c>
      <c r="Q105" s="11">
        <v>196000</v>
      </c>
      <c r="R105" s="11"/>
      <c r="S105" s="3">
        <f t="shared" si="10"/>
        <v>196000</v>
      </c>
      <c r="T105" s="3"/>
      <c r="U105" s="3"/>
      <c r="V105" s="3">
        <f t="shared" si="11"/>
        <v>1.2444444444444445</v>
      </c>
    </row>
    <row r="106" spans="1:22" ht="12.75" hidden="1">
      <c r="A106" s="7" t="s">
        <v>33</v>
      </c>
      <c r="B106" s="10">
        <v>65100000</v>
      </c>
      <c r="C106" s="11">
        <v>426256</v>
      </c>
      <c r="D106" s="11">
        <v>177520</v>
      </c>
      <c r="E106" s="11">
        <v>815304</v>
      </c>
      <c r="F106" s="11">
        <v>1044670</v>
      </c>
      <c r="G106" s="11">
        <v>210000</v>
      </c>
      <c r="H106" s="11">
        <v>497000</v>
      </c>
      <c r="I106" s="11">
        <v>1908400</v>
      </c>
      <c r="J106" s="11">
        <v>2080000</v>
      </c>
      <c r="K106" s="11">
        <v>1960300</v>
      </c>
      <c r="L106" s="11">
        <v>1071750</v>
      </c>
      <c r="M106" s="11">
        <v>486631</v>
      </c>
      <c r="N106" s="11">
        <v>3040000</v>
      </c>
      <c r="O106" s="11"/>
      <c r="P106" s="11">
        <f t="shared" si="12"/>
        <v>65100000</v>
      </c>
      <c r="Q106" s="10">
        <v>1153750</v>
      </c>
      <c r="R106" s="10"/>
      <c r="S106" s="3">
        <f t="shared" si="10"/>
        <v>1442610</v>
      </c>
      <c r="T106" s="3"/>
      <c r="U106" s="3"/>
      <c r="V106" s="3">
        <f t="shared" si="11"/>
        <v>2.215990783410138</v>
      </c>
    </row>
    <row r="107" spans="1:22" ht="12.75" hidden="1">
      <c r="A107" s="7" t="s">
        <v>34</v>
      </c>
      <c r="B107" s="10">
        <v>1000000</v>
      </c>
      <c r="C107" s="11">
        <v>7540000</v>
      </c>
      <c r="D107" s="11"/>
      <c r="E107" s="11"/>
      <c r="F107" s="11"/>
      <c r="G107" s="11"/>
      <c r="H107" s="11"/>
      <c r="I107" s="11">
        <v>294000</v>
      </c>
      <c r="J107" s="11"/>
      <c r="K107" s="11"/>
      <c r="L107" s="11">
        <v>29000</v>
      </c>
      <c r="M107" s="11"/>
      <c r="N107" s="11"/>
      <c r="O107" s="11"/>
      <c r="P107" s="11">
        <f t="shared" si="12"/>
        <v>1000000</v>
      </c>
      <c r="Q107" s="10">
        <v>0</v>
      </c>
      <c r="R107" s="10"/>
      <c r="S107" s="3">
        <f t="shared" si="10"/>
        <v>0</v>
      </c>
      <c r="T107" s="3"/>
      <c r="U107" s="3"/>
      <c r="V107" s="3">
        <f t="shared" si="11"/>
        <v>0</v>
      </c>
    </row>
    <row r="108" spans="1:22" ht="12.75" hidden="1">
      <c r="A108" s="7" t="s">
        <v>35</v>
      </c>
      <c r="B108" s="10">
        <f aca="true" t="shared" si="14" ref="B108:O108">SUM(B109:B109)</f>
        <v>121800000</v>
      </c>
      <c r="C108" s="11">
        <f t="shared" si="14"/>
        <v>4768052</v>
      </c>
      <c r="D108" s="11">
        <f t="shared" si="14"/>
        <v>8290086</v>
      </c>
      <c r="E108" s="11">
        <f t="shared" si="14"/>
        <v>10672897</v>
      </c>
      <c r="F108" s="11">
        <f t="shared" si="14"/>
        <v>13361106</v>
      </c>
      <c r="G108" s="11">
        <f t="shared" si="14"/>
        <v>5435392</v>
      </c>
      <c r="H108" s="11">
        <f t="shared" si="14"/>
        <v>6359364</v>
      </c>
      <c r="I108" s="11">
        <f t="shared" si="14"/>
        <v>17667466</v>
      </c>
      <c r="J108" s="11">
        <f t="shared" si="14"/>
        <v>22629676</v>
      </c>
      <c r="K108" s="11">
        <f t="shared" si="14"/>
        <v>24318846</v>
      </c>
      <c r="L108" s="11">
        <f t="shared" si="14"/>
        <v>14234424</v>
      </c>
      <c r="M108" s="11">
        <f t="shared" si="14"/>
        <v>14378768</v>
      </c>
      <c r="N108" s="11">
        <f t="shared" si="14"/>
        <v>23388888</v>
      </c>
      <c r="O108" s="10">
        <f t="shared" si="14"/>
        <v>0</v>
      </c>
      <c r="P108" s="11">
        <f t="shared" si="12"/>
        <v>121800000</v>
      </c>
      <c r="Q108" s="10">
        <f>SUM(Q109:Q109)</f>
        <v>15853801</v>
      </c>
      <c r="R108" s="10"/>
      <c r="S108" s="3">
        <f t="shared" si="10"/>
        <v>15853801</v>
      </c>
      <c r="T108" s="3"/>
      <c r="U108" s="3"/>
      <c r="V108" s="3">
        <f t="shared" si="11"/>
        <v>13.016256978653532</v>
      </c>
    </row>
    <row r="109" spans="1:22" ht="12.75" hidden="1">
      <c r="A109" s="5" t="s">
        <v>36</v>
      </c>
      <c r="B109" s="11">
        <v>121800000</v>
      </c>
      <c r="C109" s="11">
        <v>4768052</v>
      </c>
      <c r="D109" s="11">
        <v>8290086</v>
      </c>
      <c r="E109" s="11">
        <v>10672897</v>
      </c>
      <c r="F109" s="11">
        <v>13361106</v>
      </c>
      <c r="G109" s="11">
        <v>5435392</v>
      </c>
      <c r="H109" s="11">
        <v>6359364</v>
      </c>
      <c r="I109" s="11">
        <v>17667466</v>
      </c>
      <c r="J109" s="11">
        <f>15777671+6852005</f>
        <v>22629676</v>
      </c>
      <c r="K109" s="11">
        <v>24318846</v>
      </c>
      <c r="L109" s="11">
        <v>14234424</v>
      </c>
      <c r="M109" s="11">
        <f>14378768</f>
        <v>14378768</v>
      </c>
      <c r="N109" s="11">
        <f>165504965-142116077</f>
        <v>23388888</v>
      </c>
      <c r="O109" s="11"/>
      <c r="P109" s="11">
        <f t="shared" si="12"/>
        <v>121800000</v>
      </c>
      <c r="Q109" s="11">
        <f>15586201+267600</f>
        <v>15853801</v>
      </c>
      <c r="R109" s="11"/>
      <c r="S109" s="3">
        <f t="shared" si="10"/>
        <v>15853801</v>
      </c>
      <c r="T109" s="3"/>
      <c r="U109" s="3"/>
      <c r="V109" s="3">
        <f t="shared" si="11"/>
        <v>13.016256978653532</v>
      </c>
    </row>
    <row r="110" spans="1:22" ht="12.75" hidden="1">
      <c r="A110" s="7" t="s">
        <v>37</v>
      </c>
      <c r="B110" s="10">
        <v>71925000</v>
      </c>
      <c r="C110" s="11" t="e">
        <f>SUM(#REF!)</f>
        <v>#REF!</v>
      </c>
      <c r="D110" s="11" t="e">
        <f>SUM(#REF!)</f>
        <v>#REF!</v>
      </c>
      <c r="E110" s="11" t="e">
        <f>SUM(#REF!)</f>
        <v>#REF!</v>
      </c>
      <c r="F110" s="11" t="e">
        <f>SUM(#REF!)</f>
        <v>#REF!</v>
      </c>
      <c r="G110" s="11" t="e">
        <f>SUM(#REF!)</f>
        <v>#REF!</v>
      </c>
      <c r="H110" s="11" t="e">
        <f>SUM(#REF!)</f>
        <v>#REF!</v>
      </c>
      <c r="I110" s="11" t="e">
        <f>SUM(#REF!)</f>
        <v>#REF!</v>
      </c>
      <c r="J110" s="11" t="e">
        <f>SUM(#REF!)</f>
        <v>#REF!</v>
      </c>
      <c r="K110" s="11" t="e">
        <f>SUM(#REF!)</f>
        <v>#REF!</v>
      </c>
      <c r="L110" s="11" t="e">
        <f>SUM(#REF!)</f>
        <v>#REF!</v>
      </c>
      <c r="M110" s="11" t="e">
        <f>SUM(#REF!)</f>
        <v>#REF!</v>
      </c>
      <c r="N110" s="11" t="e">
        <f>SUM(#REF!)</f>
        <v>#REF!</v>
      </c>
      <c r="O110" s="10">
        <v>0</v>
      </c>
      <c r="P110" s="11">
        <f t="shared" si="12"/>
        <v>71925000</v>
      </c>
      <c r="Q110" s="11">
        <f>1530000+0+498920</f>
        <v>2028920</v>
      </c>
      <c r="R110" s="11"/>
      <c r="S110" s="3">
        <f t="shared" si="10"/>
        <v>2044305</v>
      </c>
      <c r="T110" s="3"/>
      <c r="U110" s="3"/>
      <c r="V110" s="3">
        <f t="shared" si="11"/>
        <v>2.8422732012513037</v>
      </c>
    </row>
    <row r="111" spans="1:22" ht="12.75" hidden="1">
      <c r="A111" s="7" t="s">
        <v>44</v>
      </c>
      <c r="B111" s="10">
        <f>+B112</f>
        <v>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>
        <f>+O112</f>
        <v>1230345600</v>
      </c>
      <c r="P111" s="11">
        <f t="shared" si="12"/>
        <v>1230345600</v>
      </c>
      <c r="Q111" s="10">
        <f>+Q112</f>
        <v>0</v>
      </c>
      <c r="R111" s="10"/>
      <c r="S111" s="3">
        <f t="shared" si="10"/>
        <v>302092115</v>
      </c>
      <c r="T111" s="3"/>
      <c r="U111" s="3"/>
      <c r="V111" s="3">
        <f t="shared" si="11"/>
        <v>24.553435636296015</v>
      </c>
    </row>
    <row r="112" spans="1:22" ht="12.75" hidden="1">
      <c r="A112" s="7" t="s">
        <v>45</v>
      </c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>
        <v>1230345600</v>
      </c>
      <c r="P112" s="11">
        <f t="shared" si="12"/>
        <v>1230345600</v>
      </c>
      <c r="Q112" s="10">
        <v>0</v>
      </c>
      <c r="R112" s="10"/>
      <c r="S112" s="3">
        <f t="shared" si="10"/>
        <v>0</v>
      </c>
      <c r="T112" s="3"/>
      <c r="U112" s="3"/>
      <c r="V112" s="3">
        <f t="shared" si="11"/>
        <v>0</v>
      </c>
    </row>
    <row r="113" spans="1:22" ht="12.75" hidden="1">
      <c r="A113" s="7" t="s">
        <v>38</v>
      </c>
      <c r="B113" s="10">
        <f>+B114+B115+B116</f>
        <v>1914146055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+O114+O115+O116</f>
        <v>0</v>
      </c>
      <c r="P113" s="11">
        <f>+B113+O113</f>
        <v>1914146055</v>
      </c>
      <c r="Q113" s="10">
        <f>+Q114+Q115+Q116</f>
        <v>361765702</v>
      </c>
      <c r="R113" s="10"/>
      <c r="S113" s="3">
        <f t="shared" si="10"/>
        <v>662670589</v>
      </c>
      <c r="T113" s="3"/>
      <c r="U113" s="3"/>
      <c r="V113" s="3">
        <f t="shared" si="11"/>
        <v>34.61964604367664</v>
      </c>
    </row>
    <row r="114" spans="1:22" ht="12.75" hidden="1">
      <c r="A114" s="7" t="s">
        <v>6</v>
      </c>
      <c r="B114" s="10">
        <v>70000000</v>
      </c>
      <c r="C114" s="11">
        <v>898886</v>
      </c>
      <c r="D114" s="11">
        <f>4306726+216132</f>
        <v>4522858</v>
      </c>
      <c r="E114" s="11">
        <f>751140+23292827</f>
        <v>24043967</v>
      </c>
      <c r="F114" s="11">
        <v>8452240</v>
      </c>
      <c r="G114" s="11">
        <v>4422172</v>
      </c>
      <c r="H114" s="11">
        <f>7484642+234363</f>
        <v>7719005</v>
      </c>
      <c r="I114" s="11">
        <f>102855+5416914</f>
        <v>5519769</v>
      </c>
      <c r="J114" s="11">
        <f>6098966+444960+3514791+65855</f>
        <v>10124572</v>
      </c>
      <c r="K114" s="11">
        <f>191152+1348022+3219820.01</f>
        <v>4758994.01</v>
      </c>
      <c r="L114" s="11">
        <f>350566+9695840</f>
        <v>10046406</v>
      </c>
      <c r="M114" s="11">
        <f>579536+7833208+436291+345639</f>
        <v>9194674</v>
      </c>
      <c r="N114" s="11">
        <f>112132152.5-89703543.01</f>
        <v>22428609.489999995</v>
      </c>
      <c r="O114" s="11"/>
      <c r="P114" s="11">
        <f>+B114+O114</f>
        <v>70000000</v>
      </c>
      <c r="Q114" s="10">
        <f>8684542+1032979</f>
        <v>9717521</v>
      </c>
      <c r="R114" s="10"/>
      <c r="S114" s="3">
        <f t="shared" si="10"/>
        <v>10904749</v>
      </c>
      <c r="T114" s="3"/>
      <c r="U114" s="3"/>
      <c r="V114" s="3">
        <f t="shared" si="11"/>
        <v>15.578212857142857</v>
      </c>
    </row>
    <row r="115" spans="1:22" ht="12.75" hidden="1">
      <c r="A115" s="7" t="s">
        <v>9</v>
      </c>
      <c r="B115" s="10">
        <v>0</v>
      </c>
      <c r="C115" s="11"/>
      <c r="D115" s="11"/>
      <c r="E115" s="11"/>
      <c r="F115" s="11">
        <f>+B115</f>
        <v>0</v>
      </c>
      <c r="G115" s="11"/>
      <c r="H115" s="11"/>
      <c r="I115" s="11"/>
      <c r="J115" s="11"/>
      <c r="K115" s="11"/>
      <c r="L115" s="11"/>
      <c r="M115" s="11"/>
      <c r="N115" s="11"/>
      <c r="O115" s="11">
        <v>0</v>
      </c>
      <c r="P115" s="11">
        <f>+B115+O115</f>
        <v>0</v>
      </c>
      <c r="Q115" s="11">
        <f>+O115</f>
        <v>0</v>
      </c>
      <c r="R115" s="11"/>
      <c r="S115" s="3">
        <f t="shared" si="10"/>
        <v>0</v>
      </c>
      <c r="T115" s="3"/>
      <c r="U115" s="3"/>
      <c r="V115" s="3" t="e">
        <f t="shared" si="11"/>
        <v>#DIV/0!</v>
      </c>
    </row>
    <row r="116" spans="1:22" ht="12.75" hidden="1">
      <c r="A116" s="7" t="s">
        <v>39</v>
      </c>
      <c r="B116" s="10">
        <v>1844146055</v>
      </c>
      <c r="C116" s="11" t="e">
        <f>+#REF!+#REF!</f>
        <v>#REF!</v>
      </c>
      <c r="D116" s="11" t="e">
        <f>+#REF!+#REF!</f>
        <v>#REF!</v>
      </c>
      <c r="E116" s="11" t="e">
        <f>+#REF!+#REF!</f>
        <v>#REF!</v>
      </c>
      <c r="F116" s="11" t="e">
        <f>+#REF!+#REF!</f>
        <v>#REF!</v>
      </c>
      <c r="G116" s="11" t="e">
        <f>+#REF!+#REF!</f>
        <v>#REF!</v>
      </c>
      <c r="H116" s="11" t="e">
        <f>+#REF!+#REF!</f>
        <v>#REF!</v>
      </c>
      <c r="I116" s="11" t="e">
        <f>+#REF!+#REF!</f>
        <v>#REF!</v>
      </c>
      <c r="J116" s="11" t="e">
        <f>+#REF!+#REF!</f>
        <v>#REF!</v>
      </c>
      <c r="K116" s="11" t="e">
        <f>+#REF!+#REF!</f>
        <v>#REF!</v>
      </c>
      <c r="L116" s="11" t="e">
        <f>+#REF!+#REF!</f>
        <v>#REF!</v>
      </c>
      <c r="M116" s="11" t="e">
        <f>+#REF!+#REF!</f>
        <v>#REF!</v>
      </c>
      <c r="N116" s="11" t="e">
        <f>+#REF!+#REF!</f>
        <v>#REF!</v>
      </c>
      <c r="O116" s="10">
        <v>0</v>
      </c>
      <c r="P116" s="11">
        <f>+B116+O116</f>
        <v>1844146055</v>
      </c>
      <c r="Q116" s="10">
        <f>326502556+25545625</f>
        <v>352048181</v>
      </c>
      <c r="R116" s="10"/>
      <c r="S116" s="3">
        <f t="shared" si="10"/>
        <v>651765840</v>
      </c>
      <c r="T116" s="3"/>
      <c r="U116" s="3"/>
      <c r="V116" s="3">
        <f t="shared" si="11"/>
        <v>35.34241977379607</v>
      </c>
    </row>
    <row r="117" spans="1:22" ht="12.75" hidden="1">
      <c r="A117" s="5"/>
      <c r="B117" s="11"/>
      <c r="C117" s="11"/>
      <c r="D117" s="11"/>
      <c r="E117" s="11" t="s">
        <v>1</v>
      </c>
      <c r="F117" s="11" t="s">
        <v>1</v>
      </c>
      <c r="G117" s="11" t="s">
        <v>1</v>
      </c>
      <c r="H117" s="11" t="s">
        <v>1</v>
      </c>
      <c r="I117" s="11" t="s">
        <v>1</v>
      </c>
      <c r="J117" s="11" t="s">
        <v>1</v>
      </c>
      <c r="K117" s="11" t="s">
        <v>1</v>
      </c>
      <c r="L117" s="11" t="s">
        <v>1</v>
      </c>
      <c r="M117" s="11" t="s">
        <v>1</v>
      </c>
      <c r="N117" s="11" t="s">
        <v>1</v>
      </c>
      <c r="O117" s="11"/>
      <c r="P117" s="11" t="s">
        <v>1</v>
      </c>
      <c r="Q117" s="11" t="s">
        <v>1</v>
      </c>
      <c r="R117" s="11"/>
      <c r="S117" s="3" t="s">
        <v>1</v>
      </c>
      <c r="T117" s="3"/>
      <c r="U117" s="3"/>
      <c r="V117" s="3" t="s">
        <v>1</v>
      </c>
    </row>
    <row r="118" spans="1:22" ht="12.75" hidden="1">
      <c r="A118" s="7" t="s">
        <v>40</v>
      </c>
      <c r="B118" s="10">
        <f>+B92+B113</f>
        <v>10077156120</v>
      </c>
      <c r="C118" s="10" t="e">
        <f>+C95+C100+C102+C106+C107+C108+C110+#REF!+#REF!+C114+C115+C116+#REF!</f>
        <v>#REF!</v>
      </c>
      <c r="D118" s="10" t="e">
        <f>+D95+D100+D102+D106+D107+D108+D110+#REF!+#REF!+D114+D115+D116+#REF!</f>
        <v>#REF!</v>
      </c>
      <c r="E118" s="10" t="e">
        <f>+E95+E100+E102+E106+E107+E108+E110+#REF!+#REF!+E114+E115+E116+#REF!</f>
        <v>#REF!</v>
      </c>
      <c r="F118" s="10" t="e">
        <f>+F95+F100+F102+F106+F107+F108+F110+#REF!+#REF!+F114+F115+F116+#REF!</f>
        <v>#REF!</v>
      </c>
      <c r="G118" s="10" t="e">
        <f>+G95+G100+G102+G106+G107+G108+G110+#REF!+#REF!+G114+G115+G116+#REF!</f>
        <v>#REF!</v>
      </c>
      <c r="H118" s="10" t="e">
        <f>+H95+H100+H102+H106+H107+H108+H110+#REF!+#REF!+H114+H115+H116+#REF!</f>
        <v>#REF!</v>
      </c>
      <c r="I118" s="10" t="e">
        <f>+I95+I100+I102+I106+I107+I108+I110+#REF!+#REF!+I114+I115+I116+#REF!</f>
        <v>#REF!</v>
      </c>
      <c r="J118" s="10" t="e">
        <f>+J95+J100+J102+J106+J107+J108+J110+#REF!+#REF!+J114+J115+J116+#REF!</f>
        <v>#REF!</v>
      </c>
      <c r="K118" s="10" t="e">
        <f>+K95+K100+K102+K106+K107+K108+K110+#REF!+#REF!+K114+K115+K116+#REF!</f>
        <v>#REF!</v>
      </c>
      <c r="L118" s="10" t="e">
        <f>+L95+L100+L102+L106+L107+L108+L110+#REF!+#REF!+L114+L115+L116+#REF!</f>
        <v>#REF!</v>
      </c>
      <c r="M118" s="10" t="e">
        <f>+M95+M100+M102+M106+M107+M108+M110+#REF!+#REF!+M114+M115+M116+#REF!</f>
        <v>#REF!</v>
      </c>
      <c r="N118" s="10" t="e">
        <f>+N95+N100+N102+N106+N107+N108+N110+#REF!+#REF!+N114+N115+N116+#REF!</f>
        <v>#REF!</v>
      </c>
      <c r="O118" s="10">
        <f>+O92+O113</f>
        <v>1230345600</v>
      </c>
      <c r="P118" s="10">
        <f>+P92+P113</f>
        <v>11307501720</v>
      </c>
      <c r="Q118" s="16">
        <f>+Q92+Q113</f>
        <v>380998173</v>
      </c>
      <c r="R118" s="16"/>
      <c r="S118" s="3">
        <f t="shared" si="10"/>
        <v>724858867</v>
      </c>
      <c r="T118" s="3"/>
      <c r="U118" s="3"/>
      <c r="V118" s="3">
        <f>+S118/P118*100</f>
        <v>6.410424556627881</v>
      </c>
    </row>
    <row r="119" spans="1:22" ht="12.75" hidden="1">
      <c r="A119" s="7" t="s">
        <v>41</v>
      </c>
      <c r="B119" s="11">
        <f>+B80</f>
        <v>1334597240</v>
      </c>
      <c r="O119">
        <v>0</v>
      </c>
      <c r="P119" s="1">
        <f>+B119+O119</f>
        <v>1334597240</v>
      </c>
      <c r="Q119" s="1">
        <f>91994880+0</f>
        <v>91994880</v>
      </c>
      <c r="R119" s="1"/>
      <c r="S119" s="3">
        <f t="shared" si="10"/>
        <v>91994880</v>
      </c>
      <c r="T119" s="3"/>
      <c r="U119" s="3"/>
      <c r="V119" s="3">
        <f>+S119/P119*100</f>
        <v>6.893081840930526</v>
      </c>
    </row>
    <row r="120" spans="2:22" ht="12.75" hidden="1">
      <c r="B120" s="1" t="s">
        <v>1</v>
      </c>
      <c r="O120" s="1" t="s">
        <v>1</v>
      </c>
      <c r="Q120" s="1"/>
      <c r="R120" s="1"/>
      <c r="S120" s="3">
        <f t="shared" si="10"/>
        <v>0</v>
      </c>
      <c r="T120" s="3"/>
      <c r="U120" s="3"/>
      <c r="V120" s="3" t="s">
        <v>1</v>
      </c>
    </row>
    <row r="121" spans="1:22" ht="12.75" hidden="1">
      <c r="A121" s="7" t="s">
        <v>42</v>
      </c>
      <c r="B121" s="16">
        <f>+B118+B119</f>
        <v>11411753360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6">
        <f>+O118+O119</f>
        <v>1230345600</v>
      </c>
      <c r="P121" s="16">
        <f>+P118+P119</f>
        <v>12642098960</v>
      </c>
      <c r="Q121" s="16">
        <f>+Q118+Q119</f>
        <v>472993053</v>
      </c>
      <c r="R121" s="16"/>
      <c r="S121" s="3">
        <f t="shared" si="10"/>
        <v>816853747</v>
      </c>
      <c r="T121" s="3"/>
      <c r="U121" s="3"/>
      <c r="V121" s="3">
        <f>+S121/P121*100</f>
        <v>6.461377573332965</v>
      </c>
    </row>
    <row r="122" spans="19:21" ht="12.75" hidden="1">
      <c r="S122" s="1" t="s">
        <v>1</v>
      </c>
      <c r="T122" s="1"/>
      <c r="U122" s="1"/>
    </row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spans="1:22" ht="12.75" hidden="1">
      <c r="A132" s="47" t="s">
        <v>0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2.75" hidden="1">
      <c r="A133" s="47" t="s">
        <v>47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ht="12.75" hidden="1">
      <c r="V134" s="18">
        <v>39508</v>
      </c>
    </row>
    <row r="135" spans="1:22" ht="25.5" hidden="1">
      <c r="A135" s="5"/>
      <c r="B135" s="6" t="s">
        <v>10</v>
      </c>
      <c r="C135" s="48" t="s">
        <v>11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"/>
      <c r="O135" s="4" t="s">
        <v>2</v>
      </c>
      <c r="P135" s="6" t="s">
        <v>12</v>
      </c>
      <c r="Q135" s="6"/>
      <c r="R135" s="6"/>
      <c r="S135" s="8" t="s">
        <v>43</v>
      </c>
      <c r="T135" s="8"/>
      <c r="U135" s="8"/>
      <c r="V135" s="8" t="s">
        <v>46</v>
      </c>
    </row>
    <row r="136" spans="1:22" ht="12.75" hidden="1">
      <c r="A136" s="4" t="s">
        <v>7</v>
      </c>
      <c r="B136" s="4" t="s">
        <v>1</v>
      </c>
      <c r="C136" s="4" t="s">
        <v>13</v>
      </c>
      <c r="D136" s="4" t="s">
        <v>14</v>
      </c>
      <c r="E136" s="4" t="s">
        <v>15</v>
      </c>
      <c r="F136" s="4" t="s">
        <v>16</v>
      </c>
      <c r="G136" s="4" t="s">
        <v>8</v>
      </c>
      <c r="H136" s="4" t="s">
        <v>17</v>
      </c>
      <c r="I136" s="4" t="s">
        <v>18</v>
      </c>
      <c r="J136" s="4" t="s">
        <v>19</v>
      </c>
      <c r="K136" s="4" t="s">
        <v>20</v>
      </c>
      <c r="L136" s="4" t="s">
        <v>21</v>
      </c>
      <c r="M136" s="4" t="s">
        <v>22</v>
      </c>
      <c r="N136" s="4" t="s">
        <v>23</v>
      </c>
      <c r="O136" s="4"/>
      <c r="P136" s="4"/>
      <c r="Q136" s="4"/>
      <c r="R136" s="4"/>
      <c r="S136" s="4"/>
      <c r="T136" s="4"/>
      <c r="U136" s="4"/>
      <c r="V136" s="4"/>
    </row>
    <row r="137" spans="1:22" ht="12.75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3"/>
      <c r="T137" s="3"/>
      <c r="U137" s="3"/>
      <c r="V137" s="3"/>
    </row>
    <row r="138" spans="1:22" ht="12.75" hidden="1">
      <c r="A138" s="9" t="s">
        <v>24</v>
      </c>
      <c r="B138" s="3">
        <f>+B140+B145</f>
        <v>8163010065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">
        <f>+O140+O145</f>
        <v>1230345600</v>
      </c>
      <c r="P138" s="3">
        <f>+P140+P145</f>
        <v>9393355665</v>
      </c>
      <c r="Q138" s="3">
        <f>+Q140+Q145</f>
        <v>17173426</v>
      </c>
      <c r="R138" s="3"/>
      <c r="S138" s="3">
        <f>+S92+Q138</f>
        <v>381453819</v>
      </c>
      <c r="T138" s="3"/>
      <c r="U138" s="3"/>
      <c r="V138" s="3">
        <f>+S138/P138*100</f>
        <v>4.060889767235275</v>
      </c>
    </row>
    <row r="139" spans="1:22" ht="12.75" hidden="1">
      <c r="A139" s="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3"/>
    </row>
    <row r="140" spans="1:22" ht="12.75" hidden="1">
      <c r="A140" s="7" t="s">
        <v>3</v>
      </c>
      <c r="B140" s="10">
        <f>+B141</f>
        <v>3471300000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0">
        <f>+O141</f>
        <v>0</v>
      </c>
      <c r="P140" s="11">
        <f>+B140+O140</f>
        <v>3471300000</v>
      </c>
      <c r="Q140" s="10">
        <f>+Q141</f>
        <v>0</v>
      </c>
      <c r="R140" s="10"/>
      <c r="S140" s="3">
        <f aca="true" t="shared" si="15" ref="S140:S167">+S94+Q140</f>
        <v>0</v>
      </c>
      <c r="T140" s="3"/>
      <c r="U140" s="3"/>
      <c r="V140" s="3">
        <f>+S140/P140*100</f>
        <v>0</v>
      </c>
    </row>
    <row r="141" spans="1:22" ht="12.75" hidden="1">
      <c r="A141" s="7" t="s">
        <v>25</v>
      </c>
      <c r="B141" s="10">
        <f>+B142+B143</f>
        <v>3471300000</v>
      </c>
      <c r="C141" s="11"/>
      <c r="D141" s="11">
        <v>177520</v>
      </c>
      <c r="E141" s="11"/>
      <c r="F141" s="11">
        <v>165006728</v>
      </c>
      <c r="G141" s="11">
        <v>1414514385</v>
      </c>
      <c r="H141" s="11">
        <v>4948458</v>
      </c>
      <c r="I141" s="11">
        <v>573117327</v>
      </c>
      <c r="J141" s="11">
        <f>139033811-14448995.38</f>
        <v>124584815.62</v>
      </c>
      <c r="K141" s="11">
        <v>93361900</v>
      </c>
      <c r="L141" s="11">
        <v>25720312</v>
      </c>
      <c r="M141" s="11">
        <v>242733948</v>
      </c>
      <c r="N141" s="11">
        <f>65086606+14219504.38-900076.38-6867260+6687809</f>
        <v>78226583</v>
      </c>
      <c r="O141" s="10">
        <f>+O142+O143</f>
        <v>0</v>
      </c>
      <c r="P141" s="11">
        <f>+B141+O141</f>
        <v>3471300000</v>
      </c>
      <c r="Q141" s="10">
        <f>+Q142+Q143</f>
        <v>0</v>
      </c>
      <c r="R141" s="10"/>
      <c r="S141" s="3">
        <f t="shared" si="15"/>
        <v>0</v>
      </c>
      <c r="T141" s="3"/>
      <c r="U141" s="3"/>
      <c r="V141" s="3">
        <f>+S141/P141*100</f>
        <v>0</v>
      </c>
    </row>
    <row r="142" spans="1:22" ht="12.75" hidden="1">
      <c r="A142" s="5" t="s">
        <v>26</v>
      </c>
      <c r="B142" s="11">
        <v>2106300000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+B142+O142</f>
        <v>2106300000</v>
      </c>
      <c r="Q142" s="11">
        <v>0</v>
      </c>
      <c r="R142" s="11"/>
      <c r="S142" s="3">
        <f t="shared" si="15"/>
        <v>0</v>
      </c>
      <c r="T142" s="3"/>
      <c r="U142" s="3"/>
      <c r="V142" s="3">
        <f>+S142/P142*100</f>
        <v>0</v>
      </c>
    </row>
    <row r="143" spans="1:22" ht="12.75" hidden="1">
      <c r="A143" s="5" t="s">
        <v>27</v>
      </c>
      <c r="B143" s="11">
        <v>1365000000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>
        <f>+B143+O143</f>
        <v>1365000000</v>
      </c>
      <c r="Q143" s="11">
        <v>0</v>
      </c>
      <c r="R143" s="11"/>
      <c r="S143" s="3">
        <f t="shared" si="15"/>
        <v>0</v>
      </c>
      <c r="T143" s="3"/>
      <c r="U143" s="3"/>
      <c r="V143" s="3">
        <f>+S143/P143*100</f>
        <v>0</v>
      </c>
    </row>
    <row r="144" spans="1:22" ht="12.75" hidden="1">
      <c r="A144" s="7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 t="s">
        <v>1</v>
      </c>
      <c r="Q144" s="10"/>
      <c r="R144" s="10"/>
      <c r="S144" s="3">
        <f t="shared" si="15"/>
        <v>0</v>
      </c>
      <c r="T144" s="3"/>
      <c r="U144" s="3"/>
      <c r="V144" s="3" t="s">
        <v>1</v>
      </c>
    </row>
    <row r="145" spans="1:22" ht="12.75" hidden="1">
      <c r="A145" s="7" t="s">
        <v>4</v>
      </c>
      <c r="B145" s="10">
        <f>+B146+B147+B156+B157</f>
        <v>4691710065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>
        <f>+O146+O147+O156+O157</f>
        <v>1230345600</v>
      </c>
      <c r="P145" s="10">
        <f>+P146+P147+P156+P157</f>
        <v>5922055665</v>
      </c>
      <c r="Q145" s="10">
        <f>+Q146+Q147+Q156+Q157</f>
        <v>17173426</v>
      </c>
      <c r="R145" s="10"/>
      <c r="S145" s="3">
        <f t="shared" si="15"/>
        <v>381453819</v>
      </c>
      <c r="T145" s="3"/>
      <c r="U145" s="3"/>
      <c r="V145" s="3">
        <f aca="true" t="shared" si="16" ref="V145:V162">+S145/P145*100</f>
        <v>6.44124001154589</v>
      </c>
    </row>
    <row r="146" spans="1:22" ht="12.75" hidden="1">
      <c r="A146" s="7" t="s">
        <v>28</v>
      </c>
      <c r="B146" s="10">
        <v>2752759677</v>
      </c>
      <c r="C146" s="11">
        <v>0</v>
      </c>
      <c r="D146" s="11">
        <v>0</v>
      </c>
      <c r="E146" s="11">
        <v>0</v>
      </c>
      <c r="F146" s="11">
        <v>196495882</v>
      </c>
      <c r="G146" s="11">
        <v>164927418</v>
      </c>
      <c r="H146" s="11">
        <v>262941303</v>
      </c>
      <c r="I146" s="11">
        <v>280282246</v>
      </c>
      <c r="J146" s="11">
        <v>246192273</v>
      </c>
      <c r="K146" s="11">
        <v>308626989</v>
      </c>
      <c r="L146" s="11">
        <v>243645342</v>
      </c>
      <c r="M146" s="11">
        <v>247491577</v>
      </c>
      <c r="N146" s="11">
        <v>165492691</v>
      </c>
      <c r="O146" s="11"/>
      <c r="P146" s="11">
        <f aca="true" t="shared" si="17" ref="P146:P158">+B146+O146</f>
        <v>2752759677</v>
      </c>
      <c r="Q146" s="10">
        <v>0</v>
      </c>
      <c r="R146" s="10"/>
      <c r="S146" s="3">
        <f t="shared" si="15"/>
        <v>0</v>
      </c>
      <c r="T146" s="3"/>
      <c r="U146" s="3"/>
      <c r="V146" s="3">
        <f t="shared" si="16"/>
        <v>0</v>
      </c>
    </row>
    <row r="147" spans="1:22" ht="12.75" hidden="1">
      <c r="A147" s="7" t="s">
        <v>5</v>
      </c>
      <c r="B147" s="10">
        <f>+B148+B152+B153+B154</f>
        <v>1867025388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+O148+O152+O153+O154</f>
        <v>0</v>
      </c>
      <c r="P147" s="11">
        <f t="shared" si="17"/>
        <v>1867025388</v>
      </c>
      <c r="Q147" s="10">
        <f>+Q148+Q152+Q153+Q154</f>
        <v>5959701</v>
      </c>
      <c r="R147" s="10"/>
      <c r="S147" s="3">
        <f t="shared" si="15"/>
        <v>66103674</v>
      </c>
      <c r="T147" s="3"/>
      <c r="U147" s="3"/>
      <c r="V147" s="3">
        <f t="shared" si="16"/>
        <v>3.540587847646344</v>
      </c>
    </row>
    <row r="148" spans="1:22" ht="12.75" hidden="1">
      <c r="A148" s="7" t="s">
        <v>29</v>
      </c>
      <c r="B148" s="10">
        <f>SUM(B149:B151)</f>
        <v>1679125388</v>
      </c>
      <c r="C148" s="11">
        <f>SUM(C149:C151)</f>
        <v>0</v>
      </c>
      <c r="D148" s="11">
        <f aca="true" t="shared" si="18" ref="D148:N148">SUM(D149:D151)</f>
        <v>9764370</v>
      </c>
      <c r="E148" s="11">
        <f t="shared" si="18"/>
        <v>1633088</v>
      </c>
      <c r="F148" s="11">
        <f t="shared" si="18"/>
        <v>9527326</v>
      </c>
      <c r="G148" s="11">
        <f t="shared" si="18"/>
        <v>5166613</v>
      </c>
      <c r="H148" s="11">
        <f t="shared" si="18"/>
        <v>8550758</v>
      </c>
      <c r="I148" s="11">
        <f t="shared" si="18"/>
        <v>19667967</v>
      </c>
      <c r="J148" s="11">
        <f t="shared" si="18"/>
        <v>32121947.88</v>
      </c>
      <c r="K148" s="11">
        <f t="shared" si="18"/>
        <v>57803883</v>
      </c>
      <c r="L148" s="11">
        <f t="shared" si="18"/>
        <v>248550137</v>
      </c>
      <c r="M148" s="11">
        <f t="shared" si="18"/>
        <v>56476839</v>
      </c>
      <c r="N148" s="11">
        <f t="shared" si="18"/>
        <v>203635166</v>
      </c>
      <c r="O148" s="10">
        <f>SUM(O149:O151)</f>
        <v>0</v>
      </c>
      <c r="P148" s="11">
        <f t="shared" si="17"/>
        <v>1679125388</v>
      </c>
      <c r="Q148" s="10">
        <f>SUM(Q149:Q151)</f>
        <v>1407355</v>
      </c>
      <c r="R148" s="10"/>
      <c r="S148" s="3">
        <f t="shared" si="15"/>
        <v>44254917</v>
      </c>
      <c r="T148" s="3"/>
      <c r="U148" s="3"/>
      <c r="V148" s="3">
        <f t="shared" si="16"/>
        <v>2.635593346171239</v>
      </c>
    </row>
    <row r="149" spans="1:22" ht="12.75" hidden="1">
      <c r="A149" s="5" t="s">
        <v>30</v>
      </c>
      <c r="B149" s="11">
        <v>939032888</v>
      </c>
      <c r="C149" s="11">
        <v>0</v>
      </c>
      <c r="D149" s="11">
        <v>9764370</v>
      </c>
      <c r="E149" s="11">
        <v>0</v>
      </c>
      <c r="F149" s="11">
        <f>274606+765092</f>
        <v>1039698</v>
      </c>
      <c r="G149" s="11">
        <v>4660304</v>
      </c>
      <c r="H149" s="11">
        <v>7848958</v>
      </c>
      <c r="I149" s="11">
        <v>15343416</v>
      </c>
      <c r="J149" s="11">
        <v>22521927</v>
      </c>
      <c r="K149" s="11">
        <v>33311437</v>
      </c>
      <c r="L149" s="11">
        <f>309295398-94490110</f>
        <v>214805288</v>
      </c>
      <c r="M149" s="11">
        <v>28836508</v>
      </c>
      <c r="N149" s="11">
        <f>98225097-2027734+2337372</f>
        <v>98534735</v>
      </c>
      <c r="O149" s="11"/>
      <c r="P149" s="11">
        <f t="shared" si="17"/>
        <v>939032888</v>
      </c>
      <c r="Q149" s="11">
        <v>0</v>
      </c>
      <c r="R149" s="11"/>
      <c r="S149" s="3">
        <f t="shared" si="15"/>
        <v>42651562</v>
      </c>
      <c r="T149" s="3"/>
      <c r="U149" s="3"/>
      <c r="V149" s="3">
        <f t="shared" si="16"/>
        <v>4.542073291047501</v>
      </c>
    </row>
    <row r="150" spans="1:22" ht="12.75" hidden="1">
      <c r="A150" s="5" t="s">
        <v>31</v>
      </c>
      <c r="B150" s="11">
        <v>724342500</v>
      </c>
      <c r="C150" s="11"/>
      <c r="D150" s="11">
        <v>0</v>
      </c>
      <c r="E150" s="11">
        <v>0</v>
      </c>
      <c r="F150" s="11">
        <v>0</v>
      </c>
      <c r="G150" s="11">
        <v>0</v>
      </c>
      <c r="H150" s="11">
        <v>25090</v>
      </c>
      <c r="I150" s="11">
        <v>946365</v>
      </c>
      <c r="J150" s="11">
        <v>8764131</v>
      </c>
      <c r="K150" s="11">
        <v>21523596</v>
      </c>
      <c r="L150" s="11">
        <v>33159819</v>
      </c>
      <c r="M150" s="11">
        <v>27504331</v>
      </c>
      <c r="N150" s="11">
        <f>101300092+707323</f>
        <v>102007415</v>
      </c>
      <c r="O150" s="11">
        <v>0</v>
      </c>
      <c r="P150" s="11">
        <f t="shared" si="17"/>
        <v>724342500</v>
      </c>
      <c r="Q150" s="11">
        <v>0</v>
      </c>
      <c r="R150" s="11"/>
      <c r="S150" s="3">
        <f t="shared" si="15"/>
        <v>0</v>
      </c>
      <c r="T150" s="3"/>
      <c r="U150" s="3"/>
      <c r="V150" s="3">
        <f t="shared" si="16"/>
        <v>0</v>
      </c>
    </row>
    <row r="151" spans="1:22" ht="12.75" hidden="1">
      <c r="A151" s="5" t="s">
        <v>32</v>
      </c>
      <c r="B151" s="11">
        <v>15750000</v>
      </c>
      <c r="C151" s="11"/>
      <c r="D151" s="11"/>
      <c r="E151" s="11">
        <v>1633088</v>
      </c>
      <c r="F151" s="11">
        <v>8487628</v>
      </c>
      <c r="G151" s="11">
        <v>506309</v>
      </c>
      <c r="H151" s="11">
        <v>676710</v>
      </c>
      <c r="I151" s="11">
        <v>3378186</v>
      </c>
      <c r="J151" s="11">
        <f>628640+207249.88</f>
        <v>835889.88</v>
      </c>
      <c r="K151" s="11">
        <v>2968850</v>
      </c>
      <c r="L151" s="11">
        <v>585030</v>
      </c>
      <c r="M151" s="11">
        <v>136000</v>
      </c>
      <c r="N151" s="11">
        <f>22300706.88-19207690.88</f>
        <v>3093016</v>
      </c>
      <c r="O151" s="11"/>
      <c r="P151" s="11">
        <f t="shared" si="17"/>
        <v>15750000</v>
      </c>
      <c r="Q151" s="11">
        <v>1407355</v>
      </c>
      <c r="R151" s="11"/>
      <c r="S151" s="3">
        <f t="shared" si="15"/>
        <v>1603355</v>
      </c>
      <c r="T151" s="3"/>
      <c r="U151" s="3"/>
      <c r="V151" s="3">
        <f t="shared" si="16"/>
        <v>10.180031746031746</v>
      </c>
    </row>
    <row r="152" spans="1:22" ht="12.75" hidden="1">
      <c r="A152" s="7" t="s">
        <v>33</v>
      </c>
      <c r="B152" s="10">
        <v>65100000</v>
      </c>
      <c r="C152" s="11">
        <v>426256</v>
      </c>
      <c r="D152" s="11">
        <v>177520</v>
      </c>
      <c r="E152" s="11">
        <v>815304</v>
      </c>
      <c r="F152" s="11">
        <v>1044670</v>
      </c>
      <c r="G152" s="11">
        <v>210000</v>
      </c>
      <c r="H152" s="11">
        <v>497000</v>
      </c>
      <c r="I152" s="11">
        <v>1908400</v>
      </c>
      <c r="J152" s="11">
        <v>2080000</v>
      </c>
      <c r="K152" s="11">
        <v>1960300</v>
      </c>
      <c r="L152" s="11">
        <v>1071750</v>
      </c>
      <c r="M152" s="11">
        <v>486631</v>
      </c>
      <c r="N152" s="11">
        <v>3040000</v>
      </c>
      <c r="O152" s="11"/>
      <c r="P152" s="11">
        <f t="shared" si="17"/>
        <v>65100000</v>
      </c>
      <c r="Q152" s="10">
        <v>2626000</v>
      </c>
      <c r="R152" s="10"/>
      <c r="S152" s="3">
        <f t="shared" si="15"/>
        <v>4068610</v>
      </c>
      <c r="T152" s="3"/>
      <c r="U152" s="3"/>
      <c r="V152" s="3">
        <f t="shared" si="16"/>
        <v>6.249784946236559</v>
      </c>
    </row>
    <row r="153" spans="1:22" ht="12.75" hidden="1">
      <c r="A153" s="7" t="s">
        <v>34</v>
      </c>
      <c r="B153" s="10">
        <v>1000000</v>
      </c>
      <c r="C153" s="11">
        <v>7540000</v>
      </c>
      <c r="D153" s="11"/>
      <c r="E153" s="11"/>
      <c r="F153" s="11"/>
      <c r="G153" s="11"/>
      <c r="H153" s="11"/>
      <c r="I153" s="11">
        <v>294000</v>
      </c>
      <c r="J153" s="11"/>
      <c r="K153" s="11"/>
      <c r="L153" s="11">
        <v>29000</v>
      </c>
      <c r="M153" s="11"/>
      <c r="N153" s="11"/>
      <c r="O153" s="11"/>
      <c r="P153" s="11">
        <f t="shared" si="17"/>
        <v>1000000</v>
      </c>
      <c r="Q153" s="10">
        <v>0</v>
      </c>
      <c r="R153" s="10"/>
      <c r="S153" s="3">
        <f t="shared" si="15"/>
        <v>0</v>
      </c>
      <c r="T153" s="3"/>
      <c r="U153" s="3"/>
      <c r="V153" s="3">
        <f t="shared" si="16"/>
        <v>0</v>
      </c>
    </row>
    <row r="154" spans="1:22" ht="12.75" hidden="1">
      <c r="A154" s="7" t="s">
        <v>35</v>
      </c>
      <c r="B154" s="10">
        <f aca="true" t="shared" si="19" ref="B154:O154">SUM(B155:B155)</f>
        <v>121800000</v>
      </c>
      <c r="C154" s="11">
        <f t="shared" si="19"/>
        <v>4768052</v>
      </c>
      <c r="D154" s="11">
        <f t="shared" si="19"/>
        <v>8290086</v>
      </c>
      <c r="E154" s="11">
        <f t="shared" si="19"/>
        <v>10672897</v>
      </c>
      <c r="F154" s="11">
        <f t="shared" si="19"/>
        <v>13361106</v>
      </c>
      <c r="G154" s="11">
        <f t="shared" si="19"/>
        <v>5435392</v>
      </c>
      <c r="H154" s="11">
        <f t="shared" si="19"/>
        <v>6359364</v>
      </c>
      <c r="I154" s="11">
        <f t="shared" si="19"/>
        <v>17667466</v>
      </c>
      <c r="J154" s="11">
        <f t="shared" si="19"/>
        <v>22629676</v>
      </c>
      <c r="K154" s="11">
        <f t="shared" si="19"/>
        <v>24318846</v>
      </c>
      <c r="L154" s="11">
        <f t="shared" si="19"/>
        <v>14234424</v>
      </c>
      <c r="M154" s="11">
        <f t="shared" si="19"/>
        <v>14378768</v>
      </c>
      <c r="N154" s="11">
        <f t="shared" si="19"/>
        <v>23388888</v>
      </c>
      <c r="O154" s="10">
        <f t="shared" si="19"/>
        <v>0</v>
      </c>
      <c r="P154" s="11">
        <f t="shared" si="17"/>
        <v>121800000</v>
      </c>
      <c r="Q154" s="10">
        <f>SUM(Q155:Q155)</f>
        <v>1926346</v>
      </c>
      <c r="R154" s="10"/>
      <c r="S154" s="3">
        <f t="shared" si="15"/>
        <v>17780147</v>
      </c>
      <c r="T154" s="3"/>
      <c r="U154" s="3"/>
      <c r="V154" s="3">
        <f t="shared" si="16"/>
        <v>14.59782183908046</v>
      </c>
    </row>
    <row r="155" spans="1:22" ht="12.75" hidden="1">
      <c r="A155" s="5" t="s">
        <v>36</v>
      </c>
      <c r="B155" s="11">
        <v>121800000</v>
      </c>
      <c r="C155" s="11">
        <v>4768052</v>
      </c>
      <c r="D155" s="11">
        <v>8290086</v>
      </c>
      <c r="E155" s="11">
        <v>10672897</v>
      </c>
      <c r="F155" s="11">
        <v>13361106</v>
      </c>
      <c r="G155" s="11">
        <v>5435392</v>
      </c>
      <c r="H155" s="11">
        <v>6359364</v>
      </c>
      <c r="I155" s="11">
        <v>17667466</v>
      </c>
      <c r="J155" s="11">
        <f>15777671+6852005</f>
        <v>22629676</v>
      </c>
      <c r="K155" s="11">
        <v>24318846</v>
      </c>
      <c r="L155" s="11">
        <v>14234424</v>
      </c>
      <c r="M155" s="11">
        <f>14378768</f>
        <v>14378768</v>
      </c>
      <c r="N155" s="11">
        <f>165504965-142116077</f>
        <v>23388888</v>
      </c>
      <c r="O155" s="11"/>
      <c r="P155" s="11">
        <f t="shared" si="17"/>
        <v>121800000</v>
      </c>
      <c r="Q155" s="11">
        <f>1700050+226296</f>
        <v>1926346</v>
      </c>
      <c r="R155" s="11"/>
      <c r="S155" s="3">
        <f t="shared" si="15"/>
        <v>17780147</v>
      </c>
      <c r="T155" s="3"/>
      <c r="U155" s="3"/>
      <c r="V155" s="3">
        <f t="shared" si="16"/>
        <v>14.59782183908046</v>
      </c>
    </row>
    <row r="156" spans="1:22" ht="12.75" hidden="1">
      <c r="A156" s="7" t="s">
        <v>37</v>
      </c>
      <c r="B156" s="10">
        <v>71925000</v>
      </c>
      <c r="C156" s="11" t="e">
        <f>SUM(#REF!)</f>
        <v>#REF!</v>
      </c>
      <c r="D156" s="11" t="e">
        <f>SUM(#REF!)</f>
        <v>#REF!</v>
      </c>
      <c r="E156" s="11" t="e">
        <f>SUM(#REF!)</f>
        <v>#REF!</v>
      </c>
      <c r="F156" s="11" t="e">
        <f>SUM(#REF!)</f>
        <v>#REF!</v>
      </c>
      <c r="G156" s="11" t="e">
        <f>SUM(#REF!)</f>
        <v>#REF!</v>
      </c>
      <c r="H156" s="11" t="e">
        <f>SUM(#REF!)</f>
        <v>#REF!</v>
      </c>
      <c r="I156" s="11" t="e">
        <f>SUM(#REF!)</f>
        <v>#REF!</v>
      </c>
      <c r="J156" s="11" t="e">
        <f>SUM(#REF!)</f>
        <v>#REF!</v>
      </c>
      <c r="K156" s="11" t="e">
        <f>SUM(#REF!)</f>
        <v>#REF!</v>
      </c>
      <c r="L156" s="11" t="e">
        <f>SUM(#REF!)</f>
        <v>#REF!</v>
      </c>
      <c r="M156" s="11" t="e">
        <f>SUM(#REF!)</f>
        <v>#REF!</v>
      </c>
      <c r="N156" s="11" t="e">
        <f>SUM(#REF!)</f>
        <v>#REF!</v>
      </c>
      <c r="O156" s="10">
        <v>0</v>
      </c>
      <c r="P156" s="11">
        <f t="shared" si="17"/>
        <v>71925000</v>
      </c>
      <c r="Q156" s="11">
        <f>9149042+2626000-561317</f>
        <v>11213725</v>
      </c>
      <c r="R156" s="11"/>
      <c r="S156" s="3">
        <f t="shared" si="15"/>
        <v>13258030</v>
      </c>
      <c r="T156" s="3"/>
      <c r="U156" s="3"/>
      <c r="V156" s="3">
        <f t="shared" si="16"/>
        <v>18.433131734445602</v>
      </c>
    </row>
    <row r="157" spans="1:22" ht="12.75" hidden="1">
      <c r="A157" s="7" t="s">
        <v>44</v>
      </c>
      <c r="B157" s="10">
        <f>+B158</f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>
        <f>+O158</f>
        <v>1230345600</v>
      </c>
      <c r="P157" s="11">
        <f t="shared" si="17"/>
        <v>1230345600</v>
      </c>
      <c r="Q157" s="10">
        <f>+Q158</f>
        <v>0</v>
      </c>
      <c r="R157" s="10"/>
      <c r="S157" s="3">
        <f t="shared" si="15"/>
        <v>302092115</v>
      </c>
      <c r="T157" s="3"/>
      <c r="U157" s="3"/>
      <c r="V157" s="3">
        <f t="shared" si="16"/>
        <v>24.553435636296015</v>
      </c>
    </row>
    <row r="158" spans="1:22" ht="12.75" hidden="1">
      <c r="A158" s="7" t="s">
        <v>45</v>
      </c>
      <c r="B158" s="1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>
        <v>1230345600</v>
      </c>
      <c r="P158" s="11">
        <f t="shared" si="17"/>
        <v>1230345600</v>
      </c>
      <c r="Q158" s="10">
        <v>0</v>
      </c>
      <c r="R158" s="10"/>
      <c r="S158" s="3">
        <f t="shared" si="15"/>
        <v>0</v>
      </c>
      <c r="T158" s="3"/>
      <c r="U158" s="3"/>
      <c r="V158" s="3">
        <f t="shared" si="16"/>
        <v>0</v>
      </c>
    </row>
    <row r="159" spans="1:22" ht="12.75" hidden="1">
      <c r="A159" s="7" t="s">
        <v>38</v>
      </c>
      <c r="B159" s="10">
        <f>+B160+B161+B162</f>
        <v>1914146055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+O160+O161+O162</f>
        <v>737744285</v>
      </c>
      <c r="P159" s="11">
        <f>+B159+O159</f>
        <v>2651890340</v>
      </c>
      <c r="Q159" s="10">
        <f>+Q160+Q161+Q162</f>
        <v>135231165</v>
      </c>
      <c r="R159" s="10"/>
      <c r="S159" s="3">
        <f t="shared" si="15"/>
        <v>797901754</v>
      </c>
      <c r="T159" s="3"/>
      <c r="U159" s="3"/>
      <c r="V159" s="3">
        <f t="shared" si="16"/>
        <v>30.088037275327157</v>
      </c>
    </row>
    <row r="160" spans="1:22" ht="12.75" hidden="1">
      <c r="A160" s="7" t="s">
        <v>6</v>
      </c>
      <c r="B160" s="10">
        <v>70000000</v>
      </c>
      <c r="C160" s="11">
        <v>898886</v>
      </c>
      <c r="D160" s="11">
        <f>4306726+216132</f>
        <v>4522858</v>
      </c>
      <c r="E160" s="11">
        <f>751140+23292827</f>
        <v>24043967</v>
      </c>
      <c r="F160" s="11">
        <v>8452240</v>
      </c>
      <c r="G160" s="11">
        <v>4422172</v>
      </c>
      <c r="H160" s="11">
        <f>7484642+234363</f>
        <v>7719005</v>
      </c>
      <c r="I160" s="11">
        <f>102855+5416914</f>
        <v>5519769</v>
      </c>
      <c r="J160" s="11">
        <f>6098966+444960+3514791+65855</f>
        <v>10124572</v>
      </c>
      <c r="K160" s="11">
        <f>191152+1348022+3219820.01</f>
        <v>4758994.01</v>
      </c>
      <c r="L160" s="11">
        <f>350566+9695840</f>
        <v>10046406</v>
      </c>
      <c r="M160" s="11">
        <f>579536+7833208+436291+345639</f>
        <v>9194674</v>
      </c>
      <c r="N160" s="11">
        <f>112132152.5-89703543.01</f>
        <v>22428609.489999995</v>
      </c>
      <c r="O160" s="11"/>
      <c r="P160" s="11">
        <f>+B160+O160</f>
        <v>70000000</v>
      </c>
      <c r="Q160" s="10">
        <f>186250+193716+14920066</f>
        <v>15300032</v>
      </c>
      <c r="R160" s="10"/>
      <c r="S160" s="3">
        <f t="shared" si="15"/>
        <v>26204781</v>
      </c>
      <c r="T160" s="3"/>
      <c r="U160" s="3"/>
      <c r="V160" s="3">
        <f t="shared" si="16"/>
        <v>37.43540142857143</v>
      </c>
    </row>
    <row r="161" spans="1:22" ht="12.75" hidden="1">
      <c r="A161" s="7" t="s">
        <v>9</v>
      </c>
      <c r="B161" s="10">
        <v>0</v>
      </c>
      <c r="C161" s="11"/>
      <c r="D161" s="11"/>
      <c r="E161" s="11"/>
      <c r="F161" s="11">
        <f>+B161</f>
        <v>0</v>
      </c>
      <c r="G161" s="11"/>
      <c r="H161" s="11"/>
      <c r="I161" s="11"/>
      <c r="J161" s="11"/>
      <c r="K161" s="11"/>
      <c r="L161" s="11"/>
      <c r="M161" s="11"/>
      <c r="N161" s="11"/>
      <c r="O161" s="11">
        <v>737744285</v>
      </c>
      <c r="P161" s="11">
        <f>+B161+O161</f>
        <v>737744285</v>
      </c>
      <c r="Q161" s="11">
        <v>0</v>
      </c>
      <c r="R161" s="11"/>
      <c r="S161" s="3">
        <f t="shared" si="15"/>
        <v>0</v>
      </c>
      <c r="T161" s="3"/>
      <c r="U161" s="3"/>
      <c r="V161" s="3">
        <f t="shared" si="16"/>
        <v>0</v>
      </c>
    </row>
    <row r="162" spans="1:22" ht="12.75" hidden="1">
      <c r="A162" s="7" t="s">
        <v>39</v>
      </c>
      <c r="B162" s="10">
        <v>1844146055</v>
      </c>
      <c r="C162" s="11" t="e">
        <f>+#REF!+#REF!</f>
        <v>#REF!</v>
      </c>
      <c r="D162" s="11" t="e">
        <f>+#REF!+#REF!</f>
        <v>#REF!</v>
      </c>
      <c r="E162" s="11" t="e">
        <f>+#REF!+#REF!</f>
        <v>#REF!</v>
      </c>
      <c r="F162" s="11" t="e">
        <f>+#REF!+#REF!</f>
        <v>#REF!</v>
      </c>
      <c r="G162" s="11" t="e">
        <f>+#REF!+#REF!</f>
        <v>#REF!</v>
      </c>
      <c r="H162" s="11" t="e">
        <f>+#REF!+#REF!</f>
        <v>#REF!</v>
      </c>
      <c r="I162" s="11" t="e">
        <f>+#REF!+#REF!</f>
        <v>#REF!</v>
      </c>
      <c r="J162" s="11" t="e">
        <f>+#REF!+#REF!</f>
        <v>#REF!</v>
      </c>
      <c r="K162" s="11" t="e">
        <f>+#REF!+#REF!</f>
        <v>#REF!</v>
      </c>
      <c r="L162" s="11" t="e">
        <f>+#REF!+#REF!</f>
        <v>#REF!</v>
      </c>
      <c r="M162" s="11" t="e">
        <f>+#REF!+#REF!</f>
        <v>#REF!</v>
      </c>
      <c r="N162" s="11" t="e">
        <f>+#REF!+#REF!</f>
        <v>#REF!</v>
      </c>
      <c r="O162" s="10">
        <v>0</v>
      </c>
      <c r="P162" s="11">
        <f>+B162+O162</f>
        <v>1844146055</v>
      </c>
      <c r="Q162" s="10">
        <f>103930015+16001118</f>
        <v>119931133</v>
      </c>
      <c r="R162" s="10"/>
      <c r="S162" s="3">
        <f t="shared" si="15"/>
        <v>771696973</v>
      </c>
      <c r="T162" s="3"/>
      <c r="U162" s="3"/>
      <c r="V162" s="3">
        <f t="shared" si="16"/>
        <v>41.84576221106305</v>
      </c>
    </row>
    <row r="163" spans="1:22" ht="12.75" hidden="1">
      <c r="A163" s="5"/>
      <c r="B163" s="11"/>
      <c r="C163" s="11"/>
      <c r="D163" s="11"/>
      <c r="E163" s="11" t="s">
        <v>1</v>
      </c>
      <c r="F163" s="11" t="s">
        <v>1</v>
      </c>
      <c r="G163" s="11" t="s">
        <v>1</v>
      </c>
      <c r="H163" s="11" t="s">
        <v>1</v>
      </c>
      <c r="I163" s="11" t="s">
        <v>1</v>
      </c>
      <c r="J163" s="11" t="s">
        <v>1</v>
      </c>
      <c r="K163" s="11" t="s">
        <v>1</v>
      </c>
      <c r="L163" s="11" t="s">
        <v>1</v>
      </c>
      <c r="M163" s="11" t="s">
        <v>1</v>
      </c>
      <c r="N163" s="11" t="s">
        <v>1</v>
      </c>
      <c r="O163" s="11"/>
      <c r="P163" s="11" t="s">
        <v>1</v>
      </c>
      <c r="Q163" s="11" t="s">
        <v>1</v>
      </c>
      <c r="R163" s="11"/>
      <c r="S163" s="3" t="s">
        <v>1</v>
      </c>
      <c r="T163" s="3"/>
      <c r="U163" s="3"/>
      <c r="V163" s="3" t="s">
        <v>1</v>
      </c>
    </row>
    <row r="164" spans="1:22" ht="12.75" hidden="1">
      <c r="A164" s="7" t="s">
        <v>40</v>
      </c>
      <c r="B164" s="10">
        <f>+B138+B159</f>
        <v>10077156120</v>
      </c>
      <c r="C164" s="10" t="e">
        <f>+C141+C146+C148+C152+C153+C154+C156+#REF!+#REF!+C160+C161+C162+#REF!</f>
        <v>#REF!</v>
      </c>
      <c r="D164" s="10" t="e">
        <f>+D141+D146+D148+D152+D153+D154+D156+#REF!+#REF!+D160+D161+D162+#REF!</f>
        <v>#REF!</v>
      </c>
      <c r="E164" s="10" t="e">
        <f>+E141+E146+E148+E152+E153+E154+E156+#REF!+#REF!+E160+E161+E162+#REF!</f>
        <v>#REF!</v>
      </c>
      <c r="F164" s="10" t="e">
        <f>+F141+F146+F148+F152+F153+F154+F156+#REF!+#REF!+F160+F161+F162+#REF!</f>
        <v>#REF!</v>
      </c>
      <c r="G164" s="10" t="e">
        <f>+G141+G146+G148+G152+G153+G154+G156+#REF!+#REF!+G160+G161+G162+#REF!</f>
        <v>#REF!</v>
      </c>
      <c r="H164" s="10" t="e">
        <f>+H141+H146+H148+H152+H153+H154+H156+#REF!+#REF!+H160+H161+H162+#REF!</f>
        <v>#REF!</v>
      </c>
      <c r="I164" s="10" t="e">
        <f>+I141+I146+I148+I152+I153+I154+I156+#REF!+#REF!+I160+I161+I162+#REF!</f>
        <v>#REF!</v>
      </c>
      <c r="J164" s="10" t="e">
        <f>+J141+J146+J148+J152+J153+J154+J156+#REF!+#REF!+J160+J161+J162+#REF!</f>
        <v>#REF!</v>
      </c>
      <c r="K164" s="10" t="e">
        <f>+K141+K146+K148+K152+K153+K154+K156+#REF!+#REF!+K160+K161+K162+#REF!</f>
        <v>#REF!</v>
      </c>
      <c r="L164" s="10" t="e">
        <f>+L141+L146+L148+L152+L153+L154+L156+#REF!+#REF!+L160+L161+L162+#REF!</f>
        <v>#REF!</v>
      </c>
      <c r="M164" s="10" t="e">
        <f>+M141+M146+M148+M152+M153+M154+M156+#REF!+#REF!+M160+M161+M162+#REF!</f>
        <v>#REF!</v>
      </c>
      <c r="N164" s="10" t="e">
        <f>+N141+N146+N148+N152+N153+N154+N156+#REF!+#REF!+N160+N161+N162+#REF!</f>
        <v>#REF!</v>
      </c>
      <c r="O164" s="10">
        <f>+O138+O159</f>
        <v>1968089885</v>
      </c>
      <c r="P164" s="10">
        <f>+P138+P159</f>
        <v>12045246005</v>
      </c>
      <c r="Q164" s="16">
        <f>+Q138+Q159</f>
        <v>152404591</v>
      </c>
      <c r="R164" s="16"/>
      <c r="S164" s="3">
        <f t="shared" si="15"/>
        <v>877263458</v>
      </c>
      <c r="T164" s="3"/>
      <c r="U164" s="3"/>
      <c r="V164" s="3">
        <f>+S164/P164*100</f>
        <v>7.2830680057165</v>
      </c>
    </row>
    <row r="165" spans="1:22" ht="12.75" hidden="1">
      <c r="A165" s="7" t="s">
        <v>41</v>
      </c>
      <c r="B165" s="11">
        <f>+B119</f>
        <v>1334597240</v>
      </c>
      <c r="O165">
        <v>0</v>
      </c>
      <c r="P165" s="1">
        <f>+B165+O165</f>
        <v>1334597240</v>
      </c>
      <c r="Q165" s="1">
        <v>92515475</v>
      </c>
      <c r="R165" s="1"/>
      <c r="S165" s="3">
        <f t="shared" si="15"/>
        <v>184510355</v>
      </c>
      <c r="T165" s="3"/>
      <c r="U165" s="3"/>
      <c r="V165" s="3">
        <f>+S165/P165*100</f>
        <v>13.82517133034083</v>
      </c>
    </row>
    <row r="166" spans="2:22" ht="12.75" hidden="1">
      <c r="B166" s="1" t="s">
        <v>1</v>
      </c>
      <c r="O166" s="1" t="s">
        <v>1</v>
      </c>
      <c r="Q166" s="1"/>
      <c r="R166" s="1"/>
      <c r="S166" s="3" t="s">
        <v>1</v>
      </c>
      <c r="T166" s="3"/>
      <c r="U166" s="3"/>
      <c r="V166" s="3" t="s">
        <v>1</v>
      </c>
    </row>
    <row r="167" spans="1:22" ht="12.75" hidden="1">
      <c r="A167" s="7" t="s">
        <v>42</v>
      </c>
      <c r="B167" s="16">
        <f>+B164+B165</f>
        <v>11411753360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6">
        <f>+O164+O165</f>
        <v>1968089885</v>
      </c>
      <c r="P167" s="16">
        <f>+P164+P165</f>
        <v>13379843245</v>
      </c>
      <c r="Q167" s="16">
        <f>+Q164+Q165</f>
        <v>244920066</v>
      </c>
      <c r="R167" s="16"/>
      <c r="S167" s="3">
        <f t="shared" si="15"/>
        <v>1061773813</v>
      </c>
      <c r="T167" s="3"/>
      <c r="U167" s="3"/>
      <c r="V167" s="3">
        <f>+S167/P167*100</f>
        <v>7.935622215878957</v>
      </c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spans="1:22" ht="12.75" hidden="1">
      <c r="A178" s="47" t="s">
        <v>0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2.75" hidden="1">
      <c r="A179" s="47" t="s">
        <v>47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ht="12.75" hidden="1">
      <c r="V180" s="18">
        <v>39569</v>
      </c>
    </row>
    <row r="181" spans="1:22" ht="25.5" hidden="1">
      <c r="A181" s="5"/>
      <c r="B181" s="6" t="s">
        <v>10</v>
      </c>
      <c r="C181" s="48" t="s">
        <v>11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5"/>
      <c r="O181" s="4" t="s">
        <v>2</v>
      </c>
      <c r="P181" s="6" t="s">
        <v>12</v>
      </c>
      <c r="Q181" s="6"/>
      <c r="R181" s="6"/>
      <c r="S181" s="8" t="s">
        <v>43</v>
      </c>
      <c r="T181" s="8"/>
      <c r="U181" s="8"/>
      <c r="V181" s="8" t="s">
        <v>46</v>
      </c>
    </row>
    <row r="182" spans="1:22" ht="12.75" hidden="1">
      <c r="A182" s="4" t="s">
        <v>7</v>
      </c>
      <c r="B182" s="4" t="s">
        <v>1</v>
      </c>
      <c r="C182" s="4" t="s">
        <v>13</v>
      </c>
      <c r="D182" s="4" t="s">
        <v>14</v>
      </c>
      <c r="E182" s="4" t="s">
        <v>15</v>
      </c>
      <c r="F182" s="4" t="s">
        <v>16</v>
      </c>
      <c r="G182" s="4" t="s">
        <v>8</v>
      </c>
      <c r="H182" s="4" t="s">
        <v>17</v>
      </c>
      <c r="I182" s="4" t="s">
        <v>18</v>
      </c>
      <c r="J182" s="4" t="s">
        <v>19</v>
      </c>
      <c r="K182" s="4" t="s">
        <v>20</v>
      </c>
      <c r="L182" s="4" t="s">
        <v>21</v>
      </c>
      <c r="M182" s="4" t="s">
        <v>22</v>
      </c>
      <c r="N182" s="4" t="s">
        <v>23</v>
      </c>
      <c r="O182" s="4"/>
      <c r="P182" s="4"/>
      <c r="Q182" s="4"/>
      <c r="R182" s="4"/>
      <c r="S182" s="4"/>
      <c r="T182" s="4"/>
      <c r="U182" s="4"/>
      <c r="V182" s="4"/>
    </row>
    <row r="183" spans="1:22" ht="12.75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3"/>
      <c r="T183" s="3"/>
      <c r="U183" s="3"/>
      <c r="V183" s="3"/>
    </row>
    <row r="184" spans="1:22" ht="12.75" hidden="1">
      <c r="A184" s="9" t="s">
        <v>24</v>
      </c>
      <c r="B184" s="3">
        <f>+B186+B191</f>
        <v>8163010065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>
        <f>+O186+O191</f>
        <v>1230345600</v>
      </c>
      <c r="P184" s="3">
        <f>+P186+P191</f>
        <v>9393355665</v>
      </c>
      <c r="Q184" s="3">
        <f>+Q186+Q191</f>
        <v>434201532</v>
      </c>
      <c r="R184" s="3"/>
      <c r="S184" s="3">
        <f>+S7+Q184</f>
        <v>3367469866.49</v>
      </c>
      <c r="T184" s="3"/>
      <c r="U184" s="3"/>
      <c r="V184" s="3">
        <f>+S184/P184*100</f>
        <v>35.84948751634435</v>
      </c>
    </row>
    <row r="185" spans="1:22" ht="12.75" hidden="1">
      <c r="A185" s="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3" t="e">
        <f>+S8+Q185</f>
        <v>#VALUE!</v>
      </c>
      <c r="T185" s="3"/>
      <c r="U185" s="3"/>
      <c r="V185" s="3"/>
    </row>
    <row r="186" spans="1:22" ht="12.75" hidden="1">
      <c r="A186" s="7" t="s">
        <v>3</v>
      </c>
      <c r="B186" s="10">
        <f>+B187</f>
        <v>3471300000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0">
        <f>+O187</f>
        <v>0</v>
      </c>
      <c r="P186" s="11">
        <f>+B186+O186</f>
        <v>3471300000</v>
      </c>
      <c r="Q186" s="10">
        <f>+Q187</f>
        <v>75059253</v>
      </c>
      <c r="R186" s="10"/>
      <c r="S186" s="3">
        <f>+S9+Q186</f>
        <v>2346359724.85</v>
      </c>
      <c r="T186" s="3"/>
      <c r="U186" s="3"/>
      <c r="V186" s="3">
        <f>+S186/P186*100</f>
        <v>67.5931128064414</v>
      </c>
    </row>
    <row r="187" spans="1:22" ht="12.75" hidden="1">
      <c r="A187" s="7" t="s">
        <v>25</v>
      </c>
      <c r="B187" s="10">
        <f>+B188+B189</f>
        <v>3471300000</v>
      </c>
      <c r="C187" s="11"/>
      <c r="D187" s="11">
        <v>177520</v>
      </c>
      <c r="E187" s="11"/>
      <c r="F187" s="11">
        <v>165006728</v>
      </c>
      <c r="G187" s="11">
        <v>1414514385</v>
      </c>
      <c r="H187" s="11">
        <v>4948458</v>
      </c>
      <c r="I187" s="11">
        <v>573117327</v>
      </c>
      <c r="J187" s="11">
        <f>139033811-14448995.38</f>
        <v>124584815.62</v>
      </c>
      <c r="K187" s="11">
        <v>93361900</v>
      </c>
      <c r="L187" s="11">
        <v>25720312</v>
      </c>
      <c r="M187" s="11">
        <v>242733948</v>
      </c>
      <c r="N187" s="11">
        <f>65086606+14219504.38-900076.38-6867260+6687809</f>
        <v>78226583</v>
      </c>
      <c r="O187" s="10">
        <f>+O188+O189</f>
        <v>0</v>
      </c>
      <c r="P187" s="11">
        <f>+B187+O187</f>
        <v>3471300000</v>
      </c>
      <c r="Q187" s="10">
        <f>+Q188+Q189</f>
        <v>75059253</v>
      </c>
      <c r="R187" s="10"/>
      <c r="S187" s="3">
        <f>+S10+Q187</f>
        <v>2346359724.85</v>
      </c>
      <c r="T187" s="3"/>
      <c r="U187" s="3"/>
      <c r="V187" s="3">
        <f>+S187/P187*100</f>
        <v>67.5931128064414</v>
      </c>
    </row>
    <row r="188" spans="1:22" ht="12.75" hidden="1">
      <c r="A188" s="5" t="s">
        <v>26</v>
      </c>
      <c r="B188" s="11">
        <v>2106300000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>
        <f>+B188+O188</f>
        <v>2106300000</v>
      </c>
      <c r="Q188" s="11">
        <v>0</v>
      </c>
      <c r="R188" s="11"/>
      <c r="S188" s="3">
        <f>+S11+Q188</f>
        <v>1546425752.85</v>
      </c>
      <c r="T188" s="3"/>
      <c r="U188" s="3"/>
      <c r="V188" s="3">
        <f>+S188/P188*100</f>
        <v>73.4190643711722</v>
      </c>
    </row>
    <row r="189" spans="1:22" ht="12.75" hidden="1">
      <c r="A189" s="5" t="s">
        <v>27</v>
      </c>
      <c r="B189" s="11">
        <v>1365000000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>
        <f>+B189+O189</f>
        <v>1365000000</v>
      </c>
      <c r="Q189" s="11">
        <v>75059253</v>
      </c>
      <c r="R189" s="11"/>
      <c r="S189" s="3">
        <f>+S12+Q189</f>
        <v>799933972</v>
      </c>
      <c r="T189" s="3"/>
      <c r="U189" s="3"/>
      <c r="V189" s="3">
        <f>+S189/P189*100</f>
        <v>58.603221391941396</v>
      </c>
    </row>
    <row r="190" spans="1:22" ht="12.75" hidden="1">
      <c r="A190" s="7"/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 t="s">
        <v>1</v>
      </c>
      <c r="Q190" s="10"/>
      <c r="R190" s="10"/>
      <c r="S190" s="3" t="e">
        <f>+S13+Q190</f>
        <v>#VALUE!</v>
      </c>
      <c r="T190" s="3"/>
      <c r="U190" s="3"/>
      <c r="V190" s="3" t="s">
        <v>1</v>
      </c>
    </row>
    <row r="191" spans="1:22" ht="12.75" hidden="1">
      <c r="A191" s="7" t="s">
        <v>4</v>
      </c>
      <c r="B191" s="10">
        <f>+B192+B193+B202+B203</f>
        <v>4691710065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>
        <f>+O192+O193+O202+O203</f>
        <v>1230345600</v>
      </c>
      <c r="P191" s="10">
        <f>+P192+P193+P202+P203</f>
        <v>5922055665</v>
      </c>
      <c r="Q191" s="10">
        <f>+Q192+Q193+Q202+Q203</f>
        <v>359142279</v>
      </c>
      <c r="R191" s="10"/>
      <c r="S191" s="3">
        <f>+S14+Q191</f>
        <v>1021110141.64</v>
      </c>
      <c r="T191" s="3"/>
      <c r="U191" s="3"/>
      <c r="V191" s="3">
        <f aca="true" t="shared" si="20" ref="V191:V209">+S191/P191*100</f>
        <v>17.24249482616101</v>
      </c>
    </row>
    <row r="192" spans="1:22" ht="12.75" hidden="1">
      <c r="A192" s="7" t="s">
        <v>28</v>
      </c>
      <c r="B192" s="10">
        <v>2752759677</v>
      </c>
      <c r="C192" s="11">
        <v>0</v>
      </c>
      <c r="D192" s="11">
        <v>0</v>
      </c>
      <c r="E192" s="11">
        <v>0</v>
      </c>
      <c r="F192" s="11">
        <v>196495882</v>
      </c>
      <c r="G192" s="11">
        <v>164927418</v>
      </c>
      <c r="H192" s="11">
        <v>262941303</v>
      </c>
      <c r="I192" s="11">
        <v>280282246</v>
      </c>
      <c r="J192" s="11">
        <v>246192273</v>
      </c>
      <c r="K192" s="11">
        <v>308626989</v>
      </c>
      <c r="L192" s="11">
        <v>243645342</v>
      </c>
      <c r="M192" s="11">
        <v>247491577</v>
      </c>
      <c r="N192" s="11">
        <v>165492691</v>
      </c>
      <c r="O192" s="11"/>
      <c r="P192" s="11">
        <f aca="true" t="shared" si="21" ref="P192:P205">+B192+O192</f>
        <v>2752759677</v>
      </c>
      <c r="Q192" s="10">
        <v>129152073</v>
      </c>
      <c r="R192" s="10"/>
      <c r="S192" s="3">
        <f>+S15+Q192</f>
        <v>688354594</v>
      </c>
      <c r="T192" s="3"/>
      <c r="U192" s="3"/>
      <c r="V192" s="3">
        <f t="shared" si="20"/>
        <v>25.005982169507057</v>
      </c>
    </row>
    <row r="193" spans="1:22" ht="12.75" hidden="1">
      <c r="A193" s="7" t="s">
        <v>5</v>
      </c>
      <c r="B193" s="10">
        <f>+B194+B198+B199+B200</f>
        <v>1867025388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+O194+O198+O199+O200</f>
        <v>0</v>
      </c>
      <c r="P193" s="11">
        <f t="shared" si="21"/>
        <v>1867025388</v>
      </c>
      <c r="Q193" s="10">
        <f>+Q194+Q198+Q199+Q200</f>
        <v>229990206</v>
      </c>
      <c r="R193" s="10"/>
      <c r="S193" s="3">
        <f>+S16+Q193</f>
        <v>308678900.64</v>
      </c>
      <c r="T193" s="3"/>
      <c r="U193" s="3"/>
      <c r="V193" s="3">
        <f t="shared" si="20"/>
        <v>16.53319245811991</v>
      </c>
    </row>
    <row r="194" spans="1:22" ht="12.75" hidden="1">
      <c r="A194" s="7" t="s">
        <v>29</v>
      </c>
      <c r="B194" s="10">
        <f>SUM(B195:B197)</f>
        <v>1679125388</v>
      </c>
      <c r="C194" s="11">
        <f>SUM(C195:C197)</f>
        <v>0</v>
      </c>
      <c r="D194" s="11">
        <f aca="true" t="shared" si="22" ref="D194:N194">SUM(D195:D197)</f>
        <v>9764370</v>
      </c>
      <c r="E194" s="11">
        <f t="shared" si="22"/>
        <v>1633088</v>
      </c>
      <c r="F194" s="11">
        <f t="shared" si="22"/>
        <v>9527326</v>
      </c>
      <c r="G194" s="11">
        <f t="shared" si="22"/>
        <v>5166613</v>
      </c>
      <c r="H194" s="11">
        <f t="shared" si="22"/>
        <v>8550758</v>
      </c>
      <c r="I194" s="11">
        <f t="shared" si="22"/>
        <v>19667967</v>
      </c>
      <c r="J194" s="11">
        <f t="shared" si="22"/>
        <v>32121947.88</v>
      </c>
      <c r="K194" s="11">
        <f t="shared" si="22"/>
        <v>57803883</v>
      </c>
      <c r="L194" s="11">
        <f t="shared" si="22"/>
        <v>248550137</v>
      </c>
      <c r="M194" s="11">
        <f t="shared" si="22"/>
        <v>56476839</v>
      </c>
      <c r="N194" s="11">
        <f t="shared" si="22"/>
        <v>203635166</v>
      </c>
      <c r="O194" s="10">
        <f>SUM(O195:O197)</f>
        <v>0</v>
      </c>
      <c r="P194" s="11">
        <f t="shared" si="21"/>
        <v>1679125388</v>
      </c>
      <c r="Q194" s="10">
        <f>SUM(Q195:Q197)</f>
        <v>229811806</v>
      </c>
      <c r="R194" s="10"/>
      <c r="S194" s="3">
        <f>+S17+Q194</f>
        <v>236846423</v>
      </c>
      <c r="T194" s="3"/>
      <c r="U194" s="3"/>
      <c r="V194" s="3">
        <f t="shared" si="20"/>
        <v>14.105344645053988</v>
      </c>
    </row>
    <row r="195" spans="1:22" ht="12.75" hidden="1">
      <c r="A195" s="5" t="s">
        <v>30</v>
      </c>
      <c r="B195" s="11">
        <v>939032888</v>
      </c>
      <c r="C195" s="11">
        <v>0</v>
      </c>
      <c r="D195" s="11">
        <v>9764370</v>
      </c>
      <c r="E195" s="11">
        <v>0</v>
      </c>
      <c r="F195" s="11">
        <f>274606+765092</f>
        <v>1039698</v>
      </c>
      <c r="G195" s="11">
        <v>4660304</v>
      </c>
      <c r="H195" s="11">
        <v>7848958</v>
      </c>
      <c r="I195" s="11">
        <v>15343416</v>
      </c>
      <c r="J195" s="11">
        <v>22521927</v>
      </c>
      <c r="K195" s="11">
        <v>33311437</v>
      </c>
      <c r="L195" s="11">
        <f>309295398-94490110</f>
        <v>214805288</v>
      </c>
      <c r="M195" s="11">
        <v>28836508</v>
      </c>
      <c r="N195" s="11">
        <f>98225097-2027734+2337372</f>
        <v>98534735</v>
      </c>
      <c r="O195" s="11"/>
      <c r="P195" s="11">
        <f t="shared" si="21"/>
        <v>939032888</v>
      </c>
      <c r="Q195" s="11">
        <f>235156271-8242817</f>
        <v>226913454</v>
      </c>
      <c r="R195" s="11"/>
      <c r="S195" s="3">
        <f>+S18+Q195</f>
        <v>230718895</v>
      </c>
      <c r="T195" s="3"/>
      <c r="U195" s="3"/>
      <c r="V195" s="3">
        <f t="shared" si="20"/>
        <v>24.569841796637903</v>
      </c>
    </row>
    <row r="196" spans="1:22" ht="12.75" hidden="1">
      <c r="A196" s="5" t="s">
        <v>31</v>
      </c>
      <c r="B196" s="11">
        <v>724342500</v>
      </c>
      <c r="C196" s="11"/>
      <c r="D196" s="11">
        <v>0</v>
      </c>
      <c r="E196" s="11">
        <v>0</v>
      </c>
      <c r="F196" s="11">
        <v>0</v>
      </c>
      <c r="G196" s="11">
        <v>0</v>
      </c>
      <c r="H196" s="11">
        <v>25090</v>
      </c>
      <c r="I196" s="11">
        <v>946365</v>
      </c>
      <c r="J196" s="11">
        <v>8764131</v>
      </c>
      <c r="K196" s="11">
        <v>21523596</v>
      </c>
      <c r="L196" s="11">
        <v>33159819</v>
      </c>
      <c r="M196" s="11">
        <v>27504331</v>
      </c>
      <c r="N196" s="11">
        <f>101300092+707323</f>
        <v>102007415</v>
      </c>
      <c r="O196" s="11">
        <v>0</v>
      </c>
      <c r="P196" s="11">
        <f t="shared" si="21"/>
        <v>724342500</v>
      </c>
      <c r="Q196" s="11">
        <v>2744732</v>
      </c>
      <c r="R196" s="11"/>
      <c r="S196" s="3">
        <f>+S19+Q196</f>
        <v>2744732</v>
      </c>
      <c r="T196" s="3"/>
      <c r="U196" s="3"/>
      <c r="V196" s="3">
        <f t="shared" si="20"/>
        <v>0.3789273720650107</v>
      </c>
    </row>
    <row r="197" spans="1:22" ht="12.75" hidden="1">
      <c r="A197" s="5" t="s">
        <v>32</v>
      </c>
      <c r="B197" s="11">
        <v>15750000</v>
      </c>
      <c r="C197" s="11"/>
      <c r="D197" s="11"/>
      <c r="E197" s="11">
        <v>1633088</v>
      </c>
      <c r="F197" s="11">
        <v>8487628</v>
      </c>
      <c r="G197" s="11">
        <v>506309</v>
      </c>
      <c r="H197" s="11">
        <v>676710</v>
      </c>
      <c r="I197" s="11">
        <v>3378186</v>
      </c>
      <c r="J197" s="11">
        <f>628640+207249.88</f>
        <v>835889.88</v>
      </c>
      <c r="K197" s="11">
        <v>2968850</v>
      </c>
      <c r="L197" s="11">
        <v>585030</v>
      </c>
      <c r="M197" s="11">
        <v>136000</v>
      </c>
      <c r="N197" s="11">
        <f>22300706.88-19207690.88</f>
        <v>3093016</v>
      </c>
      <c r="O197" s="11"/>
      <c r="P197" s="11">
        <f t="shared" si="21"/>
        <v>15750000</v>
      </c>
      <c r="Q197" s="11">
        <v>153620</v>
      </c>
      <c r="R197" s="11"/>
      <c r="S197" s="3">
        <f>+S20+Q197</f>
        <v>3382796</v>
      </c>
      <c r="T197" s="3"/>
      <c r="U197" s="3"/>
      <c r="V197" s="3">
        <f t="shared" si="20"/>
        <v>21.478069841269843</v>
      </c>
    </row>
    <row r="198" spans="1:22" ht="12.75" hidden="1">
      <c r="A198" s="7" t="s">
        <v>33</v>
      </c>
      <c r="B198" s="10">
        <v>65100000</v>
      </c>
      <c r="C198" s="11">
        <v>426256</v>
      </c>
      <c r="D198" s="11">
        <v>177520</v>
      </c>
      <c r="E198" s="11">
        <v>815304</v>
      </c>
      <c r="F198" s="11">
        <v>1044670</v>
      </c>
      <c r="G198" s="11">
        <v>210000</v>
      </c>
      <c r="H198" s="11">
        <v>497000</v>
      </c>
      <c r="I198" s="11">
        <v>1908400</v>
      </c>
      <c r="J198" s="11">
        <v>2080000</v>
      </c>
      <c r="K198" s="11">
        <v>1960300</v>
      </c>
      <c r="L198" s="11">
        <v>1071750</v>
      </c>
      <c r="M198" s="11">
        <v>486631</v>
      </c>
      <c r="N198" s="11">
        <v>3040000</v>
      </c>
      <c r="O198" s="11"/>
      <c r="P198" s="11">
        <f t="shared" si="21"/>
        <v>65100000</v>
      </c>
      <c r="Q198" s="10">
        <v>0</v>
      </c>
      <c r="R198" s="10"/>
      <c r="S198" s="3">
        <f>+S21+Q198</f>
        <v>10622808</v>
      </c>
      <c r="T198" s="3"/>
      <c r="U198" s="3"/>
      <c r="V198" s="3">
        <f t="shared" si="20"/>
        <v>16.31767741935484</v>
      </c>
    </row>
    <row r="199" spans="1:22" ht="12.75" hidden="1">
      <c r="A199" s="7" t="s">
        <v>34</v>
      </c>
      <c r="B199" s="10">
        <v>1000000</v>
      </c>
      <c r="C199" s="11">
        <v>7540000</v>
      </c>
      <c r="D199" s="11"/>
      <c r="E199" s="11"/>
      <c r="F199" s="11"/>
      <c r="G199" s="11"/>
      <c r="H199" s="11"/>
      <c r="I199" s="11">
        <v>294000</v>
      </c>
      <c r="J199" s="11"/>
      <c r="K199" s="11"/>
      <c r="L199" s="11">
        <v>29000</v>
      </c>
      <c r="M199" s="11"/>
      <c r="N199" s="11"/>
      <c r="O199" s="11"/>
      <c r="P199" s="11">
        <f t="shared" si="21"/>
        <v>1000000</v>
      </c>
      <c r="Q199" s="10">
        <v>0</v>
      </c>
      <c r="R199" s="10"/>
      <c r="S199" s="3">
        <f>+S22+Q199</f>
        <v>0</v>
      </c>
      <c r="T199" s="3"/>
      <c r="U199" s="3"/>
      <c r="V199" s="3">
        <f t="shared" si="20"/>
        <v>0</v>
      </c>
    </row>
    <row r="200" spans="1:22" ht="12.75" hidden="1">
      <c r="A200" s="7" t="s">
        <v>35</v>
      </c>
      <c r="B200" s="10">
        <f aca="true" t="shared" si="23" ref="B200:O200">SUM(B201:B201)</f>
        <v>121800000</v>
      </c>
      <c r="C200" s="11">
        <f t="shared" si="23"/>
        <v>4768052</v>
      </c>
      <c r="D200" s="11">
        <f t="shared" si="23"/>
        <v>8290086</v>
      </c>
      <c r="E200" s="11">
        <f t="shared" si="23"/>
        <v>10672897</v>
      </c>
      <c r="F200" s="11">
        <f t="shared" si="23"/>
        <v>13361106</v>
      </c>
      <c r="G200" s="11">
        <f t="shared" si="23"/>
        <v>5435392</v>
      </c>
      <c r="H200" s="11">
        <f t="shared" si="23"/>
        <v>6359364</v>
      </c>
      <c r="I200" s="11">
        <f t="shared" si="23"/>
        <v>17667466</v>
      </c>
      <c r="J200" s="11">
        <f t="shared" si="23"/>
        <v>22629676</v>
      </c>
      <c r="K200" s="11">
        <f t="shared" si="23"/>
        <v>24318846</v>
      </c>
      <c r="L200" s="11">
        <f t="shared" si="23"/>
        <v>14234424</v>
      </c>
      <c r="M200" s="11">
        <f t="shared" si="23"/>
        <v>14378768</v>
      </c>
      <c r="N200" s="11">
        <f t="shared" si="23"/>
        <v>23388888</v>
      </c>
      <c r="O200" s="10">
        <f t="shared" si="23"/>
        <v>0</v>
      </c>
      <c r="P200" s="11">
        <f t="shared" si="21"/>
        <v>121800000</v>
      </c>
      <c r="Q200" s="10">
        <f>SUM(Q201:Q201)</f>
        <v>178400</v>
      </c>
      <c r="R200" s="10"/>
      <c r="S200" s="3">
        <f>+S23+Q200</f>
        <v>61209669.64</v>
      </c>
      <c r="T200" s="3"/>
      <c r="U200" s="3"/>
      <c r="V200" s="3">
        <f t="shared" si="20"/>
        <v>50.25424436781609</v>
      </c>
    </row>
    <row r="201" spans="1:22" ht="12.75" hidden="1">
      <c r="A201" s="5" t="s">
        <v>36</v>
      </c>
      <c r="B201" s="11">
        <v>121800000</v>
      </c>
      <c r="C201" s="11">
        <v>4768052</v>
      </c>
      <c r="D201" s="11">
        <v>8290086</v>
      </c>
      <c r="E201" s="11">
        <v>10672897</v>
      </c>
      <c r="F201" s="11">
        <v>13361106</v>
      </c>
      <c r="G201" s="11">
        <v>5435392</v>
      </c>
      <c r="H201" s="11">
        <v>6359364</v>
      </c>
      <c r="I201" s="11">
        <v>17667466</v>
      </c>
      <c r="J201" s="11">
        <f>15777671+6852005</f>
        <v>22629676</v>
      </c>
      <c r="K201" s="11">
        <v>24318846</v>
      </c>
      <c r="L201" s="11">
        <v>14234424</v>
      </c>
      <c r="M201" s="11">
        <f>14378768</f>
        <v>14378768</v>
      </c>
      <c r="N201" s="11">
        <f>165504965-142116077</f>
        <v>23388888</v>
      </c>
      <c r="O201" s="11"/>
      <c r="P201" s="11">
        <f t="shared" si="21"/>
        <v>121800000</v>
      </c>
      <c r="Q201" s="11">
        <v>178400</v>
      </c>
      <c r="R201" s="11"/>
      <c r="S201" s="3">
        <f>+S24+Q201</f>
        <v>61209669.64</v>
      </c>
      <c r="T201" s="3"/>
      <c r="U201" s="3"/>
      <c r="V201" s="3">
        <f t="shared" si="20"/>
        <v>50.25424436781609</v>
      </c>
    </row>
    <row r="202" spans="1:22" ht="12.75" hidden="1">
      <c r="A202" s="7" t="s">
        <v>37</v>
      </c>
      <c r="B202" s="10">
        <v>71925000</v>
      </c>
      <c r="C202" s="11" t="e">
        <f>SUM(#REF!)</f>
        <v>#REF!</v>
      </c>
      <c r="D202" s="11" t="e">
        <f>SUM(#REF!)</f>
        <v>#REF!</v>
      </c>
      <c r="E202" s="11" t="e">
        <f>SUM(#REF!)</f>
        <v>#REF!</v>
      </c>
      <c r="F202" s="11" t="e">
        <f>SUM(#REF!)</f>
        <v>#REF!</v>
      </c>
      <c r="G202" s="11" t="e">
        <f>SUM(#REF!)</f>
        <v>#REF!</v>
      </c>
      <c r="H202" s="11" t="e">
        <f>SUM(#REF!)</f>
        <v>#REF!</v>
      </c>
      <c r="I202" s="11" t="e">
        <f>SUM(#REF!)</f>
        <v>#REF!</v>
      </c>
      <c r="J202" s="11" t="e">
        <f>SUM(#REF!)</f>
        <v>#REF!</v>
      </c>
      <c r="K202" s="11" t="e">
        <f>SUM(#REF!)</f>
        <v>#REF!</v>
      </c>
      <c r="L202" s="11" t="e">
        <f>SUM(#REF!)</f>
        <v>#REF!</v>
      </c>
      <c r="M202" s="11" t="e">
        <f>SUM(#REF!)</f>
        <v>#REF!</v>
      </c>
      <c r="N202" s="11" t="e">
        <f>SUM(#REF!)</f>
        <v>#REF!</v>
      </c>
      <c r="O202" s="10">
        <v>0</v>
      </c>
      <c r="P202" s="11">
        <f t="shared" si="21"/>
        <v>71925000</v>
      </c>
      <c r="Q202" s="11">
        <v>0</v>
      </c>
      <c r="R202" s="11"/>
      <c r="S202" s="3">
        <f>+S25+Q202</f>
        <v>24076647</v>
      </c>
      <c r="T202" s="3"/>
      <c r="U202" s="3"/>
      <c r="V202" s="3">
        <f t="shared" si="20"/>
        <v>33.474656934306566</v>
      </c>
    </row>
    <row r="203" spans="1:22" ht="12.75" hidden="1">
      <c r="A203" s="7" t="s">
        <v>44</v>
      </c>
      <c r="B203" s="10">
        <f>+B204</f>
        <v>0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>
        <f>+O204</f>
        <v>1230345600</v>
      </c>
      <c r="P203" s="11">
        <f t="shared" si="21"/>
        <v>1230345600</v>
      </c>
      <c r="Q203" s="10">
        <f>+Q204</f>
        <v>0</v>
      </c>
      <c r="R203" s="10"/>
      <c r="S203" s="3">
        <f>+S26+Q203</f>
        <v>56086490</v>
      </c>
      <c r="T203" s="3"/>
      <c r="U203" s="3"/>
      <c r="V203" s="3">
        <f t="shared" si="20"/>
        <v>4.558596381374469</v>
      </c>
    </row>
    <row r="204" spans="1:22" ht="12.75" hidden="1">
      <c r="A204" s="7" t="s">
        <v>45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>
        <f>1230345600</f>
        <v>1230345600</v>
      </c>
      <c r="P204" s="11">
        <f t="shared" si="21"/>
        <v>1230345600</v>
      </c>
      <c r="Q204" s="10">
        <v>0</v>
      </c>
      <c r="R204" s="10"/>
      <c r="S204" s="3">
        <f>+S27+Q204</f>
        <v>56086490</v>
      </c>
      <c r="T204" s="3"/>
      <c r="U204" s="3"/>
      <c r="V204" s="3">
        <f t="shared" si="20"/>
        <v>4.558596381374469</v>
      </c>
    </row>
    <row r="205" spans="1:22" ht="12.75" hidden="1">
      <c r="A205" s="7" t="s">
        <v>48</v>
      </c>
      <c r="B205" s="1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v>79200000</v>
      </c>
      <c r="P205" s="11">
        <f t="shared" si="21"/>
        <v>79200000</v>
      </c>
      <c r="Q205" s="10">
        <v>0</v>
      </c>
      <c r="R205" s="10"/>
      <c r="S205" s="3">
        <v>0</v>
      </c>
      <c r="T205" s="3"/>
      <c r="U205" s="3"/>
      <c r="V205" s="3">
        <f>+S205/P205*100</f>
        <v>0</v>
      </c>
    </row>
    <row r="206" spans="1:22" ht="12.75" hidden="1">
      <c r="A206" s="7" t="s">
        <v>38</v>
      </c>
      <c r="B206" s="10">
        <f>+B207+B208+B209</f>
        <v>1914146055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+O207+O208+O209</f>
        <v>515409946</v>
      </c>
      <c r="P206" s="11">
        <f>+B206+O206</f>
        <v>2429556001</v>
      </c>
      <c r="Q206" s="10">
        <f>+Q207+Q208+Q209</f>
        <v>124764842</v>
      </c>
      <c r="R206" s="10"/>
      <c r="S206" s="3">
        <f>+S29+Q206</f>
        <v>1370710451.77</v>
      </c>
      <c r="T206" s="3"/>
      <c r="U206" s="3"/>
      <c r="V206" s="3">
        <f t="shared" si="20"/>
        <v>56.41814599893225</v>
      </c>
    </row>
    <row r="207" spans="1:22" ht="12.75" hidden="1">
      <c r="A207" s="7" t="s">
        <v>6</v>
      </c>
      <c r="B207" s="10">
        <v>70000000</v>
      </c>
      <c r="C207" s="11">
        <v>898886</v>
      </c>
      <c r="D207" s="11">
        <f>4306726+216132</f>
        <v>4522858</v>
      </c>
      <c r="E207" s="11">
        <f>751140+23292827</f>
        <v>24043967</v>
      </c>
      <c r="F207" s="11">
        <v>8452240</v>
      </c>
      <c r="G207" s="11">
        <v>4422172</v>
      </c>
      <c r="H207" s="11">
        <f>7484642+234363</f>
        <v>7719005</v>
      </c>
      <c r="I207" s="11">
        <f>102855+5416914</f>
        <v>5519769</v>
      </c>
      <c r="J207" s="11">
        <f>6098966+444960+3514791+65855</f>
        <v>10124572</v>
      </c>
      <c r="K207" s="11">
        <f>191152+1348022+3219820.01</f>
        <v>4758994.01</v>
      </c>
      <c r="L207" s="11">
        <f>350566+9695840</f>
        <v>10046406</v>
      </c>
      <c r="M207" s="11">
        <f>579536+7833208+436291+345639</f>
        <v>9194674</v>
      </c>
      <c r="N207" s="11">
        <f>112132152.5-89703543.01</f>
        <v>22428609.489999995</v>
      </c>
      <c r="O207" s="11"/>
      <c r="P207" s="11">
        <f>+B207+O207</f>
        <v>70000000</v>
      </c>
      <c r="Q207" s="11">
        <f>4036795+51138+4263359</f>
        <v>8351292</v>
      </c>
      <c r="R207" s="11"/>
      <c r="S207" s="3">
        <f aca="true" t="shared" si="24" ref="S207:S214">+S30+Q207</f>
        <v>66327232.769999996</v>
      </c>
      <c r="T207" s="3"/>
      <c r="U207" s="3"/>
      <c r="V207" s="3">
        <f t="shared" si="20"/>
        <v>94.75318967142856</v>
      </c>
    </row>
    <row r="208" spans="1:22" ht="12.75" hidden="1">
      <c r="A208" s="7" t="s">
        <v>9</v>
      </c>
      <c r="B208" s="10">
        <v>0</v>
      </c>
      <c r="C208" s="11"/>
      <c r="D208" s="11"/>
      <c r="E208" s="11"/>
      <c r="F208" s="11">
        <f>+B208</f>
        <v>0</v>
      </c>
      <c r="G208" s="11"/>
      <c r="H208" s="11"/>
      <c r="I208" s="11"/>
      <c r="J208" s="11"/>
      <c r="K208" s="11"/>
      <c r="L208" s="11"/>
      <c r="M208" s="11"/>
      <c r="N208" s="11"/>
      <c r="O208" s="11">
        <f>+O31</f>
        <v>515409946</v>
      </c>
      <c r="P208" s="11">
        <f>+B208+O208</f>
        <v>515409946</v>
      </c>
      <c r="Q208" s="10">
        <v>0</v>
      </c>
      <c r="R208" s="10"/>
      <c r="S208" s="3">
        <f t="shared" si="24"/>
        <v>515409946</v>
      </c>
      <c r="T208" s="3"/>
      <c r="U208" s="3"/>
      <c r="V208" s="3">
        <f t="shared" si="20"/>
        <v>100</v>
      </c>
    </row>
    <row r="209" spans="1:22" ht="12.75" hidden="1">
      <c r="A209" s="7" t="s">
        <v>39</v>
      </c>
      <c r="B209" s="10">
        <v>1844146055</v>
      </c>
      <c r="C209" s="11" t="e">
        <f>+#REF!+#REF!</f>
        <v>#REF!</v>
      </c>
      <c r="D209" s="11" t="e">
        <f>+#REF!+#REF!</f>
        <v>#REF!</v>
      </c>
      <c r="E209" s="11" t="e">
        <f>+#REF!+#REF!</f>
        <v>#REF!</v>
      </c>
      <c r="F209" s="11" t="e">
        <f>+#REF!+#REF!</f>
        <v>#REF!</v>
      </c>
      <c r="G209" s="11" t="e">
        <f>+#REF!+#REF!</f>
        <v>#REF!</v>
      </c>
      <c r="H209" s="11" t="e">
        <f>+#REF!+#REF!</f>
        <v>#REF!</v>
      </c>
      <c r="I209" s="11" t="e">
        <f>+#REF!+#REF!</f>
        <v>#REF!</v>
      </c>
      <c r="J209" s="11" t="e">
        <f>+#REF!+#REF!</f>
        <v>#REF!</v>
      </c>
      <c r="K209" s="11" t="e">
        <f>+#REF!+#REF!</f>
        <v>#REF!</v>
      </c>
      <c r="L209" s="11" t="e">
        <f>+#REF!+#REF!</f>
        <v>#REF!</v>
      </c>
      <c r="M209" s="11" t="e">
        <f>+#REF!+#REF!</f>
        <v>#REF!</v>
      </c>
      <c r="N209" s="11" t="e">
        <f>+#REF!+#REF!</f>
        <v>#REF!</v>
      </c>
      <c r="O209" s="10">
        <v>0</v>
      </c>
      <c r="P209" s="11">
        <f>+B209+O209</f>
        <v>1844146055</v>
      </c>
      <c r="Q209" s="11">
        <f>44194236+72219314</f>
        <v>116413550</v>
      </c>
      <c r="R209" s="11"/>
      <c r="S209" s="3">
        <f t="shared" si="24"/>
        <v>788973273</v>
      </c>
      <c r="T209" s="3"/>
      <c r="U209" s="3"/>
      <c r="V209" s="3">
        <f t="shared" si="20"/>
        <v>42.782580634590786</v>
      </c>
    </row>
    <row r="210" spans="1:22" ht="12.75" hidden="1">
      <c r="A210" s="5"/>
      <c r="B210" s="11"/>
      <c r="C210" s="11"/>
      <c r="D210" s="11"/>
      <c r="E210" s="11" t="s">
        <v>1</v>
      </c>
      <c r="F210" s="11" t="s">
        <v>1</v>
      </c>
      <c r="G210" s="11" t="s">
        <v>1</v>
      </c>
      <c r="H210" s="11" t="s">
        <v>1</v>
      </c>
      <c r="I210" s="11" t="s">
        <v>1</v>
      </c>
      <c r="J210" s="11" t="s">
        <v>1</v>
      </c>
      <c r="K210" s="11" t="s">
        <v>1</v>
      </c>
      <c r="L210" s="11" t="s">
        <v>1</v>
      </c>
      <c r="M210" s="11" t="s">
        <v>1</v>
      </c>
      <c r="N210" s="11" t="s">
        <v>1</v>
      </c>
      <c r="O210" s="11"/>
      <c r="P210" s="11" t="s">
        <v>1</v>
      </c>
      <c r="Q210" s="16" t="s">
        <v>1</v>
      </c>
      <c r="R210" s="16"/>
      <c r="S210" s="3" t="s">
        <v>1</v>
      </c>
      <c r="T210" s="3"/>
      <c r="U210" s="3"/>
      <c r="V210" s="3" t="s">
        <v>1</v>
      </c>
    </row>
    <row r="211" spans="1:22" ht="12.75" hidden="1">
      <c r="A211" s="7" t="s">
        <v>40</v>
      </c>
      <c r="B211" s="10">
        <f>+B184+B206</f>
        <v>10077156120</v>
      </c>
      <c r="C211" s="10" t="e">
        <f>+C187+C192+C194+C198+C199+C200+C202+#REF!+#REF!+C207+C208+C209+#REF!</f>
        <v>#REF!</v>
      </c>
      <c r="D211" s="10" t="e">
        <f>+D187+D192+D194+D198+D199+D200+D202+#REF!+#REF!+D207+D208+D209+#REF!</f>
        <v>#REF!</v>
      </c>
      <c r="E211" s="10" t="e">
        <f>+E187+E192+E194+E198+E199+E200+E202+#REF!+#REF!+E207+E208+E209+#REF!</f>
        <v>#REF!</v>
      </c>
      <c r="F211" s="10" t="e">
        <f>+F187+F192+F194+F198+F199+F200+F202+#REF!+#REF!+F207+F208+F209+#REF!</f>
        <v>#REF!</v>
      </c>
      <c r="G211" s="10" t="e">
        <f>+G187+G192+G194+G198+G199+G200+G202+#REF!+#REF!+G207+G208+G209+#REF!</f>
        <v>#REF!</v>
      </c>
      <c r="H211" s="10" t="e">
        <f>+H187+H192+H194+H198+H199+H200+H202+#REF!+#REF!+H207+H208+H209+#REF!</f>
        <v>#REF!</v>
      </c>
      <c r="I211" s="10" t="e">
        <f>+I187+I192+I194+I198+I199+I200+I202+#REF!+#REF!+I207+I208+I209+#REF!</f>
        <v>#REF!</v>
      </c>
      <c r="J211" s="10" t="e">
        <f>+J187+J192+J194+J198+J199+J200+J202+#REF!+#REF!+J207+J208+J209+#REF!</f>
        <v>#REF!</v>
      </c>
      <c r="K211" s="10" t="e">
        <f>+K187+K192+K194+K198+K199+K200+K202+#REF!+#REF!+K207+K208+K209+#REF!</f>
        <v>#REF!</v>
      </c>
      <c r="L211" s="10" t="e">
        <f>+L187+L192+L194+L198+L199+L200+L202+#REF!+#REF!+L207+L208+L209+#REF!</f>
        <v>#REF!</v>
      </c>
      <c r="M211" s="10" t="e">
        <f>+M187+M192+M194+M198+M199+M200+M202+#REF!+#REF!+M207+M208+M209+#REF!</f>
        <v>#REF!</v>
      </c>
      <c r="N211" s="10" t="e">
        <f>+N187+N192+N194+N198+N199+N200+N202+#REF!+#REF!+N207+N208+N209+#REF!</f>
        <v>#REF!</v>
      </c>
      <c r="O211" s="10">
        <f>+O184+O206</f>
        <v>1745755546</v>
      </c>
      <c r="P211" s="10">
        <f>+P184+P206</f>
        <v>11822911666</v>
      </c>
      <c r="Q211" s="10">
        <f>+Q184+Q206</f>
        <v>558966374</v>
      </c>
      <c r="R211" s="10"/>
      <c r="S211" s="3">
        <f t="shared" si="24"/>
        <v>4738180318.26</v>
      </c>
      <c r="T211" s="3"/>
      <c r="U211" s="3"/>
      <c r="V211" s="3">
        <f>+S211/P211*100</f>
        <v>40.07625576604727</v>
      </c>
    </row>
    <row r="212" spans="1:22" ht="12.75" hidden="1">
      <c r="A212" s="7" t="s">
        <v>41</v>
      </c>
      <c r="B212" s="11">
        <f>+B35</f>
        <v>1334597240</v>
      </c>
      <c r="O212">
        <v>0</v>
      </c>
      <c r="P212" s="1">
        <f>+B212+O212</f>
        <v>1334597240</v>
      </c>
      <c r="Q212" s="1">
        <v>98681856</v>
      </c>
      <c r="R212" s="1"/>
      <c r="S212" s="3">
        <f t="shared" si="24"/>
        <v>1845383170</v>
      </c>
      <c r="T212" s="3"/>
      <c r="U212" s="3"/>
      <c r="V212" s="3">
        <f>+S212/P212*100</f>
        <v>138.27266494272087</v>
      </c>
    </row>
    <row r="213" spans="2:22" ht="12.75" hidden="1">
      <c r="B213" s="1" t="s">
        <v>1</v>
      </c>
      <c r="O213" s="1" t="s">
        <v>1</v>
      </c>
      <c r="Q213" s="16" t="s">
        <v>1</v>
      </c>
      <c r="R213" s="16"/>
      <c r="S213" s="3" t="s">
        <v>1</v>
      </c>
      <c r="T213" s="3"/>
      <c r="U213" s="3"/>
      <c r="V213" s="3" t="s">
        <v>1</v>
      </c>
    </row>
    <row r="214" spans="1:22" ht="12.75" hidden="1">
      <c r="A214" s="7" t="s">
        <v>42</v>
      </c>
      <c r="B214" s="16">
        <f>+B211+B212</f>
        <v>11411753360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6">
        <f>+O211+O212</f>
        <v>1745755546</v>
      </c>
      <c r="P214" s="16">
        <f>+P211+P212</f>
        <v>13157508906</v>
      </c>
      <c r="Q214" s="16">
        <f>+Q211+Q212</f>
        <v>657648230</v>
      </c>
      <c r="R214" s="16"/>
      <c r="S214" s="3">
        <f t="shared" si="24"/>
        <v>6583563488.26</v>
      </c>
      <c r="T214" s="3"/>
      <c r="U214" s="3"/>
      <c r="V214" s="3">
        <f>+S214/P214*100</f>
        <v>50.03654973972929</v>
      </c>
    </row>
    <row r="215" spans="16:21" ht="12.75" hidden="1">
      <c r="P215" s="1" t="s">
        <v>1</v>
      </c>
      <c r="Q215" s="1"/>
      <c r="R215" s="1"/>
      <c r="S215" s="1" t="s">
        <v>1</v>
      </c>
      <c r="T215" s="1"/>
      <c r="U215" s="1"/>
    </row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spans="1:22" ht="12.75" hidden="1">
      <c r="A225" s="47" t="s">
        <v>0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2.75" hidden="1">
      <c r="A226" s="47" t="s">
        <v>47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ht="12.75" hidden="1">
      <c r="V227" s="18">
        <v>39600</v>
      </c>
    </row>
    <row r="228" spans="1:22" ht="25.5" hidden="1">
      <c r="A228" s="5"/>
      <c r="B228" s="6" t="s">
        <v>10</v>
      </c>
      <c r="C228" s="48" t="s">
        <v>11</v>
      </c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5"/>
      <c r="O228" s="4" t="s">
        <v>2</v>
      </c>
      <c r="P228" s="6" t="s">
        <v>12</v>
      </c>
      <c r="Q228" s="6"/>
      <c r="R228" s="6"/>
      <c r="S228" s="8" t="s">
        <v>43</v>
      </c>
      <c r="T228" s="8"/>
      <c r="U228" s="8"/>
      <c r="V228" s="8" t="s">
        <v>46</v>
      </c>
    </row>
    <row r="229" spans="1:22" ht="12.75" hidden="1">
      <c r="A229" s="4" t="s">
        <v>7</v>
      </c>
      <c r="B229" s="4" t="s">
        <v>1</v>
      </c>
      <c r="C229" s="4" t="s">
        <v>13</v>
      </c>
      <c r="D229" s="4" t="s">
        <v>14</v>
      </c>
      <c r="E229" s="4" t="s">
        <v>15</v>
      </c>
      <c r="F229" s="4" t="s">
        <v>16</v>
      </c>
      <c r="G229" s="4" t="s">
        <v>8</v>
      </c>
      <c r="H229" s="4" t="s">
        <v>17</v>
      </c>
      <c r="I229" s="4" t="s">
        <v>18</v>
      </c>
      <c r="J229" s="4" t="s">
        <v>19</v>
      </c>
      <c r="K229" s="4" t="s">
        <v>20</v>
      </c>
      <c r="L229" s="4" t="s">
        <v>21</v>
      </c>
      <c r="M229" s="4" t="s">
        <v>22</v>
      </c>
      <c r="N229" s="4" t="s">
        <v>23</v>
      </c>
      <c r="O229" s="4"/>
      <c r="P229" s="4"/>
      <c r="Q229" s="4"/>
      <c r="R229" s="4"/>
      <c r="S229" s="4"/>
      <c r="T229" s="4"/>
      <c r="U229" s="4"/>
      <c r="V229" s="4"/>
    </row>
    <row r="230" spans="1:22" ht="12.7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3"/>
      <c r="T230" s="3"/>
      <c r="U230" s="3"/>
      <c r="V230" s="3"/>
    </row>
    <row r="231" spans="1:22" ht="25.5" hidden="1">
      <c r="A231" s="5"/>
      <c r="B231" s="6" t="s">
        <v>10</v>
      </c>
      <c r="C231" s="48" t="s">
        <v>11</v>
      </c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5"/>
      <c r="O231" s="4" t="s">
        <v>2</v>
      </c>
      <c r="P231" s="6" t="s">
        <v>12</v>
      </c>
      <c r="Q231" s="6"/>
      <c r="R231" s="6"/>
      <c r="S231" s="8" t="s">
        <v>43</v>
      </c>
      <c r="T231" s="8"/>
      <c r="U231" s="8"/>
      <c r="V231" s="8" t="s">
        <v>46</v>
      </c>
    </row>
    <row r="232" spans="1:22" ht="12.75" hidden="1">
      <c r="A232" s="4" t="s">
        <v>7</v>
      </c>
      <c r="B232" s="4" t="s">
        <v>1</v>
      </c>
      <c r="C232" s="4" t="s">
        <v>13</v>
      </c>
      <c r="D232" s="4" t="s">
        <v>14</v>
      </c>
      <c r="E232" s="4" t="s">
        <v>15</v>
      </c>
      <c r="F232" s="4" t="s">
        <v>16</v>
      </c>
      <c r="G232" s="4" t="s">
        <v>8</v>
      </c>
      <c r="H232" s="4" t="s">
        <v>17</v>
      </c>
      <c r="I232" s="4" t="s">
        <v>18</v>
      </c>
      <c r="J232" s="4" t="s">
        <v>19</v>
      </c>
      <c r="K232" s="4" t="s">
        <v>20</v>
      </c>
      <c r="L232" s="4" t="s">
        <v>21</v>
      </c>
      <c r="M232" s="4" t="s">
        <v>22</v>
      </c>
      <c r="N232" s="4" t="s">
        <v>23</v>
      </c>
      <c r="O232" s="4"/>
      <c r="P232" s="4"/>
      <c r="Q232" s="3" t="s">
        <v>1</v>
      </c>
      <c r="R232" s="3"/>
      <c r="S232" s="4"/>
      <c r="T232" s="4"/>
      <c r="U232" s="4"/>
      <c r="V232" s="4"/>
    </row>
    <row r="233" spans="1:22" ht="12.7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3"/>
      <c r="T233" s="3"/>
      <c r="U233" s="3"/>
      <c r="V233" s="3"/>
    </row>
    <row r="234" spans="1:22" ht="12.75" hidden="1">
      <c r="A234" s="9" t="s">
        <v>24</v>
      </c>
      <c r="B234" s="3">
        <f>+B236+B241</f>
        <v>8163010065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3">
        <f>+O236+O241</f>
        <v>1309545600</v>
      </c>
      <c r="P234" s="3">
        <f>+P236+P241</f>
        <v>9472555665</v>
      </c>
      <c r="Q234" s="3">
        <f>+Q236+Q241</f>
        <v>554474243</v>
      </c>
      <c r="R234" s="3"/>
      <c r="S234" s="3">
        <f>+S184+Q234</f>
        <v>3921944109.49</v>
      </c>
      <c r="T234" s="3"/>
      <c r="U234" s="3"/>
      <c r="V234" s="3">
        <f>+S234/P234*100</f>
        <v>41.403231062353434</v>
      </c>
    </row>
    <row r="235" spans="1:22" ht="12.75" hidden="1">
      <c r="A235" s="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3" t="e">
        <f aca="true" t="shared" si="25" ref="S235:S264">+S185+Q235</f>
        <v>#VALUE!</v>
      </c>
      <c r="T235" s="3"/>
      <c r="U235" s="3"/>
      <c r="V235" s="3"/>
    </row>
    <row r="236" spans="1:22" ht="12.75" hidden="1">
      <c r="A236" s="7" t="s">
        <v>3</v>
      </c>
      <c r="B236" s="10">
        <f>+B237</f>
        <v>3471300000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0">
        <f>+O237</f>
        <v>0</v>
      </c>
      <c r="P236" s="11">
        <f>+B236+O236</f>
        <v>3471300000</v>
      </c>
      <c r="Q236" s="10">
        <f>+Q237</f>
        <v>128693321</v>
      </c>
      <c r="R236" s="10"/>
      <c r="S236" s="3">
        <f t="shared" si="25"/>
        <v>2475053045.85</v>
      </c>
      <c r="T236" s="3"/>
      <c r="U236" s="3"/>
      <c r="V236" s="3">
        <f>+S236/P236*100</f>
        <v>71.30046512401694</v>
      </c>
    </row>
    <row r="237" spans="1:22" ht="12.75" hidden="1">
      <c r="A237" s="7" t="s">
        <v>25</v>
      </c>
      <c r="B237" s="10">
        <f>+B238+B239</f>
        <v>3471300000</v>
      </c>
      <c r="C237" s="11"/>
      <c r="D237" s="11">
        <v>177520</v>
      </c>
      <c r="E237" s="11"/>
      <c r="F237" s="11">
        <v>165006728</v>
      </c>
      <c r="G237" s="11">
        <v>1414514385</v>
      </c>
      <c r="H237" s="11">
        <v>4948458</v>
      </c>
      <c r="I237" s="11">
        <v>573117327</v>
      </c>
      <c r="J237" s="11">
        <f>139033811-14448995.38</f>
        <v>124584815.62</v>
      </c>
      <c r="K237" s="11">
        <v>93361900</v>
      </c>
      <c r="L237" s="11">
        <v>25720312</v>
      </c>
      <c r="M237" s="11">
        <v>242733948</v>
      </c>
      <c r="N237" s="11">
        <f>65086606+14219504.38-900076.38-6867260+6687809</f>
        <v>78226583</v>
      </c>
      <c r="O237" s="10">
        <f>+O238+O239</f>
        <v>0</v>
      </c>
      <c r="P237" s="11">
        <f>+B237+O237</f>
        <v>3471300000</v>
      </c>
      <c r="Q237" s="10">
        <f>+Q238+Q239</f>
        <v>128693321</v>
      </c>
      <c r="R237" s="10"/>
      <c r="S237" s="3">
        <f t="shared" si="25"/>
        <v>2475053045.85</v>
      </c>
      <c r="T237" s="3"/>
      <c r="U237" s="3"/>
      <c r="V237" s="3">
        <f>+S237/P237*100</f>
        <v>71.30046512401694</v>
      </c>
    </row>
    <row r="238" spans="1:22" ht="12.75" hidden="1">
      <c r="A238" s="5" t="s">
        <v>26</v>
      </c>
      <c r="B238" s="11">
        <v>2106300000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>
        <f>+B238+O238</f>
        <v>2106300000</v>
      </c>
      <c r="Q238" s="11">
        <v>0</v>
      </c>
      <c r="R238" s="11"/>
      <c r="S238" s="3">
        <f t="shared" si="25"/>
        <v>1546425752.85</v>
      </c>
      <c r="T238" s="3"/>
      <c r="U238" s="3"/>
      <c r="V238" s="3">
        <f>+S238/P238*100</f>
        <v>73.4190643711722</v>
      </c>
    </row>
    <row r="239" spans="1:22" ht="12.75" hidden="1">
      <c r="A239" s="5" t="s">
        <v>27</v>
      </c>
      <c r="B239" s="11">
        <v>1365000000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>
        <f>+B239+O239</f>
        <v>1365000000</v>
      </c>
      <c r="Q239" s="11">
        <v>128693321</v>
      </c>
      <c r="R239" s="11"/>
      <c r="S239" s="3">
        <f t="shared" si="25"/>
        <v>928627293</v>
      </c>
      <c r="T239" s="3"/>
      <c r="U239" s="3"/>
      <c r="V239" s="3">
        <f>+S239/P239*100</f>
        <v>68.03130351648352</v>
      </c>
    </row>
    <row r="240" spans="1:22" ht="12.75" hidden="1">
      <c r="A240" s="7"/>
      <c r="B240" s="1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 t="s">
        <v>1</v>
      </c>
      <c r="Q240" s="10"/>
      <c r="R240" s="10"/>
      <c r="S240" s="3" t="e">
        <f t="shared" si="25"/>
        <v>#VALUE!</v>
      </c>
      <c r="T240" s="3"/>
      <c r="U240" s="3"/>
      <c r="V240" s="3" t="s">
        <v>1</v>
      </c>
    </row>
    <row r="241" spans="1:22" ht="12.75" hidden="1">
      <c r="A241" s="7" t="s">
        <v>4</v>
      </c>
      <c r="B241" s="10">
        <f>+B242+B243+B252+B253</f>
        <v>4691710065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0">
        <f>+O242+O243+O252+O253</f>
        <v>1309545600</v>
      </c>
      <c r="P241" s="10">
        <f>+P242+P243+P252+P253</f>
        <v>6001255665</v>
      </c>
      <c r="Q241" s="10">
        <f>+Q242+Q243+Q252+Q253</f>
        <v>425780922</v>
      </c>
      <c r="R241" s="10"/>
      <c r="S241" s="3">
        <f t="shared" si="25"/>
        <v>1446891063.6399999</v>
      </c>
      <c r="T241" s="3"/>
      <c r="U241" s="3"/>
      <c r="V241" s="3">
        <f aca="true" t="shared" si="26" ref="V241:V254">+S241/P241*100</f>
        <v>24.109805420862703</v>
      </c>
    </row>
    <row r="242" spans="1:22" ht="12.75" hidden="1">
      <c r="A242" s="7" t="s">
        <v>28</v>
      </c>
      <c r="B242" s="10">
        <v>2752759677</v>
      </c>
      <c r="C242" s="11">
        <v>0</v>
      </c>
      <c r="D242" s="11">
        <v>0</v>
      </c>
      <c r="E242" s="11">
        <v>0</v>
      </c>
      <c r="F242" s="11">
        <v>196495882</v>
      </c>
      <c r="G242" s="11">
        <v>164927418</v>
      </c>
      <c r="H242" s="11">
        <v>262941303</v>
      </c>
      <c r="I242" s="11">
        <v>280282246</v>
      </c>
      <c r="J242" s="11">
        <v>246192273</v>
      </c>
      <c r="K242" s="11">
        <v>308626989</v>
      </c>
      <c r="L242" s="11">
        <v>243645342</v>
      </c>
      <c r="M242" s="11">
        <v>247491577</v>
      </c>
      <c r="N242" s="11">
        <v>165492691</v>
      </c>
      <c r="O242" s="11"/>
      <c r="P242" s="11">
        <f aca="true" t="shared" si="27" ref="P242:P254">+B242+O242</f>
        <v>2752759677</v>
      </c>
      <c r="Q242" s="10">
        <f>646959890-319164112</f>
        <v>327795778</v>
      </c>
      <c r="R242" s="10"/>
      <c r="S242" s="3">
        <f t="shared" si="25"/>
        <v>1016150372</v>
      </c>
      <c r="T242" s="3"/>
      <c r="U242" s="3"/>
      <c r="V242" s="3">
        <f t="shared" si="26"/>
        <v>36.913878842755224</v>
      </c>
    </row>
    <row r="243" spans="1:22" ht="12.75" hidden="1">
      <c r="A243" s="7" t="s">
        <v>5</v>
      </c>
      <c r="B243" s="10">
        <f>+B244+B248+B249+B250</f>
        <v>1867025388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+O244+O248+O249+O250</f>
        <v>0</v>
      </c>
      <c r="P243" s="11">
        <f t="shared" si="27"/>
        <v>1867025388</v>
      </c>
      <c r="Q243" s="10">
        <f>+Q244+Q248+Q249+Q250</f>
        <v>97985144</v>
      </c>
      <c r="R243" s="10"/>
      <c r="S243" s="3">
        <f t="shared" si="25"/>
        <v>406664044.64</v>
      </c>
      <c r="T243" s="3"/>
      <c r="U243" s="3"/>
      <c r="V243" s="3">
        <f t="shared" si="26"/>
        <v>21.781388043985185</v>
      </c>
    </row>
    <row r="244" spans="1:22" ht="12.75" hidden="1">
      <c r="A244" s="7" t="s">
        <v>29</v>
      </c>
      <c r="B244" s="10">
        <f>SUM(B245:B247)</f>
        <v>1679125388</v>
      </c>
      <c r="C244" s="11">
        <f>SUM(C245:C247)</f>
        <v>0</v>
      </c>
      <c r="D244" s="11">
        <f aca="true" t="shared" si="28" ref="D244:N244">SUM(D245:D247)</f>
        <v>9764370</v>
      </c>
      <c r="E244" s="11">
        <f t="shared" si="28"/>
        <v>1633088</v>
      </c>
      <c r="F244" s="11">
        <f t="shared" si="28"/>
        <v>9527326</v>
      </c>
      <c r="G244" s="11">
        <f t="shared" si="28"/>
        <v>5166613</v>
      </c>
      <c r="H244" s="11">
        <f t="shared" si="28"/>
        <v>8550758</v>
      </c>
      <c r="I244" s="11">
        <f t="shared" si="28"/>
        <v>19667967</v>
      </c>
      <c r="J244" s="11">
        <f t="shared" si="28"/>
        <v>32121947.88</v>
      </c>
      <c r="K244" s="11">
        <f t="shared" si="28"/>
        <v>57803883</v>
      </c>
      <c r="L244" s="11">
        <f t="shared" si="28"/>
        <v>248550137</v>
      </c>
      <c r="M244" s="11">
        <f t="shared" si="28"/>
        <v>56476839</v>
      </c>
      <c r="N244" s="11">
        <f t="shared" si="28"/>
        <v>203635166</v>
      </c>
      <c r="O244" s="10">
        <f>SUM(O245:O247)</f>
        <v>0</v>
      </c>
      <c r="P244" s="11">
        <f t="shared" si="27"/>
        <v>1679125388</v>
      </c>
      <c r="Q244" s="10">
        <f>SUM(Q245:Q247)</f>
        <v>32570562</v>
      </c>
      <c r="R244" s="10"/>
      <c r="S244" s="3">
        <f t="shared" si="25"/>
        <v>269416985</v>
      </c>
      <c r="T244" s="3"/>
      <c r="U244" s="3"/>
      <c r="V244" s="3">
        <f t="shared" si="26"/>
        <v>16.04507840363855</v>
      </c>
    </row>
    <row r="245" spans="1:22" ht="12.75" hidden="1">
      <c r="A245" s="5" t="s">
        <v>30</v>
      </c>
      <c r="B245" s="11">
        <v>939032888</v>
      </c>
      <c r="C245" s="11">
        <v>0</v>
      </c>
      <c r="D245" s="11">
        <v>9764370</v>
      </c>
      <c r="E245" s="11">
        <v>0</v>
      </c>
      <c r="F245" s="11">
        <f>274606+765092</f>
        <v>1039698</v>
      </c>
      <c r="G245" s="11">
        <v>4660304</v>
      </c>
      <c r="H245" s="11">
        <v>7848958</v>
      </c>
      <c r="I245" s="11">
        <v>15343416</v>
      </c>
      <c r="J245" s="11">
        <v>22521927</v>
      </c>
      <c r="K245" s="11">
        <v>33311437</v>
      </c>
      <c r="L245" s="11">
        <f>309295398-94490110</f>
        <v>214805288</v>
      </c>
      <c r="M245" s="11">
        <v>28836508</v>
      </c>
      <c r="N245" s="11">
        <f>98225097-2027734+2337372</f>
        <v>98534735</v>
      </c>
      <c r="O245" s="11"/>
      <c r="P245" s="11">
        <f t="shared" si="27"/>
        <v>939032888</v>
      </c>
      <c r="Q245" s="11">
        <v>0</v>
      </c>
      <c r="R245" s="11"/>
      <c r="S245" s="3">
        <f t="shared" si="25"/>
        <v>230718895</v>
      </c>
      <c r="T245" s="3"/>
      <c r="U245" s="3"/>
      <c r="V245" s="3">
        <f t="shared" si="26"/>
        <v>24.569841796637903</v>
      </c>
    </row>
    <row r="246" spans="1:22" ht="12.75" hidden="1">
      <c r="A246" s="5" t="s">
        <v>31</v>
      </c>
      <c r="B246" s="11">
        <v>724342500</v>
      </c>
      <c r="C246" s="11"/>
      <c r="D246" s="11">
        <v>0</v>
      </c>
      <c r="E246" s="11">
        <v>0</v>
      </c>
      <c r="F246" s="11">
        <v>0</v>
      </c>
      <c r="G246" s="11">
        <v>0</v>
      </c>
      <c r="H246" s="11">
        <v>25090</v>
      </c>
      <c r="I246" s="11">
        <v>946365</v>
      </c>
      <c r="J246" s="11">
        <v>8764131</v>
      </c>
      <c r="K246" s="11">
        <v>21523596</v>
      </c>
      <c r="L246" s="11">
        <v>33159819</v>
      </c>
      <c r="M246" s="11">
        <v>27504331</v>
      </c>
      <c r="N246" s="11">
        <f>101300092+707323</f>
        <v>102007415</v>
      </c>
      <c r="O246" s="11">
        <v>0</v>
      </c>
      <c r="P246" s="11">
        <f t="shared" si="27"/>
        <v>724342500</v>
      </c>
      <c r="Q246" s="11">
        <f>32597431-2744732</f>
        <v>29852699</v>
      </c>
      <c r="R246" s="11"/>
      <c r="S246" s="3">
        <f t="shared" si="25"/>
        <v>32597431</v>
      </c>
      <c r="T246" s="3"/>
      <c r="U246" s="3"/>
      <c r="V246" s="3">
        <f t="shared" si="26"/>
        <v>4.500278666514805</v>
      </c>
    </row>
    <row r="247" spans="1:22" ht="12.75" hidden="1">
      <c r="A247" s="5" t="s">
        <v>32</v>
      </c>
      <c r="B247" s="11">
        <v>15750000</v>
      </c>
      <c r="C247" s="11"/>
      <c r="D247" s="11"/>
      <c r="E247" s="11">
        <v>1633088</v>
      </c>
      <c r="F247" s="11">
        <v>8487628</v>
      </c>
      <c r="G247" s="11">
        <v>506309</v>
      </c>
      <c r="H247" s="11">
        <v>676710</v>
      </c>
      <c r="I247" s="11">
        <v>3378186</v>
      </c>
      <c r="J247" s="11">
        <f>628640+207249.88</f>
        <v>835889.88</v>
      </c>
      <c r="K247" s="11">
        <v>2968850</v>
      </c>
      <c r="L247" s="11">
        <v>585030</v>
      </c>
      <c r="M247" s="11">
        <v>136000</v>
      </c>
      <c r="N247" s="11">
        <f>22300706.88-19207690.88</f>
        <v>3093016</v>
      </c>
      <c r="O247" s="11"/>
      <c r="P247" s="11">
        <f t="shared" si="27"/>
        <v>15750000</v>
      </c>
      <c r="Q247" s="11">
        <f>4474838-1756975</f>
        <v>2717863</v>
      </c>
      <c r="R247" s="11"/>
      <c r="S247" s="3">
        <f t="shared" si="25"/>
        <v>6100659</v>
      </c>
      <c r="T247" s="3"/>
      <c r="U247" s="3"/>
      <c r="V247" s="3">
        <f t="shared" si="26"/>
        <v>38.734342857142856</v>
      </c>
    </row>
    <row r="248" spans="1:22" ht="12.75" hidden="1">
      <c r="A248" s="7" t="s">
        <v>33</v>
      </c>
      <c r="B248" s="10">
        <v>65100000</v>
      </c>
      <c r="C248" s="11">
        <v>426256</v>
      </c>
      <c r="D248" s="11">
        <v>177520</v>
      </c>
      <c r="E248" s="11">
        <v>815304</v>
      </c>
      <c r="F248" s="11">
        <v>1044670</v>
      </c>
      <c r="G248" s="11">
        <v>210000</v>
      </c>
      <c r="H248" s="11">
        <v>497000</v>
      </c>
      <c r="I248" s="11">
        <v>1908400</v>
      </c>
      <c r="J248" s="11">
        <v>2080000</v>
      </c>
      <c r="K248" s="11">
        <v>1960300</v>
      </c>
      <c r="L248" s="11">
        <v>1071750</v>
      </c>
      <c r="M248" s="11">
        <v>486631</v>
      </c>
      <c r="N248" s="11">
        <v>3040000</v>
      </c>
      <c r="O248" s="11"/>
      <c r="P248" s="11">
        <f t="shared" si="27"/>
        <v>65100000</v>
      </c>
      <c r="Q248" s="10">
        <f>19344919-7544443</f>
        <v>11800476</v>
      </c>
      <c r="R248" s="10"/>
      <c r="S248" s="3">
        <f t="shared" si="25"/>
        <v>22423284</v>
      </c>
      <c r="T248" s="3"/>
      <c r="U248" s="3"/>
      <c r="V248" s="3">
        <f t="shared" si="26"/>
        <v>34.444368663594474</v>
      </c>
    </row>
    <row r="249" spans="1:22" ht="12.75" hidden="1">
      <c r="A249" s="7" t="s">
        <v>34</v>
      </c>
      <c r="B249" s="10">
        <v>1000000</v>
      </c>
      <c r="C249" s="11">
        <v>7540000</v>
      </c>
      <c r="D249" s="11"/>
      <c r="E249" s="11"/>
      <c r="F249" s="11"/>
      <c r="G249" s="11"/>
      <c r="H249" s="11"/>
      <c r="I249" s="11">
        <v>294000</v>
      </c>
      <c r="J249" s="11"/>
      <c r="K249" s="11"/>
      <c r="L249" s="11">
        <v>29000</v>
      </c>
      <c r="M249" s="11"/>
      <c r="N249" s="11"/>
      <c r="O249" s="11"/>
      <c r="P249" s="11">
        <f t="shared" si="27"/>
        <v>1000000</v>
      </c>
      <c r="Q249" s="10">
        <v>0</v>
      </c>
      <c r="R249" s="10"/>
      <c r="S249" s="3">
        <f t="shared" si="25"/>
        <v>0</v>
      </c>
      <c r="T249" s="3"/>
      <c r="U249" s="3"/>
      <c r="V249" s="3">
        <f t="shared" si="26"/>
        <v>0</v>
      </c>
    </row>
    <row r="250" spans="1:22" ht="12.75" hidden="1">
      <c r="A250" s="7" t="s">
        <v>35</v>
      </c>
      <c r="B250" s="10">
        <f aca="true" t="shared" si="29" ref="B250:O250">SUM(B251:B251)</f>
        <v>121800000</v>
      </c>
      <c r="C250" s="11">
        <f t="shared" si="29"/>
        <v>4768052</v>
      </c>
      <c r="D250" s="11">
        <f t="shared" si="29"/>
        <v>8290086</v>
      </c>
      <c r="E250" s="11">
        <f t="shared" si="29"/>
        <v>10672897</v>
      </c>
      <c r="F250" s="11">
        <f t="shared" si="29"/>
        <v>13361106</v>
      </c>
      <c r="G250" s="11">
        <f t="shared" si="29"/>
        <v>5435392</v>
      </c>
      <c r="H250" s="11">
        <f t="shared" si="29"/>
        <v>6359364</v>
      </c>
      <c r="I250" s="11">
        <f t="shared" si="29"/>
        <v>17667466</v>
      </c>
      <c r="J250" s="11">
        <f t="shared" si="29"/>
        <v>22629676</v>
      </c>
      <c r="K250" s="11">
        <f t="shared" si="29"/>
        <v>24318846</v>
      </c>
      <c r="L250" s="11">
        <f t="shared" si="29"/>
        <v>14234424</v>
      </c>
      <c r="M250" s="11">
        <f t="shared" si="29"/>
        <v>14378768</v>
      </c>
      <c r="N250" s="11">
        <f t="shared" si="29"/>
        <v>23388888</v>
      </c>
      <c r="O250" s="10">
        <f t="shared" si="29"/>
        <v>0</v>
      </c>
      <c r="P250" s="11">
        <f t="shared" si="27"/>
        <v>121800000</v>
      </c>
      <c r="Q250" s="10">
        <f>SUM(Q251:Q251)</f>
        <v>53614106</v>
      </c>
      <c r="R250" s="10"/>
      <c r="S250" s="3">
        <f t="shared" si="25"/>
        <v>114823775.64</v>
      </c>
      <c r="T250" s="3"/>
      <c r="U250" s="3"/>
      <c r="V250" s="3">
        <f t="shared" si="26"/>
        <v>94.27239379310345</v>
      </c>
    </row>
    <row r="251" spans="1:22" ht="12.75" hidden="1">
      <c r="A251" s="5" t="s">
        <v>36</v>
      </c>
      <c r="B251" s="11">
        <v>121800000</v>
      </c>
      <c r="C251" s="11">
        <v>4768052</v>
      </c>
      <c r="D251" s="11">
        <v>8290086</v>
      </c>
      <c r="E251" s="11">
        <v>10672897</v>
      </c>
      <c r="F251" s="11">
        <v>13361106</v>
      </c>
      <c r="G251" s="11">
        <v>5435392</v>
      </c>
      <c r="H251" s="11">
        <v>6359364</v>
      </c>
      <c r="I251" s="11">
        <v>17667466</v>
      </c>
      <c r="J251" s="11">
        <f>15777671+6852005</f>
        <v>22629676</v>
      </c>
      <c r="K251" s="11">
        <v>24318846</v>
      </c>
      <c r="L251" s="11">
        <v>14234424</v>
      </c>
      <c r="M251" s="11">
        <f>14378768</f>
        <v>14378768</v>
      </c>
      <c r="N251" s="11">
        <f>165504965-142116077</f>
        <v>23388888</v>
      </c>
      <c r="O251" s="11"/>
      <c r="P251" s="11">
        <f t="shared" si="27"/>
        <v>121800000</v>
      </c>
      <c r="Q251" s="11">
        <f>78608817-24994711</f>
        <v>53614106</v>
      </c>
      <c r="R251" s="11"/>
      <c r="S251" s="3">
        <f t="shared" si="25"/>
        <v>114823775.64</v>
      </c>
      <c r="T251" s="3"/>
      <c r="U251" s="3"/>
      <c r="V251" s="3">
        <f t="shared" si="26"/>
        <v>94.27239379310345</v>
      </c>
    </row>
    <row r="252" spans="1:22" ht="12.75" hidden="1">
      <c r="A252" s="7" t="s">
        <v>37</v>
      </c>
      <c r="B252" s="10">
        <v>71925000</v>
      </c>
      <c r="C252" s="11" t="e">
        <f>SUM(#REF!)</f>
        <v>#REF!</v>
      </c>
      <c r="D252" s="11" t="e">
        <f>SUM(#REF!)</f>
        <v>#REF!</v>
      </c>
      <c r="E252" s="11" t="e">
        <f>SUM(#REF!)</f>
        <v>#REF!</v>
      </c>
      <c r="F252" s="11" t="e">
        <f>SUM(#REF!)</f>
        <v>#REF!</v>
      </c>
      <c r="G252" s="11" t="e">
        <f>SUM(#REF!)</f>
        <v>#REF!</v>
      </c>
      <c r="H252" s="11" t="e">
        <f>SUM(#REF!)</f>
        <v>#REF!</v>
      </c>
      <c r="I252" s="11" t="e">
        <f>SUM(#REF!)</f>
        <v>#REF!</v>
      </c>
      <c r="J252" s="11" t="e">
        <f>SUM(#REF!)</f>
        <v>#REF!</v>
      </c>
      <c r="K252" s="11" t="e">
        <f>SUM(#REF!)</f>
        <v>#REF!</v>
      </c>
      <c r="L252" s="11" t="e">
        <f>SUM(#REF!)</f>
        <v>#REF!</v>
      </c>
      <c r="M252" s="11" t="e">
        <f>SUM(#REF!)</f>
        <v>#REF!</v>
      </c>
      <c r="N252" s="11" t="e">
        <f>SUM(#REF!)</f>
        <v>#REF!</v>
      </c>
      <c r="O252" s="10">
        <v>0</v>
      </c>
      <c r="P252" s="11">
        <f t="shared" si="27"/>
        <v>71925000</v>
      </c>
      <c r="Q252" s="11">
        <v>0</v>
      </c>
      <c r="R252" s="11"/>
      <c r="S252" s="3">
        <f t="shared" si="25"/>
        <v>24076647</v>
      </c>
      <c r="T252" s="3"/>
      <c r="U252" s="3"/>
      <c r="V252" s="3">
        <f t="shared" si="26"/>
        <v>33.474656934306566</v>
      </c>
    </row>
    <row r="253" spans="1:22" ht="12.75" hidden="1">
      <c r="A253" s="7" t="s">
        <v>44</v>
      </c>
      <c r="B253" s="10">
        <f>+B254</f>
        <v>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>
        <f>+O254</f>
        <v>1309545600</v>
      </c>
      <c r="P253" s="11">
        <f t="shared" si="27"/>
        <v>1309545600</v>
      </c>
      <c r="Q253" s="10">
        <f>+Q254</f>
        <v>0</v>
      </c>
      <c r="R253" s="10"/>
      <c r="S253" s="3">
        <f t="shared" si="25"/>
        <v>56086490</v>
      </c>
      <c r="T253" s="3"/>
      <c r="U253" s="3"/>
      <c r="V253" s="3">
        <f t="shared" si="26"/>
        <v>4.282897059865651</v>
      </c>
    </row>
    <row r="254" spans="1:22" ht="12.75" hidden="1">
      <c r="A254" s="7" t="s">
        <v>45</v>
      </c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>
        <f>1230345600+79200000</f>
        <v>1309545600</v>
      </c>
      <c r="P254" s="11">
        <f t="shared" si="27"/>
        <v>1309545600</v>
      </c>
      <c r="Q254" s="10">
        <v>0</v>
      </c>
      <c r="R254" s="10"/>
      <c r="S254" s="3">
        <f t="shared" si="25"/>
        <v>56086490</v>
      </c>
      <c r="T254" s="3"/>
      <c r="U254" s="3"/>
      <c r="V254" s="3">
        <f t="shared" si="26"/>
        <v>4.282897059865651</v>
      </c>
    </row>
    <row r="255" spans="1:22" ht="12.75" hidden="1">
      <c r="A255" s="7"/>
      <c r="B255" s="1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/>
      <c r="P255" s="11"/>
      <c r="Q255" s="10">
        <v>0</v>
      </c>
      <c r="R255" s="10"/>
      <c r="S255" s="3">
        <f t="shared" si="25"/>
        <v>0</v>
      </c>
      <c r="T255" s="3"/>
      <c r="U255" s="3"/>
      <c r="V255" s="3"/>
    </row>
    <row r="256" spans="1:22" ht="12.75" hidden="1">
      <c r="A256" s="7" t="s">
        <v>38</v>
      </c>
      <c r="B256" s="10">
        <f>+B257+B258+B259</f>
        <v>1914146055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+O257+O258+O259</f>
        <v>515409946</v>
      </c>
      <c r="P256" s="11">
        <f>+B256+O256</f>
        <v>2429556001</v>
      </c>
      <c r="Q256" s="10">
        <f>+Q257+Q258+Q259</f>
        <v>915343196</v>
      </c>
      <c r="R256" s="10"/>
      <c r="S256" s="3">
        <f t="shared" si="25"/>
        <v>2286053647.77</v>
      </c>
      <c r="T256" s="3"/>
      <c r="U256" s="3"/>
      <c r="V256" s="3">
        <f>+S256/P256*100</f>
        <v>94.09347415038243</v>
      </c>
    </row>
    <row r="257" spans="1:22" ht="12.75" hidden="1">
      <c r="A257" s="7" t="s">
        <v>6</v>
      </c>
      <c r="B257" s="10">
        <v>70000000</v>
      </c>
      <c r="C257" s="11">
        <v>898886</v>
      </c>
      <c r="D257" s="11">
        <f>4306726+216132</f>
        <v>4522858</v>
      </c>
      <c r="E257" s="11">
        <f>751140+23292827</f>
        <v>24043967</v>
      </c>
      <c r="F257" s="11">
        <v>8452240</v>
      </c>
      <c r="G257" s="11">
        <v>4422172</v>
      </c>
      <c r="H257" s="11">
        <f>7484642+234363</f>
        <v>7719005</v>
      </c>
      <c r="I257" s="11">
        <f>102855+5416914</f>
        <v>5519769</v>
      </c>
      <c r="J257" s="11">
        <f>6098966+444960+3514791+65855</f>
        <v>10124572</v>
      </c>
      <c r="K257" s="11">
        <f>191152+1348022+3219820.01</f>
        <v>4758994.01</v>
      </c>
      <c r="L257" s="11">
        <f>350566+9695840</f>
        <v>10046406</v>
      </c>
      <c r="M257" s="11">
        <f>579536+7833208+436291+345639</f>
        <v>9194674</v>
      </c>
      <c r="N257" s="11">
        <f>112132152.5-89703543.01</f>
        <v>22428609.489999995</v>
      </c>
      <c r="O257" s="11">
        <v>0</v>
      </c>
      <c r="P257" s="11">
        <f>+B257+O257</f>
        <v>70000000</v>
      </c>
      <c r="Q257" s="11">
        <f>91882084-79076395+10</f>
        <v>12805699</v>
      </c>
      <c r="R257" s="11"/>
      <c r="S257" s="3">
        <f t="shared" si="25"/>
        <v>79132931.77</v>
      </c>
      <c r="T257" s="3"/>
      <c r="U257" s="3"/>
      <c r="V257" s="3">
        <f>+S257/P257*100</f>
        <v>113.04704538571428</v>
      </c>
    </row>
    <row r="258" spans="1:22" ht="12.75" hidden="1">
      <c r="A258" s="7" t="s">
        <v>9</v>
      </c>
      <c r="B258" s="10">
        <v>0</v>
      </c>
      <c r="C258" s="11"/>
      <c r="D258" s="11"/>
      <c r="E258" s="11"/>
      <c r="F258" s="11">
        <f>+B258</f>
        <v>0</v>
      </c>
      <c r="G258" s="11"/>
      <c r="H258" s="11"/>
      <c r="I258" s="11"/>
      <c r="J258" s="11"/>
      <c r="K258" s="11"/>
      <c r="L258" s="11"/>
      <c r="M258" s="11"/>
      <c r="N258" s="11"/>
      <c r="O258" s="11">
        <f>+O208</f>
        <v>515409946</v>
      </c>
      <c r="P258" s="11">
        <f>+B258+O258</f>
        <v>515409946</v>
      </c>
      <c r="Q258" s="10">
        <v>888746268</v>
      </c>
      <c r="R258" s="10"/>
      <c r="S258" s="3">
        <f t="shared" si="25"/>
        <v>1404156214</v>
      </c>
      <c r="T258" s="3"/>
      <c r="U258" s="3"/>
      <c r="V258" s="3">
        <f>+S258/P258*100</f>
        <v>272.4348307395682</v>
      </c>
    </row>
    <row r="259" spans="1:22" ht="12.75" hidden="1">
      <c r="A259" s="7" t="s">
        <v>39</v>
      </c>
      <c r="B259" s="10">
        <v>1844146055</v>
      </c>
      <c r="C259" s="11" t="e">
        <f>+#REF!+#REF!</f>
        <v>#REF!</v>
      </c>
      <c r="D259" s="11" t="e">
        <f>+#REF!+#REF!</f>
        <v>#REF!</v>
      </c>
      <c r="E259" s="11" t="e">
        <f>+#REF!+#REF!</f>
        <v>#REF!</v>
      </c>
      <c r="F259" s="11" t="e">
        <f>+#REF!+#REF!</f>
        <v>#REF!</v>
      </c>
      <c r="G259" s="11" t="e">
        <f>+#REF!+#REF!</f>
        <v>#REF!</v>
      </c>
      <c r="H259" s="11" t="e">
        <f>+#REF!+#REF!</f>
        <v>#REF!</v>
      </c>
      <c r="I259" s="11" t="e">
        <f>+#REF!+#REF!</f>
        <v>#REF!</v>
      </c>
      <c r="J259" s="11" t="e">
        <f>+#REF!+#REF!</f>
        <v>#REF!</v>
      </c>
      <c r="K259" s="11" t="e">
        <f>+#REF!+#REF!</f>
        <v>#REF!</v>
      </c>
      <c r="L259" s="11" t="e">
        <f>+#REF!+#REF!</f>
        <v>#REF!</v>
      </c>
      <c r="M259" s="11" t="e">
        <f>+#REF!+#REF!</f>
        <v>#REF!</v>
      </c>
      <c r="N259" s="11" t="e">
        <f>+#REF!+#REF!</f>
        <v>#REF!</v>
      </c>
      <c r="O259" s="10">
        <v>0</v>
      </c>
      <c r="P259" s="11">
        <f>+B259+O259</f>
        <v>1844146055</v>
      </c>
      <c r="Q259" s="11">
        <f>947477930-933686701</f>
        <v>13791229</v>
      </c>
      <c r="R259" s="11"/>
      <c r="S259" s="3">
        <f t="shared" si="25"/>
        <v>802764502</v>
      </c>
      <c r="T259" s="3"/>
      <c r="U259" s="3"/>
      <c r="V259" s="3">
        <f>+S259/P259*100</f>
        <v>43.53041885286033</v>
      </c>
    </row>
    <row r="260" spans="1:22" ht="12.75" hidden="1">
      <c r="A260" s="5"/>
      <c r="B260" s="11"/>
      <c r="C260" s="11"/>
      <c r="D260" s="11"/>
      <c r="E260" s="11" t="s">
        <v>1</v>
      </c>
      <c r="F260" s="11" t="s">
        <v>1</v>
      </c>
      <c r="G260" s="11" t="s">
        <v>1</v>
      </c>
      <c r="H260" s="11" t="s">
        <v>1</v>
      </c>
      <c r="I260" s="11" t="s">
        <v>1</v>
      </c>
      <c r="J260" s="11" t="s">
        <v>1</v>
      </c>
      <c r="K260" s="11" t="s">
        <v>1</v>
      </c>
      <c r="L260" s="11" t="s">
        <v>1</v>
      </c>
      <c r="M260" s="11" t="s">
        <v>1</v>
      </c>
      <c r="N260" s="11" t="s">
        <v>1</v>
      </c>
      <c r="O260" s="11"/>
      <c r="P260" s="11" t="s">
        <v>1</v>
      </c>
      <c r="Q260" s="16" t="s">
        <v>1</v>
      </c>
      <c r="R260" s="16"/>
      <c r="S260" s="3" t="s">
        <v>1</v>
      </c>
      <c r="T260" s="3"/>
      <c r="U260" s="3"/>
      <c r="V260" s="3" t="s">
        <v>1</v>
      </c>
    </row>
    <row r="261" spans="1:22" ht="12.75" hidden="1">
      <c r="A261" s="7" t="s">
        <v>40</v>
      </c>
      <c r="B261" s="10">
        <f>+B234+B256</f>
        <v>10077156120</v>
      </c>
      <c r="C261" s="10" t="e">
        <f>+C237+C242+C244+C248+C249+C250+C252+#REF!+#REF!+C257+C258+C259+#REF!</f>
        <v>#REF!</v>
      </c>
      <c r="D261" s="10" t="e">
        <f>+D237+D242+D244+D248+D249+D250+D252+#REF!+#REF!+D257+D258+D259+#REF!</f>
        <v>#REF!</v>
      </c>
      <c r="E261" s="10" t="e">
        <f>+E237+E242+E244+E248+E249+E250+E252+#REF!+#REF!+E257+E258+E259+#REF!</f>
        <v>#REF!</v>
      </c>
      <c r="F261" s="10" t="e">
        <f>+F237+F242+F244+F248+F249+F250+F252+#REF!+#REF!+F257+F258+F259+#REF!</f>
        <v>#REF!</v>
      </c>
      <c r="G261" s="10" t="e">
        <f>+G237+G242+G244+G248+G249+G250+G252+#REF!+#REF!+G257+G258+G259+#REF!</f>
        <v>#REF!</v>
      </c>
      <c r="H261" s="10" t="e">
        <f>+H237+H242+H244+H248+H249+H250+H252+#REF!+#REF!+H257+H258+H259+#REF!</f>
        <v>#REF!</v>
      </c>
      <c r="I261" s="10" t="e">
        <f>+I237+I242+I244+I248+I249+I250+I252+#REF!+#REF!+I257+I258+I259+#REF!</f>
        <v>#REF!</v>
      </c>
      <c r="J261" s="10" t="e">
        <f>+J237+J242+J244+J248+J249+J250+J252+#REF!+#REF!+J257+J258+J259+#REF!</f>
        <v>#REF!</v>
      </c>
      <c r="K261" s="10" t="e">
        <f>+K237+K242+K244+K248+K249+K250+K252+#REF!+#REF!+K257+K258+K259+#REF!</f>
        <v>#REF!</v>
      </c>
      <c r="L261" s="10" t="e">
        <f>+L237+L242+L244+L248+L249+L250+L252+#REF!+#REF!+L257+L258+L259+#REF!</f>
        <v>#REF!</v>
      </c>
      <c r="M261" s="10" t="e">
        <f>+M237+M242+M244+M248+M249+M250+M252+#REF!+#REF!+M257+M258+M259+#REF!</f>
        <v>#REF!</v>
      </c>
      <c r="N261" s="10" t="e">
        <f>+N237+N242+N244+N248+N249+N250+N252+#REF!+#REF!+N257+N258+N259+#REF!</f>
        <v>#REF!</v>
      </c>
      <c r="O261" s="10">
        <f>+O234+O256</f>
        <v>1824955546</v>
      </c>
      <c r="P261" s="10">
        <f>+P234+P256</f>
        <v>11902111666</v>
      </c>
      <c r="Q261" s="10">
        <f>+Q234+Q256</f>
        <v>1469817439</v>
      </c>
      <c r="R261" s="10"/>
      <c r="S261" s="3">
        <f t="shared" si="25"/>
        <v>6207997757.26</v>
      </c>
      <c r="T261" s="3"/>
      <c r="U261" s="3"/>
      <c r="V261" s="3">
        <f>+S261/P261*100</f>
        <v>52.15879275434787</v>
      </c>
    </row>
    <row r="262" spans="1:22" ht="12.75" hidden="1">
      <c r="A262" s="7" t="s">
        <v>41</v>
      </c>
      <c r="B262" s="11">
        <f>+B212</f>
        <v>1334597240</v>
      </c>
      <c r="O262" s="1">
        <f>150200000+1005600000</f>
        <v>1155800000</v>
      </c>
      <c r="P262" s="1">
        <f>+B262+O262</f>
        <v>2490397240</v>
      </c>
      <c r="Q262" s="1">
        <f>564791544+1155800000-390707686</f>
        <v>1329883858</v>
      </c>
      <c r="R262" s="1"/>
      <c r="S262" s="3">
        <f t="shared" si="25"/>
        <v>3175267028</v>
      </c>
      <c r="T262" s="3"/>
      <c r="U262" s="3"/>
      <c r="V262" s="3">
        <f>+S262/P262*100</f>
        <v>127.50042350673341</v>
      </c>
    </row>
    <row r="263" spans="2:22" ht="12.75" hidden="1">
      <c r="B263" s="1" t="s">
        <v>1</v>
      </c>
      <c r="O263" s="1" t="s">
        <v>1</v>
      </c>
      <c r="Q263" s="16" t="s">
        <v>1</v>
      </c>
      <c r="R263" s="16"/>
      <c r="S263" s="3" t="s">
        <v>1</v>
      </c>
      <c r="T263" s="3"/>
      <c r="U263" s="3"/>
      <c r="V263" s="3" t="s">
        <v>1</v>
      </c>
    </row>
    <row r="264" spans="1:22" ht="12.75" hidden="1">
      <c r="A264" s="7" t="s">
        <v>42</v>
      </c>
      <c r="B264" s="16">
        <f>+B261+B262</f>
        <v>11411753360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6">
        <f>+O261+O262</f>
        <v>2980755546</v>
      </c>
      <c r="P264" s="16">
        <f>+P261+P262</f>
        <v>14392508906</v>
      </c>
      <c r="Q264" s="16">
        <f>+Q261+Q262</f>
        <v>2799701297</v>
      </c>
      <c r="R264" s="16"/>
      <c r="S264" s="3">
        <f t="shared" si="25"/>
        <v>9383264785.26</v>
      </c>
      <c r="T264" s="3"/>
      <c r="U264" s="3"/>
      <c r="V264" s="3">
        <f>+S264/P264*100</f>
        <v>65.19547666458814</v>
      </c>
    </row>
    <row r="265" spans="15:18" ht="12.75" hidden="1">
      <c r="O265" t="s">
        <v>1</v>
      </c>
      <c r="P265" s="1" t="s">
        <v>1</v>
      </c>
      <c r="Q265" s="1"/>
      <c r="R265" s="1"/>
    </row>
    <row r="266" ht="12.75" hidden="1">
      <c r="O266" t="s">
        <v>1</v>
      </c>
    </row>
    <row r="267" ht="12.75" hidden="1">
      <c r="O267" t="s">
        <v>1</v>
      </c>
    </row>
    <row r="268" ht="12.75" hidden="1"/>
    <row r="269" ht="12.75" hidden="1">
      <c r="O269" t="s">
        <v>1</v>
      </c>
    </row>
    <row r="270" ht="12.75" hidden="1"/>
    <row r="271" spans="1:22" ht="12.75" hidden="1">
      <c r="A271" s="47" t="s">
        <v>1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ht="12.75" hidden="1">
      <c r="A272" s="47" t="s">
        <v>1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ht="12.75" hidden="1">
      <c r="V273" s="18" t="s">
        <v>1</v>
      </c>
    </row>
    <row r="274" spans="1:22" ht="12.75" hidden="1">
      <c r="A274" s="47" t="s">
        <v>0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ht="12.75" hidden="1">
      <c r="A275" s="47" t="s">
        <v>89</v>
      </c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ht="12.75" hidden="1">
      <c r="V276" s="18" t="s">
        <v>1</v>
      </c>
    </row>
    <row r="277" spans="1:22" ht="38.25" hidden="1">
      <c r="A277" s="5"/>
      <c r="B277" s="6" t="s">
        <v>10</v>
      </c>
      <c r="C277" s="48" t="s">
        <v>11</v>
      </c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5"/>
      <c r="O277" s="4" t="s">
        <v>2</v>
      </c>
      <c r="P277" s="6" t="s">
        <v>12</v>
      </c>
      <c r="Q277" s="6" t="s">
        <v>85</v>
      </c>
      <c r="R277" s="6"/>
      <c r="S277" s="8" t="s">
        <v>86</v>
      </c>
      <c r="T277" s="8" t="s">
        <v>51</v>
      </c>
      <c r="U277" s="8" t="s">
        <v>87</v>
      </c>
      <c r="V277" s="8" t="s">
        <v>46</v>
      </c>
    </row>
    <row r="278" spans="1:22" ht="12.75" hidden="1">
      <c r="A278" s="4" t="s">
        <v>7</v>
      </c>
      <c r="B278" s="4" t="s">
        <v>1</v>
      </c>
      <c r="C278" s="4" t="s">
        <v>13</v>
      </c>
      <c r="D278" s="4" t="s">
        <v>14</v>
      </c>
      <c r="E278" s="4" t="s">
        <v>15</v>
      </c>
      <c r="F278" s="4" t="s">
        <v>16</v>
      </c>
      <c r="G278" s="4" t="s">
        <v>8</v>
      </c>
      <c r="H278" s="4" t="s">
        <v>17</v>
      </c>
      <c r="I278" s="4" t="s">
        <v>18</v>
      </c>
      <c r="J278" s="4" t="s">
        <v>19</v>
      </c>
      <c r="K278" s="4" t="s">
        <v>20</v>
      </c>
      <c r="L278" s="4" t="s">
        <v>21</v>
      </c>
      <c r="M278" s="4" t="s">
        <v>22</v>
      </c>
      <c r="N278" s="4" t="s">
        <v>23</v>
      </c>
      <c r="O278" s="4"/>
      <c r="P278" s="4"/>
      <c r="Q278" s="4"/>
      <c r="R278" s="4"/>
      <c r="S278" s="4"/>
      <c r="T278" s="4"/>
      <c r="U278" s="4"/>
      <c r="V278" s="4"/>
    </row>
    <row r="279" spans="1:22" ht="12.75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3" t="s">
        <v>1</v>
      </c>
      <c r="T279" s="3"/>
      <c r="U279" s="3" t="s">
        <v>1</v>
      </c>
      <c r="V279" s="3"/>
    </row>
    <row r="280" spans="1:23" ht="12.75" hidden="1">
      <c r="A280" s="9" t="s">
        <v>24</v>
      </c>
      <c r="B280" s="3">
        <f>+B282+B287</f>
        <v>8163010065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3">
        <f>+O282+O287</f>
        <v>1455685988</v>
      </c>
      <c r="P280" s="3">
        <f>+P282+P287</f>
        <v>9618696053</v>
      </c>
      <c r="Q280" s="3">
        <f>+Q282+Q287</f>
        <v>703197339.05</v>
      </c>
      <c r="R280" s="3"/>
      <c r="S280" s="3">
        <f>+S234+Q280</f>
        <v>4625141448.54</v>
      </c>
      <c r="T280" s="3">
        <f>+T282+T287</f>
        <v>2691375928</v>
      </c>
      <c r="U280" s="3">
        <f>+U282+U287</f>
        <v>7316517376.539999</v>
      </c>
      <c r="V280" s="3">
        <f>+U280/P280*100</f>
        <v>76.06558452648092</v>
      </c>
      <c r="W280" s="1"/>
    </row>
    <row r="281" spans="1:23" ht="12.75" hidden="1">
      <c r="A281" s="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3" t="e">
        <f aca="true" t="shared" si="30" ref="S281:S300">+S235+Q281</f>
        <v>#VALUE!</v>
      </c>
      <c r="T281" s="4"/>
      <c r="U281" s="3" t="e">
        <f aca="true" t="shared" si="31" ref="U281:U314">+S281+T281</f>
        <v>#VALUE!</v>
      </c>
      <c r="V281" s="3"/>
      <c r="W281" s="1"/>
    </row>
    <row r="282" spans="1:23" ht="12.75" hidden="1">
      <c r="A282" s="7" t="s">
        <v>3</v>
      </c>
      <c r="B282" s="10">
        <f>+B283</f>
        <v>3471300000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0">
        <f>+O283</f>
        <v>0</v>
      </c>
      <c r="P282" s="11">
        <f>+B282+O282</f>
        <v>3471300000</v>
      </c>
      <c r="Q282" s="10">
        <f>+Q283</f>
        <v>344600974.05</v>
      </c>
      <c r="R282" s="10"/>
      <c r="S282" s="3">
        <f t="shared" si="30"/>
        <v>2819654019.9</v>
      </c>
      <c r="T282" s="10">
        <f>+T283</f>
        <v>0</v>
      </c>
      <c r="U282" s="10">
        <f>+U283</f>
        <v>2819654019.8999996</v>
      </c>
      <c r="V282" s="3">
        <f aca="true" t="shared" si="32" ref="V282:V314">+U282/P282*100</f>
        <v>81.22760982628985</v>
      </c>
      <c r="W282" s="1"/>
    </row>
    <row r="283" spans="1:23" ht="12.75" hidden="1">
      <c r="A283" s="7" t="s">
        <v>25</v>
      </c>
      <c r="B283" s="10">
        <f>+B284+B285</f>
        <v>3471300000</v>
      </c>
      <c r="C283" s="11"/>
      <c r="D283" s="11">
        <v>177520</v>
      </c>
      <c r="E283" s="11"/>
      <c r="F283" s="11">
        <v>165006728</v>
      </c>
      <c r="G283" s="11">
        <v>1414514385</v>
      </c>
      <c r="H283" s="11">
        <v>4948458</v>
      </c>
      <c r="I283" s="11">
        <v>573117327</v>
      </c>
      <c r="J283" s="11">
        <f>139033811-14448995.38</f>
        <v>124584815.62</v>
      </c>
      <c r="K283" s="11">
        <v>93361900</v>
      </c>
      <c r="L283" s="11">
        <v>25720312</v>
      </c>
      <c r="M283" s="11">
        <v>242733948</v>
      </c>
      <c r="N283" s="11">
        <f>65086606+14219504.38-900076.38-6867260+6687809</f>
        <v>78226583</v>
      </c>
      <c r="O283" s="10">
        <f>+O284+O285</f>
        <v>0</v>
      </c>
      <c r="P283" s="11">
        <f>+B283+O283</f>
        <v>3471300000</v>
      </c>
      <c r="Q283" s="10">
        <f>+Q284+Q285</f>
        <v>344600974.05</v>
      </c>
      <c r="R283" s="10"/>
      <c r="S283" s="3">
        <f t="shared" si="30"/>
        <v>2819654019.9</v>
      </c>
      <c r="T283" s="10">
        <f>+T284+T285</f>
        <v>0</v>
      </c>
      <c r="U283" s="10">
        <f>+U284+U285</f>
        <v>2819654019.8999996</v>
      </c>
      <c r="V283" s="3">
        <f t="shared" si="32"/>
        <v>81.22760982628985</v>
      </c>
      <c r="W283" s="1"/>
    </row>
    <row r="284" spans="1:23" ht="12.75" hidden="1">
      <c r="A284" s="5" t="s">
        <v>26</v>
      </c>
      <c r="B284" s="11">
        <v>2106300000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>
        <f>+B284+O284</f>
        <v>2106300000</v>
      </c>
      <c r="Q284" s="11">
        <v>0</v>
      </c>
      <c r="R284" s="11"/>
      <c r="S284" s="3">
        <f t="shared" si="30"/>
        <v>1546425752.85</v>
      </c>
      <c r="T284" s="11">
        <v>0</v>
      </c>
      <c r="U284" s="3">
        <f t="shared" si="31"/>
        <v>1546425752.85</v>
      </c>
      <c r="V284" s="3">
        <f t="shared" si="32"/>
        <v>73.4190643711722</v>
      </c>
      <c r="W284" s="1"/>
    </row>
    <row r="285" spans="1:23" ht="12.75" hidden="1">
      <c r="A285" s="5" t="s">
        <v>27</v>
      </c>
      <c r="B285" s="11">
        <v>1365000000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>
        <f>+B285+O285</f>
        <v>1365000000</v>
      </c>
      <c r="Q285" s="11">
        <f>+'[1]JULIO08'!$B$108+4788352</f>
        <v>344600974.05</v>
      </c>
      <c r="R285" s="11"/>
      <c r="S285" s="3">
        <f t="shared" si="30"/>
        <v>1273228267.05</v>
      </c>
      <c r="T285" s="11">
        <v>0</v>
      </c>
      <c r="U285" s="3">
        <f t="shared" si="31"/>
        <v>1273228267.05</v>
      </c>
      <c r="V285" s="3">
        <f t="shared" si="32"/>
        <v>93.27679612087911</v>
      </c>
      <c r="W285" s="1"/>
    </row>
    <row r="286" spans="1:23" ht="12.75" hidden="1">
      <c r="A286" s="7"/>
      <c r="B286" s="1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 t="s">
        <v>1</v>
      </c>
      <c r="Q286" s="10"/>
      <c r="R286" s="10"/>
      <c r="S286" s="3" t="s">
        <v>1</v>
      </c>
      <c r="T286" s="10"/>
      <c r="U286" s="3" t="s">
        <v>1</v>
      </c>
      <c r="V286" s="3" t="s">
        <v>1</v>
      </c>
      <c r="W286" s="1"/>
    </row>
    <row r="287" spans="1:24" ht="12.75" hidden="1">
      <c r="A287" s="7" t="s">
        <v>4</v>
      </c>
      <c r="B287" s="10">
        <f>+B288+B289+B298+B299</f>
        <v>4691710065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0">
        <f>+O288+O289+O298+O299</f>
        <v>1455685988</v>
      </c>
      <c r="P287" s="10">
        <f>+P288+P289+P298+P299</f>
        <v>6147396053</v>
      </c>
      <c r="Q287" s="10">
        <f>+Q288+Q289+Q298+Q299</f>
        <v>358596365</v>
      </c>
      <c r="R287" s="10"/>
      <c r="S287" s="3">
        <f>+S241+Q287</f>
        <v>1805487428.6399999</v>
      </c>
      <c r="T287" s="10">
        <f>+T288+T289+T298+T299</f>
        <v>2691375928</v>
      </c>
      <c r="U287" s="3">
        <f>+S287+T287</f>
        <v>4496863356.639999</v>
      </c>
      <c r="V287" s="3">
        <f t="shared" si="32"/>
        <v>73.15070182350588</v>
      </c>
      <c r="W287" s="1"/>
      <c r="X287" t="s">
        <v>1</v>
      </c>
    </row>
    <row r="288" spans="1:24" ht="12.75" hidden="1">
      <c r="A288" s="7" t="s">
        <v>28</v>
      </c>
      <c r="B288" s="10">
        <v>2752759677</v>
      </c>
      <c r="C288" s="11">
        <v>0</v>
      </c>
      <c r="D288" s="11">
        <v>0</v>
      </c>
      <c r="E288" s="11">
        <v>0</v>
      </c>
      <c r="F288" s="11">
        <v>196495882</v>
      </c>
      <c r="G288" s="11">
        <v>164927418</v>
      </c>
      <c r="H288" s="11">
        <v>262941303</v>
      </c>
      <c r="I288" s="11">
        <v>280282246</v>
      </c>
      <c r="J288" s="11">
        <v>246192273</v>
      </c>
      <c r="K288" s="11">
        <v>308626989</v>
      </c>
      <c r="L288" s="11">
        <v>243645342</v>
      </c>
      <c r="M288" s="11">
        <v>247491577</v>
      </c>
      <c r="N288" s="11">
        <v>165492691</v>
      </c>
      <c r="O288" s="11"/>
      <c r="P288" s="11">
        <f>+B288+O288</f>
        <v>2752759677</v>
      </c>
      <c r="Q288" s="10">
        <v>258425895</v>
      </c>
      <c r="R288" s="10"/>
      <c r="S288" s="3">
        <v>905385785</v>
      </c>
      <c r="T288" s="10">
        <f>1841075725-S288+300000000</f>
        <v>1235689940</v>
      </c>
      <c r="U288" s="3">
        <f>+S288+T288</f>
        <v>2141075725</v>
      </c>
      <c r="V288" s="3">
        <f t="shared" si="32"/>
        <v>77.77924614666607</v>
      </c>
      <c r="W288" s="1" t="s">
        <v>1</v>
      </c>
      <c r="X288" s="1" t="s">
        <v>1</v>
      </c>
    </row>
    <row r="289" spans="1:24" ht="12.75" hidden="1">
      <c r="A289" s="7" t="s">
        <v>5</v>
      </c>
      <c r="B289" s="10">
        <f>+B290+B294+B295+B296</f>
        <v>1867025388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+O290+O294+O295+O296</f>
        <v>0</v>
      </c>
      <c r="P289" s="11">
        <f aca="true" t="shared" si="33" ref="P289:P300">+B289+O289</f>
        <v>1867025388</v>
      </c>
      <c r="Q289" s="10">
        <f>+Q290+Q294+Q295+Q296</f>
        <v>96833274</v>
      </c>
      <c r="R289" s="10"/>
      <c r="S289" s="3">
        <f>+S243+Q289</f>
        <v>503497318.64</v>
      </c>
      <c r="T289" s="10">
        <f>+T290+T294+T295+T296</f>
        <v>0</v>
      </c>
      <c r="U289" s="3">
        <f>+S289+T289</f>
        <v>503497318.64</v>
      </c>
      <c r="V289" s="3">
        <f t="shared" si="32"/>
        <v>26.96788816457165</v>
      </c>
      <c r="W289" s="1" t="s">
        <v>1</v>
      </c>
      <c r="X289" s="1" t="s">
        <v>52</v>
      </c>
    </row>
    <row r="290" spans="1:24" ht="12.75" hidden="1">
      <c r="A290" s="7" t="s">
        <v>29</v>
      </c>
      <c r="B290" s="10">
        <f>SUM(B291:B293)</f>
        <v>1679125388</v>
      </c>
      <c r="C290" s="11">
        <f>SUM(C291:C293)</f>
        <v>0</v>
      </c>
      <c r="D290" s="11">
        <f aca="true" t="shared" si="34" ref="D290:N290">SUM(D291:D293)</f>
        <v>9764370</v>
      </c>
      <c r="E290" s="11">
        <f t="shared" si="34"/>
        <v>1633088</v>
      </c>
      <c r="F290" s="11">
        <f t="shared" si="34"/>
        <v>9527326</v>
      </c>
      <c r="G290" s="11">
        <f t="shared" si="34"/>
        <v>5166613</v>
      </c>
      <c r="H290" s="11">
        <f t="shared" si="34"/>
        <v>8550758</v>
      </c>
      <c r="I290" s="11">
        <f t="shared" si="34"/>
        <v>19667967</v>
      </c>
      <c r="J290" s="11">
        <f t="shared" si="34"/>
        <v>32121947.88</v>
      </c>
      <c r="K290" s="11">
        <f t="shared" si="34"/>
        <v>57803883</v>
      </c>
      <c r="L290" s="11">
        <f t="shared" si="34"/>
        <v>248550137</v>
      </c>
      <c r="M290" s="11">
        <f t="shared" si="34"/>
        <v>56476839</v>
      </c>
      <c r="N290" s="11">
        <f t="shared" si="34"/>
        <v>203635166</v>
      </c>
      <c r="O290" s="10">
        <f>SUM(O291:O293)</f>
        <v>0</v>
      </c>
      <c r="P290" s="11">
        <f t="shared" si="33"/>
        <v>1679125388</v>
      </c>
      <c r="Q290" s="10">
        <f>SUM(Q291:Q293)</f>
        <v>91241645</v>
      </c>
      <c r="R290" s="10"/>
      <c r="S290" s="3">
        <f>+S244+Q290</f>
        <v>360658630</v>
      </c>
      <c r="T290" s="10">
        <f>SUM(T291:T293)</f>
        <v>0</v>
      </c>
      <c r="U290" s="3">
        <f t="shared" si="31"/>
        <v>360658630</v>
      </c>
      <c r="V290" s="3">
        <f t="shared" si="32"/>
        <v>21.47895759170071</v>
      </c>
      <c r="W290" s="1"/>
      <c r="X290" s="1" t="s">
        <v>1</v>
      </c>
    </row>
    <row r="291" spans="1:23" ht="12.75" hidden="1">
      <c r="A291" s="5" t="s">
        <v>30</v>
      </c>
      <c r="B291" s="11">
        <v>939032888</v>
      </c>
      <c r="C291" s="11">
        <v>0</v>
      </c>
      <c r="D291" s="11">
        <v>9764370</v>
      </c>
      <c r="E291" s="11">
        <v>0</v>
      </c>
      <c r="F291" s="11">
        <f>274606+765092</f>
        <v>1039698</v>
      </c>
      <c r="G291" s="11">
        <v>4660304</v>
      </c>
      <c r="H291" s="11">
        <v>7848958</v>
      </c>
      <c r="I291" s="11">
        <v>15343416</v>
      </c>
      <c r="J291" s="11">
        <v>22521927</v>
      </c>
      <c r="K291" s="11">
        <v>33311437</v>
      </c>
      <c r="L291" s="11">
        <f>309295398-94490110</f>
        <v>214805288</v>
      </c>
      <c r="M291" s="11">
        <v>28836508</v>
      </c>
      <c r="N291" s="11">
        <f>98225097-2027734+2337372</f>
        <v>98534735</v>
      </c>
      <c r="O291" s="11"/>
      <c r="P291" s="11">
        <f t="shared" si="33"/>
        <v>939032888</v>
      </c>
      <c r="Q291" s="11">
        <f>+'[1]JULIO08'!$B$64+21845564</f>
        <v>29345714</v>
      </c>
      <c r="R291" s="11"/>
      <c r="S291" s="3">
        <f t="shared" si="30"/>
        <v>260064609</v>
      </c>
      <c r="T291" s="11">
        <v>0</v>
      </c>
      <c r="U291" s="3">
        <f t="shared" si="31"/>
        <v>260064609</v>
      </c>
      <c r="V291" s="3">
        <f t="shared" si="32"/>
        <v>27.694941500281082</v>
      </c>
      <c r="W291" s="1"/>
    </row>
    <row r="292" spans="1:23" ht="12.75" hidden="1">
      <c r="A292" s="5" t="s">
        <v>31</v>
      </c>
      <c r="B292" s="11">
        <v>724342500</v>
      </c>
      <c r="C292" s="11"/>
      <c r="D292" s="11">
        <v>0</v>
      </c>
      <c r="E292" s="11">
        <v>0</v>
      </c>
      <c r="F292" s="11">
        <v>0</v>
      </c>
      <c r="G292" s="11">
        <v>0</v>
      </c>
      <c r="H292" s="11">
        <v>25090</v>
      </c>
      <c r="I292" s="11">
        <v>946365</v>
      </c>
      <c r="J292" s="11">
        <v>8764131</v>
      </c>
      <c r="K292" s="11">
        <v>21523596</v>
      </c>
      <c r="L292" s="11">
        <v>33159819</v>
      </c>
      <c r="M292" s="11">
        <v>27504331</v>
      </c>
      <c r="N292" s="11">
        <f>101300092+707323</f>
        <v>102007415</v>
      </c>
      <c r="O292" s="11">
        <v>0</v>
      </c>
      <c r="P292" s="11">
        <f t="shared" si="33"/>
        <v>724342500</v>
      </c>
      <c r="Q292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2" s="11"/>
      <c r="S292" s="3">
        <f t="shared" si="30"/>
        <v>93566330</v>
      </c>
      <c r="T292" s="11">
        <v>0</v>
      </c>
      <c r="U292" s="3">
        <f t="shared" si="31"/>
        <v>93566330</v>
      </c>
      <c r="V292" s="3">
        <f t="shared" si="32"/>
        <v>12.917415449183226</v>
      </c>
      <c r="W292" s="1" t="s">
        <v>1</v>
      </c>
    </row>
    <row r="293" spans="1:23" ht="12.75" hidden="1">
      <c r="A293" s="5" t="s">
        <v>32</v>
      </c>
      <c r="B293" s="11">
        <v>15750000</v>
      </c>
      <c r="C293" s="11"/>
      <c r="D293" s="11"/>
      <c r="E293" s="11">
        <v>1633088</v>
      </c>
      <c r="F293" s="11">
        <v>8487628</v>
      </c>
      <c r="G293" s="11">
        <v>506309</v>
      </c>
      <c r="H293" s="11">
        <v>676710</v>
      </c>
      <c r="I293" s="11">
        <v>3378186</v>
      </c>
      <c r="J293" s="11">
        <f>628640+207249.88</f>
        <v>835889.88</v>
      </c>
      <c r="K293" s="11">
        <v>2968850</v>
      </c>
      <c r="L293" s="11">
        <v>585030</v>
      </c>
      <c r="M293" s="11">
        <v>136000</v>
      </c>
      <c r="N293" s="11">
        <f>22300706.88-19207690.88</f>
        <v>3093016</v>
      </c>
      <c r="O293" s="11"/>
      <c r="P293" s="11">
        <f t="shared" si="33"/>
        <v>15750000</v>
      </c>
      <c r="Q293" s="11">
        <f>+'[1]JULIO08'!$B$77+153820+156511+35716+80375+153820</f>
        <v>927032</v>
      </c>
      <c r="R293" s="11"/>
      <c r="S293" s="3">
        <f t="shared" si="30"/>
        <v>7027691</v>
      </c>
      <c r="T293" s="11">
        <v>0</v>
      </c>
      <c r="U293" s="3">
        <f t="shared" si="31"/>
        <v>7027691</v>
      </c>
      <c r="V293" s="3">
        <f t="shared" si="32"/>
        <v>44.62026031746032</v>
      </c>
      <c r="W293" s="1"/>
    </row>
    <row r="294" spans="1:23" ht="12.75" hidden="1">
      <c r="A294" s="7" t="s">
        <v>33</v>
      </c>
      <c r="B294" s="10">
        <v>65100000</v>
      </c>
      <c r="C294" s="11">
        <v>426256</v>
      </c>
      <c r="D294" s="11">
        <v>177520</v>
      </c>
      <c r="E294" s="11">
        <v>815304</v>
      </c>
      <c r="F294" s="11">
        <v>1044670</v>
      </c>
      <c r="G294" s="11">
        <v>210000</v>
      </c>
      <c r="H294" s="11">
        <v>497000</v>
      </c>
      <c r="I294" s="11">
        <v>1908400</v>
      </c>
      <c r="J294" s="11">
        <v>2080000</v>
      </c>
      <c r="K294" s="11">
        <v>1960300</v>
      </c>
      <c r="L294" s="11">
        <v>1071750</v>
      </c>
      <c r="M294" s="11">
        <v>486631</v>
      </c>
      <c r="N294" s="11">
        <v>3040000</v>
      </c>
      <c r="O294" s="11"/>
      <c r="P294" s="11">
        <f t="shared" si="33"/>
        <v>65100000</v>
      </c>
      <c r="Q294" s="10">
        <f>+'[1]JULIO08'!$B$12+1846000+332262+140735</f>
        <v>3703497</v>
      </c>
      <c r="R294" s="10"/>
      <c r="S294" s="3">
        <f t="shared" si="30"/>
        <v>26126781</v>
      </c>
      <c r="T294" s="10">
        <v>0</v>
      </c>
      <c r="U294" s="3">
        <f t="shared" si="31"/>
        <v>26126781</v>
      </c>
      <c r="V294" s="3">
        <f t="shared" si="32"/>
        <v>40.13330414746544</v>
      </c>
      <c r="W294" s="1"/>
    </row>
    <row r="295" spans="1:23" ht="12.75" hidden="1">
      <c r="A295" s="7" t="s">
        <v>34</v>
      </c>
      <c r="B295" s="10">
        <v>1000000</v>
      </c>
      <c r="C295" s="11">
        <v>7540000</v>
      </c>
      <c r="D295" s="11"/>
      <c r="E295" s="11"/>
      <c r="F295" s="11"/>
      <c r="G295" s="11"/>
      <c r="H295" s="11"/>
      <c r="I295" s="11">
        <v>294000</v>
      </c>
      <c r="J295" s="11"/>
      <c r="K295" s="11"/>
      <c r="L295" s="11">
        <v>29000</v>
      </c>
      <c r="M295" s="11"/>
      <c r="N295" s="11"/>
      <c r="O295" s="11"/>
      <c r="P295" s="11">
        <f t="shared" si="33"/>
        <v>1000000</v>
      </c>
      <c r="Q295" s="10">
        <v>0</v>
      </c>
      <c r="R295" s="10"/>
      <c r="S295" s="3">
        <f t="shared" si="30"/>
        <v>0</v>
      </c>
      <c r="T295" s="10">
        <v>0</v>
      </c>
      <c r="U295" s="3">
        <f t="shared" si="31"/>
        <v>0</v>
      </c>
      <c r="V295" s="3">
        <f t="shared" si="32"/>
        <v>0</v>
      </c>
      <c r="W295" s="1"/>
    </row>
    <row r="296" spans="1:23" ht="12.75" hidden="1">
      <c r="A296" s="7" t="s">
        <v>35</v>
      </c>
      <c r="B296" s="10">
        <f aca="true" t="shared" si="35" ref="B296:O296">SUM(B297:B297)</f>
        <v>121800000</v>
      </c>
      <c r="C296" s="11">
        <f t="shared" si="35"/>
        <v>4768052</v>
      </c>
      <c r="D296" s="11">
        <f t="shared" si="35"/>
        <v>8290086</v>
      </c>
      <c r="E296" s="11">
        <f t="shared" si="35"/>
        <v>10672897</v>
      </c>
      <c r="F296" s="11">
        <f t="shared" si="35"/>
        <v>13361106</v>
      </c>
      <c r="G296" s="11">
        <f t="shared" si="35"/>
        <v>5435392</v>
      </c>
      <c r="H296" s="11">
        <f t="shared" si="35"/>
        <v>6359364</v>
      </c>
      <c r="I296" s="11">
        <f t="shared" si="35"/>
        <v>17667466</v>
      </c>
      <c r="J296" s="11">
        <f t="shared" si="35"/>
        <v>22629676</v>
      </c>
      <c r="K296" s="11">
        <f t="shared" si="35"/>
        <v>24318846</v>
      </c>
      <c r="L296" s="11">
        <f t="shared" si="35"/>
        <v>14234424</v>
      </c>
      <c r="M296" s="11">
        <f t="shared" si="35"/>
        <v>14378768</v>
      </c>
      <c r="N296" s="11">
        <f t="shared" si="35"/>
        <v>23388888</v>
      </c>
      <c r="O296" s="10">
        <f t="shared" si="35"/>
        <v>0</v>
      </c>
      <c r="P296" s="11">
        <f t="shared" si="33"/>
        <v>121800000</v>
      </c>
      <c r="Q296" s="10">
        <f>SUM(Q297:Q297)</f>
        <v>1888132</v>
      </c>
      <c r="R296" s="10"/>
      <c r="S296" s="3">
        <f t="shared" si="30"/>
        <v>116711907.64</v>
      </c>
      <c r="T296" s="10">
        <f>SUM(T297:T297)</f>
        <v>0</v>
      </c>
      <c r="U296" s="3">
        <f t="shared" si="31"/>
        <v>116711907.64</v>
      </c>
      <c r="V296" s="3">
        <f t="shared" si="32"/>
        <v>95.82258426929393</v>
      </c>
      <c r="W296" s="1"/>
    </row>
    <row r="297" spans="1:23" ht="12.75" hidden="1">
      <c r="A297" s="5" t="s">
        <v>36</v>
      </c>
      <c r="B297" s="11">
        <v>121800000</v>
      </c>
      <c r="C297" s="11">
        <v>4768052</v>
      </c>
      <c r="D297" s="11">
        <v>8290086</v>
      </c>
      <c r="E297" s="11">
        <v>10672897</v>
      </c>
      <c r="F297" s="11">
        <v>13361106</v>
      </c>
      <c r="G297" s="11">
        <v>5435392</v>
      </c>
      <c r="H297" s="11">
        <v>6359364</v>
      </c>
      <c r="I297" s="11">
        <v>17667466</v>
      </c>
      <c r="J297" s="11">
        <f>15777671+6852005</f>
        <v>22629676</v>
      </c>
      <c r="K297" s="11">
        <v>24318846</v>
      </c>
      <c r="L297" s="11">
        <v>14234424</v>
      </c>
      <c r="M297" s="11">
        <f>14378768</f>
        <v>14378768</v>
      </c>
      <c r="N297" s="11">
        <f>165504965-142116077</f>
        <v>23388888</v>
      </c>
      <c r="O297" s="11"/>
      <c r="P297" s="11">
        <f t="shared" si="33"/>
        <v>121800000</v>
      </c>
      <c r="Q297" s="11">
        <f>+'[1]JULIO08'!$B$90+255724+22300+22300+22300+22300+22300+22300+255724+22300+255724+304030+22300-22300+22300+304030</f>
        <v>1888132</v>
      </c>
      <c r="R297" s="11"/>
      <c r="S297" s="3">
        <f t="shared" si="30"/>
        <v>116711907.64</v>
      </c>
      <c r="T297" s="11">
        <v>0</v>
      </c>
      <c r="U297" s="3">
        <f t="shared" si="31"/>
        <v>116711907.64</v>
      </c>
      <c r="V297" s="3">
        <f t="shared" si="32"/>
        <v>95.82258426929393</v>
      </c>
      <c r="W297" s="1"/>
    </row>
    <row r="298" spans="1:23" ht="12.75" hidden="1">
      <c r="A298" s="7" t="s">
        <v>37</v>
      </c>
      <c r="B298" s="10">
        <v>71925000</v>
      </c>
      <c r="C298" s="11" t="e">
        <f>SUM(#REF!)</f>
        <v>#REF!</v>
      </c>
      <c r="D298" s="11" t="e">
        <f>SUM(#REF!)</f>
        <v>#REF!</v>
      </c>
      <c r="E298" s="11" t="e">
        <f>SUM(#REF!)</f>
        <v>#REF!</v>
      </c>
      <c r="F298" s="11" t="e">
        <f>SUM(#REF!)</f>
        <v>#REF!</v>
      </c>
      <c r="G298" s="11" t="e">
        <f>SUM(#REF!)</f>
        <v>#REF!</v>
      </c>
      <c r="H298" s="11" t="e">
        <f>SUM(#REF!)</f>
        <v>#REF!</v>
      </c>
      <c r="I298" s="11" t="e">
        <f>SUM(#REF!)</f>
        <v>#REF!</v>
      </c>
      <c r="J298" s="11" t="e">
        <f>SUM(#REF!)</f>
        <v>#REF!</v>
      </c>
      <c r="K298" s="11" t="e">
        <f>SUM(#REF!)</f>
        <v>#REF!</v>
      </c>
      <c r="L298" s="11" t="e">
        <f>SUM(#REF!)</f>
        <v>#REF!</v>
      </c>
      <c r="M298" s="11" t="e">
        <f>SUM(#REF!)</f>
        <v>#REF!</v>
      </c>
      <c r="N298" s="11" t="e">
        <f>SUM(#REF!)</f>
        <v>#REF!</v>
      </c>
      <c r="O298" s="10">
        <v>0</v>
      </c>
      <c r="P298" s="11">
        <f t="shared" si="33"/>
        <v>71925000</v>
      </c>
      <c r="Q298" s="11">
        <f>+'[1]JULIO08'!$B$20+'[1]JULIO08'!$B$35+'[1]JULIO08'!$C$130+54000+72000+54000+72000+40262+72000+36539+607+43575+7262+224893-147517+72000+0+108000+54000+72000+13000</f>
        <v>3337196</v>
      </c>
      <c r="R298" s="11"/>
      <c r="S298" s="3">
        <f t="shared" si="30"/>
        <v>27413843</v>
      </c>
      <c r="T298" s="11">
        <v>0</v>
      </c>
      <c r="U298" s="3">
        <f t="shared" si="31"/>
        <v>27413843</v>
      </c>
      <c r="V298" s="3">
        <f t="shared" si="32"/>
        <v>38.114484532499134</v>
      </c>
      <c r="W298" s="1"/>
    </row>
    <row r="299" spans="1:23" ht="12.75" hidden="1">
      <c r="A299" s="7" t="s">
        <v>44</v>
      </c>
      <c r="B299" s="10">
        <f>+B300</f>
        <v>0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0">
        <f>+O300+O301+O302</f>
        <v>1455685988</v>
      </c>
      <c r="P299" s="11">
        <f t="shared" si="33"/>
        <v>1455685988</v>
      </c>
      <c r="Q299" s="10">
        <f>+Q300</f>
        <v>0</v>
      </c>
      <c r="R299" s="10"/>
      <c r="S299" s="3">
        <f t="shared" si="30"/>
        <v>56086490</v>
      </c>
      <c r="T299" s="10">
        <f>+T300+T301+T302</f>
        <v>1455685988</v>
      </c>
      <c r="U299" s="3">
        <f t="shared" si="31"/>
        <v>1511772478</v>
      </c>
      <c r="V299" s="3">
        <f t="shared" si="32"/>
        <v>103.85292504443618</v>
      </c>
      <c r="W299" s="1"/>
    </row>
    <row r="300" spans="1:23" ht="12.75" hidden="1">
      <c r="A300" s="7" t="s">
        <v>45</v>
      </c>
      <c r="B300" s="10">
        <v>0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>
        <f>1230345600</f>
        <v>1230345600</v>
      </c>
      <c r="P300" s="11">
        <f t="shared" si="33"/>
        <v>1230345600</v>
      </c>
      <c r="Q300" s="10">
        <v>0</v>
      </c>
      <c r="R300" s="10"/>
      <c r="S300" s="3">
        <f t="shared" si="30"/>
        <v>56086490</v>
      </c>
      <c r="T300" s="10">
        <f>+O300</f>
        <v>1230345600</v>
      </c>
      <c r="U300" s="3">
        <f t="shared" si="31"/>
        <v>1286432090</v>
      </c>
      <c r="V300" s="3">
        <f t="shared" si="32"/>
        <v>104.55859638137449</v>
      </c>
      <c r="W300" s="1"/>
    </row>
    <row r="301" spans="1:23" ht="12.75" hidden="1">
      <c r="A301" s="7" t="s">
        <v>48</v>
      </c>
      <c r="B301" s="10"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v>79200000</v>
      </c>
      <c r="P301" s="11">
        <f>+B301+O301</f>
        <v>79200000</v>
      </c>
      <c r="Q301" s="10">
        <v>0</v>
      </c>
      <c r="R301" s="10"/>
      <c r="S301" s="3">
        <f>+Q301</f>
        <v>0</v>
      </c>
      <c r="T301" s="10">
        <f>+O301</f>
        <v>79200000</v>
      </c>
      <c r="U301" s="3">
        <f t="shared" si="31"/>
        <v>79200000</v>
      </c>
      <c r="V301" s="3">
        <f t="shared" si="32"/>
        <v>100</v>
      </c>
      <c r="W301" s="1"/>
    </row>
    <row r="302" spans="1:23" ht="12.75" hidden="1">
      <c r="A302" s="7" t="s">
        <v>88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+'[2]analisis'!$B$16</f>
        <v>146140388</v>
      </c>
      <c r="P302" s="11">
        <f>+B302+O302</f>
        <v>146140388</v>
      </c>
      <c r="Q302" s="10">
        <v>0</v>
      </c>
      <c r="R302" s="10"/>
      <c r="S302" s="3">
        <v>0</v>
      </c>
      <c r="T302" s="10">
        <f>+O302</f>
        <v>146140388</v>
      </c>
      <c r="U302" s="3">
        <f t="shared" si="31"/>
        <v>146140388</v>
      </c>
      <c r="V302" s="3">
        <f t="shared" si="32"/>
        <v>100</v>
      </c>
      <c r="W302" s="1"/>
    </row>
    <row r="303" spans="1:23" ht="12.75" hidden="1">
      <c r="A303" s="7" t="s">
        <v>38</v>
      </c>
      <c r="B303" s="10">
        <f>+B304+B305+B306</f>
        <v>1914146055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f>+O304+O305+O306</f>
        <v>515409946</v>
      </c>
      <c r="P303" s="11">
        <f>+B303+O303</f>
        <v>2429556001</v>
      </c>
      <c r="Q303" s="10">
        <f>+Q304+Q305+Q306</f>
        <v>855254341</v>
      </c>
      <c r="R303" s="10"/>
      <c r="S303" s="3">
        <f>+S256+Q303</f>
        <v>3141307988.77</v>
      </c>
      <c r="T303" s="10">
        <f>+T304+T305+T306</f>
        <v>0</v>
      </c>
      <c r="U303" s="3">
        <f>+S303+T303</f>
        <v>3141307988.77</v>
      </c>
      <c r="V303" s="3">
        <f t="shared" si="32"/>
        <v>129.2955580145938</v>
      </c>
      <c r="W303" s="1"/>
    </row>
    <row r="304" spans="1:23" ht="12.75" hidden="1">
      <c r="A304" s="7" t="s">
        <v>6</v>
      </c>
      <c r="B304" s="10">
        <v>70000000</v>
      </c>
      <c r="C304" s="11">
        <v>898886</v>
      </c>
      <c r="D304" s="11">
        <f>4306726+216132</f>
        <v>4522858</v>
      </c>
      <c r="E304" s="11">
        <f>751140+23292827</f>
        <v>24043967</v>
      </c>
      <c r="F304" s="11">
        <v>8452240</v>
      </c>
      <c r="G304" s="11">
        <v>4422172</v>
      </c>
      <c r="H304" s="11">
        <f>7484642+234363</f>
        <v>7719005</v>
      </c>
      <c r="I304" s="11">
        <f>102855+5416914</f>
        <v>5519769</v>
      </c>
      <c r="J304" s="11">
        <f>6098966+444960+3514791+65855</f>
        <v>10124572</v>
      </c>
      <c r="K304" s="11">
        <f>191152+1348022+3219820.01</f>
        <v>4758994.01</v>
      </c>
      <c r="L304" s="11">
        <f>350566+9695840</f>
        <v>10046406</v>
      </c>
      <c r="M304" s="11">
        <f>579536+7833208+436291+345639</f>
        <v>9194674</v>
      </c>
      <c r="N304" s="11">
        <f>112132152.5-89703543.01</f>
        <v>22428609.489999995</v>
      </c>
      <c r="O304" s="11">
        <v>0</v>
      </c>
      <c r="P304" s="11">
        <f>+B304+O304</f>
        <v>70000000</v>
      </c>
      <c r="Q304" s="11">
        <f>+'[1]JULIO08'!$B$73+917652+162538+93125+21664+33211</f>
        <v>4453600</v>
      </c>
      <c r="R304" s="11"/>
      <c r="S304" s="3">
        <f>+S257+Q304</f>
        <v>83586531.77</v>
      </c>
      <c r="T304" s="11">
        <v>0</v>
      </c>
      <c r="U304" s="3">
        <f t="shared" si="31"/>
        <v>83586531.77</v>
      </c>
      <c r="V304" s="3">
        <f t="shared" si="32"/>
        <v>119.4093311</v>
      </c>
      <c r="W304" s="1"/>
    </row>
    <row r="305" spans="1:23" ht="12.75" hidden="1">
      <c r="A305" s="7" t="s">
        <v>9</v>
      </c>
      <c r="B305" s="10">
        <v>0</v>
      </c>
      <c r="C305" s="11"/>
      <c r="D305" s="11"/>
      <c r="E305" s="11"/>
      <c r="F305" s="11">
        <f>+B305</f>
        <v>0</v>
      </c>
      <c r="G305" s="11"/>
      <c r="H305" s="11"/>
      <c r="I305" s="11"/>
      <c r="J305" s="11"/>
      <c r="K305" s="11"/>
      <c r="L305" s="11"/>
      <c r="M305" s="11"/>
      <c r="N305" s="11"/>
      <c r="O305" s="11">
        <f>+O258</f>
        <v>515409946</v>
      </c>
      <c r="P305" s="11">
        <f>+B305+O305</f>
        <v>515409946</v>
      </c>
      <c r="Q305" s="10">
        <f>1580402339-888746268</f>
        <v>691656071</v>
      </c>
      <c r="R305" s="10"/>
      <c r="S305" s="3">
        <f>+S258+Q305</f>
        <v>2095812285</v>
      </c>
      <c r="T305" s="10">
        <v>0</v>
      </c>
      <c r="U305" s="3">
        <f t="shared" si="31"/>
        <v>2095812285</v>
      </c>
      <c r="V305" s="3">
        <f t="shared" si="32"/>
        <v>406.6301594032491</v>
      </c>
      <c r="W305" s="1"/>
    </row>
    <row r="306" spans="1:23" ht="12.75" hidden="1">
      <c r="A306" s="7" t="s">
        <v>39</v>
      </c>
      <c r="B306" s="10">
        <f>+B307+B308</f>
        <v>1844146055</v>
      </c>
      <c r="C306" s="11" t="e">
        <f>+#REF!+#REF!</f>
        <v>#REF!</v>
      </c>
      <c r="D306" s="11" t="e">
        <f>+#REF!+#REF!</f>
        <v>#REF!</v>
      </c>
      <c r="E306" s="11" t="e">
        <f>+#REF!+#REF!</f>
        <v>#REF!</v>
      </c>
      <c r="F306" s="11" t="e">
        <f>+#REF!+#REF!</f>
        <v>#REF!</v>
      </c>
      <c r="G306" s="11" t="e">
        <f>+#REF!+#REF!</f>
        <v>#REF!</v>
      </c>
      <c r="H306" s="11" t="e">
        <f>+#REF!+#REF!</f>
        <v>#REF!</v>
      </c>
      <c r="I306" s="11" t="e">
        <f>+#REF!+#REF!</f>
        <v>#REF!</v>
      </c>
      <c r="J306" s="11" t="e">
        <f>+#REF!+#REF!</f>
        <v>#REF!</v>
      </c>
      <c r="K306" s="11" t="e">
        <f>+#REF!+#REF!</f>
        <v>#REF!</v>
      </c>
      <c r="L306" s="11" t="e">
        <f>+#REF!+#REF!</f>
        <v>#REF!</v>
      </c>
      <c r="M306" s="11" t="e">
        <f>+#REF!+#REF!</f>
        <v>#REF!</v>
      </c>
      <c r="N306" s="11" t="e">
        <f>+#REF!+#REF!</f>
        <v>#REF!</v>
      </c>
      <c r="O306" s="10">
        <f>+O307+O308</f>
        <v>0</v>
      </c>
      <c r="P306" s="10">
        <f>+P307+P308</f>
        <v>1844146055</v>
      </c>
      <c r="Q306" s="11">
        <f>+Q307+Q308</f>
        <v>159144670</v>
      </c>
      <c r="R306" s="11"/>
      <c r="S306" s="3">
        <f>+S307+S308</f>
        <v>1106622600</v>
      </c>
      <c r="T306" s="11">
        <v>0</v>
      </c>
      <c r="U306" s="3">
        <f t="shared" si="31"/>
        <v>1106622600</v>
      </c>
      <c r="V306" s="3">
        <f t="shared" si="32"/>
        <v>60.007318671947594</v>
      </c>
      <c r="W306" s="1"/>
    </row>
    <row r="307" spans="1:23" ht="12.75" hidden="1">
      <c r="A307" s="7" t="s">
        <v>31</v>
      </c>
      <c r="B307" s="10">
        <v>614433831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0">
        <v>0</v>
      </c>
      <c r="P307" s="10">
        <v>614433831</v>
      </c>
      <c r="Q307" s="11">
        <f>123376633+230657+8622+7706+58780+90324+53658+16348+6550+5466+36530+391522+25697300</f>
        <v>149980096</v>
      </c>
      <c r="R307" s="11"/>
      <c r="S307" s="3">
        <f>75743956+Q307</f>
        <v>225724052</v>
      </c>
      <c r="T307" s="11">
        <v>0</v>
      </c>
      <c r="U307" s="3">
        <f t="shared" si="31"/>
        <v>225724052</v>
      </c>
      <c r="V307" s="3">
        <f t="shared" si="32"/>
        <v>36.73691789279096</v>
      </c>
      <c r="W307" s="1" t="s">
        <v>1</v>
      </c>
    </row>
    <row r="308" spans="1:23" ht="12.75" hidden="1">
      <c r="A308" s="7" t="s">
        <v>30</v>
      </c>
      <c r="B308" s="10">
        <v>1229712224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0">
        <v>0</v>
      </c>
      <c r="P308" s="10">
        <v>1229712224</v>
      </c>
      <c r="Q308" s="11">
        <f>+'[1]JULIO08'!$C$64+7500100</f>
        <v>9164574</v>
      </c>
      <c r="R308" s="11"/>
      <c r="S308" s="3">
        <f>871733974+Q308</f>
        <v>880898548</v>
      </c>
      <c r="T308" s="11">
        <v>0</v>
      </c>
      <c r="U308" s="3">
        <f t="shared" si="31"/>
        <v>880898548</v>
      </c>
      <c r="V308" s="3">
        <f t="shared" si="32"/>
        <v>71.63452804710836</v>
      </c>
      <c r="W308" s="1"/>
    </row>
    <row r="309" spans="1:23" ht="12.75" hidden="1">
      <c r="A309" s="7"/>
      <c r="B309" s="1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/>
      <c r="P309" s="11" t="s">
        <v>1</v>
      </c>
      <c r="Q309" s="11"/>
      <c r="R309" s="11"/>
      <c r="S309" s="3"/>
      <c r="T309" s="11"/>
      <c r="U309" s="3" t="s">
        <v>1</v>
      </c>
      <c r="V309" s="3" t="s">
        <v>1</v>
      </c>
      <c r="W309" s="1"/>
    </row>
    <row r="310" spans="1:23" ht="12.75" hidden="1">
      <c r="A310" s="5"/>
      <c r="B310" s="11"/>
      <c r="C310" s="11"/>
      <c r="D310" s="11"/>
      <c r="E310" s="11" t="s">
        <v>1</v>
      </c>
      <c r="F310" s="11" t="s">
        <v>1</v>
      </c>
      <c r="G310" s="11" t="s">
        <v>1</v>
      </c>
      <c r="H310" s="11" t="s">
        <v>1</v>
      </c>
      <c r="I310" s="11" t="s">
        <v>1</v>
      </c>
      <c r="J310" s="11" t="s">
        <v>1</v>
      </c>
      <c r="K310" s="11" t="s">
        <v>1</v>
      </c>
      <c r="L310" s="11" t="s">
        <v>1</v>
      </c>
      <c r="M310" s="11" t="s">
        <v>1</v>
      </c>
      <c r="N310" s="11" t="s">
        <v>1</v>
      </c>
      <c r="O310" s="11"/>
      <c r="P310" s="11" t="s">
        <v>1</v>
      </c>
      <c r="Q310" s="16" t="s">
        <v>1</v>
      </c>
      <c r="R310" s="16"/>
      <c r="S310" s="3" t="s">
        <v>1</v>
      </c>
      <c r="T310" s="16" t="s">
        <v>1</v>
      </c>
      <c r="U310" s="3" t="s">
        <v>1</v>
      </c>
      <c r="V310" s="3" t="s">
        <v>1</v>
      </c>
      <c r="W310" s="1"/>
    </row>
    <row r="311" spans="1:23" ht="12.75" hidden="1">
      <c r="A311" s="7" t="s">
        <v>40</v>
      </c>
      <c r="B311" s="10">
        <f>+B280+B303</f>
        <v>10077156120</v>
      </c>
      <c r="C311" s="10" t="e">
        <f>+C283+C288+C290+C294+C295+C296+C298+#REF!+#REF!+C304+C305+C306+#REF!</f>
        <v>#REF!</v>
      </c>
      <c r="D311" s="10" t="e">
        <f>+D283+D288+D290+D294+D295+D296+D298+#REF!+#REF!+D304+D305+D306+#REF!</f>
        <v>#REF!</v>
      </c>
      <c r="E311" s="10" t="e">
        <f>+E283+E288+E290+E294+E295+E296+E298+#REF!+#REF!+E304+E305+E306+#REF!</f>
        <v>#REF!</v>
      </c>
      <c r="F311" s="10" t="e">
        <f>+F283+F288+F290+F294+F295+F296+F298+#REF!+#REF!+F304+F305+F306+#REF!</f>
        <v>#REF!</v>
      </c>
      <c r="G311" s="10" t="e">
        <f>+G283+G288+G290+G294+G295+G296+G298+#REF!+#REF!+G304+G305+G306+#REF!</f>
        <v>#REF!</v>
      </c>
      <c r="H311" s="10" t="e">
        <f>+H283+H288+H290+H294+H295+H296+H298+#REF!+#REF!+H304+H305+H306+#REF!</f>
        <v>#REF!</v>
      </c>
      <c r="I311" s="10" t="e">
        <f>+I283+I288+I290+I294+I295+I296+I298+#REF!+#REF!+I304+I305+I306+#REF!</f>
        <v>#REF!</v>
      </c>
      <c r="J311" s="10" t="e">
        <f>+J283+J288+J290+J294+J295+J296+J298+#REF!+#REF!+J304+J305+J306+#REF!</f>
        <v>#REF!</v>
      </c>
      <c r="K311" s="10" t="e">
        <f>+K283+K288+K290+K294+K295+K296+K298+#REF!+#REF!+K304+K305+K306+#REF!</f>
        <v>#REF!</v>
      </c>
      <c r="L311" s="10" t="e">
        <f>+L283+L288+L290+L294+L295+L296+L298+#REF!+#REF!+L304+L305+L306+#REF!</f>
        <v>#REF!</v>
      </c>
      <c r="M311" s="10" t="e">
        <f>+M283+M288+M290+M294+M295+M296+M298+#REF!+#REF!+M304+M305+M306+#REF!</f>
        <v>#REF!</v>
      </c>
      <c r="N311" s="10" t="e">
        <f>+N283+N288+N290+N294+N295+N296+N298+#REF!+#REF!+N304+N305+N306+#REF!</f>
        <v>#REF!</v>
      </c>
      <c r="O311" s="10">
        <f>+O280+O303</f>
        <v>1971095934</v>
      </c>
      <c r="P311" s="10">
        <f>+P280+P303</f>
        <v>12048252054</v>
      </c>
      <c r="Q311" s="10">
        <f>+Q280+Q303</f>
        <v>1558451680.05</v>
      </c>
      <c r="R311" s="10"/>
      <c r="S311" s="3">
        <f>+S261+Q311</f>
        <v>7766449437.31</v>
      </c>
      <c r="T311" s="10">
        <f>+T280+T303</f>
        <v>2691375928</v>
      </c>
      <c r="U311" s="3">
        <f t="shared" si="31"/>
        <v>10457825365.310001</v>
      </c>
      <c r="V311" s="3">
        <f t="shared" si="32"/>
        <v>86.79952343658033</v>
      </c>
      <c r="W311" s="1"/>
    </row>
    <row r="312" spans="1:23" ht="12.75" hidden="1">
      <c r="A312" s="7" t="s">
        <v>41</v>
      </c>
      <c r="B312" s="11">
        <v>1291923756</v>
      </c>
      <c r="O312" s="1">
        <f>150200000+1005600000+150549000</f>
        <v>1306349000</v>
      </c>
      <c r="P312" s="1">
        <f>+B312+O312</f>
        <v>2598272756</v>
      </c>
      <c r="Q312" s="1">
        <f>60267767+1681399+30000000</f>
        <v>91949166</v>
      </c>
      <c r="R312" s="1"/>
      <c r="S312" s="3">
        <f>+S262+Q312</f>
        <v>3267216194</v>
      </c>
      <c r="T312" s="1">
        <v>0</v>
      </c>
      <c r="U312" s="3">
        <f t="shared" si="31"/>
        <v>3267216194</v>
      </c>
      <c r="V312" s="3">
        <f t="shared" si="32"/>
        <v>125.74569726966725</v>
      </c>
      <c r="W312" s="1"/>
    </row>
    <row r="313" spans="2:23" ht="12.75" hidden="1">
      <c r="B313" s="1" t="s">
        <v>1</v>
      </c>
      <c r="O313" s="1" t="s">
        <v>1</v>
      </c>
      <c r="Q313" s="16" t="s">
        <v>1</v>
      </c>
      <c r="R313" s="16"/>
      <c r="S313" s="3" t="s">
        <v>1</v>
      </c>
      <c r="T313" s="16" t="s">
        <v>1</v>
      </c>
      <c r="U313" s="3" t="s">
        <v>1</v>
      </c>
      <c r="V313" s="3" t="s">
        <v>1</v>
      </c>
      <c r="W313" s="1"/>
    </row>
    <row r="314" spans="1:23" ht="12.75" hidden="1">
      <c r="A314" s="7" t="s">
        <v>42</v>
      </c>
      <c r="B314" s="16">
        <f>+B311+B312</f>
        <v>11369079876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6">
        <f>+O311+O312</f>
        <v>3277444934</v>
      </c>
      <c r="P314" s="16">
        <f>+P311+P312</f>
        <v>14646524810</v>
      </c>
      <c r="Q314" s="16">
        <f>+Q311+Q312</f>
        <v>1650400846.05</v>
      </c>
      <c r="R314" s="16"/>
      <c r="S314" s="3">
        <f>+S264+Q314</f>
        <v>11033665631.31</v>
      </c>
      <c r="T314" s="16">
        <f>+T311+T312</f>
        <v>2691375928</v>
      </c>
      <c r="U314" s="3">
        <f t="shared" si="31"/>
        <v>13725041559.31</v>
      </c>
      <c r="V314" s="3">
        <f t="shared" si="32"/>
        <v>93.70851951132563</v>
      </c>
      <c r="W314" s="1"/>
    </row>
    <row r="315" spans="16:21" ht="12.75" hidden="1">
      <c r="P315" s="1" t="s">
        <v>1</v>
      </c>
      <c r="Q315" s="1"/>
      <c r="R315" s="1"/>
      <c r="S315" s="1" t="s">
        <v>1</v>
      </c>
      <c r="U315" s="1" t="s">
        <v>1</v>
      </c>
    </row>
    <row r="316" spans="17:21" ht="12.75" hidden="1">
      <c r="Q316" t="s">
        <v>1</v>
      </c>
      <c r="U316" t="s">
        <v>1</v>
      </c>
    </row>
    <row r="317" spans="17:21" ht="12.75" hidden="1">
      <c r="Q317" t="s">
        <v>1</v>
      </c>
      <c r="S317" s="1" t="s">
        <v>1</v>
      </c>
      <c r="T317" s="1"/>
      <c r="U317" s="1"/>
    </row>
    <row r="318" spans="2:17" ht="12.75" hidden="1">
      <c r="B318" t="s">
        <v>1</v>
      </c>
      <c r="Q318" t="s">
        <v>1</v>
      </c>
    </row>
    <row r="319" spans="2:17" ht="12.75" hidden="1">
      <c r="B319" t="s">
        <v>1</v>
      </c>
      <c r="Q319" t="s">
        <v>1</v>
      </c>
    </row>
    <row r="320" spans="2:17" ht="12.75" hidden="1">
      <c r="B320" t="s">
        <v>1</v>
      </c>
      <c r="Q320" t="s">
        <v>1</v>
      </c>
    </row>
    <row r="321" spans="17:18" ht="12.75" hidden="1">
      <c r="Q321" s="1" t="s">
        <v>52</v>
      </c>
      <c r="R321" s="1"/>
    </row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spans="1:22" ht="12.75" hidden="1">
      <c r="A508" s="47" t="s">
        <v>0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</row>
    <row r="509" spans="1:22" ht="12.75" hidden="1">
      <c r="A509" s="47" t="s">
        <v>47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</row>
    <row r="510" ht="12.75" hidden="1">
      <c r="V510" s="18">
        <v>39600</v>
      </c>
    </row>
    <row r="511" spans="1:22" ht="25.5" hidden="1">
      <c r="A511" s="5"/>
      <c r="B511" s="6" t="s">
        <v>10</v>
      </c>
      <c r="C511" s="48" t="s">
        <v>11</v>
      </c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5"/>
      <c r="O511" s="4" t="s">
        <v>2</v>
      </c>
      <c r="P511" s="6" t="s">
        <v>12</v>
      </c>
      <c r="Q511" s="6"/>
      <c r="R511" s="6"/>
      <c r="S511" s="8" t="s">
        <v>43</v>
      </c>
      <c r="T511" s="8"/>
      <c r="U511" s="8"/>
      <c r="V511" s="8" t="s">
        <v>46</v>
      </c>
    </row>
    <row r="512" spans="1:22" ht="12.75" hidden="1">
      <c r="A512" s="4" t="s">
        <v>7</v>
      </c>
      <c r="B512" s="4" t="s">
        <v>1</v>
      </c>
      <c r="C512" s="4" t="s">
        <v>13</v>
      </c>
      <c r="D512" s="4" t="s">
        <v>14</v>
      </c>
      <c r="E512" s="4" t="s">
        <v>15</v>
      </c>
      <c r="F512" s="4" t="s">
        <v>16</v>
      </c>
      <c r="G512" s="4" t="s">
        <v>8</v>
      </c>
      <c r="H512" s="4" t="s">
        <v>17</v>
      </c>
      <c r="I512" s="4" t="s">
        <v>18</v>
      </c>
      <c r="J512" s="4" t="s">
        <v>19</v>
      </c>
      <c r="K512" s="4" t="s">
        <v>20</v>
      </c>
      <c r="L512" s="4" t="s">
        <v>21</v>
      </c>
      <c r="M512" s="4" t="s">
        <v>22</v>
      </c>
      <c r="N512" s="4" t="s">
        <v>23</v>
      </c>
      <c r="O512" s="4"/>
      <c r="P512" s="4"/>
      <c r="Q512" s="4"/>
      <c r="R512" s="4"/>
      <c r="S512" s="4"/>
      <c r="T512" s="4"/>
      <c r="U512" s="4"/>
      <c r="V512" s="4"/>
    </row>
    <row r="513" spans="1:22" ht="12.75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3"/>
      <c r="T513" s="3"/>
      <c r="U513" s="3"/>
      <c r="V513" s="3"/>
    </row>
    <row r="514" spans="1:22" ht="25.5" hidden="1">
      <c r="A514" s="5"/>
      <c r="B514" s="6" t="s">
        <v>10</v>
      </c>
      <c r="C514" s="48" t="s">
        <v>11</v>
      </c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5"/>
      <c r="O514" s="4" t="s">
        <v>2</v>
      </c>
      <c r="P514" s="6" t="s">
        <v>12</v>
      </c>
      <c r="Q514" s="6"/>
      <c r="R514" s="6"/>
      <c r="S514" s="8" t="s">
        <v>43</v>
      </c>
      <c r="T514" s="8"/>
      <c r="U514" s="8"/>
      <c r="V514" s="8" t="s">
        <v>46</v>
      </c>
    </row>
    <row r="515" spans="1:22" ht="12.75" hidden="1">
      <c r="A515" s="4" t="s">
        <v>7</v>
      </c>
      <c r="B515" s="4" t="s">
        <v>1</v>
      </c>
      <c r="C515" s="4" t="s">
        <v>13</v>
      </c>
      <c r="D515" s="4" t="s">
        <v>14</v>
      </c>
      <c r="E515" s="4" t="s">
        <v>15</v>
      </c>
      <c r="F515" s="4" t="s">
        <v>16</v>
      </c>
      <c r="G515" s="4" t="s">
        <v>8</v>
      </c>
      <c r="H515" s="4" t="s">
        <v>17</v>
      </c>
      <c r="I515" s="4" t="s">
        <v>18</v>
      </c>
      <c r="J515" s="4" t="s">
        <v>19</v>
      </c>
      <c r="K515" s="4" t="s">
        <v>20</v>
      </c>
      <c r="L515" s="4" t="s">
        <v>21</v>
      </c>
      <c r="M515" s="4" t="s">
        <v>22</v>
      </c>
      <c r="N515" s="4" t="s">
        <v>23</v>
      </c>
      <c r="O515" s="4"/>
      <c r="P515" s="4"/>
      <c r="Q515" s="3" t="s">
        <v>1</v>
      </c>
      <c r="R515" s="3"/>
      <c r="S515" s="4"/>
      <c r="T515" s="4"/>
      <c r="U515" s="4"/>
      <c r="V515" s="4"/>
    </row>
    <row r="516" spans="1:22" ht="12.75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3"/>
      <c r="T516" s="3"/>
      <c r="U516" s="3"/>
      <c r="V516" s="3"/>
    </row>
    <row r="517" spans="1:22" ht="12.75" hidden="1">
      <c r="A517" s="9" t="s">
        <v>24</v>
      </c>
      <c r="B517" s="3">
        <f>+B519+B524</f>
        <v>8163010065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>
        <f>+O519+O524</f>
        <v>1309545600</v>
      </c>
      <c r="P517" s="3">
        <f>+P519+P524</f>
        <v>9472555665</v>
      </c>
      <c r="Q517" s="3">
        <f>+Q519+Q524</f>
        <v>554474243</v>
      </c>
      <c r="R517" s="3"/>
      <c r="S517" s="3">
        <f>+S467+Q517</f>
        <v>554474243</v>
      </c>
      <c r="T517" s="3"/>
      <c r="U517" s="3"/>
      <c r="V517" s="3">
        <f>+S517/P517*100</f>
        <v>5.8534809676412705</v>
      </c>
    </row>
    <row r="518" spans="1:22" ht="12.75" hidden="1">
      <c r="A518" s="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3">
        <f aca="true" t="shared" si="36" ref="S518:S547">+S468+Q518</f>
        <v>0</v>
      </c>
      <c r="T518" s="3"/>
      <c r="U518" s="3"/>
      <c r="V518" s="3"/>
    </row>
    <row r="519" spans="1:22" ht="12.75" hidden="1">
      <c r="A519" s="7" t="s">
        <v>3</v>
      </c>
      <c r="B519" s="10">
        <f>+B520</f>
        <v>3471300000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10">
        <f>+O520</f>
        <v>0</v>
      </c>
      <c r="P519" s="11">
        <f>+B519+O519</f>
        <v>3471300000</v>
      </c>
      <c r="Q519" s="10">
        <f>+Q520</f>
        <v>128693321</v>
      </c>
      <c r="R519" s="10"/>
      <c r="S519" s="3">
        <f t="shared" si="36"/>
        <v>128693321</v>
      </c>
      <c r="T519" s="3"/>
      <c r="U519" s="3"/>
      <c r="V519" s="3">
        <f>+S519/P519*100</f>
        <v>3.7073523175755483</v>
      </c>
    </row>
    <row r="520" spans="1:22" ht="12.75" hidden="1">
      <c r="A520" s="7" t="s">
        <v>25</v>
      </c>
      <c r="B520" s="10">
        <f>+B521+B522</f>
        <v>3471300000</v>
      </c>
      <c r="C520" s="11"/>
      <c r="D520" s="11">
        <v>177520</v>
      </c>
      <c r="E520" s="11"/>
      <c r="F520" s="11">
        <v>165006728</v>
      </c>
      <c r="G520" s="11">
        <v>1414514385</v>
      </c>
      <c r="H520" s="11">
        <v>4948458</v>
      </c>
      <c r="I520" s="11">
        <v>573117327</v>
      </c>
      <c r="J520" s="11">
        <f>139033811-14448995.38</f>
        <v>124584815.62</v>
      </c>
      <c r="K520" s="11">
        <v>93361900</v>
      </c>
      <c r="L520" s="11">
        <v>25720312</v>
      </c>
      <c r="M520" s="11">
        <v>242733948</v>
      </c>
      <c r="N520" s="11">
        <f>65086606+14219504.38-900076.38-6867260+6687809</f>
        <v>78226583</v>
      </c>
      <c r="O520" s="10">
        <f>+O521+O522</f>
        <v>0</v>
      </c>
      <c r="P520" s="11">
        <f>+B520+O520</f>
        <v>3471300000</v>
      </c>
      <c r="Q520" s="10">
        <f>+Q521+Q522</f>
        <v>128693321</v>
      </c>
      <c r="R520" s="10"/>
      <c r="S520" s="3">
        <f t="shared" si="36"/>
        <v>128693321</v>
      </c>
      <c r="T520" s="3"/>
      <c r="U520" s="3"/>
      <c r="V520" s="3">
        <f>+S520/P520*100</f>
        <v>3.7073523175755483</v>
      </c>
    </row>
    <row r="521" spans="1:22" ht="12.75" hidden="1">
      <c r="A521" s="5" t="s">
        <v>26</v>
      </c>
      <c r="B521" s="11">
        <v>2106300000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>
        <f>+B521+O521</f>
        <v>2106300000</v>
      </c>
      <c r="Q521" s="11">
        <v>0</v>
      </c>
      <c r="R521" s="11"/>
      <c r="S521" s="3">
        <f t="shared" si="36"/>
        <v>0</v>
      </c>
      <c r="T521" s="3"/>
      <c r="U521" s="3"/>
      <c r="V521" s="3">
        <f>+S521/P521*100</f>
        <v>0</v>
      </c>
    </row>
    <row r="522" spans="1:22" ht="12.75" hidden="1">
      <c r="A522" s="5" t="s">
        <v>27</v>
      </c>
      <c r="B522" s="11">
        <v>1365000000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>
        <f>+B522+O522</f>
        <v>1365000000</v>
      </c>
      <c r="Q522" s="11">
        <v>128693321</v>
      </c>
      <c r="R522" s="11"/>
      <c r="S522" s="3">
        <f t="shared" si="36"/>
        <v>128693321</v>
      </c>
      <c r="T522" s="3"/>
      <c r="U522" s="3"/>
      <c r="V522" s="3">
        <f>+S522/P522*100</f>
        <v>9.428082124542124</v>
      </c>
    </row>
    <row r="523" spans="1:22" ht="12.75" hidden="1">
      <c r="A523" s="7"/>
      <c r="B523" s="10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 t="s">
        <v>1</v>
      </c>
      <c r="Q523" s="10"/>
      <c r="R523" s="10"/>
      <c r="S523" s="3">
        <f t="shared" si="36"/>
        <v>0</v>
      </c>
      <c r="T523" s="3"/>
      <c r="U523" s="3"/>
      <c r="V523" s="3" t="s">
        <v>1</v>
      </c>
    </row>
    <row r="524" spans="1:22" ht="12.75" hidden="1">
      <c r="A524" s="7" t="s">
        <v>4</v>
      </c>
      <c r="B524" s="10">
        <f>+B525+B526+B535+B536</f>
        <v>4691710065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0">
        <f>+O525+O526+O535+O536</f>
        <v>1309545600</v>
      </c>
      <c r="P524" s="10">
        <f>+P525+P526+P535+P536</f>
        <v>6001255665</v>
      </c>
      <c r="Q524" s="10">
        <f>+Q525+Q526+Q535+Q536</f>
        <v>425780922</v>
      </c>
      <c r="R524" s="10"/>
      <c r="S524" s="3">
        <f t="shared" si="36"/>
        <v>425780922</v>
      </c>
      <c r="T524" s="3"/>
      <c r="U524" s="3"/>
      <c r="V524" s="3">
        <f aca="true" t="shared" si="37" ref="V524:V537">+S524/P524*100</f>
        <v>7.094863904619202</v>
      </c>
    </row>
    <row r="525" spans="1:22" ht="12.75" hidden="1">
      <c r="A525" s="7" t="s">
        <v>28</v>
      </c>
      <c r="B525" s="10">
        <v>2752759677</v>
      </c>
      <c r="C525" s="11">
        <v>0</v>
      </c>
      <c r="D525" s="11">
        <v>0</v>
      </c>
      <c r="E525" s="11">
        <v>0</v>
      </c>
      <c r="F525" s="11">
        <v>196495882</v>
      </c>
      <c r="G525" s="11">
        <v>164927418</v>
      </c>
      <c r="H525" s="11">
        <v>262941303</v>
      </c>
      <c r="I525" s="11">
        <v>280282246</v>
      </c>
      <c r="J525" s="11">
        <v>246192273</v>
      </c>
      <c r="K525" s="11">
        <v>308626989</v>
      </c>
      <c r="L525" s="11">
        <v>243645342</v>
      </c>
      <c r="M525" s="11">
        <v>247491577</v>
      </c>
      <c r="N525" s="11">
        <v>165492691</v>
      </c>
      <c r="O525" s="11"/>
      <c r="P525" s="11">
        <f aca="true" t="shared" si="38" ref="P525:P537">+B525+O525</f>
        <v>2752759677</v>
      </c>
      <c r="Q525" s="10">
        <f>646959890-319164112</f>
        <v>327795778</v>
      </c>
      <c r="R525" s="10"/>
      <c r="S525" s="3">
        <f t="shared" si="36"/>
        <v>327795778</v>
      </c>
      <c r="T525" s="3"/>
      <c r="U525" s="3"/>
      <c r="V525" s="3">
        <f t="shared" si="37"/>
        <v>11.907896673248167</v>
      </c>
    </row>
    <row r="526" spans="1:22" ht="12.75" hidden="1">
      <c r="A526" s="7" t="s">
        <v>5</v>
      </c>
      <c r="B526" s="10">
        <f>+B527+B531+B532+B533</f>
        <v>1867025388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+O527+O531+O532+O533</f>
        <v>0</v>
      </c>
      <c r="P526" s="11">
        <f t="shared" si="38"/>
        <v>1867025388</v>
      </c>
      <c r="Q526" s="10">
        <f>+Q527+Q531+Q532+Q533</f>
        <v>97985144</v>
      </c>
      <c r="R526" s="10"/>
      <c r="S526" s="3">
        <f t="shared" si="36"/>
        <v>97985144</v>
      </c>
      <c r="T526" s="3"/>
      <c r="U526" s="3"/>
      <c r="V526" s="3">
        <f t="shared" si="37"/>
        <v>5.248195585865274</v>
      </c>
    </row>
    <row r="527" spans="1:22" ht="12.75" hidden="1">
      <c r="A527" s="7" t="s">
        <v>29</v>
      </c>
      <c r="B527" s="10">
        <f>SUM(B528:B530)</f>
        <v>1679125388</v>
      </c>
      <c r="C527" s="11">
        <f>SUM(C528:C530)</f>
        <v>0</v>
      </c>
      <c r="D527" s="11">
        <f aca="true" t="shared" si="39" ref="D527:N527">SUM(D528:D530)</f>
        <v>9764370</v>
      </c>
      <c r="E527" s="11">
        <f t="shared" si="39"/>
        <v>1633088</v>
      </c>
      <c r="F527" s="11">
        <f t="shared" si="39"/>
        <v>9527326</v>
      </c>
      <c r="G527" s="11">
        <f t="shared" si="39"/>
        <v>5166613</v>
      </c>
      <c r="H527" s="11">
        <f t="shared" si="39"/>
        <v>8550758</v>
      </c>
      <c r="I527" s="11">
        <f t="shared" si="39"/>
        <v>19667967</v>
      </c>
      <c r="J527" s="11">
        <f t="shared" si="39"/>
        <v>32121947.88</v>
      </c>
      <c r="K527" s="11">
        <f t="shared" si="39"/>
        <v>57803883</v>
      </c>
      <c r="L527" s="11">
        <f t="shared" si="39"/>
        <v>248550137</v>
      </c>
      <c r="M527" s="11">
        <f t="shared" si="39"/>
        <v>56476839</v>
      </c>
      <c r="N527" s="11">
        <f t="shared" si="39"/>
        <v>203635166</v>
      </c>
      <c r="O527" s="10">
        <f>SUM(O528:O530)</f>
        <v>0</v>
      </c>
      <c r="P527" s="11">
        <f t="shared" si="38"/>
        <v>1679125388</v>
      </c>
      <c r="Q527" s="10">
        <f>SUM(Q528:Q530)</f>
        <v>32570562</v>
      </c>
      <c r="R527" s="10"/>
      <c r="S527" s="3">
        <f t="shared" si="36"/>
        <v>32570562</v>
      </c>
      <c r="T527" s="3"/>
      <c r="U527" s="3"/>
      <c r="V527" s="3">
        <f t="shared" si="37"/>
        <v>1.9397337585845615</v>
      </c>
    </row>
    <row r="528" spans="1:22" ht="12.75" hidden="1">
      <c r="A528" s="5" t="s">
        <v>30</v>
      </c>
      <c r="B528" s="11">
        <v>939032888</v>
      </c>
      <c r="C528" s="11">
        <v>0</v>
      </c>
      <c r="D528" s="11">
        <v>9764370</v>
      </c>
      <c r="E528" s="11">
        <v>0</v>
      </c>
      <c r="F528" s="11">
        <f>274606+765092</f>
        <v>1039698</v>
      </c>
      <c r="G528" s="11">
        <v>4660304</v>
      </c>
      <c r="H528" s="11">
        <v>7848958</v>
      </c>
      <c r="I528" s="11">
        <v>15343416</v>
      </c>
      <c r="J528" s="11">
        <v>22521927</v>
      </c>
      <c r="K528" s="11">
        <v>33311437</v>
      </c>
      <c r="L528" s="11">
        <f>309295398-94490110</f>
        <v>214805288</v>
      </c>
      <c r="M528" s="11">
        <v>28836508</v>
      </c>
      <c r="N528" s="11">
        <f>98225097-2027734+2337372</f>
        <v>98534735</v>
      </c>
      <c r="O528" s="11"/>
      <c r="P528" s="11">
        <f t="shared" si="38"/>
        <v>939032888</v>
      </c>
      <c r="Q528" s="11">
        <v>0</v>
      </c>
      <c r="R528" s="11"/>
      <c r="S528" s="3">
        <f t="shared" si="36"/>
        <v>0</v>
      </c>
      <c r="T528" s="3"/>
      <c r="U528" s="3"/>
      <c r="V528" s="3">
        <f t="shared" si="37"/>
        <v>0</v>
      </c>
    </row>
    <row r="529" spans="1:22" ht="12.75" hidden="1">
      <c r="A529" s="5" t="s">
        <v>31</v>
      </c>
      <c r="B529" s="11">
        <v>724342500</v>
      </c>
      <c r="C529" s="11"/>
      <c r="D529" s="11">
        <v>0</v>
      </c>
      <c r="E529" s="11">
        <v>0</v>
      </c>
      <c r="F529" s="11">
        <v>0</v>
      </c>
      <c r="G529" s="11">
        <v>0</v>
      </c>
      <c r="H529" s="11">
        <v>25090</v>
      </c>
      <c r="I529" s="11">
        <v>946365</v>
      </c>
      <c r="J529" s="11">
        <v>8764131</v>
      </c>
      <c r="K529" s="11">
        <v>21523596</v>
      </c>
      <c r="L529" s="11">
        <v>33159819</v>
      </c>
      <c r="M529" s="11">
        <v>27504331</v>
      </c>
      <c r="N529" s="11">
        <f>101300092+707323</f>
        <v>102007415</v>
      </c>
      <c r="O529" s="11">
        <v>0</v>
      </c>
      <c r="P529" s="11">
        <f t="shared" si="38"/>
        <v>724342500</v>
      </c>
      <c r="Q529" s="11">
        <f>32597431-2744732</f>
        <v>29852699</v>
      </c>
      <c r="R529" s="11"/>
      <c r="S529" s="3">
        <f t="shared" si="36"/>
        <v>29852699</v>
      </c>
      <c r="T529" s="3"/>
      <c r="U529" s="3"/>
      <c r="V529" s="3">
        <f t="shared" si="37"/>
        <v>4.121351294449794</v>
      </c>
    </row>
    <row r="530" spans="1:22" ht="12.75" hidden="1">
      <c r="A530" s="5" t="s">
        <v>32</v>
      </c>
      <c r="B530" s="11">
        <v>15750000</v>
      </c>
      <c r="C530" s="11"/>
      <c r="D530" s="11"/>
      <c r="E530" s="11">
        <v>1633088</v>
      </c>
      <c r="F530" s="11">
        <v>8487628</v>
      </c>
      <c r="G530" s="11">
        <v>506309</v>
      </c>
      <c r="H530" s="11">
        <v>676710</v>
      </c>
      <c r="I530" s="11">
        <v>3378186</v>
      </c>
      <c r="J530" s="11">
        <f>628640+207249.88</f>
        <v>835889.88</v>
      </c>
      <c r="K530" s="11">
        <v>2968850</v>
      </c>
      <c r="L530" s="11">
        <v>585030</v>
      </c>
      <c r="M530" s="11">
        <v>136000</v>
      </c>
      <c r="N530" s="11">
        <f>22300706.88-19207690.88</f>
        <v>3093016</v>
      </c>
      <c r="O530" s="11"/>
      <c r="P530" s="11">
        <f t="shared" si="38"/>
        <v>15750000</v>
      </c>
      <c r="Q530" s="11">
        <f>4474838-1756975</f>
        <v>2717863</v>
      </c>
      <c r="R530" s="11"/>
      <c r="S530" s="3">
        <f t="shared" si="36"/>
        <v>2717863</v>
      </c>
      <c r="T530" s="3"/>
      <c r="U530" s="3"/>
      <c r="V530" s="3">
        <f t="shared" si="37"/>
        <v>17.256273015873017</v>
      </c>
    </row>
    <row r="531" spans="1:22" ht="12.75" hidden="1">
      <c r="A531" s="7" t="s">
        <v>33</v>
      </c>
      <c r="B531" s="10">
        <v>65100000</v>
      </c>
      <c r="C531" s="11">
        <v>426256</v>
      </c>
      <c r="D531" s="11">
        <v>177520</v>
      </c>
      <c r="E531" s="11">
        <v>815304</v>
      </c>
      <c r="F531" s="11">
        <v>1044670</v>
      </c>
      <c r="G531" s="11">
        <v>210000</v>
      </c>
      <c r="H531" s="11">
        <v>497000</v>
      </c>
      <c r="I531" s="11">
        <v>1908400</v>
      </c>
      <c r="J531" s="11">
        <v>2080000</v>
      </c>
      <c r="K531" s="11">
        <v>1960300</v>
      </c>
      <c r="L531" s="11">
        <v>1071750</v>
      </c>
      <c r="M531" s="11">
        <v>486631</v>
      </c>
      <c r="N531" s="11">
        <v>3040000</v>
      </c>
      <c r="O531" s="11"/>
      <c r="P531" s="11">
        <f t="shared" si="38"/>
        <v>65100000</v>
      </c>
      <c r="Q531" s="10">
        <f>19344919-7544443</f>
        <v>11800476</v>
      </c>
      <c r="R531" s="10"/>
      <c r="S531" s="3">
        <f t="shared" si="36"/>
        <v>11800476</v>
      </c>
      <c r="T531" s="3"/>
      <c r="U531" s="3"/>
      <c r="V531" s="3">
        <f t="shared" si="37"/>
        <v>18.12669124423963</v>
      </c>
    </row>
    <row r="532" spans="1:22" ht="12.75" hidden="1">
      <c r="A532" s="7" t="s">
        <v>34</v>
      </c>
      <c r="B532" s="10">
        <v>1000000</v>
      </c>
      <c r="C532" s="11">
        <v>7540000</v>
      </c>
      <c r="D532" s="11"/>
      <c r="E532" s="11"/>
      <c r="F532" s="11"/>
      <c r="G532" s="11"/>
      <c r="H532" s="11"/>
      <c r="I532" s="11">
        <v>294000</v>
      </c>
      <c r="J532" s="11"/>
      <c r="K532" s="11"/>
      <c r="L532" s="11">
        <v>29000</v>
      </c>
      <c r="M532" s="11"/>
      <c r="N532" s="11"/>
      <c r="O532" s="11"/>
      <c r="P532" s="11">
        <f t="shared" si="38"/>
        <v>1000000</v>
      </c>
      <c r="Q532" s="10">
        <v>0</v>
      </c>
      <c r="R532" s="10"/>
      <c r="S532" s="3">
        <f t="shared" si="36"/>
        <v>0</v>
      </c>
      <c r="T532" s="3"/>
      <c r="U532" s="3"/>
      <c r="V532" s="3">
        <f t="shared" si="37"/>
        <v>0</v>
      </c>
    </row>
    <row r="533" spans="1:22" ht="12.75" hidden="1">
      <c r="A533" s="7" t="s">
        <v>35</v>
      </c>
      <c r="B533" s="10">
        <f aca="true" t="shared" si="40" ref="B533:O533">SUM(B534:B534)</f>
        <v>121800000</v>
      </c>
      <c r="C533" s="11">
        <f t="shared" si="40"/>
        <v>4768052</v>
      </c>
      <c r="D533" s="11">
        <f t="shared" si="40"/>
        <v>8290086</v>
      </c>
      <c r="E533" s="11">
        <f t="shared" si="40"/>
        <v>10672897</v>
      </c>
      <c r="F533" s="11">
        <f t="shared" si="40"/>
        <v>13361106</v>
      </c>
      <c r="G533" s="11">
        <f t="shared" si="40"/>
        <v>5435392</v>
      </c>
      <c r="H533" s="11">
        <f t="shared" si="40"/>
        <v>6359364</v>
      </c>
      <c r="I533" s="11">
        <f t="shared" si="40"/>
        <v>17667466</v>
      </c>
      <c r="J533" s="11">
        <f t="shared" si="40"/>
        <v>22629676</v>
      </c>
      <c r="K533" s="11">
        <f t="shared" si="40"/>
        <v>24318846</v>
      </c>
      <c r="L533" s="11">
        <f t="shared" si="40"/>
        <v>14234424</v>
      </c>
      <c r="M533" s="11">
        <f t="shared" si="40"/>
        <v>14378768</v>
      </c>
      <c r="N533" s="11">
        <f t="shared" si="40"/>
        <v>23388888</v>
      </c>
      <c r="O533" s="10">
        <f t="shared" si="40"/>
        <v>0</v>
      </c>
      <c r="P533" s="11">
        <f t="shared" si="38"/>
        <v>121800000</v>
      </c>
      <c r="Q533" s="10">
        <f>SUM(Q534:Q534)</f>
        <v>53614106</v>
      </c>
      <c r="R533" s="10"/>
      <c r="S533" s="3">
        <f t="shared" si="36"/>
        <v>53614106</v>
      </c>
      <c r="T533" s="3"/>
      <c r="U533" s="3"/>
      <c r="V533" s="3">
        <f t="shared" si="37"/>
        <v>44.018149425287355</v>
      </c>
    </row>
    <row r="534" spans="1:22" ht="12.75" hidden="1">
      <c r="A534" s="5" t="s">
        <v>36</v>
      </c>
      <c r="B534" s="11">
        <v>121800000</v>
      </c>
      <c r="C534" s="11">
        <v>4768052</v>
      </c>
      <c r="D534" s="11">
        <v>8290086</v>
      </c>
      <c r="E534" s="11">
        <v>10672897</v>
      </c>
      <c r="F534" s="11">
        <v>13361106</v>
      </c>
      <c r="G534" s="11">
        <v>5435392</v>
      </c>
      <c r="H534" s="11">
        <v>6359364</v>
      </c>
      <c r="I534" s="11">
        <v>17667466</v>
      </c>
      <c r="J534" s="11">
        <f>15777671+6852005</f>
        <v>22629676</v>
      </c>
      <c r="K534" s="11">
        <v>24318846</v>
      </c>
      <c r="L534" s="11">
        <v>14234424</v>
      </c>
      <c r="M534" s="11">
        <f>14378768</f>
        <v>14378768</v>
      </c>
      <c r="N534" s="11">
        <f>165504965-142116077</f>
        <v>23388888</v>
      </c>
      <c r="O534" s="11"/>
      <c r="P534" s="11">
        <f t="shared" si="38"/>
        <v>121800000</v>
      </c>
      <c r="Q534" s="11">
        <f>78608817-24994711</f>
        <v>53614106</v>
      </c>
      <c r="R534" s="11"/>
      <c r="S534" s="3">
        <f t="shared" si="36"/>
        <v>53614106</v>
      </c>
      <c r="T534" s="3"/>
      <c r="U534" s="3"/>
      <c r="V534" s="3">
        <f t="shared" si="37"/>
        <v>44.018149425287355</v>
      </c>
    </row>
    <row r="535" spans="1:22" ht="12.75" hidden="1">
      <c r="A535" s="7" t="s">
        <v>37</v>
      </c>
      <c r="B535" s="10">
        <v>71925000</v>
      </c>
      <c r="C535" s="11" t="e">
        <f>SUM(#REF!)</f>
        <v>#REF!</v>
      </c>
      <c r="D535" s="11" t="e">
        <f>SUM(#REF!)</f>
        <v>#REF!</v>
      </c>
      <c r="E535" s="11" t="e">
        <f>SUM(#REF!)</f>
        <v>#REF!</v>
      </c>
      <c r="F535" s="11" t="e">
        <f>SUM(#REF!)</f>
        <v>#REF!</v>
      </c>
      <c r="G535" s="11" t="e">
        <f>SUM(#REF!)</f>
        <v>#REF!</v>
      </c>
      <c r="H535" s="11" t="e">
        <f>SUM(#REF!)</f>
        <v>#REF!</v>
      </c>
      <c r="I535" s="11" t="e">
        <f>SUM(#REF!)</f>
        <v>#REF!</v>
      </c>
      <c r="J535" s="11" t="e">
        <f>SUM(#REF!)</f>
        <v>#REF!</v>
      </c>
      <c r="K535" s="11" t="e">
        <f>SUM(#REF!)</f>
        <v>#REF!</v>
      </c>
      <c r="L535" s="11" t="e">
        <f>SUM(#REF!)</f>
        <v>#REF!</v>
      </c>
      <c r="M535" s="11" t="e">
        <f>SUM(#REF!)</f>
        <v>#REF!</v>
      </c>
      <c r="N535" s="11" t="e">
        <f>SUM(#REF!)</f>
        <v>#REF!</v>
      </c>
      <c r="O535" s="10">
        <v>0</v>
      </c>
      <c r="P535" s="11">
        <f t="shared" si="38"/>
        <v>71925000</v>
      </c>
      <c r="Q535" s="11">
        <v>0</v>
      </c>
      <c r="R535" s="11"/>
      <c r="S535" s="3">
        <f t="shared" si="36"/>
        <v>0</v>
      </c>
      <c r="T535" s="3"/>
      <c r="U535" s="3"/>
      <c r="V535" s="3">
        <f t="shared" si="37"/>
        <v>0</v>
      </c>
    </row>
    <row r="536" spans="1:22" ht="12.75" hidden="1">
      <c r="A536" s="7" t="s">
        <v>44</v>
      </c>
      <c r="B536" s="10">
        <f>+B537</f>
        <v>0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0">
        <f>+O537</f>
        <v>1309545600</v>
      </c>
      <c r="P536" s="11">
        <f t="shared" si="38"/>
        <v>1309545600</v>
      </c>
      <c r="Q536" s="10">
        <f>+Q537</f>
        <v>0</v>
      </c>
      <c r="R536" s="10"/>
      <c r="S536" s="3">
        <f t="shared" si="36"/>
        <v>0</v>
      </c>
      <c r="T536" s="3"/>
      <c r="U536" s="3"/>
      <c r="V536" s="3">
        <f t="shared" si="37"/>
        <v>0</v>
      </c>
    </row>
    <row r="537" spans="1:22" ht="12.75" hidden="1">
      <c r="A537" s="7" t="s">
        <v>45</v>
      </c>
      <c r="B537" s="10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0">
        <f>1230345600+79200000</f>
        <v>1309545600</v>
      </c>
      <c r="P537" s="11">
        <f t="shared" si="38"/>
        <v>1309545600</v>
      </c>
      <c r="Q537" s="10">
        <v>0</v>
      </c>
      <c r="R537" s="10"/>
      <c r="S537" s="3">
        <f t="shared" si="36"/>
        <v>0</v>
      </c>
      <c r="T537" s="3"/>
      <c r="U537" s="3"/>
      <c r="V537" s="3">
        <f t="shared" si="37"/>
        <v>0</v>
      </c>
    </row>
    <row r="538" spans="1:22" ht="12.75" hidden="1">
      <c r="A538" s="7"/>
      <c r="B538" s="10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/>
      <c r="P538" s="11"/>
      <c r="Q538" s="10">
        <v>0</v>
      </c>
      <c r="R538" s="10"/>
      <c r="S538" s="3">
        <f t="shared" si="36"/>
        <v>0</v>
      </c>
      <c r="T538" s="3"/>
      <c r="U538" s="3"/>
      <c r="V538" s="3"/>
    </row>
    <row r="539" spans="1:22" ht="12.75" hidden="1">
      <c r="A539" s="7" t="s">
        <v>38</v>
      </c>
      <c r="B539" s="10">
        <f>+B540+B541+B542</f>
        <v>1914146055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+O540+O541+O542</f>
        <v>0</v>
      </c>
      <c r="P539" s="11">
        <f>+B539+O539</f>
        <v>1914146055</v>
      </c>
      <c r="Q539" s="10">
        <f>+Q540+Q541+Q542</f>
        <v>915343196</v>
      </c>
      <c r="R539" s="10"/>
      <c r="S539" s="3">
        <f t="shared" si="36"/>
        <v>915343196</v>
      </c>
      <c r="T539" s="3"/>
      <c r="U539" s="3"/>
      <c r="V539" s="3">
        <f>+S539/P539*100</f>
        <v>47.81992437875907</v>
      </c>
    </row>
    <row r="540" spans="1:22" ht="12.75" hidden="1">
      <c r="A540" s="7" t="s">
        <v>6</v>
      </c>
      <c r="B540" s="10">
        <v>70000000</v>
      </c>
      <c r="C540" s="11">
        <v>898886</v>
      </c>
      <c r="D540" s="11">
        <f>4306726+216132</f>
        <v>4522858</v>
      </c>
      <c r="E540" s="11">
        <f>751140+23292827</f>
        <v>24043967</v>
      </c>
      <c r="F540" s="11">
        <v>8452240</v>
      </c>
      <c r="G540" s="11">
        <v>4422172</v>
      </c>
      <c r="H540" s="11">
        <f>7484642+234363</f>
        <v>7719005</v>
      </c>
      <c r="I540" s="11">
        <f>102855+5416914</f>
        <v>5519769</v>
      </c>
      <c r="J540" s="11">
        <f>6098966+444960+3514791+65855</f>
        <v>10124572</v>
      </c>
      <c r="K540" s="11">
        <f>191152+1348022+3219820.01</f>
        <v>4758994.01</v>
      </c>
      <c r="L540" s="11">
        <f>350566+9695840</f>
        <v>10046406</v>
      </c>
      <c r="M540" s="11">
        <f>579536+7833208+436291+345639</f>
        <v>9194674</v>
      </c>
      <c r="N540" s="11">
        <f>112132152.5-89703543.01</f>
        <v>22428609.489999995</v>
      </c>
      <c r="O540" s="11">
        <v>0</v>
      </c>
      <c r="P540" s="11">
        <f>+B540+O540</f>
        <v>70000000</v>
      </c>
      <c r="Q540" s="11">
        <f>91882084-79076395+10</f>
        <v>12805699</v>
      </c>
      <c r="R540" s="11"/>
      <c r="S540" s="3">
        <f t="shared" si="36"/>
        <v>12805699</v>
      </c>
      <c r="T540" s="3"/>
      <c r="U540" s="3"/>
      <c r="V540" s="3">
        <f>+S540/P540*100</f>
        <v>18.293855714285716</v>
      </c>
    </row>
    <row r="541" spans="1:22" ht="12.75" hidden="1">
      <c r="A541" s="7" t="s">
        <v>9</v>
      </c>
      <c r="B541" s="10">
        <v>0</v>
      </c>
      <c r="C541" s="11"/>
      <c r="D541" s="11"/>
      <c r="E541" s="11"/>
      <c r="F541" s="11">
        <f>+B541</f>
        <v>0</v>
      </c>
      <c r="G541" s="11"/>
      <c r="H541" s="11"/>
      <c r="I541" s="11"/>
      <c r="J541" s="11"/>
      <c r="K541" s="11"/>
      <c r="L541" s="11"/>
      <c r="M541" s="11"/>
      <c r="N541" s="11"/>
      <c r="O541" s="11">
        <f>+O491</f>
        <v>0</v>
      </c>
      <c r="P541" s="11">
        <f>+B541+O541</f>
        <v>0</v>
      </c>
      <c r="Q541" s="10">
        <v>888746268</v>
      </c>
      <c r="R541" s="10"/>
      <c r="S541" s="3">
        <f t="shared" si="36"/>
        <v>888746268</v>
      </c>
      <c r="T541" s="3"/>
      <c r="U541" s="3"/>
      <c r="V541" s="3" t="e">
        <f>+S541/P541*100</f>
        <v>#DIV/0!</v>
      </c>
    </row>
    <row r="542" spans="1:22" ht="12.75" hidden="1">
      <c r="A542" s="7" t="s">
        <v>39</v>
      </c>
      <c r="B542" s="10">
        <v>1844146055</v>
      </c>
      <c r="C542" s="11" t="e">
        <f>+#REF!+#REF!</f>
        <v>#REF!</v>
      </c>
      <c r="D542" s="11" t="e">
        <f>+#REF!+#REF!</f>
        <v>#REF!</v>
      </c>
      <c r="E542" s="11" t="e">
        <f>+#REF!+#REF!</f>
        <v>#REF!</v>
      </c>
      <c r="F542" s="11" t="e">
        <f>+#REF!+#REF!</f>
        <v>#REF!</v>
      </c>
      <c r="G542" s="11" t="e">
        <f>+#REF!+#REF!</f>
        <v>#REF!</v>
      </c>
      <c r="H542" s="11" t="e">
        <f>+#REF!+#REF!</f>
        <v>#REF!</v>
      </c>
      <c r="I542" s="11" t="e">
        <f>+#REF!+#REF!</f>
        <v>#REF!</v>
      </c>
      <c r="J542" s="11" t="e">
        <f>+#REF!+#REF!</f>
        <v>#REF!</v>
      </c>
      <c r="K542" s="11" t="e">
        <f>+#REF!+#REF!</f>
        <v>#REF!</v>
      </c>
      <c r="L542" s="11" t="e">
        <f>+#REF!+#REF!</f>
        <v>#REF!</v>
      </c>
      <c r="M542" s="11" t="e">
        <f>+#REF!+#REF!</f>
        <v>#REF!</v>
      </c>
      <c r="N542" s="11" t="e">
        <f>+#REF!+#REF!</f>
        <v>#REF!</v>
      </c>
      <c r="O542" s="10">
        <v>0</v>
      </c>
      <c r="P542" s="11">
        <f>+B542+O542</f>
        <v>1844146055</v>
      </c>
      <c r="Q542" s="11">
        <f>947477930-933686701</f>
        <v>13791229</v>
      </c>
      <c r="R542" s="11"/>
      <c r="S542" s="3">
        <f t="shared" si="36"/>
        <v>13791229</v>
      </c>
      <c r="T542" s="3"/>
      <c r="U542" s="3"/>
      <c r="V542" s="3">
        <f>+S542/P542*100</f>
        <v>0.7478382182695394</v>
      </c>
    </row>
    <row r="543" spans="1:22" ht="12.75" hidden="1">
      <c r="A543" s="5"/>
      <c r="B543" s="11"/>
      <c r="C543" s="11"/>
      <c r="D543" s="11"/>
      <c r="E543" s="11" t="s">
        <v>1</v>
      </c>
      <c r="F543" s="11" t="s">
        <v>1</v>
      </c>
      <c r="G543" s="11" t="s">
        <v>1</v>
      </c>
      <c r="H543" s="11" t="s">
        <v>1</v>
      </c>
      <c r="I543" s="11" t="s">
        <v>1</v>
      </c>
      <c r="J543" s="11" t="s">
        <v>1</v>
      </c>
      <c r="K543" s="11" t="s">
        <v>1</v>
      </c>
      <c r="L543" s="11" t="s">
        <v>1</v>
      </c>
      <c r="M543" s="11" t="s">
        <v>1</v>
      </c>
      <c r="N543" s="11" t="s">
        <v>1</v>
      </c>
      <c r="O543" s="11"/>
      <c r="P543" s="11" t="s">
        <v>1</v>
      </c>
      <c r="Q543" s="16" t="s">
        <v>1</v>
      </c>
      <c r="R543" s="16"/>
      <c r="S543" s="3" t="s">
        <v>1</v>
      </c>
      <c r="T543" s="3"/>
      <c r="U543" s="3"/>
      <c r="V543" s="3" t="s">
        <v>1</v>
      </c>
    </row>
    <row r="544" spans="1:22" ht="12.75" hidden="1">
      <c r="A544" s="7" t="s">
        <v>40</v>
      </c>
      <c r="B544" s="10">
        <f>+B517+B539</f>
        <v>10077156120</v>
      </c>
      <c r="C544" s="10" t="e">
        <f>+C520+C525+C527+C531+C532+C533+C535+#REF!+#REF!+C540+C541+C542+#REF!</f>
        <v>#REF!</v>
      </c>
      <c r="D544" s="10" t="e">
        <f>+D520+D525+D527+D531+D532+D533+D535+#REF!+#REF!+D540+D541+D542+#REF!</f>
        <v>#REF!</v>
      </c>
      <c r="E544" s="10" t="e">
        <f>+E520+E525+E527+E531+E532+E533+E535+#REF!+#REF!+E540+E541+E542+#REF!</f>
        <v>#REF!</v>
      </c>
      <c r="F544" s="10" t="e">
        <f>+F520+F525+F527+F531+F532+F533+F535+#REF!+#REF!+F540+F541+F542+#REF!</f>
        <v>#REF!</v>
      </c>
      <c r="G544" s="10" t="e">
        <f>+G520+G525+G527+G531+G532+G533+G535+#REF!+#REF!+G540+G541+G542+#REF!</f>
        <v>#REF!</v>
      </c>
      <c r="H544" s="10" t="e">
        <f>+H520+H525+H527+H531+H532+H533+H535+#REF!+#REF!+H540+H541+H542+#REF!</f>
        <v>#REF!</v>
      </c>
      <c r="I544" s="10" t="e">
        <f>+I520+I525+I527+I531+I532+I533+I535+#REF!+#REF!+I540+I541+I542+#REF!</f>
        <v>#REF!</v>
      </c>
      <c r="J544" s="10" t="e">
        <f>+J520+J525+J527+J531+J532+J533+J535+#REF!+#REF!+J540+J541+J542+#REF!</f>
        <v>#REF!</v>
      </c>
      <c r="K544" s="10" t="e">
        <f>+K520+K525+K527+K531+K532+K533+K535+#REF!+#REF!+K540+K541+K542+#REF!</f>
        <v>#REF!</v>
      </c>
      <c r="L544" s="10" t="e">
        <f>+L520+L525+L527+L531+L532+L533+L535+#REF!+#REF!+L540+L541+L542+#REF!</f>
        <v>#REF!</v>
      </c>
      <c r="M544" s="10" t="e">
        <f>+M520+M525+M527+M531+M532+M533+M535+#REF!+#REF!+M540+M541+M542+#REF!</f>
        <v>#REF!</v>
      </c>
      <c r="N544" s="10" t="e">
        <f>+N520+N525+N527+N531+N532+N533+N535+#REF!+#REF!+N540+N541+N542+#REF!</f>
        <v>#REF!</v>
      </c>
      <c r="O544" s="10">
        <f>+O517+O539</f>
        <v>1309545600</v>
      </c>
      <c r="P544" s="10">
        <f>+P517+P539</f>
        <v>11386701720</v>
      </c>
      <c r="Q544" s="10">
        <f>+Q517+Q539</f>
        <v>1469817439</v>
      </c>
      <c r="R544" s="10"/>
      <c r="S544" s="3">
        <f t="shared" si="36"/>
        <v>1469817439</v>
      </c>
      <c r="T544" s="3"/>
      <c r="U544" s="3"/>
      <c r="V544" s="3">
        <f>+S544/P544*100</f>
        <v>12.908193040820255</v>
      </c>
    </row>
    <row r="545" spans="1:22" ht="12.75" hidden="1">
      <c r="A545" s="7" t="s">
        <v>41</v>
      </c>
      <c r="B545" s="11">
        <f>+B495</f>
        <v>0</v>
      </c>
      <c r="O545" s="1">
        <f>150200000+1005600000</f>
        <v>1155800000</v>
      </c>
      <c r="P545" s="1">
        <f>+B545+O545</f>
        <v>1155800000</v>
      </c>
      <c r="Q545" s="1">
        <f>564791544+1155800000-390707686</f>
        <v>1329883858</v>
      </c>
      <c r="R545" s="1"/>
      <c r="S545" s="3">
        <f t="shared" si="36"/>
        <v>1329883858</v>
      </c>
      <c r="T545" s="3"/>
      <c r="U545" s="3"/>
      <c r="V545" s="3">
        <f>+S545/P545*100</f>
        <v>115.06176310780411</v>
      </c>
    </row>
    <row r="546" spans="2:22" ht="12.75" hidden="1">
      <c r="B546" s="1" t="s">
        <v>1</v>
      </c>
      <c r="O546" s="1" t="s">
        <v>1</v>
      </c>
      <c r="Q546" s="16" t="s">
        <v>1</v>
      </c>
      <c r="R546" s="16"/>
      <c r="S546" s="3" t="s">
        <v>1</v>
      </c>
      <c r="T546" s="3"/>
      <c r="U546" s="3"/>
      <c r="V546" s="3" t="s">
        <v>1</v>
      </c>
    </row>
    <row r="547" spans="1:22" ht="12.75" hidden="1">
      <c r="A547" s="7" t="s">
        <v>42</v>
      </c>
      <c r="B547" s="16">
        <f>+B544+B545</f>
        <v>10077156120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6">
        <f>+O544+O545</f>
        <v>2465345600</v>
      </c>
      <c r="P547" s="16">
        <f>+P544+P545</f>
        <v>12542501720</v>
      </c>
      <c r="Q547" s="16">
        <f>+Q544+Q545</f>
        <v>2799701297</v>
      </c>
      <c r="R547" s="16"/>
      <c r="S547" s="3">
        <f t="shared" si="36"/>
        <v>2799701297</v>
      </c>
      <c r="T547" s="3"/>
      <c r="U547" s="3"/>
      <c r="V547" s="3">
        <f>+S547/P547*100</f>
        <v>22.32171347870463</v>
      </c>
    </row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</sheetData>
  <mergeCells count="30">
    <mergeCell ref="A275:V275"/>
    <mergeCell ref="A271:V271"/>
    <mergeCell ref="A272:V272"/>
    <mergeCell ref="C231:M231"/>
    <mergeCell ref="A274:V274"/>
    <mergeCell ref="A133:V133"/>
    <mergeCell ref="A178:V178"/>
    <mergeCell ref="A179:V179"/>
    <mergeCell ref="A47:V47"/>
    <mergeCell ref="A48:V48"/>
    <mergeCell ref="A86:V86"/>
    <mergeCell ref="A87:V87"/>
    <mergeCell ref="A1:Y1"/>
    <mergeCell ref="A2:Y2"/>
    <mergeCell ref="C4:M4"/>
    <mergeCell ref="W49:AE49"/>
    <mergeCell ref="C277:M277"/>
    <mergeCell ref="C228:M228"/>
    <mergeCell ref="A226:V226"/>
    <mergeCell ref="W50:AE50"/>
    <mergeCell ref="C50:M50"/>
    <mergeCell ref="A225:V225"/>
    <mergeCell ref="C89:M89"/>
    <mergeCell ref="C135:M135"/>
    <mergeCell ref="C181:M181"/>
    <mergeCell ref="A132:V132"/>
    <mergeCell ref="A508:V508"/>
    <mergeCell ref="A509:V509"/>
    <mergeCell ref="C511:M511"/>
    <mergeCell ref="C514:M514"/>
  </mergeCells>
  <printOptions/>
  <pageMargins left="0.1968503937007874" right="0.75" top="0.5905511811023623" bottom="0.984251968503937" header="0" footer="0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2009-05-26T15:42:29Z</cp:lastPrinted>
  <dcterms:created xsi:type="dcterms:W3CDTF">2007-01-13T18:42:48Z</dcterms:created>
  <dcterms:modified xsi:type="dcterms:W3CDTF">2009-06-17T14:16:24Z</dcterms:modified>
  <cp:category/>
  <cp:version/>
  <cp:contentType/>
  <cp:contentStatus/>
</cp:coreProperties>
</file>