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FUNCIONAMIENTO " sheetId="1" r:id="rId1"/>
    <sheet name="INVERSION" sheetId="2" r:id="rId2"/>
    <sheet name="Hoja1" sheetId="3" r:id="rId3"/>
  </sheets>
  <externalReferences>
    <externalReference r:id="rId6"/>
    <externalReference r:id="rId7"/>
    <externalReference r:id="rId8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<sst xmlns="http://schemas.openxmlformats.org/spreadsheetml/2006/main" count="284" uniqueCount="96">
  <si>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</si>
  <si>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</si>
  <si>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</si>
  <si>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</si>
  <si>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</si>
  <si>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</si>
  <si>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</si>
  <si>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</si>
  <si>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</si>
  <si>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</si>
  <si>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</si>
  <si>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</si>
  <si>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</si>
  <si>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</si>
  <si>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</si>
  <si>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</si>
  <si>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</si>
  <si>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</si>
  <si>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</si>
  <si>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</si>
  <si>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</si>
  <si>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</si>
  <si>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</si>
  <si>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</si>
  <si>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</si>
  <si>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</si>
  <si>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</si>
  <si>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</si>
  <si>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</si>
  <si>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</si>
  <si>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</si>
  <si>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</si>
  <si>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</si>
  <si>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</si>
  <si>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</si>
  <si>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</si>
  <si>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0004</t>
  </si>
  <si>
    <t>Horas extras</t>
  </si>
  <si>
    <t>SALDO</t>
  </si>
  <si>
    <t>RESERVAS</t>
  </si>
  <si>
    <t>ICBF</t>
  </si>
  <si>
    <t>SENA</t>
  </si>
  <si>
    <t>sueldos personal de nomina vacaciones</t>
  </si>
  <si>
    <t>PAGOS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</si>
  <si>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</si>
  <si>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</si>
  <si>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</si>
  <si>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</si>
  <si>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</si>
  <si>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</si>
  <si>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</si>
  <si>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</si>
  <si>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</si>
  <si>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RECURSOS PROPIOS</t>
  </si>
  <si>
    <t>,</t>
  </si>
  <si>
    <t>RECURSOS NACION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</si>
  <si>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</si>
  <si>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</si>
  <si>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</si>
  <si>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</si>
  <si>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</si>
  <si>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</si>
  <si>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</si>
  <si>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Gestion Integral del Riesgo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</si>
  <si>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</si>
  <si>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</si>
  <si>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</si>
  <si>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</si>
  <si>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</si>
  <si>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</si>
  <si>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</si>
  <si>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</si>
  <si>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</si>
  <si>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</si>
  <si>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</si>
  <si>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</si>
  <si>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</si>
  <si>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CUENTAS</t>
  </si>
  <si>
    <t>POR PAGAR</t>
  </si>
  <si>
    <t>VALOR PRESUPUESTADO</t>
  </si>
  <si>
    <t>VALOR COMPROMETIDO</t>
  </si>
  <si>
    <t>% DE EJEUCION</t>
  </si>
  <si>
    <t>NOMBRE DEL PROYECTO</t>
  </si>
  <si>
    <t>RUBRO PRESUPUESTAL</t>
  </si>
  <si>
    <t>PRESUPUESTO DE GASTOS 2013</t>
  </si>
  <si>
    <t>PRESUPEUSTO DE GASTOS 2013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</si>
  <si>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</si>
  <si>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</si>
  <si>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</si>
  <si>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</si>
  <si>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</si>
  <si>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COMPROMISOS ACUMULADOS</t>
  </si>
  <si>
    <t>% EJECUCION CDPS</t>
  </si>
  <si>
    <t>% DE EJEUCION COMPROMISOS</t>
  </si>
  <si>
    <t>SALDO PÓR EJECUTAR</t>
  </si>
  <si>
    <t>EJECUCION PRESUPUESTAL GASTOS DE INVERSION A MAYO 31 DE 2013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</si>
</sst>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34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0" fillId="0" borderId="14" xfId="0" applyNumberForma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4" fontId="0" fillId="0" borderId="0" xfId="0" applyNumberFormat="1" applyAlignment="1">
      <alignment horizontal="left"/>
    </xf>
    <xf numFmtId="4" fontId="1" fillId="0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0" fontId="1" fillId="0" borderId="12" xfId="0" applyFont="1" applyBorder="1" applyAlignment="1">
      <alignment horizontal="center" wrapText="1"/>
    </xf>
    <xf numFmtId="0" fontId="3" fillId="0" borderId="12" xfId="0" applyFont="1" applyFill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6" xfId="0" applyNumberFormat="1" applyFont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center" wrapText="1"/>
    </xf>
    <xf numFmtId="4" fontId="0" fillId="0" borderId="17" xfId="0" applyNumberFormat="1" applyFill="1" applyBorder="1" applyAlignment="1">
      <alignment horizontal="center" wrapText="1"/>
    </xf>
    <xf numFmtId="4" fontId="0" fillId="0" borderId="16" xfId="0" applyNumberFormat="1" applyBorder="1" applyAlignment="1">
      <alignment/>
    </xf>
    <xf numFmtId="0" fontId="1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4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2" xfId="0" applyFont="1" applyBorder="1" applyAlignment="1">
      <alignment horizontal="justify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wrapText="1"/>
      <protection locked="0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7" fontId="1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2\EJECUCIONES\EJECUCION%20PRESUPUESTALINGRESOS%20A%20%2031%20DICIEMBRE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CAUSACIOENS PREDIAL"/>
      <sheetName val="TSE"/>
    </sheetNames>
    <sheetDataSet>
      <sheetData sheetId="0">
        <row r="95">
          <cell r="B95">
            <v>20523643132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23">
          <cell r="G23">
            <v>48244204</v>
          </cell>
        </row>
        <row r="35">
          <cell r="G35">
            <v>102703694</v>
          </cell>
        </row>
        <row r="43">
          <cell r="G43">
            <v>5369751</v>
          </cell>
        </row>
        <row r="52">
          <cell r="G52">
            <v>171291133</v>
          </cell>
        </row>
        <row r="60">
          <cell r="G60">
            <v>4547948</v>
          </cell>
        </row>
        <row r="68">
          <cell r="G68">
            <v>8638593</v>
          </cell>
        </row>
        <row r="76">
          <cell r="G76">
            <v>20324876</v>
          </cell>
        </row>
        <row r="84">
          <cell r="G84">
            <v>4599550</v>
          </cell>
        </row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19">
          <cell r="F19">
            <v>7107897</v>
          </cell>
        </row>
        <row r="23">
          <cell r="F23">
            <v>158540</v>
          </cell>
        </row>
        <row r="39">
          <cell r="F39">
            <v>42179900</v>
          </cell>
        </row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zoomScalePageLayoutView="0" workbookViewId="0" topLeftCell="A7">
      <selection activeCell="G47" sqref="G47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0" customWidth="1"/>
    <col min="9" max="9" width="19.7109375" style="0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</cols>
  <sheetData>
    <row r="1" spans="1:15" ht="12.7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</row>
    <row r="2" spans="1:15" ht="12.75">
      <c r="A2" s="113" t="s">
        <v>84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5"/>
    </row>
    <row r="3" spans="1:15" ht="12.75">
      <c r="A3" s="113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5" ht="13.5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5" ht="12.75">
      <c r="A5" s="82"/>
      <c r="B5" s="83" t="s">
        <v>6</v>
      </c>
      <c r="C5" s="84"/>
      <c r="D5" s="84" t="s">
        <v>7</v>
      </c>
      <c r="E5" s="84"/>
      <c r="F5" s="66"/>
      <c r="G5" s="83" t="s">
        <v>3</v>
      </c>
      <c r="H5" s="83" t="s">
        <v>2</v>
      </c>
      <c r="I5" s="83" t="s">
        <v>3</v>
      </c>
      <c r="J5" s="85" t="s">
        <v>35</v>
      </c>
      <c r="K5" s="85" t="s">
        <v>43</v>
      </c>
      <c r="L5" s="85" t="s">
        <v>77</v>
      </c>
      <c r="M5" s="85" t="s">
        <v>39</v>
      </c>
      <c r="N5" s="86" t="s">
        <v>38</v>
      </c>
      <c r="O5" s="87" t="s">
        <v>52</v>
      </c>
    </row>
    <row r="6" spans="1:15" ht="12.75">
      <c r="A6" s="73"/>
      <c r="B6" s="5"/>
      <c r="C6" s="5"/>
      <c r="D6" s="5" t="s">
        <v>8</v>
      </c>
      <c r="E6" s="5"/>
      <c r="F6" s="26" t="s">
        <v>9</v>
      </c>
      <c r="G6" s="26" t="s">
        <v>4</v>
      </c>
      <c r="H6" s="26" t="s">
        <v>10</v>
      </c>
      <c r="I6" s="26" t="s">
        <v>5</v>
      </c>
      <c r="J6" s="15" t="s">
        <v>1</v>
      </c>
      <c r="K6" s="39"/>
      <c r="L6" s="15" t="s">
        <v>78</v>
      </c>
      <c r="M6" s="39"/>
      <c r="N6" s="21" t="s">
        <v>44</v>
      </c>
      <c r="O6" s="74"/>
    </row>
    <row r="7" spans="1:15" ht="13.5" thickBot="1">
      <c r="A7" s="75"/>
      <c r="B7" s="76"/>
      <c r="C7" s="76"/>
      <c r="D7" s="76" t="s">
        <v>11</v>
      </c>
      <c r="E7" s="76"/>
      <c r="F7" s="77"/>
      <c r="G7" s="78" t="s">
        <v>1</v>
      </c>
      <c r="H7" s="78" t="s">
        <v>1</v>
      </c>
      <c r="I7" s="78" t="s">
        <v>26</v>
      </c>
      <c r="J7" s="79" t="s">
        <v>1</v>
      </c>
      <c r="K7" s="79"/>
      <c r="L7" s="79"/>
      <c r="M7" s="79"/>
      <c r="N7" s="80"/>
      <c r="O7" s="81"/>
    </row>
    <row r="8" spans="1:15" ht="12.75">
      <c r="A8" s="66"/>
      <c r="B8" s="66"/>
      <c r="C8" s="66"/>
      <c r="D8" s="66"/>
      <c r="E8" s="66"/>
      <c r="F8" s="66"/>
      <c r="G8" s="67" t="s">
        <v>1</v>
      </c>
      <c r="H8" s="67" t="s">
        <v>1</v>
      </c>
      <c r="I8" s="68" t="s">
        <v>1</v>
      </c>
      <c r="J8" s="69">
        <f>+J9+J44</f>
        <v>5666897750</v>
      </c>
      <c r="K8" s="70">
        <f>+K9+K44</f>
        <v>5154185536</v>
      </c>
      <c r="L8" s="70"/>
      <c r="M8" s="70">
        <f>+L9+M9</f>
        <v>472096128</v>
      </c>
      <c r="N8" s="71"/>
      <c r="O8" s="72"/>
    </row>
    <row r="9" spans="1:16" ht="12.75">
      <c r="A9" s="13" t="s">
        <v>12</v>
      </c>
      <c r="B9" s="13"/>
      <c r="C9" s="13"/>
      <c r="D9" s="13"/>
      <c r="E9" s="13"/>
      <c r="F9" s="13" t="s">
        <v>27</v>
      </c>
      <c r="G9" s="7">
        <f>SUM(G10+G23+G27)</f>
        <v>4416984995</v>
      </c>
      <c r="H9" s="7">
        <f>SUM(H10+H23+H27)</f>
        <v>1074099882</v>
      </c>
      <c r="I9" s="31">
        <f>+G9+H9</f>
        <v>5491084877</v>
      </c>
      <c r="J9" s="29">
        <f>SUM(J10+J23+J27)</f>
        <v>4029465212</v>
      </c>
      <c r="K9" s="29">
        <f>SUM(K10+K23+K27)</f>
        <v>3557369084</v>
      </c>
      <c r="L9" s="29">
        <f>SUM(L10+L23+L27)</f>
        <v>106376379</v>
      </c>
      <c r="M9" s="29">
        <f>SUM(M10+M23+M27)</f>
        <v>365719749</v>
      </c>
      <c r="N9" s="43">
        <f>+I9-J9</f>
        <v>1461619665</v>
      </c>
      <c r="O9" s="45">
        <f>+J9/I9*100</f>
        <v>73.38195096706389</v>
      </c>
      <c r="P9" s="38"/>
    </row>
    <row r="10" spans="1:16" ht="12.75">
      <c r="A10" s="13" t="s">
        <v>12</v>
      </c>
      <c r="B10" s="13">
        <v>1</v>
      </c>
      <c r="C10" s="13">
        <v>1</v>
      </c>
      <c r="D10" s="13">
        <v>0</v>
      </c>
      <c r="E10" s="13">
        <v>0</v>
      </c>
      <c r="F10" s="13" t="s">
        <v>13</v>
      </c>
      <c r="G10" s="7">
        <f>SUM(G11+G18+G19+G20+G21+G22)</f>
        <v>1840923812</v>
      </c>
      <c r="H10" s="7">
        <f>SUM(H11+H18+H19+H20+H21+H22)</f>
        <v>500000000</v>
      </c>
      <c r="I10" s="31">
        <f>+G10+H10</f>
        <v>2340923812</v>
      </c>
      <c r="J10" s="29">
        <f>SUM(J11+J18+J19+J20+J21+J22)</f>
        <v>1475405321</v>
      </c>
      <c r="K10" s="29">
        <f>SUM(K11+K18+K19+K20+K21+K22)</f>
        <v>1363123178</v>
      </c>
      <c r="L10" s="29">
        <f>SUM(L11+L18+L19+L20+L21+L22)</f>
        <v>64037939</v>
      </c>
      <c r="M10" s="29">
        <f>SUM(M11+M18+M19+M20+M21+M22)</f>
        <v>48244204</v>
      </c>
      <c r="N10" s="43">
        <f aca="true" t="shared" si="0" ref="N10:N31">+I10-J10</f>
        <v>865518491</v>
      </c>
      <c r="O10" s="45">
        <f aca="true" t="shared" si="1" ref="O10:O30">+J10/I10*100</f>
        <v>63.026627070766025</v>
      </c>
      <c r="P10" s="38"/>
    </row>
    <row r="11" spans="1:16" ht="12.75">
      <c r="A11" s="13" t="s">
        <v>12</v>
      </c>
      <c r="B11" s="13">
        <v>1</v>
      </c>
      <c r="C11" s="13">
        <v>1</v>
      </c>
      <c r="D11" s="13">
        <v>1</v>
      </c>
      <c r="E11" s="13">
        <v>0</v>
      </c>
      <c r="F11" s="13" t="s">
        <v>14</v>
      </c>
      <c r="G11" s="7">
        <f>SUM(G12:G17)</f>
        <v>1066249418</v>
      </c>
      <c r="H11" s="7">
        <f>SUM(H12:H17)</f>
        <v>500000000</v>
      </c>
      <c r="I11" s="31">
        <f aca="true" t="shared" si="2" ref="I11:I31">+G11+H11</f>
        <v>1566249418</v>
      </c>
      <c r="J11" s="29">
        <f>SUM(J12:J17)</f>
        <v>732027914</v>
      </c>
      <c r="K11" s="29">
        <f>SUM(K12:K17)</f>
        <v>732027914</v>
      </c>
      <c r="L11" s="29">
        <f>SUM(L12:L17)</f>
        <v>0</v>
      </c>
      <c r="M11" s="29">
        <f>SUM(M12:M17)</f>
        <v>0</v>
      </c>
      <c r="N11" s="43">
        <f t="shared" si="0"/>
        <v>834221504</v>
      </c>
      <c r="O11" s="45">
        <f t="shared" si="1"/>
        <v>46.7376335842316</v>
      </c>
      <c r="P11" s="38"/>
    </row>
    <row r="12" spans="1:16" ht="12.75">
      <c r="A12" s="13" t="s">
        <v>12</v>
      </c>
      <c r="B12" s="13">
        <v>1</v>
      </c>
      <c r="C12" s="13">
        <v>1</v>
      </c>
      <c r="D12" s="13">
        <v>1</v>
      </c>
      <c r="E12" s="13">
        <v>1</v>
      </c>
      <c r="F12" s="13" t="s">
        <v>15</v>
      </c>
      <c r="G12" s="7">
        <v>699180255</v>
      </c>
      <c r="H12" s="7">
        <v>500000000</v>
      </c>
      <c r="I12" s="31">
        <f t="shared" si="2"/>
        <v>1199180255</v>
      </c>
      <c r="J12" s="29">
        <v>416561778</v>
      </c>
      <c r="K12" s="60">
        <f>+J12-L12-M12</f>
        <v>416561778</v>
      </c>
      <c r="L12" s="60">
        <v>0</v>
      </c>
      <c r="M12" s="60">
        <v>0</v>
      </c>
      <c r="N12" s="43">
        <f t="shared" si="0"/>
        <v>782618477</v>
      </c>
      <c r="O12" s="45">
        <f t="shared" si="1"/>
        <v>34.737211212671276</v>
      </c>
      <c r="P12" s="38"/>
    </row>
    <row r="13" spans="1:16" ht="12.75">
      <c r="A13" s="13" t="s">
        <v>12</v>
      </c>
      <c r="B13" s="13">
        <v>1</v>
      </c>
      <c r="C13" s="13">
        <v>1</v>
      </c>
      <c r="D13" s="13">
        <v>1</v>
      </c>
      <c r="E13" s="13">
        <v>2</v>
      </c>
      <c r="F13" s="4" t="s">
        <v>42</v>
      </c>
      <c r="G13" s="7">
        <v>116272121</v>
      </c>
      <c r="H13" s="7">
        <v>0</v>
      </c>
      <c r="I13" s="31">
        <f t="shared" si="2"/>
        <v>116272121</v>
      </c>
      <c r="J13" s="30">
        <v>73841117</v>
      </c>
      <c r="K13" s="60">
        <f aca="true" t="shared" si="3" ref="K13:K30">+J13-L13-M13</f>
        <v>73841117</v>
      </c>
      <c r="L13" s="30">
        <v>0</v>
      </c>
      <c r="M13" s="30">
        <v>0</v>
      </c>
      <c r="N13" s="43">
        <f t="shared" si="0"/>
        <v>42431004</v>
      </c>
      <c r="O13" s="45">
        <f t="shared" si="1"/>
        <v>63.507155769524495</v>
      </c>
      <c r="P13" s="38"/>
    </row>
    <row r="14" spans="1:16" ht="12.75">
      <c r="A14" s="13" t="s">
        <v>12</v>
      </c>
      <c r="B14" s="13">
        <v>1</v>
      </c>
      <c r="C14" s="13">
        <v>1</v>
      </c>
      <c r="D14" s="13">
        <v>9</v>
      </c>
      <c r="E14" s="13">
        <v>1</v>
      </c>
      <c r="F14" s="13" t="s">
        <v>37</v>
      </c>
      <c r="G14" s="7">
        <v>0</v>
      </c>
      <c r="H14" s="7">
        <v>0</v>
      </c>
      <c r="I14" s="31">
        <f t="shared" si="2"/>
        <v>0</v>
      </c>
      <c r="J14" s="42">
        <v>178696</v>
      </c>
      <c r="K14" s="60">
        <f t="shared" si="3"/>
        <v>178696</v>
      </c>
      <c r="L14" s="30">
        <v>0</v>
      </c>
      <c r="M14" s="30">
        <v>0</v>
      </c>
      <c r="N14" s="43">
        <f t="shared" si="0"/>
        <v>-178696</v>
      </c>
      <c r="O14" s="45" t="e">
        <f t="shared" si="1"/>
        <v>#DIV/0!</v>
      </c>
      <c r="P14" s="38"/>
    </row>
    <row r="15" spans="1:16" ht="12.75">
      <c r="A15" s="13" t="s">
        <v>12</v>
      </c>
      <c r="B15" s="13">
        <v>1</v>
      </c>
      <c r="C15" s="13">
        <v>1</v>
      </c>
      <c r="D15" s="13">
        <v>9</v>
      </c>
      <c r="E15" s="13">
        <v>3</v>
      </c>
      <c r="F15" s="13" t="s">
        <v>28</v>
      </c>
      <c r="G15" s="7">
        <v>10000000</v>
      </c>
      <c r="H15" s="7">
        <v>0</v>
      </c>
      <c r="I15" s="31">
        <f t="shared" si="2"/>
        <v>10000000</v>
      </c>
      <c r="J15" s="29">
        <v>28781062</v>
      </c>
      <c r="K15" s="60">
        <f t="shared" si="3"/>
        <v>28781062</v>
      </c>
      <c r="L15" s="60">
        <v>0</v>
      </c>
      <c r="M15" s="60">
        <v>0</v>
      </c>
      <c r="N15" s="43">
        <f t="shared" si="0"/>
        <v>-18781062</v>
      </c>
      <c r="O15" s="45">
        <f t="shared" si="1"/>
        <v>287.81062</v>
      </c>
      <c r="P15" s="38"/>
    </row>
    <row r="16" spans="1:16" ht="12.75">
      <c r="A16" s="13" t="s">
        <v>12</v>
      </c>
      <c r="B16" s="13">
        <v>1</v>
      </c>
      <c r="C16" s="13">
        <v>1</v>
      </c>
      <c r="D16" s="13">
        <v>4</v>
      </c>
      <c r="E16" s="13">
        <v>2</v>
      </c>
      <c r="F16" s="13" t="s">
        <v>16</v>
      </c>
      <c r="G16" s="7">
        <v>53084760</v>
      </c>
      <c r="H16" s="7">
        <v>0</v>
      </c>
      <c r="I16" s="31">
        <f t="shared" si="2"/>
        <v>53084760</v>
      </c>
      <c r="J16" s="29">
        <v>54522631</v>
      </c>
      <c r="K16" s="60">
        <f t="shared" si="3"/>
        <v>54522631</v>
      </c>
      <c r="L16" s="60">
        <v>0</v>
      </c>
      <c r="M16" s="60">
        <v>0</v>
      </c>
      <c r="N16" s="43">
        <f t="shared" si="0"/>
        <v>-1437871</v>
      </c>
      <c r="O16" s="45">
        <f t="shared" si="1"/>
        <v>102.70863238338083</v>
      </c>
      <c r="P16" s="38"/>
    </row>
    <row r="17" spans="1:18" ht="12.75">
      <c r="A17" s="13" t="s">
        <v>12</v>
      </c>
      <c r="B17" s="13">
        <v>1</v>
      </c>
      <c r="C17" s="13">
        <v>1</v>
      </c>
      <c r="D17" s="13">
        <v>5</v>
      </c>
      <c r="E17" s="13">
        <v>0</v>
      </c>
      <c r="F17" s="13" t="s">
        <v>17</v>
      </c>
      <c r="G17" s="7">
        <v>187712282</v>
      </c>
      <c r="H17" s="7">
        <v>0</v>
      </c>
      <c r="I17" s="31">
        <f t="shared" si="2"/>
        <v>187712282</v>
      </c>
      <c r="J17" s="29">
        <f>34204869+7275594+5463853+5276740+12632358+46474064+37346884+9468268</f>
        <v>158142630</v>
      </c>
      <c r="K17" s="60">
        <f t="shared" si="3"/>
        <v>158142630</v>
      </c>
      <c r="L17" s="60">
        <v>0</v>
      </c>
      <c r="M17" s="60">
        <v>0</v>
      </c>
      <c r="N17" s="43">
        <f t="shared" si="0"/>
        <v>29569652</v>
      </c>
      <c r="O17" s="45">
        <f t="shared" si="1"/>
        <v>84.24735361748998</v>
      </c>
      <c r="P17" s="38"/>
      <c r="Q17" s="1"/>
      <c r="R17" s="1"/>
    </row>
    <row r="18" spans="1:18" ht="12.75">
      <c r="A18" s="13" t="s">
        <v>12</v>
      </c>
      <c r="B18" s="13">
        <v>1</v>
      </c>
      <c r="C18" s="13">
        <v>0</v>
      </c>
      <c r="D18" s="13">
        <v>2</v>
      </c>
      <c r="E18" s="13">
        <v>0</v>
      </c>
      <c r="F18" s="13" t="s">
        <v>29</v>
      </c>
      <c r="G18" s="7">
        <v>373927326</v>
      </c>
      <c r="H18" s="7">
        <v>0</v>
      </c>
      <c r="I18" s="31">
        <f t="shared" si="2"/>
        <v>373927326</v>
      </c>
      <c r="J18" s="29">
        <f>315647592+16551920</f>
        <v>332199512</v>
      </c>
      <c r="K18" s="60">
        <f t="shared" si="3"/>
        <v>276847411</v>
      </c>
      <c r="L18" s="60">
        <f>+'[3]2010'!$F$19</f>
        <v>7107897</v>
      </c>
      <c r="M18" s="60">
        <f>+'[2]RESERVAS 2012'!$G$23</f>
        <v>48244204</v>
      </c>
      <c r="N18" s="43">
        <f t="shared" si="0"/>
        <v>41727814</v>
      </c>
      <c r="O18" s="45">
        <f t="shared" si="1"/>
        <v>88.84066204886027</v>
      </c>
      <c r="P18" s="38"/>
      <c r="Q18" s="12" t="s">
        <v>1</v>
      </c>
      <c r="R18" s="1"/>
    </row>
    <row r="19" spans="1:18" ht="12.75">
      <c r="A19" s="13" t="s">
        <v>12</v>
      </c>
      <c r="B19" s="13">
        <v>1</v>
      </c>
      <c r="C19" s="13">
        <v>5</v>
      </c>
      <c r="D19" s="13">
        <v>0</v>
      </c>
      <c r="E19" s="13">
        <v>1</v>
      </c>
      <c r="F19" s="13" t="s">
        <v>18</v>
      </c>
      <c r="G19" s="7">
        <v>248551740</v>
      </c>
      <c r="H19" s="7">
        <v>0</v>
      </c>
      <c r="I19" s="31">
        <f t="shared" si="2"/>
        <v>248551740</v>
      </c>
      <c r="J19" s="29">
        <v>247834776</v>
      </c>
      <c r="K19" s="60">
        <f t="shared" si="3"/>
        <v>214899761</v>
      </c>
      <c r="L19" s="60">
        <f>8224366+12087256+993860+11629533</f>
        <v>32935015</v>
      </c>
      <c r="M19" s="60">
        <v>0</v>
      </c>
      <c r="N19" s="43">
        <f t="shared" si="0"/>
        <v>716964</v>
      </c>
      <c r="O19" s="45">
        <f t="shared" si="1"/>
        <v>99.71154335914125</v>
      </c>
      <c r="P19" s="38"/>
      <c r="Q19" s="1"/>
      <c r="R19" s="1"/>
    </row>
    <row r="20" spans="1:18" ht="12.75">
      <c r="A20" s="13" t="s">
        <v>12</v>
      </c>
      <c r="B20" s="13">
        <v>1</v>
      </c>
      <c r="C20" s="13">
        <v>5</v>
      </c>
      <c r="D20" s="13">
        <v>0</v>
      </c>
      <c r="E20" s="13">
        <v>2</v>
      </c>
      <c r="F20" s="13" t="s">
        <v>19</v>
      </c>
      <c r="G20" s="7">
        <v>97728535</v>
      </c>
      <c r="H20" s="7">
        <v>0</v>
      </c>
      <c r="I20" s="31">
        <f t="shared" si="2"/>
        <v>97728535</v>
      </c>
      <c r="J20" s="29">
        <v>111563496</v>
      </c>
      <c r="K20" s="60">
        <f t="shared" si="3"/>
        <v>102104983</v>
      </c>
      <c r="L20" s="60">
        <f>8470477+988036</f>
        <v>9458513</v>
      </c>
      <c r="M20" s="60">
        <v>0</v>
      </c>
      <c r="N20" s="43">
        <f t="shared" si="0"/>
        <v>-13834961</v>
      </c>
      <c r="O20" s="45">
        <f t="shared" si="1"/>
        <v>114.15652142948834</v>
      </c>
      <c r="P20" s="38"/>
      <c r="Q20" s="1"/>
      <c r="R20" s="1"/>
    </row>
    <row r="21" spans="1:18" ht="12.75">
      <c r="A21" s="13" t="s">
        <v>12</v>
      </c>
      <c r="B21" s="13">
        <v>1</v>
      </c>
      <c r="C21" s="13">
        <v>5</v>
      </c>
      <c r="D21" s="13">
        <v>0</v>
      </c>
      <c r="E21" s="13">
        <v>6</v>
      </c>
      <c r="F21" s="4" t="s">
        <v>40</v>
      </c>
      <c r="G21" s="7">
        <v>37438676</v>
      </c>
      <c r="H21" s="7">
        <v>0</v>
      </c>
      <c r="I21" s="31">
        <f t="shared" si="2"/>
        <v>37438676</v>
      </c>
      <c r="J21" s="29">
        <v>34198780</v>
      </c>
      <c r="K21" s="60">
        <f t="shared" si="3"/>
        <v>25477032</v>
      </c>
      <c r="L21" s="60">
        <v>8721748</v>
      </c>
      <c r="M21" s="60">
        <v>0</v>
      </c>
      <c r="N21" s="43">
        <f t="shared" si="0"/>
        <v>3239896</v>
      </c>
      <c r="O21" s="45">
        <f t="shared" si="1"/>
        <v>91.34612559482605</v>
      </c>
      <c r="P21" s="38"/>
      <c r="Q21" s="1"/>
      <c r="R21" s="1"/>
    </row>
    <row r="22" spans="1:18" ht="12.75">
      <c r="A22" s="13" t="s">
        <v>12</v>
      </c>
      <c r="B22" s="13">
        <v>1</v>
      </c>
      <c r="C22" s="13">
        <v>5</v>
      </c>
      <c r="D22" s="13">
        <v>0</v>
      </c>
      <c r="E22" s="13">
        <v>7</v>
      </c>
      <c r="F22" s="4" t="s">
        <v>41</v>
      </c>
      <c r="G22" s="7">
        <v>17028117</v>
      </c>
      <c r="H22" s="7">
        <v>0</v>
      </c>
      <c r="I22" s="31">
        <f t="shared" si="2"/>
        <v>17028117</v>
      </c>
      <c r="J22" s="29">
        <v>17580843</v>
      </c>
      <c r="K22" s="60">
        <f t="shared" si="3"/>
        <v>11766077</v>
      </c>
      <c r="L22" s="60">
        <v>5814766</v>
      </c>
      <c r="M22" s="60">
        <v>0</v>
      </c>
      <c r="N22" s="43">
        <f t="shared" si="0"/>
        <v>-552726</v>
      </c>
      <c r="O22" s="45">
        <f t="shared" si="1"/>
        <v>103.24596078356755</v>
      </c>
      <c r="P22" s="38"/>
      <c r="Q22" s="1"/>
      <c r="R22" s="1"/>
    </row>
    <row r="23" spans="1:18" ht="12.75">
      <c r="A23" s="13" t="s">
        <v>12</v>
      </c>
      <c r="B23" s="13">
        <v>2</v>
      </c>
      <c r="C23" s="13">
        <v>0</v>
      </c>
      <c r="D23" s="13">
        <v>0</v>
      </c>
      <c r="E23" s="13">
        <v>0</v>
      </c>
      <c r="F23" s="13" t="s">
        <v>20</v>
      </c>
      <c r="G23" s="7">
        <f>SUM(G24:G26)</f>
        <v>951723950</v>
      </c>
      <c r="H23" s="7">
        <f>+H24+H25+H26</f>
        <v>420000000</v>
      </c>
      <c r="I23" s="31">
        <f t="shared" si="2"/>
        <v>1371723950</v>
      </c>
      <c r="J23" s="29">
        <f>SUM(J24:J26)</f>
        <v>1229209047</v>
      </c>
      <c r="K23" s="29">
        <f>SUM(K24:K26)</f>
        <v>869395062</v>
      </c>
      <c r="L23" s="29">
        <f>SUM(L24:L26)</f>
        <v>42338440</v>
      </c>
      <c r="M23" s="29">
        <f>SUM(M24:M26)</f>
        <v>317475545</v>
      </c>
      <c r="N23" s="43">
        <f t="shared" si="0"/>
        <v>142514903</v>
      </c>
      <c r="O23" s="45">
        <f t="shared" si="1"/>
        <v>89.61052600998912</v>
      </c>
      <c r="P23" s="38"/>
      <c r="Q23" s="1"/>
      <c r="R23" s="1"/>
    </row>
    <row r="24" spans="1:18" ht="12.75">
      <c r="A24" s="13" t="s">
        <v>12</v>
      </c>
      <c r="B24" s="13">
        <v>2</v>
      </c>
      <c r="C24" s="13">
        <v>4</v>
      </c>
      <c r="D24" s="13">
        <v>0</v>
      </c>
      <c r="E24" s="13">
        <v>0</v>
      </c>
      <c r="F24" s="13" t="s">
        <v>30</v>
      </c>
      <c r="G24" s="7">
        <v>190765000</v>
      </c>
      <c r="H24" s="7">
        <v>0</v>
      </c>
      <c r="I24" s="31">
        <f t="shared" si="2"/>
        <v>190765000</v>
      </c>
      <c r="J24" s="29">
        <f>107406671+93457790</f>
        <v>200864461</v>
      </c>
      <c r="K24" s="60">
        <f t="shared" si="3"/>
        <v>92791016</v>
      </c>
      <c r="L24" s="60">
        <v>0</v>
      </c>
      <c r="M24" s="60">
        <f>+'[2]RESERVAS 2012'!$G$35+'[2]RESERVAS 2012'!$G$43</f>
        <v>108073445</v>
      </c>
      <c r="N24" s="43">
        <f t="shared" si="0"/>
        <v>-10099461</v>
      </c>
      <c r="O24" s="45">
        <f t="shared" si="1"/>
        <v>105.29418970985243</v>
      </c>
      <c r="P24" s="38"/>
      <c r="Q24" s="1"/>
      <c r="R24" s="1"/>
    </row>
    <row r="25" spans="1:18" ht="12.75">
      <c r="A25" s="13" t="s">
        <v>12</v>
      </c>
      <c r="B25" s="13">
        <v>2</v>
      </c>
      <c r="C25" s="13">
        <v>4</v>
      </c>
      <c r="D25" s="13">
        <v>0</v>
      </c>
      <c r="E25" s="13">
        <v>0</v>
      </c>
      <c r="F25" s="13" t="s">
        <v>21</v>
      </c>
      <c r="G25" s="7">
        <v>716756750</v>
      </c>
      <c r="H25" s="7">
        <v>420000000</v>
      </c>
      <c r="I25" s="31">
        <f t="shared" si="2"/>
        <v>1136756750</v>
      </c>
      <c r="J25" s="28">
        <f>378419962+83087928+41384904+160195000+61599093+28242705+153166036+602400+17695733</f>
        <v>924393761</v>
      </c>
      <c r="K25" s="60">
        <f t="shared" si="3"/>
        <v>714833121</v>
      </c>
      <c r="L25" s="44">
        <f>+'[3]2010'!$F$23</f>
        <v>158540</v>
      </c>
      <c r="M25" s="44">
        <f>+'[2]RESERVAS 2012'!$G$52+'[2]RESERVAS 2012'!$G$60+'[2]RESERVAS 2012'!$G$68+'[2]RESERVAS 2012'!$G$76+'[2]RESERVAS 2012'!$G$84</f>
        <v>209402100</v>
      </c>
      <c r="N25" s="43">
        <f t="shared" si="0"/>
        <v>212362989</v>
      </c>
      <c r="O25" s="45">
        <f t="shared" si="1"/>
        <v>81.31851963931598</v>
      </c>
      <c r="P25" s="38"/>
      <c r="Q25" s="1"/>
      <c r="R25" s="1"/>
    </row>
    <row r="26" spans="1:18" ht="12.75">
      <c r="A26" s="13" t="s">
        <v>12</v>
      </c>
      <c r="B26" s="13">
        <v>2</v>
      </c>
      <c r="C26" s="13">
        <v>0</v>
      </c>
      <c r="D26" s="13">
        <v>3</v>
      </c>
      <c r="E26" s="13">
        <v>0</v>
      </c>
      <c r="F26" s="53" t="s">
        <v>22</v>
      </c>
      <c r="G26" s="20">
        <v>44202200</v>
      </c>
      <c r="H26" s="20">
        <v>0</v>
      </c>
      <c r="I26" s="28">
        <f t="shared" si="2"/>
        <v>44202200</v>
      </c>
      <c r="J26" s="29">
        <v>103950825</v>
      </c>
      <c r="K26" s="60">
        <f t="shared" si="3"/>
        <v>61770925</v>
      </c>
      <c r="L26" s="60">
        <f>+'[3]2010'!$F$39</f>
        <v>42179900</v>
      </c>
      <c r="M26" s="60">
        <v>0</v>
      </c>
      <c r="N26" s="43">
        <f t="shared" si="0"/>
        <v>-59748625</v>
      </c>
      <c r="O26" s="45">
        <f t="shared" si="1"/>
        <v>235.17115663926228</v>
      </c>
      <c r="P26" s="38"/>
      <c r="Q26" s="1"/>
      <c r="R26" s="1"/>
    </row>
    <row r="27" spans="1:18" ht="12.75">
      <c r="A27" s="13" t="s">
        <v>12</v>
      </c>
      <c r="B27" s="13">
        <v>3</v>
      </c>
      <c r="C27" s="13">
        <v>0</v>
      </c>
      <c r="D27" s="13">
        <v>0</v>
      </c>
      <c r="E27" s="13">
        <v>0</v>
      </c>
      <c r="F27" s="13" t="s">
        <v>23</v>
      </c>
      <c r="G27" s="7">
        <f>SUM(G28:G31)</f>
        <v>1624337233</v>
      </c>
      <c r="H27" s="7">
        <f>+H28+H29+H30+H31</f>
        <v>154099882</v>
      </c>
      <c r="I27" s="31">
        <f t="shared" si="2"/>
        <v>1778437115</v>
      </c>
      <c r="J27" s="29">
        <f>SUM(J28:J31)</f>
        <v>1324850844</v>
      </c>
      <c r="K27" s="29">
        <f>SUM(K28:K31)</f>
        <v>1324850844</v>
      </c>
      <c r="L27" s="29">
        <f>SUM(L28:L31)</f>
        <v>0</v>
      </c>
      <c r="M27" s="29">
        <f>SUM(M28:M31)</f>
        <v>0</v>
      </c>
      <c r="N27" s="43">
        <f t="shared" si="0"/>
        <v>453586271</v>
      </c>
      <c r="O27" s="45">
        <f t="shared" si="1"/>
        <v>74.49523139309878</v>
      </c>
      <c r="P27" s="38"/>
      <c r="Q27" s="1"/>
      <c r="R27" s="1"/>
    </row>
    <row r="28" spans="1:18" ht="12.75">
      <c r="A28" s="13" t="s">
        <v>12</v>
      </c>
      <c r="B28" s="13">
        <v>3</v>
      </c>
      <c r="C28" s="13">
        <v>2</v>
      </c>
      <c r="D28" s="13">
        <v>1</v>
      </c>
      <c r="E28" s="13">
        <v>1</v>
      </c>
      <c r="F28" s="13" t="s">
        <v>31</v>
      </c>
      <c r="G28" s="7">
        <v>28597800</v>
      </c>
      <c r="H28" s="7">
        <v>0</v>
      </c>
      <c r="I28" s="31">
        <f t="shared" si="2"/>
        <v>28597800</v>
      </c>
      <c r="J28" s="29">
        <v>22033796</v>
      </c>
      <c r="K28" s="60">
        <f t="shared" si="3"/>
        <v>22033796</v>
      </c>
      <c r="L28" s="60">
        <v>0</v>
      </c>
      <c r="M28" s="60">
        <v>0</v>
      </c>
      <c r="N28" s="43">
        <f t="shared" si="0"/>
        <v>6564004</v>
      </c>
      <c r="O28" s="45">
        <f t="shared" si="1"/>
        <v>77.04717146074174</v>
      </c>
      <c r="P28" s="38"/>
      <c r="Q28" s="1"/>
      <c r="R28" s="1"/>
    </row>
    <row r="29" spans="1:18" ht="12.75">
      <c r="A29" s="13" t="s">
        <v>12</v>
      </c>
      <c r="B29" s="13">
        <v>3</v>
      </c>
      <c r="C29" s="13">
        <v>2</v>
      </c>
      <c r="D29" s="13">
        <v>1</v>
      </c>
      <c r="E29" s="13">
        <v>2</v>
      </c>
      <c r="F29" s="13" t="s">
        <v>32</v>
      </c>
      <c r="G29" s="7">
        <v>1562739433</v>
      </c>
      <c r="H29" s="7">
        <v>154099882</v>
      </c>
      <c r="I29" s="31">
        <f t="shared" si="2"/>
        <v>1716839315</v>
      </c>
      <c r="J29" s="29">
        <v>1282513468</v>
      </c>
      <c r="K29" s="60">
        <f t="shared" si="3"/>
        <v>1282513468</v>
      </c>
      <c r="L29" s="60">
        <v>0</v>
      </c>
      <c r="M29" s="60">
        <v>0</v>
      </c>
      <c r="N29" s="43">
        <f t="shared" si="0"/>
        <v>434325847</v>
      </c>
      <c r="O29" s="45">
        <f t="shared" si="1"/>
        <v>74.70200948887286</v>
      </c>
      <c r="P29" s="38"/>
      <c r="Q29" s="1"/>
      <c r="R29" s="1"/>
    </row>
    <row r="30" spans="1:18" ht="12.75">
      <c r="A30" s="13" t="s">
        <v>12</v>
      </c>
      <c r="B30" s="13">
        <v>3</v>
      </c>
      <c r="C30" s="13">
        <v>2</v>
      </c>
      <c r="D30" s="13">
        <v>1</v>
      </c>
      <c r="E30" s="13">
        <v>3</v>
      </c>
      <c r="F30" s="13" t="s">
        <v>33</v>
      </c>
      <c r="G30" s="7">
        <v>23000000</v>
      </c>
      <c r="H30" s="7">
        <v>0</v>
      </c>
      <c r="I30" s="31">
        <f t="shared" si="2"/>
        <v>23000000</v>
      </c>
      <c r="J30" s="29">
        <v>20303580</v>
      </c>
      <c r="K30" s="60">
        <f t="shared" si="3"/>
        <v>20303580</v>
      </c>
      <c r="L30" s="60">
        <v>0</v>
      </c>
      <c r="M30" s="60">
        <v>0</v>
      </c>
      <c r="N30" s="43">
        <f t="shared" si="0"/>
        <v>2696420</v>
      </c>
      <c r="O30" s="45">
        <f t="shared" si="1"/>
        <v>88.27643478260869</v>
      </c>
      <c r="P30" s="38"/>
      <c r="Q30" s="1"/>
      <c r="R30" s="1"/>
    </row>
    <row r="31" spans="1:18" ht="12.75">
      <c r="A31" s="13" t="s">
        <v>12</v>
      </c>
      <c r="B31" s="13">
        <v>3</v>
      </c>
      <c r="C31" s="13">
        <v>6</v>
      </c>
      <c r="D31" s="13">
        <v>1</v>
      </c>
      <c r="E31" s="13">
        <v>1</v>
      </c>
      <c r="F31" s="13" t="s">
        <v>34</v>
      </c>
      <c r="G31" s="20">
        <v>10000000</v>
      </c>
      <c r="H31" s="7">
        <v>0</v>
      </c>
      <c r="I31" s="31">
        <f t="shared" si="2"/>
        <v>10000000</v>
      </c>
      <c r="J31" s="29">
        <v>0</v>
      </c>
      <c r="K31" s="60">
        <v>0</v>
      </c>
      <c r="L31" s="60">
        <v>0</v>
      </c>
      <c r="M31" s="60">
        <v>0</v>
      </c>
      <c r="N31" s="43">
        <f t="shared" si="0"/>
        <v>10000000</v>
      </c>
      <c r="O31" s="45">
        <v>0</v>
      </c>
      <c r="P31" s="38"/>
      <c r="Q31" s="1"/>
      <c r="R31" s="1"/>
    </row>
    <row r="32" spans="6:18" ht="12.75">
      <c r="F32" s="25"/>
      <c r="I32" s="32" t="s">
        <v>1</v>
      </c>
      <c r="J32" s="33"/>
      <c r="K32" s="33"/>
      <c r="L32" s="33"/>
      <c r="M32" s="33"/>
      <c r="N32" s="44" t="s">
        <v>1</v>
      </c>
      <c r="O32" s="14" t="s">
        <v>1</v>
      </c>
      <c r="P32" s="38"/>
      <c r="Q32" s="1"/>
      <c r="R32" s="1"/>
    </row>
    <row r="33" spans="1:18" ht="12.75">
      <c r="A33" s="13"/>
      <c r="B33" s="13"/>
      <c r="C33" s="13"/>
      <c r="D33" s="13"/>
      <c r="E33" s="13"/>
      <c r="F33" s="13" t="s">
        <v>1</v>
      </c>
      <c r="G33" s="7" t="s">
        <v>1</v>
      </c>
      <c r="H33" s="7" t="s">
        <v>1</v>
      </c>
      <c r="I33" s="31" t="s">
        <v>1</v>
      </c>
      <c r="J33" s="29" t="s">
        <v>1</v>
      </c>
      <c r="K33" s="60"/>
      <c r="L33" s="60"/>
      <c r="M33" s="60"/>
      <c r="N33" s="44" t="s">
        <v>1</v>
      </c>
      <c r="O33" s="14" t="s">
        <v>1</v>
      </c>
      <c r="P33" s="1"/>
      <c r="Q33" s="1"/>
      <c r="R33" s="1"/>
    </row>
    <row r="34" spans="15:18" ht="12.75">
      <c r="O34" s="45"/>
      <c r="P34" s="1"/>
      <c r="Q34" s="1"/>
      <c r="R34" s="1"/>
    </row>
    <row r="35" spans="1:21" ht="12.75">
      <c r="A35" s="47" t="s">
        <v>54</v>
      </c>
      <c r="B35" s="47"/>
      <c r="C35" s="48" t="s">
        <v>1</v>
      </c>
      <c r="D35" s="48" t="s">
        <v>1</v>
      </c>
      <c r="E35" s="48" t="s">
        <v>1</v>
      </c>
      <c r="F35" s="25" t="s">
        <v>0</v>
      </c>
      <c r="G35" s="25"/>
      <c r="J35" s="47"/>
      <c r="K35" s="47"/>
      <c r="L35" s="47"/>
      <c r="M35" s="47"/>
      <c r="N35" s="47"/>
      <c r="O35" s="47"/>
      <c r="P35" s="57"/>
      <c r="Q35" s="57"/>
      <c r="R35" s="57"/>
      <c r="S35" s="47"/>
      <c r="T35" s="49"/>
      <c r="U35" s="49"/>
    </row>
    <row r="36" spans="1:21" ht="12.75">
      <c r="A36" s="2"/>
      <c r="B36" s="2"/>
      <c r="C36" s="50" t="s">
        <v>1</v>
      </c>
      <c r="D36" s="11" t="s">
        <v>1</v>
      </c>
      <c r="E36" s="11" t="s">
        <v>1</v>
      </c>
      <c r="F36" s="11" t="s">
        <v>85</v>
      </c>
      <c r="G36" s="11"/>
      <c r="H36" s="11"/>
      <c r="J36" s="2"/>
      <c r="K36" s="61"/>
      <c r="L36" s="61"/>
      <c r="M36" s="61"/>
      <c r="P36" s="1"/>
      <c r="Q36" s="1"/>
      <c r="R36" s="1"/>
      <c r="T36" s="4"/>
      <c r="U36" s="4"/>
    </row>
    <row r="37" spans="1:21" ht="12.75">
      <c r="A37" s="3"/>
      <c r="B37" s="3"/>
      <c r="C37" s="3"/>
      <c r="D37" s="3"/>
      <c r="E37" s="3"/>
      <c r="F37" s="46" t="s">
        <v>55</v>
      </c>
      <c r="G37" s="46"/>
      <c r="H37" s="46"/>
      <c r="I37" s="3"/>
      <c r="J37" s="51"/>
      <c r="K37" s="51"/>
      <c r="L37" s="51"/>
      <c r="M37" s="51"/>
      <c r="O37" s="17"/>
      <c r="P37" s="1"/>
      <c r="Q37" s="1"/>
      <c r="R37" s="1"/>
      <c r="T37" s="4"/>
      <c r="U37" s="4"/>
    </row>
    <row r="38" spans="6:21" ht="12.75">
      <c r="F38" s="25"/>
      <c r="I38" t="s">
        <v>1</v>
      </c>
      <c r="P38" s="1"/>
      <c r="Q38" s="1"/>
      <c r="R38" s="1"/>
      <c r="S38" s="38"/>
      <c r="T38" s="52"/>
      <c r="U38" s="52"/>
    </row>
    <row r="39" spans="1:23" ht="12.75">
      <c r="A39" s="26" t="s">
        <v>56</v>
      </c>
      <c r="B39" s="26" t="s">
        <v>57</v>
      </c>
      <c r="C39" s="5" t="s">
        <v>58</v>
      </c>
      <c r="D39" s="5" t="s">
        <v>59</v>
      </c>
      <c r="E39" s="5" t="s">
        <v>60</v>
      </c>
      <c r="F39" s="4"/>
      <c r="G39" s="4"/>
      <c r="H39" s="5" t="s">
        <v>1</v>
      </c>
      <c r="I39" s="4"/>
      <c r="J39" s="26" t="s">
        <v>1</v>
      </c>
      <c r="K39" s="26"/>
      <c r="L39" s="26"/>
      <c r="M39" s="26"/>
      <c r="N39" s="21" t="s">
        <v>38</v>
      </c>
      <c r="O39" s="41" t="s">
        <v>52</v>
      </c>
      <c r="P39" s="45"/>
      <c r="Q39" s="45"/>
      <c r="R39" s="45"/>
      <c r="S39" s="4"/>
      <c r="T39" s="4"/>
      <c r="U39" s="4"/>
      <c r="V39" s="4"/>
      <c r="W39" s="4"/>
    </row>
    <row r="40" spans="1:23" ht="12.75">
      <c r="A40" s="5"/>
      <c r="B40" s="26" t="s">
        <v>6</v>
      </c>
      <c r="C40" s="5"/>
      <c r="D40" s="5" t="s">
        <v>7</v>
      </c>
      <c r="E40" s="5"/>
      <c r="F40" s="4"/>
      <c r="G40" s="26" t="s">
        <v>3</v>
      </c>
      <c r="H40" s="26" t="s">
        <v>2</v>
      </c>
      <c r="I40" s="26" t="s">
        <v>3</v>
      </c>
      <c r="J40" s="15" t="s">
        <v>35</v>
      </c>
      <c r="K40" s="85" t="s">
        <v>43</v>
      </c>
      <c r="L40" s="85" t="s">
        <v>77</v>
      </c>
      <c r="M40" s="85" t="s">
        <v>39</v>
      </c>
      <c r="N40" s="21" t="s">
        <v>44</v>
      </c>
      <c r="O40" s="45"/>
      <c r="P40" s="27"/>
      <c r="Q40" s="27"/>
      <c r="R40" s="27"/>
      <c r="S40" s="16"/>
      <c r="T40" s="15"/>
      <c r="U40" s="15"/>
      <c r="V40" s="15"/>
      <c r="W40" s="26"/>
    </row>
    <row r="41" spans="1:23" ht="12.75">
      <c r="A41" s="5"/>
      <c r="B41" s="5"/>
      <c r="C41" s="5"/>
      <c r="D41" s="5" t="s">
        <v>8</v>
      </c>
      <c r="E41" s="5"/>
      <c r="F41" s="26" t="s">
        <v>9</v>
      </c>
      <c r="G41" s="26" t="s">
        <v>4</v>
      </c>
      <c r="H41" s="26" t="s">
        <v>10</v>
      </c>
      <c r="I41" s="26" t="s">
        <v>5</v>
      </c>
      <c r="J41" s="15" t="s">
        <v>1</v>
      </c>
      <c r="K41" s="39"/>
      <c r="L41" s="15" t="s">
        <v>78</v>
      </c>
      <c r="M41" s="39"/>
      <c r="N41" s="19"/>
      <c r="O41" s="19"/>
      <c r="P41" s="23"/>
      <c r="Q41" s="23"/>
      <c r="R41" s="41"/>
      <c r="S41" s="21"/>
      <c r="T41" s="15"/>
      <c r="U41" s="16"/>
      <c r="V41" s="16"/>
      <c r="W41" s="26"/>
    </row>
    <row r="42" spans="1:23" ht="12.75">
      <c r="A42" s="5"/>
      <c r="B42" s="5"/>
      <c r="C42" s="5"/>
      <c r="D42" s="5" t="s">
        <v>11</v>
      </c>
      <c r="E42" s="5"/>
      <c r="F42" s="4"/>
      <c r="G42" s="26" t="s">
        <v>1</v>
      </c>
      <c r="H42" s="26" t="s">
        <v>1</v>
      </c>
      <c r="I42" s="26" t="s">
        <v>1</v>
      </c>
      <c r="J42" s="21" t="s">
        <v>1</v>
      </c>
      <c r="K42" s="21" t="s">
        <v>1</v>
      </c>
      <c r="L42" s="21" t="s">
        <v>1</v>
      </c>
      <c r="M42" s="21"/>
      <c r="N42" s="19"/>
      <c r="O42" s="20"/>
      <c r="P42" s="23"/>
      <c r="Q42" s="23"/>
      <c r="R42" s="23"/>
      <c r="S42" s="20"/>
      <c r="T42" s="18"/>
      <c r="U42" s="19"/>
      <c r="V42" s="18"/>
      <c r="W42" s="4"/>
    </row>
    <row r="43" spans="1:23" ht="12.75">
      <c r="A43" s="4"/>
      <c r="B43" s="4"/>
      <c r="C43" s="4"/>
      <c r="D43" s="4"/>
      <c r="E43" s="4"/>
      <c r="F43" s="4"/>
      <c r="G43" s="14" t="s">
        <v>1</v>
      </c>
      <c r="H43" s="45"/>
      <c r="I43" s="14" t="s">
        <v>1</v>
      </c>
      <c r="J43" s="22" t="s">
        <v>1</v>
      </c>
      <c r="K43" s="23" t="s">
        <v>1</v>
      </c>
      <c r="L43" s="22"/>
      <c r="M43" s="22"/>
      <c r="N43" s="19"/>
      <c r="O43" s="53"/>
      <c r="P43" s="23"/>
      <c r="Q43" s="22"/>
      <c r="R43" s="22"/>
      <c r="S43" s="18"/>
      <c r="T43" s="22"/>
      <c r="U43" s="19"/>
      <c r="V43" s="19"/>
      <c r="W43" s="4"/>
    </row>
    <row r="44" spans="1:23" ht="12.75">
      <c r="A44" s="4" t="s">
        <v>12</v>
      </c>
      <c r="B44" s="4"/>
      <c r="C44" s="4"/>
      <c r="D44" s="4"/>
      <c r="E44" s="4"/>
      <c r="F44" s="5" t="s">
        <v>61</v>
      </c>
      <c r="G44" s="54">
        <f>+G45+G55+G58</f>
        <v>1637500000</v>
      </c>
      <c r="H44" s="54">
        <f>SUM(H45+H55+H57+H58)</f>
        <v>0</v>
      </c>
      <c r="I44" s="54">
        <f>+G44+H44</f>
        <v>1637500000</v>
      </c>
      <c r="J44" s="55">
        <f>SUM(J45+J55+J58)</f>
        <v>1637432538</v>
      </c>
      <c r="K44" s="54">
        <f>+K45+K55+K58</f>
        <v>1596816452</v>
      </c>
      <c r="L44" s="54">
        <f>+L45+L55+L58</f>
        <v>40616086</v>
      </c>
      <c r="M44" s="54">
        <f>+M45+M55+M58</f>
        <v>0</v>
      </c>
      <c r="N44" s="18">
        <f>+I44-J44</f>
        <v>67462</v>
      </c>
      <c r="O44" s="55">
        <f>+J44/I44*100</f>
        <v>99.99588018320611</v>
      </c>
      <c r="P44" s="58"/>
      <c r="Q44" s="58"/>
      <c r="R44" s="58"/>
      <c r="S44" s="55"/>
      <c r="T44" s="18"/>
      <c r="U44" s="22"/>
      <c r="V44" s="23"/>
      <c r="W44" s="45"/>
    </row>
    <row r="45" spans="1:23" ht="12.75">
      <c r="A45" s="4" t="s">
        <v>12</v>
      </c>
      <c r="B45" s="4">
        <v>1</v>
      </c>
      <c r="C45" s="4">
        <v>1</v>
      </c>
      <c r="D45" s="4">
        <v>0</v>
      </c>
      <c r="E45" s="4">
        <v>0</v>
      </c>
      <c r="F45" s="5" t="s">
        <v>13</v>
      </c>
      <c r="G45" s="54">
        <f>+G46+G51+G52+G53+G54</f>
        <v>1602000000</v>
      </c>
      <c r="H45" s="54">
        <f>+H46+H51+H52</f>
        <v>0</v>
      </c>
      <c r="I45" s="54">
        <f>+I46+I51+I52+I53+I54</f>
        <v>1602000000</v>
      </c>
      <c r="J45" s="54">
        <f>+J46+J51+J52+J53+J54</f>
        <v>1601932538</v>
      </c>
      <c r="K45" s="54">
        <f>+K46+K51+K52+K53+K54</f>
        <v>1573574579</v>
      </c>
      <c r="L45" s="54">
        <f>+L46+L51+L52+L53+L54</f>
        <v>28357959</v>
      </c>
      <c r="M45" s="54">
        <f>+M46+M51+M52+M53+M54</f>
        <v>0</v>
      </c>
      <c r="N45" s="18">
        <f aca="true" t="shared" si="4" ref="N45:N59">+I45-J45</f>
        <v>67462</v>
      </c>
      <c r="O45" s="55">
        <f aca="true" t="shared" si="5" ref="O45:O59">+J45/I45*100</f>
        <v>99.9957888888889</v>
      </c>
      <c r="P45" s="58"/>
      <c r="Q45" s="58"/>
      <c r="R45" s="58"/>
      <c r="S45" s="55"/>
      <c r="T45" s="18"/>
      <c r="U45" s="22"/>
      <c r="V45" s="23"/>
      <c r="W45" s="45"/>
    </row>
    <row r="46" spans="1:23" ht="12.75">
      <c r="A46" s="4" t="s">
        <v>12</v>
      </c>
      <c r="B46" s="4">
        <v>1</v>
      </c>
      <c r="C46" s="4">
        <v>1</v>
      </c>
      <c r="D46" s="4">
        <v>1</v>
      </c>
      <c r="E46" s="4">
        <v>0</v>
      </c>
      <c r="F46" s="13" t="s">
        <v>14</v>
      </c>
      <c r="G46" s="56">
        <f>SUM(G47:G50)</f>
        <v>1310600000</v>
      </c>
      <c r="H46" s="56">
        <f>SUM(H47:H50)</f>
        <v>0</v>
      </c>
      <c r="I46" s="56">
        <f>+G46+H46</f>
        <v>1310600000</v>
      </c>
      <c r="J46" s="18">
        <f>SUM(J47:J50)</f>
        <v>1310532538</v>
      </c>
      <c r="K46" s="56">
        <f>SUM(K47:K50)</f>
        <v>1282174579</v>
      </c>
      <c r="L46" s="56">
        <f>SUM(L47:L50)</f>
        <v>28357959</v>
      </c>
      <c r="M46" s="56">
        <f>SUM(M47:M50)</f>
        <v>0</v>
      </c>
      <c r="N46" s="18">
        <f t="shared" si="4"/>
        <v>67462</v>
      </c>
      <c r="O46" s="55">
        <f t="shared" si="5"/>
        <v>99.99485258660155</v>
      </c>
      <c r="P46" s="22"/>
      <c r="Q46" s="22"/>
      <c r="R46" s="22"/>
      <c r="S46" s="18"/>
      <c r="T46" s="18"/>
      <c r="U46" s="22"/>
      <c r="V46" s="23"/>
      <c r="W46" s="45"/>
    </row>
    <row r="47" spans="1:23" ht="12.75">
      <c r="A47" s="4" t="s">
        <v>12</v>
      </c>
      <c r="B47" s="4">
        <v>1</v>
      </c>
      <c r="C47" s="4">
        <v>1</v>
      </c>
      <c r="D47" s="4">
        <v>1</v>
      </c>
      <c r="E47" s="4">
        <v>1</v>
      </c>
      <c r="F47" s="4" t="s">
        <v>15</v>
      </c>
      <c r="G47" s="56">
        <v>1006700000</v>
      </c>
      <c r="H47" s="56">
        <v>0</v>
      </c>
      <c r="I47" s="56">
        <f>+G47+H47</f>
        <v>1006700000</v>
      </c>
      <c r="J47" s="55">
        <f>+I47</f>
        <v>1006700000</v>
      </c>
      <c r="K47" s="56">
        <f>+J47</f>
        <v>1006700000</v>
      </c>
      <c r="L47" s="56">
        <v>0</v>
      </c>
      <c r="M47" s="56">
        <v>0</v>
      </c>
      <c r="N47" s="18">
        <f t="shared" si="4"/>
        <v>0</v>
      </c>
      <c r="O47" s="55">
        <f t="shared" si="5"/>
        <v>100</v>
      </c>
      <c r="P47" s="22"/>
      <c r="Q47" s="22"/>
      <c r="R47" s="58"/>
      <c r="S47" s="55"/>
      <c r="T47" s="18"/>
      <c r="U47" s="22"/>
      <c r="V47" s="23"/>
      <c r="W47" s="45"/>
    </row>
    <row r="48" spans="1:23" ht="12.75">
      <c r="A48" s="4" t="s">
        <v>12</v>
      </c>
      <c r="B48" s="4">
        <v>1</v>
      </c>
      <c r="C48" s="4">
        <v>1</v>
      </c>
      <c r="D48" s="4">
        <v>9</v>
      </c>
      <c r="E48" s="4">
        <v>1</v>
      </c>
      <c r="F48" s="4" t="s">
        <v>62</v>
      </c>
      <c r="G48" s="56">
        <v>1300000</v>
      </c>
      <c r="H48" s="56">
        <v>0</v>
      </c>
      <c r="I48" s="56">
        <f aca="true" t="shared" si="6" ref="I48:I55">+G48+H48</f>
        <v>1300000</v>
      </c>
      <c r="J48" s="55">
        <v>1232538</v>
      </c>
      <c r="K48" s="56">
        <f>+J48</f>
        <v>1232538</v>
      </c>
      <c r="L48" s="56">
        <v>0</v>
      </c>
      <c r="M48" s="56">
        <v>0</v>
      </c>
      <c r="N48" s="18">
        <f t="shared" si="4"/>
        <v>67462</v>
      </c>
      <c r="O48" s="55">
        <f t="shared" si="5"/>
        <v>94.81061538461539</v>
      </c>
      <c r="P48" s="22"/>
      <c r="Q48" s="22"/>
      <c r="R48" s="58"/>
      <c r="S48" s="55"/>
      <c r="T48" s="18"/>
      <c r="U48" s="22"/>
      <c r="V48" s="23"/>
      <c r="W48" s="45"/>
    </row>
    <row r="49" spans="1:23" ht="12.75">
      <c r="A49" s="4" t="s">
        <v>12</v>
      </c>
      <c r="B49" s="4">
        <v>1</v>
      </c>
      <c r="C49" s="4">
        <v>1</v>
      </c>
      <c r="D49" s="4">
        <v>4</v>
      </c>
      <c r="E49" s="4">
        <v>2</v>
      </c>
      <c r="F49" s="4" t="s">
        <v>16</v>
      </c>
      <c r="G49" s="56">
        <v>107600000</v>
      </c>
      <c r="H49" s="56">
        <f>0</f>
        <v>0</v>
      </c>
      <c r="I49" s="56">
        <f t="shared" si="6"/>
        <v>107600000</v>
      </c>
      <c r="J49" s="55">
        <f aca="true" t="shared" si="7" ref="J49:J54">+I49</f>
        <v>107600000</v>
      </c>
      <c r="K49" s="56">
        <f>+J49</f>
        <v>107600000</v>
      </c>
      <c r="L49" s="56">
        <v>0</v>
      </c>
      <c r="M49" s="56">
        <v>0</v>
      </c>
      <c r="N49" s="18">
        <f t="shared" si="4"/>
        <v>0</v>
      </c>
      <c r="O49" s="55">
        <f t="shared" si="5"/>
        <v>100</v>
      </c>
      <c r="P49" s="22"/>
      <c r="Q49" s="22"/>
      <c r="R49" s="58"/>
      <c r="S49" s="55"/>
      <c r="T49" s="18"/>
      <c r="U49" s="22"/>
      <c r="V49" s="23"/>
      <c r="W49" s="45"/>
    </row>
    <row r="50" spans="1:23" ht="12.75">
      <c r="A50" s="4" t="s">
        <v>12</v>
      </c>
      <c r="B50" s="4">
        <v>1</v>
      </c>
      <c r="C50" s="4">
        <v>1</v>
      </c>
      <c r="D50" s="4">
        <v>5</v>
      </c>
      <c r="E50" s="4">
        <v>0</v>
      </c>
      <c r="F50" s="4" t="s">
        <v>17</v>
      </c>
      <c r="G50" s="56">
        <v>195000000</v>
      </c>
      <c r="H50" s="56">
        <v>0</v>
      </c>
      <c r="I50" s="56">
        <f t="shared" si="6"/>
        <v>195000000</v>
      </c>
      <c r="J50" s="55">
        <f t="shared" si="7"/>
        <v>195000000</v>
      </c>
      <c r="K50" s="56">
        <f>+J50-28357959</f>
        <v>166642041</v>
      </c>
      <c r="L50" s="56">
        <f>+J50-K50</f>
        <v>28357959</v>
      </c>
      <c r="M50" s="56">
        <v>0</v>
      </c>
      <c r="N50" s="18">
        <f t="shared" si="4"/>
        <v>0</v>
      </c>
      <c r="O50" s="55">
        <f t="shared" si="5"/>
        <v>100</v>
      </c>
      <c r="P50" s="22"/>
      <c r="Q50" s="22"/>
      <c r="R50" s="58"/>
      <c r="S50" s="55"/>
      <c r="T50" s="18"/>
      <c r="U50" s="22"/>
      <c r="V50" s="23"/>
      <c r="W50" s="45"/>
    </row>
    <row r="51" spans="1:23" ht="12.75">
      <c r="A51" s="4" t="s">
        <v>12</v>
      </c>
      <c r="B51" s="4">
        <v>1</v>
      </c>
      <c r="C51" s="4">
        <v>5</v>
      </c>
      <c r="D51" s="4">
        <v>0</v>
      </c>
      <c r="E51" s="4">
        <v>1</v>
      </c>
      <c r="F51" s="4" t="s">
        <v>18</v>
      </c>
      <c r="G51" s="56">
        <v>70297500</v>
      </c>
      <c r="H51" s="56">
        <v>0</v>
      </c>
      <c r="I51" s="56">
        <f t="shared" si="6"/>
        <v>70297500</v>
      </c>
      <c r="J51" s="55">
        <f t="shared" si="7"/>
        <v>70297500</v>
      </c>
      <c r="K51" s="56">
        <f>+J51</f>
        <v>70297500</v>
      </c>
      <c r="L51" s="56">
        <v>0</v>
      </c>
      <c r="M51" s="56">
        <v>0</v>
      </c>
      <c r="N51" s="18">
        <f t="shared" si="4"/>
        <v>0</v>
      </c>
      <c r="O51" s="55">
        <f t="shared" si="5"/>
        <v>100</v>
      </c>
      <c r="P51" s="22"/>
      <c r="Q51" s="22"/>
      <c r="R51" s="58"/>
      <c r="S51" s="55"/>
      <c r="T51" s="18"/>
      <c r="U51" s="22"/>
      <c r="V51" s="23"/>
      <c r="W51" s="45"/>
    </row>
    <row r="52" spans="1:23" ht="12.75">
      <c r="A52" s="4" t="s">
        <v>12</v>
      </c>
      <c r="B52" s="4">
        <v>1</v>
      </c>
      <c r="C52" s="4">
        <v>5</v>
      </c>
      <c r="D52" s="4">
        <v>0</v>
      </c>
      <c r="E52" s="4">
        <v>2</v>
      </c>
      <c r="F52" s="4" t="s">
        <v>19</v>
      </c>
      <c r="G52" s="7">
        <f>221102500-23793000-23793000</f>
        <v>173516500</v>
      </c>
      <c r="H52" s="56">
        <f>0</f>
        <v>0</v>
      </c>
      <c r="I52" s="56">
        <f t="shared" si="6"/>
        <v>173516500</v>
      </c>
      <c r="J52" s="55">
        <f t="shared" si="7"/>
        <v>173516500</v>
      </c>
      <c r="K52" s="56">
        <f>+J52</f>
        <v>173516500</v>
      </c>
      <c r="L52" s="56">
        <v>0</v>
      </c>
      <c r="M52" s="56">
        <v>0</v>
      </c>
      <c r="N52" s="18">
        <f t="shared" si="4"/>
        <v>0</v>
      </c>
      <c r="O52" s="55">
        <f t="shared" si="5"/>
        <v>100</v>
      </c>
      <c r="P52" s="22"/>
      <c r="Q52" s="22"/>
      <c r="R52" s="58"/>
      <c r="S52" s="55"/>
      <c r="T52" s="18"/>
      <c r="U52" s="22"/>
      <c r="V52" s="23"/>
      <c r="W52" s="45"/>
    </row>
    <row r="53" spans="1:23" ht="12.75">
      <c r="A53" s="4" t="s">
        <v>12</v>
      </c>
      <c r="B53" s="4">
        <v>1</v>
      </c>
      <c r="C53" s="4">
        <v>5</v>
      </c>
      <c r="D53" s="4">
        <v>0</v>
      </c>
      <c r="E53" s="4">
        <v>6</v>
      </c>
      <c r="F53" s="4" t="s">
        <v>40</v>
      </c>
      <c r="G53" s="56">
        <v>23793000</v>
      </c>
      <c r="H53" s="56"/>
      <c r="I53" s="56">
        <f t="shared" si="6"/>
        <v>23793000</v>
      </c>
      <c r="J53" s="55">
        <f t="shared" si="7"/>
        <v>23793000</v>
      </c>
      <c r="K53" s="56">
        <f>+J53</f>
        <v>23793000</v>
      </c>
      <c r="L53" s="56">
        <v>0</v>
      </c>
      <c r="M53" s="56">
        <v>0</v>
      </c>
      <c r="N53" s="18">
        <f t="shared" si="4"/>
        <v>0</v>
      </c>
      <c r="O53" s="55">
        <f t="shared" si="5"/>
        <v>100</v>
      </c>
      <c r="P53" s="22"/>
      <c r="Q53" s="22"/>
      <c r="R53" s="58"/>
      <c r="S53" s="55"/>
      <c r="T53" s="18"/>
      <c r="U53" s="22"/>
      <c r="V53" s="23"/>
      <c r="W53" s="45"/>
    </row>
    <row r="54" spans="1:23" ht="12.75">
      <c r="A54" s="4" t="s">
        <v>12</v>
      </c>
      <c r="B54" s="4">
        <v>1</v>
      </c>
      <c r="C54" s="4">
        <v>5</v>
      </c>
      <c r="D54" s="4">
        <v>0</v>
      </c>
      <c r="E54" s="4">
        <v>7</v>
      </c>
      <c r="F54" s="4" t="s">
        <v>41</v>
      </c>
      <c r="G54" s="56">
        <f>+G53</f>
        <v>23793000</v>
      </c>
      <c r="H54" s="56"/>
      <c r="I54" s="56">
        <f t="shared" si="6"/>
        <v>23793000</v>
      </c>
      <c r="J54" s="55">
        <f t="shared" si="7"/>
        <v>23793000</v>
      </c>
      <c r="K54" s="56">
        <f>+J54</f>
        <v>23793000</v>
      </c>
      <c r="L54" s="56">
        <v>0</v>
      </c>
      <c r="M54" s="56">
        <v>0</v>
      </c>
      <c r="N54" s="18">
        <f t="shared" si="4"/>
        <v>0</v>
      </c>
      <c r="O54" s="55">
        <f t="shared" si="5"/>
        <v>100</v>
      </c>
      <c r="P54" s="22"/>
      <c r="Q54" s="22"/>
      <c r="R54" s="58"/>
      <c r="S54" s="55"/>
      <c r="T54" s="18"/>
      <c r="U54" s="22"/>
      <c r="V54" s="23"/>
      <c r="W54" s="45"/>
    </row>
    <row r="55" spans="1:23" ht="12.75">
      <c r="A55" s="4" t="s">
        <v>12</v>
      </c>
      <c r="B55" s="4">
        <v>2</v>
      </c>
      <c r="C55" s="4">
        <v>0</v>
      </c>
      <c r="D55" s="4">
        <v>0</v>
      </c>
      <c r="E55" s="4">
        <v>0</v>
      </c>
      <c r="F55" s="5" t="s">
        <v>20</v>
      </c>
      <c r="G55" s="54">
        <f>SUM(G56:G57)</f>
        <v>26200000</v>
      </c>
      <c r="H55" s="54">
        <f>SUM(H56:H57)</f>
        <v>0</v>
      </c>
      <c r="I55" s="54">
        <f t="shared" si="6"/>
        <v>26200000</v>
      </c>
      <c r="J55" s="55">
        <f>+J56+J57</f>
        <v>26200000</v>
      </c>
      <c r="K55" s="54">
        <f>SUM(K56:K57)</f>
        <v>23241873</v>
      </c>
      <c r="L55" s="54">
        <f>SUM(L56:L57)</f>
        <v>2958127</v>
      </c>
      <c r="M55" s="54">
        <f>SUM(M56:M57)</f>
        <v>0</v>
      </c>
      <c r="N55" s="18">
        <f t="shared" si="4"/>
        <v>0</v>
      </c>
      <c r="O55" s="55">
        <f t="shared" si="5"/>
        <v>100</v>
      </c>
      <c r="P55" s="58"/>
      <c r="Q55" s="58"/>
      <c r="R55" s="58"/>
      <c r="S55" s="55"/>
      <c r="T55" s="18"/>
      <c r="U55" s="22"/>
      <c r="V55" s="23"/>
      <c r="W55" s="45"/>
    </row>
    <row r="56" spans="1:23" ht="12.75">
      <c r="A56" s="4" t="s">
        <v>12</v>
      </c>
      <c r="B56" s="4">
        <v>2</v>
      </c>
      <c r="C56" s="4">
        <v>0</v>
      </c>
      <c r="D56" s="4">
        <v>4</v>
      </c>
      <c r="E56" s="4">
        <v>0</v>
      </c>
      <c r="F56" s="4" t="s">
        <v>21</v>
      </c>
      <c r="G56" s="56">
        <v>24900000</v>
      </c>
      <c r="H56" s="56">
        <v>0</v>
      </c>
      <c r="I56" s="56">
        <f>+G56+H56</f>
        <v>24900000</v>
      </c>
      <c r="J56" s="55">
        <f>+I56</f>
        <v>24900000</v>
      </c>
      <c r="K56" s="56">
        <f>+J56-2958127</f>
        <v>21941873</v>
      </c>
      <c r="L56" s="56">
        <f>+J56-K56</f>
        <v>2958127</v>
      </c>
      <c r="M56" s="56">
        <v>0</v>
      </c>
      <c r="N56" s="18">
        <f t="shared" si="4"/>
        <v>0</v>
      </c>
      <c r="O56" s="55">
        <f t="shared" si="5"/>
        <v>100</v>
      </c>
      <c r="P56" s="22"/>
      <c r="Q56" s="22"/>
      <c r="R56" s="58"/>
      <c r="S56" s="55"/>
      <c r="T56" s="18"/>
      <c r="U56" s="22"/>
      <c r="V56" s="23"/>
      <c r="W56" s="45"/>
    </row>
    <row r="57" spans="1:23" ht="12.75">
      <c r="A57" s="4" t="s">
        <v>12</v>
      </c>
      <c r="B57" s="4">
        <v>2</v>
      </c>
      <c r="C57" s="4">
        <v>0</v>
      </c>
      <c r="D57" s="4">
        <v>3</v>
      </c>
      <c r="E57" s="4">
        <v>50</v>
      </c>
      <c r="F57" s="4" t="s">
        <v>22</v>
      </c>
      <c r="G57" s="56">
        <v>1300000</v>
      </c>
      <c r="H57" s="56">
        <v>0</v>
      </c>
      <c r="I57" s="56">
        <f>+G57+H57</f>
        <v>1300000</v>
      </c>
      <c r="J57" s="55">
        <f>+I57</f>
        <v>1300000</v>
      </c>
      <c r="K57" s="56">
        <f>+J57</f>
        <v>1300000</v>
      </c>
      <c r="L57" s="56">
        <v>0</v>
      </c>
      <c r="M57" s="56">
        <v>0</v>
      </c>
      <c r="N57" s="18">
        <f t="shared" si="4"/>
        <v>0</v>
      </c>
      <c r="O57" s="55">
        <f t="shared" si="5"/>
        <v>100</v>
      </c>
      <c r="P57" s="22"/>
      <c r="Q57" s="22"/>
      <c r="R57" s="58"/>
      <c r="S57" s="55"/>
      <c r="T57" s="18"/>
      <c r="U57" s="22"/>
      <c r="V57" s="23"/>
      <c r="W57" s="4"/>
    </row>
    <row r="58" spans="1:23" ht="12.75">
      <c r="A58" s="4" t="s">
        <v>12</v>
      </c>
      <c r="B58" s="4">
        <v>3</v>
      </c>
      <c r="C58" s="4">
        <v>2</v>
      </c>
      <c r="D58" s="4">
        <v>1</v>
      </c>
      <c r="E58" s="4">
        <v>1</v>
      </c>
      <c r="F58" s="4" t="s">
        <v>23</v>
      </c>
      <c r="G58" s="56">
        <f>+G59</f>
        <v>9300000</v>
      </c>
      <c r="H58" s="56">
        <f>+H59</f>
        <v>0</v>
      </c>
      <c r="I58" s="56">
        <f>+G58+H58</f>
        <v>9300000</v>
      </c>
      <c r="J58" s="55">
        <f>+I58</f>
        <v>9300000</v>
      </c>
      <c r="K58" s="56">
        <f>+K59</f>
        <v>0</v>
      </c>
      <c r="L58" s="56">
        <f>+L59</f>
        <v>9300000</v>
      </c>
      <c r="M58" s="56">
        <f>+M59</f>
        <v>0</v>
      </c>
      <c r="N58" s="18">
        <f t="shared" si="4"/>
        <v>0</v>
      </c>
      <c r="O58" s="55">
        <f t="shared" si="5"/>
        <v>100</v>
      </c>
      <c r="P58" s="22"/>
      <c r="Q58" s="22"/>
      <c r="R58" s="58"/>
      <c r="S58" s="55"/>
      <c r="T58" s="18"/>
      <c r="U58" s="22"/>
      <c r="V58" s="23"/>
      <c r="W58" s="4"/>
    </row>
    <row r="59" spans="1:23" ht="12.75">
      <c r="A59" s="4" t="s">
        <v>12</v>
      </c>
      <c r="B59" s="4">
        <v>3</v>
      </c>
      <c r="C59" s="4">
        <v>2</v>
      </c>
      <c r="D59" s="4">
        <v>1</v>
      </c>
      <c r="E59" s="4">
        <v>1</v>
      </c>
      <c r="F59" s="4" t="s">
        <v>23</v>
      </c>
      <c r="G59" s="56">
        <v>9300000</v>
      </c>
      <c r="H59" s="56">
        <v>0</v>
      </c>
      <c r="I59" s="56">
        <f>+G59+H59</f>
        <v>9300000</v>
      </c>
      <c r="J59" s="55">
        <f>+I59</f>
        <v>9300000</v>
      </c>
      <c r="K59" s="56">
        <v>0</v>
      </c>
      <c r="L59" s="56">
        <f>+J59-K59</f>
        <v>9300000</v>
      </c>
      <c r="M59" s="56">
        <v>0</v>
      </c>
      <c r="N59" s="18">
        <f t="shared" si="4"/>
        <v>0</v>
      </c>
      <c r="O59" s="55">
        <f t="shared" si="5"/>
        <v>100</v>
      </c>
      <c r="P59" s="22"/>
      <c r="Q59" s="22"/>
      <c r="R59" s="58"/>
      <c r="S59" s="55"/>
      <c r="T59" s="18"/>
      <c r="U59" s="22"/>
      <c r="V59" s="23"/>
      <c r="W59" s="4"/>
    </row>
    <row r="60" spans="1:23" ht="12.75">
      <c r="A60" s="13" t="s">
        <v>1</v>
      </c>
      <c r="B60" s="13" t="s">
        <v>1</v>
      </c>
      <c r="C60" s="13" t="s">
        <v>1</v>
      </c>
      <c r="D60" s="13" t="s">
        <v>1</v>
      </c>
      <c r="E60" s="13" t="s">
        <v>1</v>
      </c>
      <c r="F60" s="13" t="s">
        <v>26</v>
      </c>
      <c r="G60" s="7" t="s">
        <v>1</v>
      </c>
      <c r="H60" s="7" t="s">
        <v>1</v>
      </c>
      <c r="I60" s="7" t="s">
        <v>1</v>
      </c>
      <c r="J60" s="55" t="s">
        <v>1</v>
      </c>
      <c r="K60" s="55"/>
      <c r="L60" s="55"/>
      <c r="M60" s="55"/>
      <c r="N60" s="19"/>
      <c r="O60" s="55" t="s">
        <v>1</v>
      </c>
      <c r="P60" s="22"/>
      <c r="Q60" s="22"/>
      <c r="R60" s="58"/>
      <c r="S60" s="55"/>
      <c r="T60" s="20"/>
      <c r="U60" s="23"/>
      <c r="V60" s="23"/>
      <c r="W60" s="13"/>
    </row>
    <row r="61" spans="9:18" ht="12.75">
      <c r="I61" s="1" t="e">
        <f>+I44+I9+INVERSION!#REF!+INVERSION!#REF!-'[1]INGRESOS'!$B$95</f>
        <v>#REF!</v>
      </c>
      <c r="P61" s="1"/>
      <c r="Q61" s="1"/>
      <c r="R61" s="1"/>
    </row>
    <row r="62" spans="9:18" ht="12.75">
      <c r="I62" s="12" t="s">
        <v>1</v>
      </c>
      <c r="P62" s="1"/>
      <c r="Q62" s="1"/>
      <c r="R62" s="1"/>
    </row>
    <row r="63" spans="16:18" ht="12.75">
      <c r="P63" s="1"/>
      <c r="Q63" s="1"/>
      <c r="R63" s="1"/>
    </row>
    <row r="64" spans="9:18" ht="12.75">
      <c r="I64" s="12" t="s">
        <v>1</v>
      </c>
      <c r="P64" s="1"/>
      <c r="Q64" s="1"/>
      <c r="R64" s="1"/>
    </row>
    <row r="65" spans="9:18" ht="12.75">
      <c r="I65" s="12" t="s">
        <v>1</v>
      </c>
      <c r="P65" s="1"/>
      <c r="Q65" s="1"/>
      <c r="R65" s="1"/>
    </row>
    <row r="66" spans="9:18" ht="12.75">
      <c r="I66" s="12" t="s">
        <v>1</v>
      </c>
      <c r="P66" s="1"/>
      <c r="Q66" s="1"/>
      <c r="R66" s="1"/>
    </row>
    <row r="67" spans="16:18" ht="12.75">
      <c r="P67" s="1"/>
      <c r="Q67" s="1"/>
      <c r="R67" s="1"/>
    </row>
    <row r="68" spans="16:18" ht="12.75">
      <c r="P68" s="1"/>
      <c r="Q68" s="1"/>
      <c r="R68" s="1"/>
    </row>
    <row r="69" spans="16:18" ht="12.75">
      <c r="P69" s="1"/>
      <c r="Q69" s="1"/>
      <c r="R69" s="1"/>
    </row>
    <row r="70" spans="16:18" ht="12.75">
      <c r="P70" s="1"/>
      <c r="Q70" s="1"/>
      <c r="R70" s="1"/>
    </row>
    <row r="99" ht="12.75">
      <c r="O99" s="45"/>
    </row>
    <row r="100" ht="12.75">
      <c r="O100" s="45"/>
    </row>
    <row r="101" ht="12.75">
      <c r="O101" s="45"/>
    </row>
    <row r="102" ht="12.75">
      <c r="O102" s="45"/>
    </row>
    <row r="103" ht="12.75">
      <c r="O103" s="45"/>
    </row>
    <row r="104" ht="12.75">
      <c r="O104" s="45"/>
    </row>
    <row r="105" ht="12.75">
      <c r="O105" s="45"/>
    </row>
    <row r="106" ht="12.75">
      <c r="O106" s="45"/>
    </row>
    <row r="107" ht="12.75">
      <c r="O107" s="45"/>
    </row>
    <row r="108" ht="12.75">
      <c r="O108" s="45"/>
    </row>
    <row r="109" ht="12.75">
      <c r="O109" s="45"/>
    </row>
    <row r="110" ht="12.75">
      <c r="O110" s="45"/>
    </row>
    <row r="111" ht="12.75">
      <c r="O111" s="45"/>
    </row>
    <row r="112" ht="12.75">
      <c r="O112" s="45"/>
    </row>
    <row r="113" ht="12.75">
      <c r="O113" s="45"/>
    </row>
    <row r="114" ht="12.75">
      <c r="O114" s="45"/>
    </row>
    <row r="115" ht="12.75">
      <c r="O115" s="45"/>
    </row>
    <row r="116" ht="12.75">
      <c r="O116" s="45"/>
    </row>
    <row r="117" ht="12.75">
      <c r="O117" s="45"/>
    </row>
    <row r="118" ht="12.75">
      <c r="O118" s="45"/>
    </row>
    <row r="119" ht="12.75">
      <c r="O119" s="45"/>
    </row>
    <row r="120" ht="12.75">
      <c r="O120" s="45"/>
    </row>
    <row r="121" ht="12.75">
      <c r="O121" s="45"/>
    </row>
    <row r="122" ht="12.75">
      <c r="O122" s="45"/>
    </row>
    <row r="123" ht="12.75">
      <c r="O123" s="45"/>
    </row>
    <row r="124" ht="12.75">
      <c r="O124" s="45"/>
    </row>
    <row r="125" ht="12.75">
      <c r="O125" s="45"/>
    </row>
    <row r="126" ht="12.75">
      <c r="O126" s="45"/>
    </row>
    <row r="127" ht="12.75">
      <c r="O127" s="45"/>
    </row>
    <row r="128" ht="12.75">
      <c r="O128" s="45"/>
    </row>
    <row r="129" ht="12.75">
      <c r="O129" s="45"/>
    </row>
    <row r="130" ht="12.75">
      <c r="O130" s="45"/>
    </row>
    <row r="131" ht="12.75">
      <c r="O131" s="45"/>
    </row>
    <row r="132" ht="12.75">
      <c r="O132" s="45"/>
    </row>
    <row r="133" ht="12.75">
      <c r="O133" s="45"/>
    </row>
    <row r="134" ht="12.75">
      <c r="O134" s="45"/>
    </row>
    <row r="135" ht="12.75">
      <c r="O135" s="45"/>
    </row>
    <row r="136" ht="12.75">
      <c r="O136" s="45"/>
    </row>
  </sheetData>
  <sheetProtection/>
  <mergeCells count="3">
    <mergeCell ref="A1:O1"/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8"/>
  <sheetViews>
    <sheetView tabSelected="1" zoomScaleSheetLayoutView="100" zoomScalePageLayoutView="0" workbookViewId="0" topLeftCell="A16">
      <selection activeCell="Y24" sqref="Y24:Y26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customWidth="1"/>
    <col min="25" max="25" width="20.28125" style="0" customWidth="1"/>
    <col min="26" max="26" width="16.140625" style="0" customWidth="1"/>
    <col min="27" max="27" width="15.421875" style="0" customWidth="1"/>
    <col min="28" max="28" width="16.7109375" style="0" customWidth="1"/>
  </cols>
  <sheetData>
    <row r="1" spans="1:28" ht="12.75">
      <c r="A1" s="4"/>
      <c r="B1" s="4"/>
      <c r="C1" s="105" t="s">
        <v>1</v>
      </c>
      <c r="D1" s="106" t="s">
        <v>1</v>
      </c>
      <c r="E1" s="116" t="s">
        <v>0</v>
      </c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4"/>
    </row>
    <row r="2" spans="1:28" ht="12.75">
      <c r="A2" s="4"/>
      <c r="B2" s="4"/>
      <c r="C2" s="105" t="s">
        <v>1</v>
      </c>
      <c r="D2" s="106" t="s">
        <v>1</v>
      </c>
      <c r="E2" s="117" t="s">
        <v>95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4"/>
    </row>
    <row r="3" spans="1:28" ht="12.75">
      <c r="A3" s="4"/>
      <c r="B3" s="4"/>
      <c r="C3" s="4"/>
      <c r="D3" s="4"/>
      <c r="E3" s="106"/>
      <c r="F3" s="106"/>
      <c r="G3" s="106" t="s">
        <v>1</v>
      </c>
      <c r="H3" s="14" t="s">
        <v>1</v>
      </c>
      <c r="I3" s="107" t="s">
        <v>1</v>
      </c>
      <c r="J3" s="19"/>
      <c r="K3" s="19"/>
      <c r="L3" s="19"/>
      <c r="M3" s="19"/>
      <c r="N3" s="19"/>
      <c r="O3" s="107"/>
      <c r="P3" s="107"/>
      <c r="Q3" s="107"/>
      <c r="R3" s="107"/>
      <c r="S3" s="107"/>
      <c r="T3" s="107"/>
      <c r="U3" s="20" t="s">
        <v>1</v>
      </c>
      <c r="V3" s="22"/>
      <c r="W3" s="22"/>
      <c r="X3" s="4"/>
      <c r="Y3" s="4"/>
      <c r="Z3" s="4"/>
      <c r="AA3" s="4"/>
      <c r="AB3" s="4"/>
    </row>
    <row r="4" spans="1:28" ht="12.75">
      <c r="A4" s="4"/>
      <c r="B4" s="4"/>
      <c r="C4" s="4"/>
      <c r="D4" s="4"/>
      <c r="E4" s="106"/>
      <c r="F4" s="4"/>
      <c r="G4" s="4"/>
      <c r="H4" s="14" t="s">
        <v>1</v>
      </c>
      <c r="I4" s="108" t="s">
        <v>1</v>
      </c>
      <c r="J4" s="19"/>
      <c r="K4" s="19"/>
      <c r="L4" s="19"/>
      <c r="M4" s="19"/>
      <c r="N4" s="19"/>
      <c r="O4" s="109"/>
      <c r="P4" s="109"/>
      <c r="Q4" s="109"/>
      <c r="R4" s="109"/>
      <c r="S4" s="109"/>
      <c r="T4" s="109"/>
      <c r="U4" s="18" t="s">
        <v>1</v>
      </c>
      <c r="V4" s="22"/>
      <c r="W4" s="22"/>
      <c r="X4" s="4"/>
      <c r="Y4" s="4"/>
      <c r="Z4" s="4"/>
      <c r="AA4" s="4"/>
      <c r="AB4" s="4"/>
    </row>
    <row r="5" spans="1:28" ht="38.25" customHeight="1">
      <c r="A5" s="93"/>
      <c r="B5" s="94"/>
      <c r="C5" s="95"/>
      <c r="D5" s="95"/>
      <c r="E5" s="96" t="s">
        <v>25</v>
      </c>
      <c r="F5" s="97" t="s">
        <v>88</v>
      </c>
      <c r="G5" s="98" t="s">
        <v>2</v>
      </c>
      <c r="H5" s="99" t="s">
        <v>89</v>
      </c>
      <c r="I5" s="100"/>
      <c r="J5" s="36"/>
      <c r="K5" s="100"/>
      <c r="L5" s="100"/>
      <c r="M5" s="100"/>
      <c r="N5" s="100" t="s">
        <v>1</v>
      </c>
      <c r="O5" s="100"/>
      <c r="P5" s="101"/>
      <c r="Q5" s="100"/>
      <c r="R5" s="100"/>
      <c r="S5" s="100"/>
      <c r="T5" s="100"/>
      <c r="U5" s="100" t="s">
        <v>1</v>
      </c>
      <c r="V5" s="100"/>
      <c r="W5" s="102"/>
      <c r="X5" s="103" t="s">
        <v>90</v>
      </c>
      <c r="Y5" s="104" t="s">
        <v>91</v>
      </c>
      <c r="Z5" s="104" t="s">
        <v>94</v>
      </c>
      <c r="AA5" s="104" t="s">
        <v>92</v>
      </c>
      <c r="AB5" s="104" t="s">
        <v>93</v>
      </c>
    </row>
    <row r="6" spans="1:28" ht="44.25" customHeight="1">
      <c r="A6" s="10" t="s">
        <v>24</v>
      </c>
      <c r="B6" s="8" t="s">
        <v>46</v>
      </c>
      <c r="C6" s="24">
        <v>900</v>
      </c>
      <c r="D6" s="6">
        <v>1</v>
      </c>
      <c r="E6" s="65" t="s">
        <v>64</v>
      </c>
      <c r="F6" s="59">
        <v>1450000000</v>
      </c>
      <c r="G6" s="92">
        <f>4016000+67335762+680918500</f>
        <v>752270262</v>
      </c>
      <c r="H6" s="34">
        <f>+F6+G6</f>
        <v>2202270262</v>
      </c>
      <c r="I6" s="34"/>
      <c r="J6" s="36"/>
      <c r="K6" s="34"/>
      <c r="L6" s="34"/>
      <c r="M6" s="34"/>
      <c r="N6" s="34">
        <v>377425593</v>
      </c>
      <c r="O6" s="34"/>
      <c r="P6" s="35"/>
      <c r="Q6" s="34"/>
      <c r="R6" s="34">
        <f aca="true" t="shared" si="0" ref="R6:R20">+N6-S6-T6</f>
        <v>71522290.954</v>
      </c>
      <c r="S6" s="34">
        <f>+'[3]2010'!$F$50+'[3]2010'!$F$57+'[3]2010'!$F$58</f>
        <v>3797761</v>
      </c>
      <c r="T6" s="34">
        <f>+'[2]RESERVAS 2012'!$G$149</f>
        <v>302105541.046</v>
      </c>
      <c r="U6" s="35">
        <f aca="true" t="shared" si="1" ref="U6:U20">+H6-N6</f>
        <v>1824844669</v>
      </c>
      <c r="V6" s="34"/>
      <c r="W6" s="37">
        <f aca="true" t="shared" si="2" ref="W6:W20">+N6/H6*100</f>
        <v>17.138023407592108</v>
      </c>
      <c r="X6" s="56">
        <f>+H6-1151358519</f>
        <v>1050911743</v>
      </c>
      <c r="Y6" s="56">
        <v>939235210</v>
      </c>
      <c r="Z6" s="56">
        <f>+H6-X6</f>
        <v>1151358519</v>
      </c>
      <c r="AA6" s="45">
        <f>+X6/H6*100</f>
        <v>47.71947208902556</v>
      </c>
      <c r="AB6" s="45">
        <f>+Y6/X6*100</f>
        <v>89.37336710300706</v>
      </c>
    </row>
    <row r="7" spans="1:28" ht="31.5" customHeight="1">
      <c r="A7" s="10" t="s">
        <v>24</v>
      </c>
      <c r="B7" s="8" t="s">
        <v>46</v>
      </c>
      <c r="C7" s="24">
        <f>+C6</f>
        <v>900</v>
      </c>
      <c r="D7" s="6">
        <v>2</v>
      </c>
      <c r="E7" s="65" t="s">
        <v>65</v>
      </c>
      <c r="F7" s="59">
        <v>250000000</v>
      </c>
      <c r="G7" s="92">
        <v>0</v>
      </c>
      <c r="H7" s="34">
        <f aca="true" t="shared" si="3" ref="H7:H20">+F7+G7</f>
        <v>250000000</v>
      </c>
      <c r="I7" s="34"/>
      <c r="J7" s="36"/>
      <c r="K7" s="34"/>
      <c r="L7" s="34"/>
      <c r="M7" s="34"/>
      <c r="N7" s="34">
        <v>36231197</v>
      </c>
      <c r="O7" s="34"/>
      <c r="P7" s="35"/>
      <c r="Q7" s="34"/>
      <c r="R7" s="34">
        <f t="shared" si="0"/>
        <v>18115598.3</v>
      </c>
      <c r="S7" s="34">
        <v>0</v>
      </c>
      <c r="T7" s="34">
        <f>+'[2]RESERVAS 2012'!$G$159</f>
        <v>18115598.7</v>
      </c>
      <c r="U7" s="35">
        <f t="shared" si="1"/>
        <v>213768803</v>
      </c>
      <c r="V7" s="34"/>
      <c r="W7" s="37">
        <f t="shared" si="2"/>
        <v>14.4924788</v>
      </c>
      <c r="X7" s="56">
        <f>+H7-186943509</f>
        <v>63056491</v>
      </c>
      <c r="Y7" s="56">
        <v>40063361</v>
      </c>
      <c r="Z7" s="56">
        <f aca="true" t="shared" si="4" ref="Z7:Z20">+H7-X7</f>
        <v>186943509</v>
      </c>
      <c r="AA7" s="45">
        <f aca="true" t="shared" si="5" ref="AA7:AA22">+X7/H7*100</f>
        <v>25.222596400000004</v>
      </c>
      <c r="AB7" s="45">
        <f aca="true" t="shared" si="6" ref="AB7:AB22">+Y7/X7*100</f>
        <v>63.53566518631683</v>
      </c>
    </row>
    <row r="8" spans="1:28" ht="26.25" customHeight="1" hidden="1">
      <c r="A8" s="10" t="s">
        <v>24</v>
      </c>
      <c r="B8" s="8" t="s">
        <v>46</v>
      </c>
      <c r="C8" s="24">
        <f>+C7</f>
        <v>900</v>
      </c>
      <c r="D8" s="6">
        <v>3</v>
      </c>
      <c r="E8" s="65" t="s">
        <v>45</v>
      </c>
      <c r="F8" s="59">
        <v>0</v>
      </c>
      <c r="G8" s="92">
        <v>0</v>
      </c>
      <c r="H8" s="34">
        <f t="shared" si="3"/>
        <v>0</v>
      </c>
      <c r="I8" s="34"/>
      <c r="J8" s="36"/>
      <c r="K8" s="34"/>
      <c r="L8" s="34"/>
      <c r="M8" s="34"/>
      <c r="N8" s="34">
        <v>0</v>
      </c>
      <c r="O8" s="34"/>
      <c r="P8" s="35"/>
      <c r="Q8" s="34"/>
      <c r="R8" s="34">
        <f t="shared" si="0"/>
        <v>0</v>
      </c>
      <c r="S8" s="34"/>
      <c r="T8" s="34"/>
      <c r="U8" s="35">
        <f t="shared" si="1"/>
        <v>0</v>
      </c>
      <c r="V8" s="34"/>
      <c r="W8" s="37">
        <v>0</v>
      </c>
      <c r="X8" s="56"/>
      <c r="Y8" s="56"/>
      <c r="Z8" s="56">
        <f t="shared" si="4"/>
        <v>0</v>
      </c>
      <c r="AA8" s="45" t="e">
        <f t="shared" si="5"/>
        <v>#DIV/0!</v>
      </c>
      <c r="AB8" s="45" t="e">
        <f t="shared" si="6"/>
        <v>#DIV/0!</v>
      </c>
    </row>
    <row r="9" spans="1:28" ht="26.25" customHeight="1">
      <c r="A9" s="10" t="s">
        <v>24</v>
      </c>
      <c r="B9" s="8" t="s">
        <v>46</v>
      </c>
      <c r="C9" s="24">
        <v>900</v>
      </c>
      <c r="D9" s="6">
        <v>3</v>
      </c>
      <c r="E9" s="65" t="s">
        <v>86</v>
      </c>
      <c r="F9" s="59">
        <v>75000000</v>
      </c>
      <c r="G9" s="92"/>
      <c r="H9" s="34">
        <f>+F9+G9</f>
        <v>75000000</v>
      </c>
      <c r="I9" s="34"/>
      <c r="J9" s="36"/>
      <c r="K9" s="34"/>
      <c r="L9" s="34"/>
      <c r="M9" s="34"/>
      <c r="N9" s="34"/>
      <c r="O9" s="34"/>
      <c r="P9" s="35"/>
      <c r="Q9" s="34"/>
      <c r="R9" s="34"/>
      <c r="S9" s="34"/>
      <c r="T9" s="34"/>
      <c r="U9" s="35"/>
      <c r="V9" s="34"/>
      <c r="W9" s="37"/>
      <c r="X9" s="56">
        <f>+H9-71151772</f>
        <v>3848228</v>
      </c>
      <c r="Y9" s="56">
        <v>840228</v>
      </c>
      <c r="Z9" s="56">
        <f t="shared" si="4"/>
        <v>71151772</v>
      </c>
      <c r="AA9" s="45">
        <f t="shared" si="5"/>
        <v>5.130970666666667</v>
      </c>
      <c r="AB9" s="45">
        <f t="shared" si="6"/>
        <v>21.834153277820338</v>
      </c>
    </row>
    <row r="10" spans="1:28" ht="30" customHeight="1">
      <c r="A10" s="10" t="s">
        <v>24</v>
      </c>
      <c r="B10" s="8" t="s">
        <v>47</v>
      </c>
      <c r="C10" s="24">
        <f>+C8</f>
        <v>900</v>
      </c>
      <c r="D10" s="6">
        <v>1</v>
      </c>
      <c r="E10" s="65" t="s">
        <v>66</v>
      </c>
      <c r="F10" s="59">
        <v>1968364062</v>
      </c>
      <c r="G10" s="92">
        <v>0</v>
      </c>
      <c r="H10" s="34">
        <f t="shared" si="3"/>
        <v>1968364062</v>
      </c>
      <c r="I10" s="34"/>
      <c r="J10" s="36"/>
      <c r="K10" s="34"/>
      <c r="L10" s="34"/>
      <c r="M10" s="34"/>
      <c r="N10" s="34">
        <f>672188453-15546821</f>
        <v>656641632</v>
      </c>
      <c r="O10" s="34"/>
      <c r="P10" s="35"/>
      <c r="Q10" s="34"/>
      <c r="R10" s="34">
        <f t="shared" si="0"/>
        <v>656641632</v>
      </c>
      <c r="S10" s="34">
        <v>0</v>
      </c>
      <c r="T10" s="34">
        <v>0</v>
      </c>
      <c r="U10" s="35">
        <f t="shared" si="1"/>
        <v>1311722430</v>
      </c>
      <c r="V10" s="34"/>
      <c r="W10" s="37">
        <f t="shared" si="2"/>
        <v>33.35976533389889</v>
      </c>
      <c r="X10" s="56">
        <f>+H10-854978602</f>
        <v>1113385460</v>
      </c>
      <c r="Y10" s="56">
        <v>1078747951</v>
      </c>
      <c r="Z10" s="56">
        <f t="shared" si="4"/>
        <v>854978602</v>
      </c>
      <c r="AA10" s="45">
        <f t="shared" si="5"/>
        <v>56.564000608135466</v>
      </c>
      <c r="AB10" s="45">
        <f t="shared" si="6"/>
        <v>96.88899215551099</v>
      </c>
    </row>
    <row r="11" spans="1:28" ht="22.5" customHeight="1">
      <c r="A11" s="10" t="s">
        <v>24</v>
      </c>
      <c r="B11" s="8" t="s">
        <v>47</v>
      </c>
      <c r="C11" s="24">
        <f aca="true" t="shared" si="7" ref="C11:C20">+C10</f>
        <v>900</v>
      </c>
      <c r="D11" s="6">
        <v>2</v>
      </c>
      <c r="E11" s="65" t="s">
        <v>67</v>
      </c>
      <c r="F11" s="59">
        <v>1365150170</v>
      </c>
      <c r="G11" s="92">
        <f>17546630+845027777</f>
        <v>862574407</v>
      </c>
      <c r="H11" s="34">
        <f t="shared" si="3"/>
        <v>2227724577</v>
      </c>
      <c r="I11" s="34"/>
      <c r="J11" s="36"/>
      <c r="K11" s="34"/>
      <c r="L11" s="34"/>
      <c r="M11" s="34"/>
      <c r="N11" s="34">
        <v>830912529</v>
      </c>
      <c r="O11" s="34"/>
      <c r="P11" s="35"/>
      <c r="Q11" s="34"/>
      <c r="R11" s="34">
        <f t="shared" si="0"/>
        <v>291465571.8239999</v>
      </c>
      <c r="S11" s="34">
        <v>0</v>
      </c>
      <c r="T11" s="34">
        <f>+'[2]RESERVAS 2012'!$G$176</f>
        <v>539446957.1760001</v>
      </c>
      <c r="U11" s="35">
        <f t="shared" si="1"/>
        <v>1396812048</v>
      </c>
      <c r="V11" s="34"/>
      <c r="W11" s="37">
        <f t="shared" si="2"/>
        <v>37.29870997423574</v>
      </c>
      <c r="X11" s="56">
        <f>+H11-1448733453</f>
        <v>778991124</v>
      </c>
      <c r="Y11" s="56">
        <v>338653378</v>
      </c>
      <c r="Z11" s="56">
        <f t="shared" si="4"/>
        <v>1448733453</v>
      </c>
      <c r="AA11" s="45">
        <f t="shared" si="5"/>
        <v>34.968017682376185</v>
      </c>
      <c r="AB11" s="45">
        <f t="shared" si="6"/>
        <v>43.47332948558731</v>
      </c>
    </row>
    <row r="12" spans="1:28" ht="34.5" customHeight="1">
      <c r="A12" s="10" t="s">
        <v>24</v>
      </c>
      <c r="B12" s="8" t="s">
        <v>47</v>
      </c>
      <c r="C12" s="24">
        <f t="shared" si="7"/>
        <v>900</v>
      </c>
      <c r="D12" s="6">
        <v>3</v>
      </c>
      <c r="E12" s="65" t="s">
        <v>68</v>
      </c>
      <c r="F12" s="59">
        <v>1075911500</v>
      </c>
      <c r="G12" s="92">
        <f>15920613+6584961+48702519</f>
        <v>71208093</v>
      </c>
      <c r="H12" s="34">
        <f t="shared" si="3"/>
        <v>1147119593</v>
      </c>
      <c r="I12" s="34"/>
      <c r="J12" s="36"/>
      <c r="K12" s="34"/>
      <c r="L12" s="34"/>
      <c r="M12" s="34"/>
      <c r="N12" s="40">
        <v>133402374</v>
      </c>
      <c r="O12" s="40"/>
      <c r="P12" s="40"/>
      <c r="Q12" s="40"/>
      <c r="R12" s="34">
        <f t="shared" si="0"/>
        <v>6838000</v>
      </c>
      <c r="S12" s="40">
        <f>+'[3]2010'!$F$154</f>
        <v>43687200</v>
      </c>
      <c r="T12" s="40">
        <f>+'[2]RESERVAS 2012'!$G$212</f>
        <v>82877174</v>
      </c>
      <c r="U12" s="40">
        <f t="shared" si="1"/>
        <v>1013717219</v>
      </c>
      <c r="V12" s="34"/>
      <c r="W12" s="37">
        <f>+N12/H12*100</f>
        <v>11.629334449001954</v>
      </c>
      <c r="X12" s="7">
        <f>+H12-874586023</f>
        <v>272533570</v>
      </c>
      <c r="Y12" s="56">
        <v>0</v>
      </c>
      <c r="Z12" s="56">
        <f t="shared" si="4"/>
        <v>874586023</v>
      </c>
      <c r="AA12" s="45">
        <f t="shared" si="5"/>
        <v>23.75807820414414</v>
      </c>
      <c r="AB12" s="45">
        <f t="shared" si="6"/>
        <v>0</v>
      </c>
    </row>
    <row r="13" spans="1:28" ht="38.25" customHeight="1">
      <c r="A13" s="10" t="s">
        <v>24</v>
      </c>
      <c r="B13" s="8" t="s">
        <v>47</v>
      </c>
      <c r="C13" s="24">
        <f t="shared" si="7"/>
        <v>900</v>
      </c>
      <c r="D13" s="6">
        <v>4</v>
      </c>
      <c r="E13" s="65" t="s">
        <v>69</v>
      </c>
      <c r="F13" s="59">
        <v>2124103500</v>
      </c>
      <c r="G13" s="92">
        <f>59264648+2405876685</f>
        <v>2465141333</v>
      </c>
      <c r="H13" s="34">
        <f t="shared" si="3"/>
        <v>4589244833</v>
      </c>
      <c r="I13" s="34"/>
      <c r="J13" s="36"/>
      <c r="K13" s="34"/>
      <c r="L13" s="34"/>
      <c r="M13" s="34"/>
      <c r="N13" s="34">
        <f>26881152+1471477790</f>
        <v>1498358942</v>
      </c>
      <c r="O13" s="34"/>
      <c r="P13" s="35"/>
      <c r="Q13" s="34"/>
      <c r="R13" s="34">
        <f t="shared" si="0"/>
        <v>-0.31599998474121094</v>
      </c>
      <c r="S13" s="34">
        <v>0</v>
      </c>
      <c r="T13" s="34">
        <f>+'[2]RESERVAS 2012'!$G$217</f>
        <v>1498358942.316</v>
      </c>
      <c r="U13" s="35">
        <f t="shared" si="1"/>
        <v>3090885891</v>
      </c>
      <c r="V13" s="34"/>
      <c r="W13" s="37">
        <f t="shared" si="2"/>
        <v>32.649357280433414</v>
      </c>
      <c r="X13" s="56">
        <f>+H13-4498985164</f>
        <v>90259669</v>
      </c>
      <c r="Y13" s="56">
        <v>0</v>
      </c>
      <c r="Z13" s="56">
        <f t="shared" si="4"/>
        <v>4498985164</v>
      </c>
      <c r="AA13" s="45">
        <f t="shared" si="5"/>
        <v>1.9667651712754024</v>
      </c>
      <c r="AB13" s="45">
        <f t="shared" si="6"/>
        <v>0</v>
      </c>
    </row>
    <row r="14" spans="1:28" ht="22.5" customHeight="1">
      <c r="A14" s="10" t="s">
        <v>24</v>
      </c>
      <c r="B14" s="8" t="s">
        <v>48</v>
      </c>
      <c r="C14" s="24">
        <f t="shared" si="7"/>
        <v>900</v>
      </c>
      <c r="D14" s="6">
        <v>1</v>
      </c>
      <c r="E14" s="65" t="s">
        <v>70</v>
      </c>
      <c r="F14" s="59">
        <v>250000000</v>
      </c>
      <c r="G14" s="92">
        <v>0</v>
      </c>
      <c r="H14" s="34">
        <f t="shared" si="3"/>
        <v>250000000</v>
      </c>
      <c r="I14" s="34"/>
      <c r="J14" s="36"/>
      <c r="K14" s="34"/>
      <c r="L14" s="34"/>
      <c r="M14" s="34"/>
      <c r="N14" s="34">
        <f>-38654000+83580624-44926624</f>
        <v>0</v>
      </c>
      <c r="O14" s="34"/>
      <c r="P14" s="35"/>
      <c r="Q14" s="34"/>
      <c r="R14" s="34">
        <f t="shared" si="0"/>
        <v>0</v>
      </c>
      <c r="S14" s="34">
        <v>0</v>
      </c>
      <c r="T14" s="34">
        <v>0</v>
      </c>
      <c r="U14" s="35">
        <f t="shared" si="1"/>
        <v>250000000</v>
      </c>
      <c r="V14" s="34"/>
      <c r="W14" s="37">
        <f t="shared" si="2"/>
        <v>0</v>
      </c>
      <c r="X14" s="56">
        <f>+H14-145357747</f>
        <v>104642253</v>
      </c>
      <c r="Y14" s="56">
        <v>57242458</v>
      </c>
      <c r="Z14" s="56">
        <f t="shared" si="4"/>
        <v>145357747</v>
      </c>
      <c r="AA14" s="45">
        <f t="shared" si="5"/>
        <v>41.8569012</v>
      </c>
      <c r="AB14" s="45">
        <f t="shared" si="6"/>
        <v>54.7030060600855</v>
      </c>
    </row>
    <row r="15" spans="1:28" ht="22.5" customHeight="1">
      <c r="A15" s="10" t="s">
        <v>24</v>
      </c>
      <c r="B15" s="8" t="s">
        <v>48</v>
      </c>
      <c r="C15" s="24">
        <f t="shared" si="7"/>
        <v>900</v>
      </c>
      <c r="D15" s="6">
        <v>2</v>
      </c>
      <c r="E15" s="65" t="s">
        <v>71</v>
      </c>
      <c r="F15" s="59">
        <v>819230081</v>
      </c>
      <c r="G15" s="92">
        <f>337074647+2053555469.71+1068088000+249055054+7405664+500000000</f>
        <v>4215178834.71</v>
      </c>
      <c r="H15" s="34">
        <f t="shared" si="3"/>
        <v>5034408915.71</v>
      </c>
      <c r="I15" s="34"/>
      <c r="J15" s="36"/>
      <c r="K15" s="34"/>
      <c r="L15" s="34"/>
      <c r="M15" s="34"/>
      <c r="N15" s="34">
        <v>76488483</v>
      </c>
      <c r="O15" s="34"/>
      <c r="P15" s="35"/>
      <c r="Q15" s="34"/>
      <c r="R15" s="34">
        <f t="shared" si="0"/>
        <v>0</v>
      </c>
      <c r="S15" s="34">
        <v>0</v>
      </c>
      <c r="T15" s="34">
        <f>+'[2]RESERVAS 2012'!$G$227</f>
        <v>76488483</v>
      </c>
      <c r="U15" s="35">
        <f t="shared" si="1"/>
        <v>4957920432.71</v>
      </c>
      <c r="V15" s="34"/>
      <c r="W15" s="37">
        <f t="shared" si="2"/>
        <v>1.5193140700453585</v>
      </c>
      <c r="X15" s="7">
        <f>+H15-1410968661.71</f>
        <v>3623440254</v>
      </c>
      <c r="Y15" s="56">
        <v>50345307</v>
      </c>
      <c r="Z15" s="56">
        <f t="shared" si="4"/>
        <v>1410968661.71</v>
      </c>
      <c r="AA15" s="45">
        <f t="shared" si="5"/>
        <v>71.9734990674469</v>
      </c>
      <c r="AB15" s="45">
        <f t="shared" si="6"/>
        <v>1.3894338935055615</v>
      </c>
    </row>
    <row r="16" spans="1:28" ht="22.5" customHeight="1">
      <c r="A16" s="10" t="s">
        <v>24</v>
      </c>
      <c r="B16" s="8" t="s">
        <v>49</v>
      </c>
      <c r="C16" s="24">
        <f t="shared" si="7"/>
        <v>900</v>
      </c>
      <c r="D16" s="6">
        <v>1</v>
      </c>
      <c r="E16" s="65" t="s">
        <v>72</v>
      </c>
      <c r="F16" s="59">
        <v>714824827</v>
      </c>
      <c r="G16" s="92">
        <f>105000000+172594336</f>
        <v>277594336</v>
      </c>
      <c r="H16" s="34">
        <f t="shared" si="3"/>
        <v>992419163</v>
      </c>
      <c r="I16" s="34"/>
      <c r="J16" s="36"/>
      <c r="K16" s="34"/>
      <c r="L16" s="34"/>
      <c r="M16" s="34"/>
      <c r="N16" s="34">
        <v>152849484</v>
      </c>
      <c r="O16" s="34"/>
      <c r="P16" s="35"/>
      <c r="Q16" s="34"/>
      <c r="R16" s="34">
        <f t="shared" si="0"/>
        <v>36427954</v>
      </c>
      <c r="S16" s="34">
        <f>+'[3]2010'!$F$163</f>
        <v>75867</v>
      </c>
      <c r="T16" s="34">
        <f>+'[2]RESERVAS 2012'!$G$246</f>
        <v>116345663</v>
      </c>
      <c r="U16" s="35">
        <f t="shared" si="1"/>
        <v>839569679</v>
      </c>
      <c r="V16" s="34"/>
      <c r="W16" s="37">
        <f t="shared" si="2"/>
        <v>15.401706224409132</v>
      </c>
      <c r="X16" s="56">
        <f>+H16-445496951</f>
        <v>546922212</v>
      </c>
      <c r="Y16" s="56">
        <v>298860582</v>
      </c>
      <c r="Z16" s="56">
        <f t="shared" si="4"/>
        <v>445496951</v>
      </c>
      <c r="AA16" s="45">
        <f t="shared" si="5"/>
        <v>55.1100011356794</v>
      </c>
      <c r="AB16" s="45">
        <f t="shared" si="6"/>
        <v>54.64407468607254</v>
      </c>
    </row>
    <row r="17" spans="1:28" ht="36" customHeight="1">
      <c r="A17" s="10" t="s">
        <v>24</v>
      </c>
      <c r="B17" s="8" t="s">
        <v>49</v>
      </c>
      <c r="C17" s="24">
        <f t="shared" si="7"/>
        <v>900</v>
      </c>
      <c r="D17" s="6">
        <v>2</v>
      </c>
      <c r="E17" s="65" t="s">
        <v>73</v>
      </c>
      <c r="F17" s="59">
        <v>350000000</v>
      </c>
      <c r="G17" s="92">
        <v>0</v>
      </c>
      <c r="H17" s="34">
        <f t="shared" si="3"/>
        <v>350000000</v>
      </c>
      <c r="I17" s="34"/>
      <c r="J17" s="36"/>
      <c r="K17" s="34"/>
      <c r="L17" s="34"/>
      <c r="M17" s="34"/>
      <c r="N17" s="34">
        <v>19467520</v>
      </c>
      <c r="O17" s="34"/>
      <c r="P17" s="35"/>
      <c r="Q17" s="34"/>
      <c r="R17" s="34">
        <f t="shared" si="0"/>
        <v>1534972</v>
      </c>
      <c r="S17" s="34">
        <f>+'[3]2010'!$F$195</f>
        <v>198000</v>
      </c>
      <c r="T17" s="34">
        <f>+'[2]RESERVAS 2012'!$G$306</f>
        <v>17734548</v>
      </c>
      <c r="U17" s="35">
        <f t="shared" si="1"/>
        <v>330532480</v>
      </c>
      <c r="V17" s="34"/>
      <c r="W17" s="37">
        <f t="shared" si="2"/>
        <v>5.562148571428571</v>
      </c>
      <c r="X17" s="56">
        <f>+H17-88801146</f>
        <v>261198854</v>
      </c>
      <c r="Y17" s="56">
        <f>16207932+5933560+5933960+3511390+6024000+2240767+35250069+8493720+3656970</f>
        <v>87252368</v>
      </c>
      <c r="Z17" s="56">
        <f t="shared" si="4"/>
        <v>88801146</v>
      </c>
      <c r="AA17" s="45">
        <f t="shared" si="5"/>
        <v>74.628244</v>
      </c>
      <c r="AB17" s="45">
        <f t="shared" si="6"/>
        <v>33.4045753508551</v>
      </c>
    </row>
    <row r="18" spans="1:28" ht="38.25" customHeight="1">
      <c r="A18" s="10" t="s">
        <v>24</v>
      </c>
      <c r="B18" s="8" t="s">
        <v>50</v>
      </c>
      <c r="C18" s="24">
        <f t="shared" si="7"/>
        <v>900</v>
      </c>
      <c r="D18" s="6">
        <v>1</v>
      </c>
      <c r="E18" s="65" t="s">
        <v>74</v>
      </c>
      <c r="F18" s="59">
        <v>200000000</v>
      </c>
      <c r="G18" s="92">
        <f>434867400+80449473+44550527</f>
        <v>559867400</v>
      </c>
      <c r="H18" s="34">
        <f t="shared" si="3"/>
        <v>759867400</v>
      </c>
      <c r="I18" s="34"/>
      <c r="J18" s="36"/>
      <c r="K18" s="34"/>
      <c r="L18" s="34"/>
      <c r="M18" s="34"/>
      <c r="N18" s="34">
        <v>203974258</v>
      </c>
      <c r="O18" s="34"/>
      <c r="P18" s="35"/>
      <c r="Q18" s="34"/>
      <c r="R18" s="34">
        <f t="shared" si="0"/>
        <v>42361514.95999999</v>
      </c>
      <c r="S18" s="34">
        <f>+'[3]2010'!$F$203</f>
        <v>50523840</v>
      </c>
      <c r="T18" s="34">
        <f>+'[2]RESERVAS 2012'!$G$336</f>
        <v>111088903.04</v>
      </c>
      <c r="U18" s="35">
        <f t="shared" si="1"/>
        <v>555893142</v>
      </c>
      <c r="V18" s="34"/>
      <c r="W18" s="37">
        <f t="shared" si="2"/>
        <v>26.843401625073003</v>
      </c>
      <c r="X18" s="56">
        <f>+H18-275783145</f>
        <v>484084255</v>
      </c>
      <c r="Y18" s="7">
        <v>448654869</v>
      </c>
      <c r="Z18" s="56">
        <f t="shared" si="4"/>
        <v>275783145</v>
      </c>
      <c r="AA18" s="45">
        <f t="shared" si="5"/>
        <v>63.7064118029014</v>
      </c>
      <c r="AB18" s="45">
        <f t="shared" si="6"/>
        <v>92.68115299474056</v>
      </c>
    </row>
    <row r="19" spans="1:28" ht="41.25" customHeight="1">
      <c r="A19" s="10" t="s">
        <v>24</v>
      </c>
      <c r="B19" s="8" t="s">
        <v>51</v>
      </c>
      <c r="C19" s="24">
        <f t="shared" si="7"/>
        <v>900</v>
      </c>
      <c r="D19" s="6">
        <v>1</v>
      </c>
      <c r="E19" s="91" t="s">
        <v>75</v>
      </c>
      <c r="F19" s="59">
        <v>171617855</v>
      </c>
      <c r="G19" s="92">
        <v>130000000</v>
      </c>
      <c r="H19" s="34">
        <f t="shared" si="3"/>
        <v>301617855</v>
      </c>
      <c r="I19" s="34"/>
      <c r="J19" s="36"/>
      <c r="K19" s="34"/>
      <c r="L19" s="34"/>
      <c r="M19" s="34"/>
      <c r="N19" s="34">
        <v>145590431</v>
      </c>
      <c r="O19" s="34"/>
      <c r="P19" s="35"/>
      <c r="Q19" s="34"/>
      <c r="R19" s="34">
        <f t="shared" si="0"/>
        <v>72795215.22</v>
      </c>
      <c r="S19" s="34">
        <v>0</v>
      </c>
      <c r="T19" s="34">
        <f>+'[2]RESERVAS 2012'!$G$342</f>
        <v>72795215.78</v>
      </c>
      <c r="U19" s="35">
        <f t="shared" si="1"/>
        <v>156027424</v>
      </c>
      <c r="V19" s="34"/>
      <c r="W19" s="37">
        <f t="shared" si="2"/>
        <v>48.269831704757664</v>
      </c>
      <c r="X19" s="56">
        <f>+H19-301617855</f>
        <v>0</v>
      </c>
      <c r="Y19" s="7">
        <v>0</v>
      </c>
      <c r="Z19" s="56">
        <f t="shared" si="4"/>
        <v>301617855</v>
      </c>
      <c r="AA19" s="45">
        <f t="shared" si="5"/>
        <v>0</v>
      </c>
      <c r="AB19" s="45">
        <v>0</v>
      </c>
    </row>
    <row r="20" spans="1:28" ht="22.5" customHeight="1">
      <c r="A20" s="10" t="s">
        <v>24</v>
      </c>
      <c r="B20" s="8" t="s">
        <v>51</v>
      </c>
      <c r="C20" s="24">
        <f t="shared" si="7"/>
        <v>900</v>
      </c>
      <c r="D20" s="6">
        <v>2</v>
      </c>
      <c r="E20" s="91" t="s">
        <v>76</v>
      </c>
      <c r="F20" s="59">
        <v>80000000</v>
      </c>
      <c r="G20" s="92">
        <v>200000000</v>
      </c>
      <c r="H20" s="34">
        <f t="shared" si="3"/>
        <v>280000000</v>
      </c>
      <c r="I20" s="34"/>
      <c r="J20" s="36"/>
      <c r="K20" s="34"/>
      <c r="L20" s="34"/>
      <c r="M20" s="34"/>
      <c r="N20" s="34">
        <v>15121222</v>
      </c>
      <c r="O20" s="34"/>
      <c r="P20" s="35"/>
      <c r="Q20" s="34"/>
      <c r="R20" s="34">
        <f t="shared" si="0"/>
        <v>15121222</v>
      </c>
      <c r="S20" s="34">
        <v>0</v>
      </c>
      <c r="T20" s="34">
        <v>0</v>
      </c>
      <c r="U20" s="35">
        <f t="shared" si="1"/>
        <v>264878778</v>
      </c>
      <c r="V20" s="34"/>
      <c r="W20" s="37">
        <f t="shared" si="2"/>
        <v>5.400436428571428</v>
      </c>
      <c r="X20" s="56">
        <f>+H20-277000048</f>
        <v>2999952</v>
      </c>
      <c r="Y20" s="7">
        <v>0</v>
      </c>
      <c r="Z20" s="56">
        <f t="shared" si="4"/>
        <v>277000048</v>
      </c>
      <c r="AA20" s="45">
        <f t="shared" si="5"/>
        <v>1.0714114285714287</v>
      </c>
      <c r="AB20" s="45">
        <f t="shared" si="6"/>
        <v>0</v>
      </c>
    </row>
    <row r="21" spans="1:28" ht="22.5" customHeight="1">
      <c r="A21" s="10" t="s">
        <v>1</v>
      </c>
      <c r="B21" s="8"/>
      <c r="C21" s="24"/>
      <c r="D21" s="6"/>
      <c r="E21" s="9"/>
      <c r="F21" s="59"/>
      <c r="G21" s="92"/>
      <c r="H21" s="34"/>
      <c r="I21" s="34"/>
      <c r="J21" s="36"/>
      <c r="K21" s="34"/>
      <c r="L21" s="34"/>
      <c r="M21" s="34"/>
      <c r="N21" s="34"/>
      <c r="O21" s="34"/>
      <c r="P21" s="35"/>
      <c r="Q21" s="34"/>
      <c r="R21" s="34"/>
      <c r="S21" s="34"/>
      <c r="T21" s="34"/>
      <c r="U21" s="34"/>
      <c r="V21" s="34"/>
      <c r="W21" s="37"/>
      <c r="X21" s="56"/>
      <c r="Y21" s="56"/>
      <c r="Z21" s="56"/>
      <c r="AA21" s="14" t="s">
        <v>1</v>
      </c>
      <c r="AB21" s="14" t="s">
        <v>1</v>
      </c>
    </row>
    <row r="22" spans="1:28" ht="22.5" customHeight="1">
      <c r="A22" s="10"/>
      <c r="B22" s="8"/>
      <c r="C22" s="24"/>
      <c r="D22" s="6"/>
      <c r="E22" s="9" t="s">
        <v>87</v>
      </c>
      <c r="F22" s="59">
        <f>SUM(F6:F21)</f>
        <v>10894201995</v>
      </c>
      <c r="G22" s="59">
        <f>SUM(G6:G21)</f>
        <v>9533834665.71</v>
      </c>
      <c r="H22" s="59">
        <f>SUM(H6:H21)</f>
        <v>20428036660.71</v>
      </c>
      <c r="I22" s="34"/>
      <c r="J22" s="36"/>
      <c r="K22" s="34"/>
      <c r="L22" s="34"/>
      <c r="M22" s="34"/>
      <c r="N22" s="34"/>
      <c r="O22" s="34"/>
      <c r="P22" s="35"/>
      <c r="Q22" s="34"/>
      <c r="R22" s="34"/>
      <c r="S22" s="34"/>
      <c r="T22" s="34"/>
      <c r="U22" s="34"/>
      <c r="V22" s="34"/>
      <c r="W22" s="37"/>
      <c r="X22" s="59">
        <f>SUM(X6:X21)</f>
        <v>8396274065</v>
      </c>
      <c r="Y22" s="59">
        <f>SUM(Y6:Y21)</f>
        <v>3339895712</v>
      </c>
      <c r="Z22" s="59">
        <f>SUM(Z6:Z21)</f>
        <v>12031762595.71</v>
      </c>
      <c r="AA22" s="45">
        <f t="shared" si="5"/>
        <v>41.10171821430527</v>
      </c>
      <c r="AB22" s="45">
        <f t="shared" si="6"/>
        <v>39.77830745094908</v>
      </c>
    </row>
    <row r="23" spans="6:8" ht="12.75">
      <c r="F23" s="62" t="s">
        <v>1</v>
      </c>
      <c r="G23" s="62" t="s">
        <v>1</v>
      </c>
      <c r="H23" s="62" t="s">
        <v>26</v>
      </c>
    </row>
    <row r="24" spans="6:8" ht="12.75">
      <c r="F24" s="62" t="s">
        <v>26</v>
      </c>
      <c r="G24" s="62" t="s">
        <v>1</v>
      </c>
      <c r="H24" s="62" t="s">
        <v>1</v>
      </c>
    </row>
    <row r="25" spans="6:25" ht="12.75">
      <c r="F25" s="38"/>
      <c r="G25" s="38"/>
      <c r="H25" s="38"/>
      <c r="Y25" s="38"/>
    </row>
    <row r="26" spans="6:28" ht="12.75">
      <c r="F26" s="38"/>
      <c r="G26" s="62" t="s">
        <v>1</v>
      </c>
      <c r="H26" s="3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7:28" ht="12.75">
      <c r="G27" s="12" t="s">
        <v>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7:28" ht="12.75">
      <c r="G28" s="12" t="s">
        <v>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7:28" ht="12.75">
      <c r="G29" s="12" t="s">
        <v>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7:28" ht="12.75">
      <c r="G30" s="12" t="s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7:28" ht="12.75">
      <c r="G31" s="12" t="s">
        <v>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7:28" ht="12.75">
      <c r="G32" s="12" t="s">
        <v>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7:28" ht="12.75">
      <c r="G33" s="12" t="s">
        <v>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7:28" ht="12.75">
      <c r="G34" s="12" t="s">
        <v>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7:28" ht="12.75">
      <c r="G35" s="12" t="s">
        <v>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7:28" ht="12.75">
      <c r="G36" s="12" t="s">
        <v>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7:28" ht="12.75">
      <c r="G37" s="12" t="s">
        <v>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7:28" ht="12.75">
      <c r="G38" s="12" t="s">
        <v>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7:28" ht="12.75">
      <c r="G39" s="12" t="s">
        <v>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7:28" ht="12.75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7:28" ht="12.75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7:28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7:28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7:28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7:28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7:28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7:28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7:28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7:28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7:28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7:28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7:28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7:28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7:28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7:28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7:28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7:28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7:28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7:28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7:28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7:28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7:28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7:28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7:28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7:28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7:28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7:28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7:28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7:28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7:28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7:28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7:28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7:28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7:28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7:28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7:28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7:28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7:28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</sheetData>
  <sheetProtection/>
  <mergeCells count="2">
    <mergeCell ref="E1:AA1"/>
    <mergeCell ref="E2:AA2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5.00390625" style="0" customWidth="1"/>
    <col min="2" max="2" width="6.8515625" style="0" customWidth="1"/>
    <col min="3" max="3" width="4.421875" style="0" customWidth="1"/>
    <col min="4" max="4" width="25.00390625" style="0" customWidth="1"/>
    <col min="5" max="5" width="17.8515625" style="0" customWidth="1"/>
    <col min="6" max="6" width="18.421875" style="0" customWidth="1"/>
    <col min="7" max="7" width="10.57421875" style="0" customWidth="1"/>
  </cols>
  <sheetData>
    <row r="2" spans="1:7" ht="25.5">
      <c r="A2" s="118" t="s">
        <v>83</v>
      </c>
      <c r="B2" s="119"/>
      <c r="C2" s="120"/>
      <c r="D2" s="26" t="s">
        <v>82</v>
      </c>
      <c r="E2" s="63" t="s">
        <v>79</v>
      </c>
      <c r="F2" s="63" t="s">
        <v>80</v>
      </c>
      <c r="G2" s="63" t="s">
        <v>81</v>
      </c>
    </row>
    <row r="3" spans="1:7" ht="12.75">
      <c r="A3" s="8" t="s">
        <v>36</v>
      </c>
      <c r="B3" s="24">
        <v>900</v>
      </c>
      <c r="C3" s="6">
        <v>5</v>
      </c>
      <c r="D3" s="64" t="s">
        <v>63</v>
      </c>
      <c r="E3" s="45">
        <v>1440907058</v>
      </c>
      <c r="F3" s="45">
        <v>1440899022</v>
      </c>
      <c r="G3" s="45">
        <f>+F3/E3*100</f>
        <v>99.99944229574314</v>
      </c>
    </row>
    <row r="4" spans="1:7" ht="12.75">
      <c r="A4" s="8" t="s">
        <v>48</v>
      </c>
      <c r="B4" s="24">
        <f>+B3</f>
        <v>900</v>
      </c>
      <c r="C4" s="6">
        <v>2</v>
      </c>
      <c r="D4" s="65" t="s">
        <v>71</v>
      </c>
      <c r="E4" s="45">
        <v>422592942</v>
      </c>
      <c r="F4" s="45">
        <v>76488483</v>
      </c>
      <c r="G4" s="45">
        <f>+F4/E4*100</f>
        <v>18.099801345002113</v>
      </c>
    </row>
    <row r="5" spans="5:6" ht="12.75">
      <c r="E5" s="1"/>
      <c r="F5" s="1"/>
    </row>
    <row r="6" spans="5:6" ht="12.75">
      <c r="E6" s="1"/>
      <c r="F6" s="1"/>
    </row>
    <row r="7" spans="5:6" ht="12.75">
      <c r="E7" s="1"/>
      <c r="F7" s="1"/>
    </row>
    <row r="8" spans="5:6" ht="12.75">
      <c r="E8" s="1">
        <v>45867</v>
      </c>
      <c r="F8" s="1"/>
    </row>
    <row r="9" spans="5:6" ht="12.75">
      <c r="E9" s="1">
        <f>+E8*1.004</f>
        <v>46050.468</v>
      </c>
      <c r="F9" s="1"/>
    </row>
    <row r="10" spans="5:6" ht="12.75">
      <c r="E10" s="1">
        <v>355904</v>
      </c>
      <c r="F10" s="1"/>
    </row>
    <row r="11" spans="5:6" ht="12.75">
      <c r="E11" s="1">
        <f>+E10*1</f>
        <v>355904</v>
      </c>
      <c r="F11" s="1"/>
    </row>
    <row r="12" spans="5:6" ht="12.75">
      <c r="E12" s="1"/>
      <c r="F12" s="1"/>
    </row>
    <row r="13" spans="5:6" ht="12.75">
      <c r="E13" s="1"/>
      <c r="F13" s="1"/>
    </row>
    <row r="14" spans="5:6" ht="12.75">
      <c r="E14" s="1"/>
      <c r="F14" s="1"/>
    </row>
    <row r="15" spans="5:6" ht="12.75">
      <c r="E15" s="1"/>
      <c r="F15" s="1"/>
    </row>
    <row r="16" spans="5:6" ht="12.75">
      <c r="E16" s="1"/>
      <c r="F16" s="1"/>
    </row>
    <row r="17" spans="5:6" ht="12.75">
      <c r="E17" s="1"/>
      <c r="F17" s="1"/>
    </row>
    <row r="18" spans="5:6" ht="12.75">
      <c r="E18" s="1"/>
      <c r="F18" s="1"/>
    </row>
    <row r="19" spans="5:6" ht="12.75">
      <c r="E19" s="1"/>
      <c r="F19" s="1"/>
    </row>
    <row r="20" spans="5:6" ht="12.75">
      <c r="E20" s="1"/>
      <c r="F20" s="1"/>
    </row>
    <row r="21" spans="5:6" ht="12.75">
      <c r="E21" s="1"/>
      <c r="F21" s="1"/>
    </row>
    <row r="22" spans="5:6" ht="12.75">
      <c r="E22" s="1"/>
      <c r="F22" s="1"/>
    </row>
    <row r="23" spans="5:6" ht="12.75">
      <c r="E23" s="1"/>
      <c r="F23" s="1"/>
    </row>
    <row r="24" spans="5:6" ht="12.75">
      <c r="E24" s="1"/>
      <c r="F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spans="5:6" ht="12.75">
      <c r="E37" s="1"/>
      <c r="F37" s="1"/>
    </row>
    <row r="38" spans="5:6" ht="12.75">
      <c r="E38" s="1"/>
      <c r="F38" s="1"/>
    </row>
    <row r="39" spans="5:6" ht="12.75">
      <c r="E39" s="1"/>
      <c r="F39" s="1"/>
    </row>
    <row r="40" spans="5:6" ht="12.75">
      <c r="E40" s="1"/>
      <c r="F40" s="1"/>
    </row>
    <row r="41" spans="5:6" ht="12.75">
      <c r="E41" s="1"/>
      <c r="F41" s="1"/>
    </row>
    <row r="42" spans="5:6" ht="12.75">
      <c r="E42" s="1"/>
      <c r="F42" s="1"/>
    </row>
    <row r="43" spans="5:6" ht="12.75">
      <c r="E43" s="1"/>
      <c r="F43" s="1"/>
    </row>
    <row r="44" spans="5:6" ht="12.75">
      <c r="E44" s="1"/>
      <c r="F44" s="1"/>
    </row>
    <row r="45" spans="5:6" ht="12.75">
      <c r="E45" s="1"/>
      <c r="F45" s="1"/>
    </row>
    <row r="46" spans="5:6" ht="12.75">
      <c r="E46" s="1"/>
      <c r="F46" s="1"/>
    </row>
    <row r="47" spans="5:6" ht="12.75">
      <c r="E47" s="1"/>
      <c r="F47" s="1"/>
    </row>
    <row r="48" spans="5:6" ht="12.75">
      <c r="E48" s="1"/>
      <c r="F48" s="1"/>
    </row>
    <row r="49" spans="5:6" ht="12.75">
      <c r="E49" s="1"/>
      <c r="F49" s="1"/>
    </row>
    <row r="50" spans="5:6" ht="12.75">
      <c r="E50" s="1"/>
      <c r="F50" s="1"/>
    </row>
    <row r="51" spans="5:6" ht="12.75">
      <c r="E51" s="1"/>
      <c r="F51" s="1"/>
    </row>
    <row r="52" spans="5:6" ht="12.75">
      <c r="E52" s="1"/>
      <c r="F52" s="1"/>
    </row>
    <row r="53" spans="5:6" ht="12.75">
      <c r="E53" s="1"/>
      <c r="F53" s="1"/>
    </row>
    <row r="54" spans="5:6" ht="12.75">
      <c r="E54" s="1"/>
      <c r="F54" s="1"/>
    </row>
    <row r="55" spans="5:6" ht="12.75">
      <c r="E55" s="1"/>
      <c r="F55" s="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2013-01-12T17:57:10Z</cp:lastPrinted>
  <dcterms:created xsi:type="dcterms:W3CDTF">2007-01-13T18:42:48Z</dcterms:created>
  <dcterms:modified xsi:type="dcterms:W3CDTF">2013-06-04T22:04:35Z</dcterms:modified>
  <cp:category/>
  <cp:version/>
  <cp:contentType/>
  <cp:contentStatus/>
</cp:coreProperties>
</file>