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FUNCIONAMIENTO " sheetId="1" r:id="rId1"/>
    <sheet name="Hoja1" sheetId="2" state="hidden" r:id="rId2"/>
    <sheet name="Hoja2" sheetId="3" state="hidden" r:id="rId3"/>
    <sheet name="Hoja3" sheetId="4" state="hidden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<sst xmlns="http://schemas.openxmlformats.org/spreadsheetml/2006/main" count="304" uniqueCount="137">
  <si>
    <t xml:space="preserve"> </t>
  </si>
  <si>
    <t>MODIFICACIONES</t>
  </si>
  <si>
    <t>PRESUPUESTO</t>
  </si>
  <si>
    <t>INICIAL</t>
  </si>
  <si>
    <t>DEFINITIVO</t>
  </si>
  <si>
    <t>CONCEPTO</t>
  </si>
  <si>
    <t>PRESUPUESTALES</t>
  </si>
  <si>
    <t>Gastos de personal</t>
  </si>
  <si>
    <t>servicios personales asociados a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</si>
  <si>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</si>
  <si>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</si>
  <si>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</si>
  <si>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</si>
  <si>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</si>
  <si>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</si>
  <si>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</si>
  <si>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</si>
  <si>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</si>
  <si>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</si>
  <si>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</si>
  <si>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</si>
  <si>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</si>
  <si>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</si>
  <si>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</si>
  <si>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</si>
  <si>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</si>
  <si>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</si>
  <si>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</si>
  <si>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</si>
  <si>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</si>
  <si>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</si>
  <si>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</si>
  <si>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</si>
  <si>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</si>
  <si>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</si>
  <si>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</si>
  <si>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</si>
  <si>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</si>
  <si>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</si>
  <si>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</si>
  <si>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</si>
  <si>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</si>
  <si>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</si>
  <si>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</si>
  <si>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</si>
  <si>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</si>
  <si>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</si>
  <si>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</si>
  <si>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</si>
  <si>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</si>
  <si>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</si>
  <si>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</si>
  <si>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</si>
  <si>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</si>
  <si>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</si>
  <si>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</si>
  <si>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DEFINITIVO</t>
  </si>
  <si>
    <t>% DE EJEUCION</t>
  </si>
  <si>
    <t>CDPS</t>
  </si>
  <si>
    <t xml:space="preserve">% EJEUCION </t>
  </si>
  <si>
    <t>SALDO  POR</t>
  </si>
  <si>
    <t>EJECUTAR</t>
  </si>
  <si>
    <t>Horas extras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</si>
  <si>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</si>
  <si>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</si>
  <si>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</si>
  <si>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</si>
  <si>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</si>
  <si>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</si>
  <si>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</si>
  <si>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</si>
  <si>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</si>
  <si>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</si>
  <si>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</si>
  <si>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</si>
  <si>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</si>
  <si>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</si>
  <si>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</si>
  <si>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</si>
  <si>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</si>
  <si>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</si>
  <si>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</si>
  <si>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</si>
  <si>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</si>
  <si>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</si>
  <si>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</si>
  <si>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</si>
  <si>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</si>
  <si>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</si>
  <si>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</si>
  <si>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</si>
  <si>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</si>
  <si>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</si>
  <si>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</si>
  <si>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</si>
  <si>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</si>
  <si>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</si>
  <si>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</si>
  <si>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</si>
  <si>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</si>
  <si>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</si>
  <si>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</si>
  <si>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</si>
  <si>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</si>
  <si>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</si>
  <si>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</si>
  <si>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</si>
  <si>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</si>
  <si>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</si>
  <si>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</si>
  <si>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</si>
  <si>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</si>
  <si>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</si>
  <si>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</si>
  <si>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</si>
  <si>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</si>
  <si>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</si>
  <si>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</si>
  <si>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</si>
  <si>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</si>
  <si>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</si>
  <si>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</si>
  <si>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</si>
  <si>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</si>
  <si>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</si>
  <si>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</si>
  <si>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</si>
  <si>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</si>
  <si>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</si>
  <si>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</si>
  <si>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SALDO POR</t>
  </si>
  <si>
    <t>OBLIGACIONES</t>
  </si>
  <si>
    <t>sueldo basico</t>
  </si>
  <si>
    <t>sueldo de vacaciones</t>
  </si>
  <si>
    <t>CORPORACION AUTONOMA REGIONAL DEL ALTO MAGDALENA CAM</t>
  </si>
  <si>
    <t>EJECUCION PRESUPUESTAL DE GASTOS DE FUNCIONAMIENTO RECURSOS PROPIOS A DICIEMBRE 31 DE 2020</t>
  </si>
  <si>
    <t>EJECUCION PRESUPUESTAL DE GASTOS DE FUNCIONAMIENTO RECURSOS DE LA NACION A DICIEMBRE 31 DE 2020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</si>
</sst>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;[Red]0.0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wrapText="1"/>
      <protection locked="0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3" fontId="44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202" fontId="0" fillId="0" borderId="10" xfId="49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justify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barrera.CAM\Documents\presupuesto2016\ejeuciones\DIRECTOR\ANASIS%20DIRECTIVO%20CAM%20a%20ABRIL1%20consolidado%20SRCA-SGA-OPL%20%20ajust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M\PRESUPUESTO2020\ejecuciones\cdps\RptEjecucionPresupuestoGastosInversionesDetall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24">
          <cell r="I24">
            <v>105123879</v>
          </cell>
          <cell r="P24">
            <v>292900000</v>
          </cell>
          <cell r="Q24">
            <v>112600000</v>
          </cell>
        </row>
        <row r="33">
          <cell r="I33">
            <v>10000000</v>
          </cell>
          <cell r="P33">
            <v>221900000</v>
          </cell>
        </row>
        <row r="38">
          <cell r="I38">
            <v>30000000</v>
          </cell>
          <cell r="Q38">
            <v>25000000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7"/>
  <sheetViews>
    <sheetView tabSelected="1" zoomScalePageLayoutView="0" workbookViewId="0" topLeftCell="A22">
      <selection activeCell="O65" sqref="O65"/>
    </sheetView>
  </sheetViews>
  <sheetFormatPr defaultColWidth="11.421875" defaultRowHeight="12.75"/>
  <cols>
    <col min="1" max="1" width="37.7109375" style="0" customWidth="1"/>
    <col min="2" max="2" width="16.28125" style="0" customWidth="1"/>
    <col min="3" max="3" width="20.57421875" style="28" customWidth="1"/>
    <col min="4" max="4" width="19.421875" style="69" customWidth="1"/>
    <col min="5" max="8" width="17.7109375" style="0" hidden="1" customWidth="1"/>
    <col min="9" max="9" width="19.8515625" style="0" hidden="1" customWidth="1"/>
    <col min="10" max="10" width="18.00390625" style="0" hidden="1" customWidth="1"/>
    <col min="11" max="11" width="13.7109375" style="0" hidden="1" customWidth="1"/>
    <col min="12" max="12" width="12.7109375" style="0" hidden="1" customWidth="1"/>
    <col min="13" max="13" width="15.140625" style="0" hidden="1" customWidth="1"/>
    <col min="14" max="14" width="2.8515625" style="0" hidden="1" customWidth="1"/>
    <col min="15" max="15" width="16.00390625" style="28" customWidth="1"/>
    <col min="16" max="16" width="16.00390625" style="0" hidden="1" customWidth="1"/>
    <col min="17" max="17" width="16.00390625" style="0" customWidth="1"/>
    <col min="18" max="18" width="16.00390625" style="28" customWidth="1"/>
    <col min="19" max="19" width="18.8515625" style="0" customWidth="1"/>
    <col min="20" max="20" width="0" style="0" hidden="1" customWidth="1"/>
    <col min="21" max="21" width="18.57421875" style="0" customWidth="1"/>
    <col min="22" max="22" width="13.7109375" style="0" bestFit="1" customWidth="1"/>
    <col min="23" max="23" width="16.421875" style="0" customWidth="1"/>
    <col min="24" max="24" width="16.28125" style="0" customWidth="1"/>
    <col min="25" max="25" width="16.421875" style="0" customWidth="1"/>
    <col min="26" max="27" width="12.7109375" style="0" bestFit="1" customWidth="1"/>
  </cols>
  <sheetData>
    <row r="1" spans="1:41" ht="12.75">
      <c r="A1" s="82" t="s">
        <v>134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2.75">
      <c r="A2" s="82" t="s">
        <v>135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12.75">
      <c r="A4" s="2"/>
      <c r="B4" s="2"/>
      <c r="C4" s="8"/>
      <c r="D4" s="61"/>
      <c r="E4" s="2"/>
      <c r="F4" s="2"/>
      <c r="G4" s="2"/>
      <c r="H4" s="19"/>
      <c r="I4" s="19"/>
      <c r="J4" s="2"/>
      <c r="K4" s="2"/>
      <c r="L4" s="2"/>
      <c r="M4" s="2"/>
      <c r="N4" s="2"/>
      <c r="O4" s="8"/>
      <c r="P4" s="2"/>
      <c r="Q4" s="2"/>
      <c r="R4" s="8"/>
      <c r="S4" s="2"/>
      <c r="T4" s="2"/>
      <c r="U4" s="2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ht="12.75">
      <c r="A5" s="5"/>
      <c r="B5" s="13" t="s">
        <v>2</v>
      </c>
      <c r="C5" s="6" t="s">
        <v>1</v>
      </c>
      <c r="D5" s="62" t="s">
        <v>2</v>
      </c>
      <c r="E5" s="34" t="s">
        <v>58</v>
      </c>
      <c r="F5" s="34" t="s">
        <v>27</v>
      </c>
      <c r="G5" s="10" t="s">
        <v>28</v>
      </c>
      <c r="H5" s="18" t="s">
        <v>38</v>
      </c>
      <c r="I5" s="30" t="s">
        <v>59</v>
      </c>
      <c r="J5" s="2"/>
      <c r="K5" s="2"/>
      <c r="L5" s="2"/>
      <c r="M5" s="2"/>
      <c r="N5" s="13" t="s">
        <v>58</v>
      </c>
      <c r="O5" s="6" t="s">
        <v>27</v>
      </c>
      <c r="P5" s="13" t="s">
        <v>63</v>
      </c>
      <c r="Q5" s="13" t="s">
        <v>131</v>
      </c>
      <c r="R5" s="6" t="s">
        <v>63</v>
      </c>
      <c r="S5" s="13" t="s">
        <v>60</v>
      </c>
      <c r="T5" s="13"/>
      <c r="U5" s="13" t="s">
        <v>57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12.75">
      <c r="A6" s="13" t="s">
        <v>5</v>
      </c>
      <c r="B6" s="13" t="s">
        <v>3</v>
      </c>
      <c r="C6" s="6" t="s">
        <v>6</v>
      </c>
      <c r="D6" s="62" t="s">
        <v>4</v>
      </c>
      <c r="E6" s="6" t="s">
        <v>0</v>
      </c>
      <c r="F6" s="17"/>
      <c r="G6" s="10" t="s">
        <v>31</v>
      </c>
      <c r="H6" s="31" t="s">
        <v>58</v>
      </c>
      <c r="I6" s="30" t="s">
        <v>27</v>
      </c>
      <c r="J6" s="2"/>
      <c r="K6" s="2"/>
      <c r="L6" s="2"/>
      <c r="M6" s="2"/>
      <c r="N6" s="2"/>
      <c r="O6" s="6"/>
      <c r="P6" s="13"/>
      <c r="Q6" s="73" t="s">
        <v>0</v>
      </c>
      <c r="R6" s="6"/>
      <c r="S6" s="13" t="s">
        <v>61</v>
      </c>
      <c r="T6" s="13"/>
      <c r="U6" s="13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12.75">
      <c r="A7" s="5"/>
      <c r="B7" s="73" t="s">
        <v>0</v>
      </c>
      <c r="C7" s="10" t="s">
        <v>18</v>
      </c>
      <c r="D7" s="63" t="s">
        <v>0</v>
      </c>
      <c r="E7" s="18" t="s">
        <v>0</v>
      </c>
      <c r="F7" s="18"/>
      <c r="G7" s="11"/>
      <c r="H7" s="19"/>
      <c r="I7" s="19"/>
      <c r="J7" s="2"/>
      <c r="K7" s="2"/>
      <c r="L7" s="2"/>
      <c r="M7" s="2"/>
      <c r="N7" s="2"/>
      <c r="O7" s="9" t="s">
        <v>0</v>
      </c>
      <c r="P7" s="2"/>
      <c r="Q7" s="9" t="s">
        <v>0</v>
      </c>
      <c r="R7" s="9" t="s">
        <v>0</v>
      </c>
      <c r="S7" s="2"/>
      <c r="T7" s="2"/>
      <c r="U7" s="2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.75">
      <c r="A8" s="3"/>
      <c r="B8" s="3" t="s">
        <v>0</v>
      </c>
      <c r="C8" s="9" t="s">
        <v>0</v>
      </c>
      <c r="D8" s="71"/>
      <c r="E8" s="14"/>
      <c r="F8" s="14"/>
      <c r="G8" s="72"/>
      <c r="H8" s="23"/>
      <c r="I8" s="23"/>
      <c r="J8" s="23"/>
      <c r="K8" s="23"/>
      <c r="L8" s="23"/>
      <c r="M8" s="23"/>
      <c r="N8" s="23"/>
      <c r="O8" s="71"/>
      <c r="P8" s="71"/>
      <c r="Q8" s="71"/>
      <c r="R8" s="71"/>
      <c r="S8" s="71"/>
      <c r="T8" s="23"/>
      <c r="U8" s="23"/>
      <c r="V8" s="16"/>
      <c r="W8" s="1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12.75">
      <c r="A9" s="3" t="s">
        <v>19</v>
      </c>
      <c r="B9" s="3">
        <f>SUM(B10+B23+B27)</f>
        <v>8267824252</v>
      </c>
      <c r="C9" s="9">
        <f>SUM(C10+C23+C27)</f>
        <v>-227902441</v>
      </c>
      <c r="D9" s="71">
        <f>+B9+C9</f>
        <v>8039921811</v>
      </c>
      <c r="E9" s="14">
        <f>SUM(E10+E23+E27)</f>
        <v>2514035997</v>
      </c>
      <c r="F9" s="14">
        <f>SUM(F10+F23+F27)</f>
        <v>2514035997</v>
      </c>
      <c r="G9" s="72">
        <f aca="true" t="shared" si="0" ref="G9:G31">+D9-E9</f>
        <v>5525885814</v>
      </c>
      <c r="H9" s="23">
        <f aca="true" t="shared" si="1" ref="H9:H31">+E9/D9*100</f>
        <v>31.26940853529651</v>
      </c>
      <c r="I9" s="23">
        <f>+F9/D9*100</f>
        <v>31.26940853529651</v>
      </c>
      <c r="J9" s="23"/>
      <c r="K9" s="23"/>
      <c r="L9" s="23"/>
      <c r="M9" s="23"/>
      <c r="N9" s="3">
        <f>SUM(N10+N23+N27)</f>
        <v>3228996405</v>
      </c>
      <c r="O9" s="9">
        <f>SUM(O10+O23+O27)</f>
        <v>7310571834</v>
      </c>
      <c r="P9" s="3">
        <f>SUM(P10+P23+P27)</f>
        <v>5490703177</v>
      </c>
      <c r="Q9" s="9">
        <f>SUM(Q10+Q23+Q27)</f>
        <v>7011651404.224</v>
      </c>
      <c r="R9" s="9">
        <f>SUM(R10+R23+R27)</f>
        <v>6668690178.188</v>
      </c>
      <c r="S9" s="23">
        <f aca="true" t="shared" si="2" ref="S9:S31">+D9-O9</f>
        <v>729349977</v>
      </c>
      <c r="T9" s="23"/>
      <c r="U9" s="23">
        <f aca="true" t="shared" si="3" ref="U9:U14">+O9/D9*100</f>
        <v>90.92839465177232</v>
      </c>
      <c r="V9" s="16"/>
      <c r="W9" s="16"/>
      <c r="X9" s="16"/>
      <c r="Y9" s="24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2.75">
      <c r="A10" s="3" t="s">
        <v>7</v>
      </c>
      <c r="B10" s="3">
        <f>SUM(B11+B18+B19+B20+B21+B22)</f>
        <v>2996528471</v>
      </c>
      <c r="C10" s="9">
        <f>SUM(C11+C18+C19+C20+C21+C22)</f>
        <v>-115406884</v>
      </c>
      <c r="D10" s="3">
        <f>SUM(D11+D18+D19+D20+D21+D22)</f>
        <v>2881121587</v>
      </c>
      <c r="E10" s="14">
        <f>SUM(E11+E18+E19+E20+E21+E22)</f>
        <v>874418338</v>
      </c>
      <c r="F10" s="14">
        <f>SUM(F11+F18+F19+F20+F21+F22)</f>
        <v>874418338</v>
      </c>
      <c r="G10" s="72">
        <f t="shared" si="0"/>
        <v>2006703249</v>
      </c>
      <c r="H10" s="23">
        <f t="shared" si="1"/>
        <v>30.349928373224188</v>
      </c>
      <c r="I10" s="23">
        <f aca="true" t="shared" si="4" ref="I10:I31">+F10/D10*100</f>
        <v>30.349928373224188</v>
      </c>
      <c r="J10" s="23"/>
      <c r="K10" s="23"/>
      <c r="L10" s="23"/>
      <c r="M10" s="23"/>
      <c r="N10" s="3">
        <f>SUM(N11+N18+N19+N20+N21+N22)</f>
        <v>1282797323</v>
      </c>
      <c r="O10" s="9">
        <f>SUM(O11+O18+O19+O20+O21+O22)</f>
        <v>2663529552</v>
      </c>
      <c r="P10" s="3">
        <f>SUM(P11+P18+P19+P20+P21+P22)</f>
        <v>1896018090</v>
      </c>
      <c r="Q10" s="9">
        <f>SUM(Q11+Q18+Q19+Q20+Q21+Q22)</f>
        <v>2640718741.8719997</v>
      </c>
      <c r="R10" s="9">
        <f>SUM(R11+R18+R19+R20+R21+R22)</f>
        <v>2569958297.1</v>
      </c>
      <c r="S10" s="23">
        <f t="shared" si="2"/>
        <v>217592035</v>
      </c>
      <c r="T10" s="23"/>
      <c r="U10" s="23">
        <f t="shared" si="3"/>
        <v>92.44766218885715</v>
      </c>
      <c r="V10" s="16"/>
      <c r="W10" s="16"/>
      <c r="X10" s="1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12.75">
      <c r="A11" s="3" t="s">
        <v>8</v>
      </c>
      <c r="B11" s="3">
        <f>SUM(B12:B17)</f>
        <v>1401096734</v>
      </c>
      <c r="C11" s="3">
        <f>SUM(C12:C17)</f>
        <v>-19400000</v>
      </c>
      <c r="D11" s="64">
        <f>SUM(D12:D17)</f>
        <v>1381696734</v>
      </c>
      <c r="E11" s="14">
        <f>SUM(E12:E17)</f>
        <v>463627287</v>
      </c>
      <c r="F11" s="14">
        <f>SUM(F12:F17)</f>
        <v>463627287</v>
      </c>
      <c r="G11" s="72">
        <f t="shared" si="0"/>
        <v>918069447</v>
      </c>
      <c r="H11" s="23">
        <f t="shared" si="1"/>
        <v>33.55492385494775</v>
      </c>
      <c r="I11" s="23">
        <f t="shared" si="4"/>
        <v>33.55492385494775</v>
      </c>
      <c r="J11" s="23"/>
      <c r="K11" s="23"/>
      <c r="L11" s="23"/>
      <c r="M11" s="23"/>
      <c r="N11" s="3">
        <f>SUM(N12:N17)</f>
        <v>462143059</v>
      </c>
      <c r="O11" s="9">
        <f>SUM(O12:O17)</f>
        <v>1249442698</v>
      </c>
      <c r="P11" s="3">
        <f>SUM(P12:P17)</f>
        <v>1064940032</v>
      </c>
      <c r="Q11" s="9">
        <f>SUM(Q12:Q17)</f>
        <v>1249442698</v>
      </c>
      <c r="R11" s="9">
        <f>SUM(R12:R17)</f>
        <v>1249442698</v>
      </c>
      <c r="S11" s="23">
        <f t="shared" si="2"/>
        <v>132254036</v>
      </c>
      <c r="T11" s="23"/>
      <c r="U11" s="23">
        <f t="shared" si="3"/>
        <v>90.42814296758698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12.75">
      <c r="A12" s="3" t="s">
        <v>132</v>
      </c>
      <c r="B12" s="3">
        <v>798808427</v>
      </c>
      <c r="C12" s="9">
        <v>18000000</v>
      </c>
      <c r="D12" s="71">
        <f aca="true" t="shared" si="5" ref="D12:D31">+B12+C12</f>
        <v>816808427</v>
      </c>
      <c r="E12" s="14">
        <v>280609080</v>
      </c>
      <c r="F12" s="14">
        <v>280609080</v>
      </c>
      <c r="G12" s="72">
        <f t="shared" si="0"/>
        <v>536199347</v>
      </c>
      <c r="H12" s="23">
        <f t="shared" si="1"/>
        <v>34.354332145008584</v>
      </c>
      <c r="I12" s="23">
        <f t="shared" si="4"/>
        <v>34.354332145008584</v>
      </c>
      <c r="J12" s="23"/>
      <c r="K12" s="23"/>
      <c r="L12" s="23"/>
      <c r="M12" s="23"/>
      <c r="N12" s="3">
        <v>177733386</v>
      </c>
      <c r="O12" s="9">
        <v>816612597</v>
      </c>
      <c r="P12" s="3">
        <f>+O12</f>
        <v>816612597</v>
      </c>
      <c r="Q12" s="9">
        <f>+O12</f>
        <v>816612597</v>
      </c>
      <c r="R12" s="9">
        <f>+Q12</f>
        <v>816612597</v>
      </c>
      <c r="S12" s="23">
        <f t="shared" si="2"/>
        <v>195830</v>
      </c>
      <c r="T12" s="23"/>
      <c r="U12" s="23">
        <f t="shared" si="3"/>
        <v>99.97602497800871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12.75">
      <c r="A13" s="3" t="s">
        <v>133</v>
      </c>
      <c r="B13" s="3">
        <v>164893988</v>
      </c>
      <c r="C13" s="9">
        <v>-60900000</v>
      </c>
      <c r="D13" s="71">
        <f t="shared" si="5"/>
        <v>103993988</v>
      </c>
      <c r="E13" s="14">
        <v>41107639</v>
      </c>
      <c r="F13" s="14">
        <v>41107639</v>
      </c>
      <c r="G13" s="72">
        <f t="shared" si="0"/>
        <v>62886349</v>
      </c>
      <c r="H13" s="23">
        <f t="shared" si="1"/>
        <v>39.528861033774376</v>
      </c>
      <c r="I13" s="23">
        <f t="shared" si="4"/>
        <v>39.528861033774376</v>
      </c>
      <c r="J13" s="23"/>
      <c r="K13" s="23"/>
      <c r="L13" s="23"/>
      <c r="M13" s="23"/>
      <c r="N13" s="3">
        <v>78846525</v>
      </c>
      <c r="O13" s="9">
        <f>48439675+193759</f>
        <v>48633434</v>
      </c>
      <c r="P13" s="3">
        <f>+O13</f>
        <v>48633434</v>
      </c>
      <c r="Q13" s="9">
        <f>+O13</f>
        <v>48633434</v>
      </c>
      <c r="R13" s="9">
        <f>+Q13</f>
        <v>48633434</v>
      </c>
      <c r="S13" s="23">
        <f t="shared" si="2"/>
        <v>55360554</v>
      </c>
      <c r="T13" s="23"/>
      <c r="U13" s="23">
        <f t="shared" si="3"/>
        <v>46.765620720305485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12.75">
      <c r="A14" s="3" t="s">
        <v>20</v>
      </c>
      <c r="B14" s="3">
        <v>72240480</v>
      </c>
      <c r="C14" s="9">
        <v>40500000</v>
      </c>
      <c r="D14" s="71">
        <f t="shared" si="5"/>
        <v>112740480</v>
      </c>
      <c r="E14" s="14">
        <v>27219355</v>
      </c>
      <c r="F14" s="14">
        <v>27219355</v>
      </c>
      <c r="G14" s="72">
        <f t="shared" si="0"/>
        <v>85521125</v>
      </c>
      <c r="H14" s="23">
        <f t="shared" si="1"/>
        <v>24.143373347354917</v>
      </c>
      <c r="I14" s="23">
        <f t="shared" si="4"/>
        <v>24.143373347354917</v>
      </c>
      <c r="J14" s="23"/>
      <c r="K14" s="23"/>
      <c r="L14" s="23"/>
      <c r="M14" s="23"/>
      <c r="N14" s="3">
        <v>31783291</v>
      </c>
      <c r="O14" s="9">
        <f>101013051+404052</f>
        <v>101417103</v>
      </c>
      <c r="P14" s="3">
        <f>+O14</f>
        <v>101417103</v>
      </c>
      <c r="Q14" s="9">
        <f>+O14</f>
        <v>101417103</v>
      </c>
      <c r="R14" s="9">
        <f>+Q14</f>
        <v>101417103</v>
      </c>
      <c r="S14" s="23">
        <f t="shared" si="2"/>
        <v>11323377</v>
      </c>
      <c r="T14" s="23"/>
      <c r="U14" s="23">
        <f t="shared" si="3"/>
        <v>89.95624552955603</v>
      </c>
      <c r="V14" s="16"/>
      <c r="W14" s="24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ht="12.75" hidden="1">
      <c r="A15" s="3" t="s">
        <v>62</v>
      </c>
      <c r="B15" s="3">
        <v>0</v>
      </c>
      <c r="C15" s="9">
        <v>0</v>
      </c>
      <c r="D15" s="71">
        <f t="shared" si="5"/>
        <v>0</v>
      </c>
      <c r="E15" s="14"/>
      <c r="F15" s="14"/>
      <c r="G15" s="72"/>
      <c r="H15" s="23"/>
      <c r="I15" s="23"/>
      <c r="J15" s="23"/>
      <c r="K15" s="23"/>
      <c r="L15" s="23"/>
      <c r="M15" s="23"/>
      <c r="N15" s="3">
        <v>0</v>
      </c>
      <c r="O15" s="9">
        <v>0</v>
      </c>
      <c r="P15" s="3">
        <v>0</v>
      </c>
      <c r="Q15" s="9">
        <v>0</v>
      </c>
      <c r="R15" s="9">
        <v>0</v>
      </c>
      <c r="S15" s="23">
        <f t="shared" si="2"/>
        <v>0</v>
      </c>
      <c r="T15" s="23"/>
      <c r="U15" s="23">
        <v>0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12.75">
      <c r="A16" s="3" t="s">
        <v>9</v>
      </c>
      <c r="B16" s="3">
        <v>66071773</v>
      </c>
      <c r="C16" s="9">
        <v>0</v>
      </c>
      <c r="D16" s="71">
        <f t="shared" si="5"/>
        <v>66071773</v>
      </c>
      <c r="E16" s="14">
        <v>27788267</v>
      </c>
      <c r="F16" s="14">
        <v>27788267</v>
      </c>
      <c r="G16" s="72">
        <f t="shared" si="0"/>
        <v>38283506</v>
      </c>
      <c r="H16" s="23">
        <f t="shared" si="1"/>
        <v>42.057698375976685</v>
      </c>
      <c r="I16" s="23">
        <f t="shared" si="4"/>
        <v>42.057698375976685</v>
      </c>
      <c r="J16" s="23"/>
      <c r="K16" s="23"/>
      <c r="L16" s="23"/>
      <c r="M16" s="23"/>
      <c r="N16" s="3">
        <v>22501709</v>
      </c>
      <c r="O16" s="9">
        <v>22904034</v>
      </c>
      <c r="P16" s="3">
        <f>+O16</f>
        <v>22904034</v>
      </c>
      <c r="Q16" s="9">
        <f>+O16</f>
        <v>22904034</v>
      </c>
      <c r="R16" s="9">
        <f>+Q16</f>
        <v>22904034</v>
      </c>
      <c r="S16" s="23">
        <f t="shared" si="2"/>
        <v>43167739</v>
      </c>
      <c r="T16" s="23"/>
      <c r="U16" s="23">
        <f aca="true" t="shared" si="6" ref="U16:U31">+O16/D16*100</f>
        <v>34.665384263261714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12.75">
      <c r="A17" s="3" t="s">
        <v>10</v>
      </c>
      <c r="B17" s="3">
        <f>67473664+8749764+12392489+33340514+57088749+84491171+13269286+22276429</f>
        <v>299082066</v>
      </c>
      <c r="C17" s="9">
        <f>-18000000+900000+100000</f>
        <v>-17000000</v>
      </c>
      <c r="D17" s="71">
        <f t="shared" si="5"/>
        <v>282082066</v>
      </c>
      <c r="E17" s="14">
        <f>27426668+5021569+4212743+4351738+8459317+29105125+3195198+5130588</f>
        <v>86902946</v>
      </c>
      <c r="F17" s="14">
        <f>27426668+5021569+4212743+4351738+8459317+29105125+3195198+5130588</f>
        <v>86902946</v>
      </c>
      <c r="G17" s="72">
        <f t="shared" si="0"/>
        <v>195179120</v>
      </c>
      <c r="H17" s="23">
        <f t="shared" si="1"/>
        <v>30.807682045266926</v>
      </c>
      <c r="I17" s="23">
        <f t="shared" si="4"/>
        <v>30.807682045266926</v>
      </c>
      <c r="J17" s="23"/>
      <c r="K17" s="23"/>
      <c r="L17" s="23"/>
      <c r="M17" s="23"/>
      <c r="N17" s="3">
        <f>40740946+9020349+4795124+4354946+19078981+56559356+7733197+8995249</f>
        <v>151278148</v>
      </c>
      <c r="O17" s="9">
        <f>47318404+8451624+13151403+33301655+55201426+81673779+10260125+9481752+189274+33806+52606+133207+220806+326695+41041+37927</f>
        <v>259875530</v>
      </c>
      <c r="P17" s="3">
        <f>25111629+5550438+3050430+2763525+3442123+27188939+3132962+5132818</f>
        <v>75372864</v>
      </c>
      <c r="Q17" s="9">
        <f>+O17</f>
        <v>259875530</v>
      </c>
      <c r="R17" s="9">
        <f>+Q17</f>
        <v>259875530</v>
      </c>
      <c r="S17" s="23">
        <f t="shared" si="2"/>
        <v>22206536</v>
      </c>
      <c r="T17" s="23"/>
      <c r="U17" s="23">
        <f t="shared" si="6"/>
        <v>92.1276328144874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12.75">
      <c r="A18" s="3" t="s">
        <v>21</v>
      </c>
      <c r="B18" s="3">
        <f>30240480+24555270+895910259</f>
        <v>950706009</v>
      </c>
      <c r="C18" s="9">
        <f>106493116-227000000</f>
        <v>-120506884</v>
      </c>
      <c r="D18" s="71">
        <f>+B18+C18</f>
        <v>830199125</v>
      </c>
      <c r="E18" s="14">
        <f>1057231+8089692+296851321</f>
        <v>305998244</v>
      </c>
      <c r="F18" s="14">
        <f>1057231+8089692+296851321</f>
        <v>305998244</v>
      </c>
      <c r="G18" s="72">
        <f t="shared" si="0"/>
        <v>524200881</v>
      </c>
      <c r="H18" s="23">
        <f t="shared" si="1"/>
        <v>36.85841562408296</v>
      </c>
      <c r="I18" s="23">
        <f t="shared" si="4"/>
        <v>36.85841562408296</v>
      </c>
      <c r="J18" s="3" t="s">
        <v>0</v>
      </c>
      <c r="K18" s="23"/>
      <c r="L18" s="23"/>
      <c r="M18" s="23"/>
      <c r="N18" s="3">
        <f>543331358+11874352+54257070</f>
        <v>609462780</v>
      </c>
      <c r="O18" s="9">
        <v>768267224</v>
      </c>
      <c r="P18" s="3">
        <f>139038852-12099496+11827031+46492041</f>
        <v>185258428</v>
      </c>
      <c r="Q18" s="9">
        <f>742486468*1.004</f>
        <v>745456413.872</v>
      </c>
      <c r="R18" s="9">
        <f>679504525*1.004</f>
        <v>682222543.1</v>
      </c>
      <c r="S18" s="23">
        <f t="shared" si="2"/>
        <v>61931901</v>
      </c>
      <c r="T18" s="23"/>
      <c r="U18" s="23">
        <f t="shared" si="6"/>
        <v>92.54011487906591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12.75">
      <c r="A19" s="3" t="s">
        <v>11</v>
      </c>
      <c r="B19" s="3">
        <f>66598793+89913211+110111330</f>
        <v>266623334</v>
      </c>
      <c r="C19" s="9">
        <v>8100000</v>
      </c>
      <c r="D19" s="71">
        <f t="shared" si="5"/>
        <v>274723334</v>
      </c>
      <c r="E19" s="14">
        <v>14234485</v>
      </c>
      <c r="F19" s="14">
        <v>14234485</v>
      </c>
      <c r="G19" s="72">
        <f t="shared" si="0"/>
        <v>260488849</v>
      </c>
      <c r="H19" s="23">
        <f t="shared" si="1"/>
        <v>5.181389142576436</v>
      </c>
      <c r="I19" s="23">
        <f t="shared" si="4"/>
        <v>5.181389142576436</v>
      </c>
      <c r="J19" s="23"/>
      <c r="K19" s="23"/>
      <c r="L19" s="23"/>
      <c r="M19" s="23"/>
      <c r="N19" s="3">
        <v>139595008</v>
      </c>
      <c r="O19" s="9">
        <f>60347378+97910564+108543775</f>
        <v>266801717</v>
      </c>
      <c r="P19" s="3">
        <f>+O19</f>
        <v>266801717</v>
      </c>
      <c r="Q19" s="9">
        <f>+O19</f>
        <v>266801717</v>
      </c>
      <c r="R19" s="9">
        <f>+Q19</f>
        <v>266801717</v>
      </c>
      <c r="S19" s="23">
        <f t="shared" si="2"/>
        <v>7921617</v>
      </c>
      <c r="T19" s="23"/>
      <c r="U19" s="23">
        <f t="shared" si="6"/>
        <v>97.11651104234197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12.75">
      <c r="A20" s="3" t="s">
        <v>12</v>
      </c>
      <c r="B20" s="3">
        <f>125117862+109840189+38754457+17946688</f>
        <v>291659196</v>
      </c>
      <c r="C20" s="9">
        <f>16200000+100000+100000</f>
        <v>16400000</v>
      </c>
      <c r="D20" s="71">
        <f t="shared" si="5"/>
        <v>308059196</v>
      </c>
      <c r="E20" s="14">
        <v>58847998</v>
      </c>
      <c r="F20" s="14">
        <v>58847998</v>
      </c>
      <c r="G20" s="72">
        <f t="shared" si="0"/>
        <v>249211198</v>
      </c>
      <c r="H20" s="23">
        <f t="shared" si="1"/>
        <v>19.102821394106346</v>
      </c>
      <c r="I20" s="23">
        <f t="shared" si="4"/>
        <v>19.102821394106346</v>
      </c>
      <c r="J20" s="23"/>
      <c r="K20" s="23"/>
      <c r="L20" s="23"/>
      <c r="M20" s="23"/>
      <c r="N20" s="3">
        <v>48681682</v>
      </c>
      <c r="O20" s="9">
        <f>118001645+122372633+38807465+21165324</f>
        <v>300347067</v>
      </c>
      <c r="P20" s="3">
        <f>+O20</f>
        <v>300347067</v>
      </c>
      <c r="Q20" s="9">
        <f>+O20</f>
        <v>300347067</v>
      </c>
      <c r="R20" s="9">
        <f>+Q20-7526574</f>
        <v>292820493</v>
      </c>
      <c r="S20" s="23">
        <f t="shared" si="2"/>
        <v>7712129</v>
      </c>
      <c r="T20" s="23"/>
      <c r="U20" s="23">
        <f t="shared" si="6"/>
        <v>97.49654316438586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12.75">
      <c r="A21" s="23" t="s">
        <v>29</v>
      </c>
      <c r="B21" s="3">
        <v>57741285</v>
      </c>
      <c r="C21" s="9">
        <v>0</v>
      </c>
      <c r="D21" s="71">
        <f t="shared" si="5"/>
        <v>57741285</v>
      </c>
      <c r="E21" s="14">
        <v>15733377</v>
      </c>
      <c r="F21" s="14">
        <v>15733377</v>
      </c>
      <c r="G21" s="72">
        <f t="shared" si="0"/>
        <v>42007908</v>
      </c>
      <c r="H21" s="23">
        <f t="shared" si="1"/>
        <v>27.248054836327245</v>
      </c>
      <c r="I21" s="23">
        <f t="shared" si="4"/>
        <v>27.248054836327245</v>
      </c>
      <c r="J21" s="23"/>
      <c r="K21" s="23"/>
      <c r="L21" s="23"/>
      <c r="M21" s="23"/>
      <c r="N21" s="3">
        <v>18954215</v>
      </c>
      <c r="O21" s="9">
        <f>53851008+215404</f>
        <v>54066412</v>
      </c>
      <c r="P21" s="3">
        <f>+O21</f>
        <v>54066412</v>
      </c>
      <c r="Q21" s="9">
        <f>+O21</f>
        <v>54066412</v>
      </c>
      <c r="R21" s="9">
        <f>+Q21</f>
        <v>54066412</v>
      </c>
      <c r="S21" s="23">
        <f t="shared" si="2"/>
        <v>3674873</v>
      </c>
      <c r="T21" s="23"/>
      <c r="U21" s="23">
        <f t="shared" si="6"/>
        <v>93.63562310745249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ht="12.75">
      <c r="A22" s="23" t="s">
        <v>30</v>
      </c>
      <c r="B22" s="3">
        <v>28701913</v>
      </c>
      <c r="C22" s="9">
        <v>0</v>
      </c>
      <c r="D22" s="71">
        <f t="shared" si="5"/>
        <v>28701913</v>
      </c>
      <c r="E22" s="14">
        <v>15976947</v>
      </c>
      <c r="F22" s="14">
        <v>15976947</v>
      </c>
      <c r="G22" s="72">
        <f t="shared" si="0"/>
        <v>12724966</v>
      </c>
      <c r="H22" s="23">
        <f t="shared" si="1"/>
        <v>55.66509451826433</v>
      </c>
      <c r="I22" s="23">
        <f t="shared" si="4"/>
        <v>55.66509451826433</v>
      </c>
      <c r="J22" s="23"/>
      <c r="K22" s="23"/>
      <c r="L22" s="23"/>
      <c r="M22" s="23"/>
      <c r="N22" s="3">
        <v>3960579</v>
      </c>
      <c r="O22" s="9">
        <f>24506408+98026</f>
        <v>24604434</v>
      </c>
      <c r="P22" s="3">
        <f>+O22</f>
        <v>24604434</v>
      </c>
      <c r="Q22" s="9">
        <f>+O22</f>
        <v>24604434</v>
      </c>
      <c r="R22" s="9">
        <f>+Q22</f>
        <v>24604434</v>
      </c>
      <c r="S22" s="23">
        <f t="shared" si="2"/>
        <v>4097479</v>
      </c>
      <c r="T22" s="23"/>
      <c r="U22" s="23">
        <f t="shared" si="6"/>
        <v>85.7240212525207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2.75">
      <c r="A23" s="3" t="s">
        <v>13</v>
      </c>
      <c r="B23" s="3">
        <f>SUM(B24:B26)</f>
        <v>1558455797</v>
      </c>
      <c r="C23" s="9">
        <f>+C24+C25+C26</f>
        <v>327023879</v>
      </c>
      <c r="D23" s="71">
        <f>+B23+C23</f>
        <v>1885479676</v>
      </c>
      <c r="E23" s="14">
        <f>SUM(E24:E26)</f>
        <v>837471929</v>
      </c>
      <c r="F23" s="14">
        <f>SUM(F24:F26)</f>
        <v>837471929</v>
      </c>
      <c r="G23" s="72">
        <f t="shared" si="0"/>
        <v>1048007747</v>
      </c>
      <c r="H23" s="23">
        <f t="shared" si="1"/>
        <v>44.41691627123113</v>
      </c>
      <c r="I23" s="23">
        <f t="shared" si="4"/>
        <v>44.41691627123113</v>
      </c>
      <c r="J23" s="23"/>
      <c r="K23" s="23"/>
      <c r="L23" s="23"/>
      <c r="M23" s="23"/>
      <c r="N23" s="3">
        <f>SUM(N24:N26)</f>
        <v>680793888</v>
      </c>
      <c r="O23" s="9">
        <f>SUM(O24:O26)</f>
        <v>1555292418</v>
      </c>
      <c r="P23" s="3">
        <f>SUM(P24:P26)</f>
        <v>558340009</v>
      </c>
      <c r="Q23" s="9">
        <f>SUM(Q24:Q26)</f>
        <v>1279182798.812</v>
      </c>
      <c r="R23" s="9">
        <f>SUM(R24:R26)</f>
        <v>1113437767.04</v>
      </c>
      <c r="S23" s="23">
        <f t="shared" si="2"/>
        <v>330187258</v>
      </c>
      <c r="T23" s="23"/>
      <c r="U23" s="23">
        <f t="shared" si="6"/>
        <v>82.48789089572769</v>
      </c>
      <c r="V23" s="16"/>
      <c r="W23" s="24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12.75">
      <c r="A24" s="3" t="s">
        <v>22</v>
      </c>
      <c r="B24" s="3">
        <f>5522000+305530925</f>
        <v>311052925</v>
      </c>
      <c r="C24" s="9">
        <f>221900000+10000000+30000000-25000000</f>
        <v>236900000</v>
      </c>
      <c r="D24" s="71">
        <f t="shared" si="5"/>
        <v>547952925</v>
      </c>
      <c r="E24" s="14">
        <f>134064120+89932764</f>
        <v>223996884</v>
      </c>
      <c r="F24" s="14">
        <f>134064120+89932764</f>
        <v>223996884</v>
      </c>
      <c r="G24" s="72">
        <f t="shared" si="0"/>
        <v>323956041</v>
      </c>
      <c r="H24" s="23">
        <f t="shared" si="1"/>
        <v>40.87885542357493</v>
      </c>
      <c r="I24" s="23">
        <f t="shared" si="4"/>
        <v>40.87885542357493</v>
      </c>
      <c r="J24" s="23"/>
      <c r="K24" s="23"/>
      <c r="L24" s="23"/>
      <c r="M24" s="23"/>
      <c r="N24" s="3">
        <v>90516630</v>
      </c>
      <c r="O24" s="9">
        <f>143546867+250013849</f>
        <v>393560716</v>
      </c>
      <c r="P24" s="3">
        <v>71539421</v>
      </c>
      <c r="Q24" s="9">
        <f>234306376*1.004</f>
        <v>235243601.504</v>
      </c>
      <c r="R24" s="9">
        <f>+(4889598+170069794)*1.004</f>
        <v>175659229.568</v>
      </c>
      <c r="S24" s="23">
        <f t="shared" si="2"/>
        <v>154392209</v>
      </c>
      <c r="T24" s="23"/>
      <c r="U24" s="23">
        <f t="shared" si="6"/>
        <v>71.82381880706266</v>
      </c>
      <c r="V24" s="16"/>
      <c r="W24" s="24"/>
      <c r="X24" s="16"/>
      <c r="Y24" s="16"/>
      <c r="Z24" s="24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ht="12.75">
      <c r="A25" s="3" t="s">
        <v>14</v>
      </c>
      <c r="B25" s="3">
        <f>80721600+131792068+5020000+68427397+328588035+141992144+45029399+241754229+168672000-23279000</f>
        <v>1188717872</v>
      </c>
      <c r="C25" s="9">
        <f>+'[2]Sheet'!$I$24+'[2]Sheet'!$P$24-'[2]Sheet'!$Q$24-'[2]Sheet'!$I$33-'[2]Sheet'!$I$38-'[2]Sheet'!$P$33+'[2]Sheet'!$Q$38+16600000</f>
        <v>65123879</v>
      </c>
      <c r="D25" s="71">
        <f t="shared" si="5"/>
        <v>1253841751</v>
      </c>
      <c r="E25" s="14">
        <f>161733438+78749875+21372007+10000000+69921141+34446675+101350157+88741110+4349508</f>
        <v>570663911</v>
      </c>
      <c r="F25" s="14">
        <f>161733438+78749875+21372007+10000000+69921141+34446675+101350157+88741110+4349508</f>
        <v>570663911</v>
      </c>
      <c r="G25" s="72">
        <f t="shared" si="0"/>
        <v>683177840</v>
      </c>
      <c r="H25" s="23">
        <f t="shared" si="1"/>
        <v>45.51323247490105</v>
      </c>
      <c r="I25" s="23">
        <f t="shared" si="4"/>
        <v>45.51323247490105</v>
      </c>
      <c r="J25" s="23"/>
      <c r="K25" s="23"/>
      <c r="L25" s="23"/>
      <c r="M25" s="23"/>
      <c r="N25" s="3">
        <f>177530145+48822952+12932524+101159449+50929093+34887478+95118421+602400+22704858</f>
        <v>544687320</v>
      </c>
      <c r="O25" s="9">
        <f>-O26-O24+1580126418-23279000-1555000</f>
        <v>1078775402</v>
      </c>
      <c r="P25" s="3">
        <f>105788413+23427623+12881000+100724267+49185142+19962215+84084828+602400+7938400-750000</f>
        <v>403844288</v>
      </c>
      <c r="Q25" s="9">
        <f>957154280*1.004</f>
        <v>960982897.12</v>
      </c>
      <c r="R25" s="9">
        <f>+(1133835760-174959392-82625797-23279000-1555000)*1.004</f>
        <v>854822237.284</v>
      </c>
      <c r="S25" s="23">
        <f t="shared" si="2"/>
        <v>175066349</v>
      </c>
      <c r="T25" s="23"/>
      <c r="U25" s="23">
        <f t="shared" si="6"/>
        <v>86.0376041186716</v>
      </c>
      <c r="V25" s="16"/>
      <c r="W25" s="24"/>
      <c r="X25" s="16"/>
      <c r="Y25" s="16"/>
      <c r="Z25" s="24"/>
      <c r="AA25" s="16"/>
      <c r="AB25" s="16"/>
      <c r="AC25" s="24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ht="12.75">
      <c r="A26" s="9" t="s">
        <v>15</v>
      </c>
      <c r="B26" s="9">
        <v>58685000</v>
      </c>
      <c r="C26" s="9">
        <v>25000000</v>
      </c>
      <c r="D26" s="71">
        <f t="shared" si="5"/>
        <v>83685000</v>
      </c>
      <c r="E26" s="14">
        <v>42811134</v>
      </c>
      <c r="F26" s="14">
        <v>42811134</v>
      </c>
      <c r="G26" s="72">
        <f t="shared" si="0"/>
        <v>40873866</v>
      </c>
      <c r="H26" s="23">
        <f t="shared" si="1"/>
        <v>51.15747625022406</v>
      </c>
      <c r="I26" s="23">
        <f t="shared" si="4"/>
        <v>51.15747625022406</v>
      </c>
      <c r="J26" s="23"/>
      <c r="K26" s="23"/>
      <c r="L26" s="23"/>
      <c r="M26" s="23"/>
      <c r="N26" s="9">
        <v>45589938</v>
      </c>
      <c r="O26" s="9">
        <v>82956300</v>
      </c>
      <c r="P26" s="9">
        <f>+O26</f>
        <v>82956300</v>
      </c>
      <c r="Q26" s="9">
        <f>(84180797-1555000)*1.004</f>
        <v>82956300.188</v>
      </c>
      <c r="R26" s="9">
        <f>+Q26</f>
        <v>82956300.188</v>
      </c>
      <c r="S26" s="23">
        <f t="shared" si="2"/>
        <v>728700</v>
      </c>
      <c r="T26" s="23"/>
      <c r="U26" s="23">
        <f t="shared" si="6"/>
        <v>99.12923462986198</v>
      </c>
      <c r="V26" s="16"/>
      <c r="W26" s="16"/>
      <c r="X26" s="16"/>
      <c r="Y26" s="16"/>
      <c r="Z26" s="24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12.75">
      <c r="A27" s="3" t="s">
        <v>16</v>
      </c>
      <c r="B27" s="3">
        <f>SUM(B28:B31)</f>
        <v>3712839984</v>
      </c>
      <c r="C27" s="3">
        <f>SUM(C28:C31)</f>
        <v>-439519436</v>
      </c>
      <c r="D27" s="71">
        <f t="shared" si="5"/>
        <v>3273320548</v>
      </c>
      <c r="E27" s="14">
        <f>SUM(E28:E31)</f>
        <v>802145730</v>
      </c>
      <c r="F27" s="14">
        <f>SUM(F28:F31)</f>
        <v>802145730</v>
      </c>
      <c r="G27" s="72">
        <f t="shared" si="0"/>
        <v>2471174818</v>
      </c>
      <c r="H27" s="23">
        <f t="shared" si="1"/>
        <v>24.505566083044062</v>
      </c>
      <c r="I27" s="23">
        <f t="shared" si="4"/>
        <v>24.505566083044062</v>
      </c>
      <c r="J27" s="23"/>
      <c r="K27" s="23"/>
      <c r="L27" s="23"/>
      <c r="M27" s="23"/>
      <c r="N27" s="3">
        <f>SUM(N28:N31)</f>
        <v>1265405194</v>
      </c>
      <c r="O27" s="9">
        <f>SUM(O28:O31)</f>
        <v>3091749864</v>
      </c>
      <c r="P27" s="3">
        <f>SUM(P28:P31)</f>
        <v>3036345078</v>
      </c>
      <c r="Q27" s="9">
        <f>SUM(Q28:Q31)</f>
        <v>3091749863.54</v>
      </c>
      <c r="R27" s="9">
        <f>SUM(R28:R31)</f>
        <v>2985294114.048</v>
      </c>
      <c r="S27" s="23">
        <f t="shared" si="2"/>
        <v>181570684</v>
      </c>
      <c r="T27" s="23"/>
      <c r="U27" s="23">
        <f t="shared" si="6"/>
        <v>94.45301242767258</v>
      </c>
      <c r="V27" s="16"/>
      <c r="W27" s="24"/>
      <c r="X27" s="16"/>
      <c r="Y27" s="16"/>
      <c r="Z27" s="24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12.75">
      <c r="A28" s="3" t="s">
        <v>23</v>
      </c>
      <c r="B28" s="3">
        <v>38820000</v>
      </c>
      <c r="C28" s="9">
        <v>16600000</v>
      </c>
      <c r="D28" s="71">
        <f t="shared" si="5"/>
        <v>55420000</v>
      </c>
      <c r="E28" s="14">
        <v>16797214</v>
      </c>
      <c r="F28" s="14">
        <v>16797214</v>
      </c>
      <c r="G28" s="72">
        <f t="shared" si="0"/>
        <v>38622786</v>
      </c>
      <c r="H28" s="23">
        <f t="shared" si="1"/>
        <v>30.3089390111873</v>
      </c>
      <c r="I28" s="23">
        <f t="shared" si="4"/>
        <v>30.3089390111873</v>
      </c>
      <c r="J28" s="23"/>
      <c r="K28" s="23"/>
      <c r="L28" s="23"/>
      <c r="M28" s="23"/>
      <c r="N28" s="3">
        <v>0</v>
      </c>
      <c r="O28" s="9">
        <v>55404786</v>
      </c>
      <c r="P28" s="3">
        <v>0</v>
      </c>
      <c r="Q28" s="9">
        <f>55184050*1.004</f>
        <v>55404786.2</v>
      </c>
      <c r="R28" s="9">
        <f>+Q28</f>
        <v>55404786.2</v>
      </c>
      <c r="S28" s="23">
        <f t="shared" si="2"/>
        <v>15214</v>
      </c>
      <c r="T28" s="23"/>
      <c r="U28" s="23">
        <f t="shared" si="6"/>
        <v>99.97254781667269</v>
      </c>
      <c r="V28" s="16"/>
      <c r="W28" s="24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12.75">
      <c r="A29" s="3" t="s">
        <v>24</v>
      </c>
      <c r="B29" s="3">
        <v>3440379034</v>
      </c>
      <c r="C29" s="9">
        <f>113985727-553505163+2500000</f>
        <v>-437019436</v>
      </c>
      <c r="D29" s="71">
        <f t="shared" si="5"/>
        <v>3003359598</v>
      </c>
      <c r="E29" s="14">
        <v>740995272</v>
      </c>
      <c r="F29" s="14">
        <v>740995272</v>
      </c>
      <c r="G29" s="72">
        <f t="shared" si="0"/>
        <v>2262364326</v>
      </c>
      <c r="H29" s="23">
        <f t="shared" si="1"/>
        <v>24.672212827709483</v>
      </c>
      <c r="I29" s="23">
        <f t="shared" si="4"/>
        <v>24.672212827709483</v>
      </c>
      <c r="J29" s="23"/>
      <c r="K29" s="23"/>
      <c r="L29" s="23"/>
      <c r="M29" s="23"/>
      <c r="N29" s="3">
        <v>951099213</v>
      </c>
      <c r="O29" s="9">
        <v>3003287442</v>
      </c>
      <c r="P29" s="3">
        <f>+O29</f>
        <v>3003287442</v>
      </c>
      <c r="Q29" s="9">
        <f>2991322153*1.004</f>
        <v>3003287441.612</v>
      </c>
      <c r="R29" s="9">
        <f>2885290530*1.004</f>
        <v>2896831692.12</v>
      </c>
      <c r="S29" s="23">
        <f t="shared" si="2"/>
        <v>72156</v>
      </c>
      <c r="T29" s="23"/>
      <c r="U29" s="23">
        <f t="shared" si="6"/>
        <v>99.99759749048872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12.75">
      <c r="A30" s="3" t="s">
        <v>25</v>
      </c>
      <c r="B30" s="3">
        <v>33640950</v>
      </c>
      <c r="C30" s="9">
        <v>0</v>
      </c>
      <c r="D30" s="71">
        <f t="shared" si="5"/>
        <v>33640950</v>
      </c>
      <c r="E30" s="14">
        <v>21590305</v>
      </c>
      <c r="F30" s="14">
        <v>21590305</v>
      </c>
      <c r="G30" s="72">
        <f t="shared" si="0"/>
        <v>12050645</v>
      </c>
      <c r="H30" s="23">
        <f t="shared" si="1"/>
        <v>64.17864239862429</v>
      </c>
      <c r="I30" s="23">
        <f t="shared" si="4"/>
        <v>64.17864239862429</v>
      </c>
      <c r="J30" s="23"/>
      <c r="K30" s="23"/>
      <c r="L30" s="23"/>
      <c r="M30" s="23"/>
      <c r="N30" s="3">
        <v>22814692</v>
      </c>
      <c r="O30" s="9">
        <v>33057636</v>
      </c>
      <c r="P30" s="3">
        <f>+O30</f>
        <v>33057636</v>
      </c>
      <c r="Q30" s="9">
        <f>32925932*1.004</f>
        <v>33057635.728</v>
      </c>
      <c r="R30" s="9">
        <f>+Q30</f>
        <v>33057635.728</v>
      </c>
      <c r="S30" s="23">
        <f t="shared" si="2"/>
        <v>583314</v>
      </c>
      <c r="T30" s="23"/>
      <c r="U30" s="23">
        <f t="shared" si="6"/>
        <v>98.26605966835062</v>
      </c>
      <c r="V30" s="24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2.75">
      <c r="A31" s="3" t="s">
        <v>26</v>
      </c>
      <c r="B31" s="9">
        <v>200000000</v>
      </c>
      <c r="C31" s="9">
        <v>-19100000</v>
      </c>
      <c r="D31" s="71">
        <f t="shared" si="5"/>
        <v>180900000</v>
      </c>
      <c r="E31" s="14">
        <v>22762939</v>
      </c>
      <c r="F31" s="14">
        <v>22762939</v>
      </c>
      <c r="G31" s="72">
        <f t="shared" si="0"/>
        <v>158137061</v>
      </c>
      <c r="H31" s="23">
        <f t="shared" si="1"/>
        <v>12.58316141514649</v>
      </c>
      <c r="I31" s="23">
        <f t="shared" si="4"/>
        <v>12.58316141514649</v>
      </c>
      <c r="J31" s="23"/>
      <c r="K31" s="23"/>
      <c r="L31" s="23"/>
      <c r="M31" s="23"/>
      <c r="N31" s="9">
        <v>291491289</v>
      </c>
      <c r="O31" s="9">
        <v>0</v>
      </c>
      <c r="P31" s="9">
        <f>+O31</f>
        <v>0</v>
      </c>
      <c r="Q31" s="9">
        <v>0</v>
      </c>
      <c r="R31" s="9">
        <v>0</v>
      </c>
      <c r="S31" s="23">
        <f t="shared" si="2"/>
        <v>180900000</v>
      </c>
      <c r="T31" s="23"/>
      <c r="U31" s="23">
        <f t="shared" si="6"/>
        <v>0</v>
      </c>
      <c r="V31" s="24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12.75">
      <c r="A32" s="21"/>
      <c r="B32" s="3" t="s">
        <v>0</v>
      </c>
      <c r="C32" s="7"/>
      <c r="D32" s="71" t="s">
        <v>0</v>
      </c>
      <c r="E32" s="72"/>
      <c r="F32" s="72"/>
      <c r="G32" s="14" t="s">
        <v>0</v>
      </c>
      <c r="H32" s="3" t="s">
        <v>0</v>
      </c>
      <c r="I32" s="23"/>
      <c r="J32" s="23"/>
      <c r="K32" s="23"/>
      <c r="L32" s="23"/>
      <c r="M32" s="23"/>
      <c r="N32" s="23"/>
      <c r="O32" s="7" t="s">
        <v>0</v>
      </c>
      <c r="P32" s="23"/>
      <c r="Q32" s="23"/>
      <c r="R32" s="7"/>
      <c r="S32" s="23"/>
      <c r="T32" s="23"/>
      <c r="U32" s="23"/>
      <c r="V32" s="24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ht="12.75">
      <c r="A33" s="3" t="s">
        <v>0</v>
      </c>
      <c r="B33" s="3" t="s">
        <v>0</v>
      </c>
      <c r="C33" s="9" t="s">
        <v>0</v>
      </c>
      <c r="D33" s="71" t="s">
        <v>0</v>
      </c>
      <c r="E33" s="14" t="s">
        <v>0</v>
      </c>
      <c r="F33" s="14"/>
      <c r="G33" s="14" t="s">
        <v>0</v>
      </c>
      <c r="H33" s="3" t="s">
        <v>0</v>
      </c>
      <c r="I33" s="23"/>
      <c r="J33" s="23"/>
      <c r="K33" s="23"/>
      <c r="L33" s="23"/>
      <c r="M33" s="23"/>
      <c r="N33" s="23"/>
      <c r="O33" s="7" t="s">
        <v>0</v>
      </c>
      <c r="P33" s="23"/>
      <c r="Q33" s="23"/>
      <c r="R33" s="7"/>
      <c r="S33" s="23"/>
      <c r="T33" s="23"/>
      <c r="U33" s="23"/>
      <c r="V33" s="24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12.75">
      <c r="A34" s="40"/>
      <c r="B34" s="40" t="s">
        <v>0</v>
      </c>
      <c r="C34" s="33"/>
      <c r="D34" s="74"/>
      <c r="E34" s="59"/>
      <c r="F34" s="59"/>
      <c r="G34" s="59"/>
      <c r="H34" s="75"/>
      <c r="I34" s="60"/>
      <c r="J34" s="60"/>
      <c r="K34" s="60"/>
      <c r="L34" s="60"/>
      <c r="M34" s="60"/>
      <c r="N34" s="60"/>
      <c r="O34" s="59"/>
      <c r="P34" s="60"/>
      <c r="Q34" s="60"/>
      <c r="R34" s="70"/>
      <c r="S34" s="60" t="s">
        <v>0</v>
      </c>
      <c r="T34" s="60"/>
      <c r="U34" s="6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12.75">
      <c r="A35" s="40"/>
      <c r="B35" s="40" t="s">
        <v>0</v>
      </c>
      <c r="C35" s="33"/>
      <c r="D35" s="40"/>
      <c r="E35" s="59"/>
      <c r="F35" s="59"/>
      <c r="G35" s="59"/>
      <c r="H35" s="75"/>
      <c r="I35" s="60"/>
      <c r="J35" s="60"/>
      <c r="K35" s="60"/>
      <c r="L35" s="60"/>
      <c r="M35" s="60"/>
      <c r="N35" s="60"/>
      <c r="O35" s="33" t="s">
        <v>0</v>
      </c>
      <c r="P35" s="60"/>
      <c r="Q35" s="40" t="s">
        <v>0</v>
      </c>
      <c r="R35" s="70"/>
      <c r="S35" s="60" t="s">
        <v>18</v>
      </c>
      <c r="T35" s="60"/>
      <c r="U35" s="6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12.75">
      <c r="A36" s="16"/>
      <c r="B36" s="24" t="s">
        <v>0</v>
      </c>
      <c r="C36" s="38" t="s">
        <v>0</v>
      </c>
      <c r="D36" s="65"/>
      <c r="E36" s="16"/>
      <c r="F36" s="16"/>
      <c r="G36" s="16"/>
      <c r="H36" s="76"/>
      <c r="I36" s="16"/>
      <c r="J36" s="16"/>
      <c r="K36" s="16"/>
      <c r="L36" s="16"/>
      <c r="M36" s="16"/>
      <c r="N36" s="24"/>
      <c r="O36" s="32" t="s">
        <v>0</v>
      </c>
      <c r="P36" s="16"/>
      <c r="Q36" s="24" t="s">
        <v>0</v>
      </c>
      <c r="R36" s="38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12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12.75">
      <c r="A38" s="81" t="s">
        <v>134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12.75">
      <c r="A39" s="81" t="s">
        <v>136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>
      <c r="A40" s="21"/>
      <c r="B40" s="23"/>
      <c r="C40" s="7"/>
      <c r="D40" s="67" t="s">
        <v>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7"/>
      <c r="P40" s="23"/>
      <c r="Q40" s="23"/>
      <c r="R40" s="7"/>
      <c r="S40" s="23"/>
      <c r="T40" s="23"/>
      <c r="U40" s="23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>
      <c r="A41" s="23"/>
      <c r="B41" s="23"/>
      <c r="C41" s="22" t="s">
        <v>0</v>
      </c>
      <c r="D41" s="67"/>
      <c r="E41" s="73" t="s">
        <v>0</v>
      </c>
      <c r="F41" s="73"/>
      <c r="G41" s="10" t="s">
        <v>28</v>
      </c>
      <c r="H41" s="10" t="s">
        <v>38</v>
      </c>
      <c r="I41" s="21" t="s">
        <v>59</v>
      </c>
      <c r="J41" s="23"/>
      <c r="K41" s="23"/>
      <c r="L41" s="23"/>
      <c r="M41" s="23"/>
      <c r="N41" s="23"/>
      <c r="O41" s="7"/>
      <c r="P41" s="23"/>
      <c r="Q41" s="23"/>
      <c r="R41" s="7"/>
      <c r="S41" s="23"/>
      <c r="T41" s="23"/>
      <c r="U41" s="23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2.75">
      <c r="A42" s="23"/>
      <c r="B42" s="73" t="s">
        <v>2</v>
      </c>
      <c r="C42" s="10" t="s">
        <v>1</v>
      </c>
      <c r="D42" s="66" t="s">
        <v>2</v>
      </c>
      <c r="E42" s="10" t="s">
        <v>58</v>
      </c>
      <c r="F42" s="77" t="s">
        <v>27</v>
      </c>
      <c r="G42" s="10" t="s">
        <v>31</v>
      </c>
      <c r="H42" s="73" t="s">
        <v>58</v>
      </c>
      <c r="I42" s="21" t="s">
        <v>27</v>
      </c>
      <c r="J42" s="77"/>
      <c r="K42" s="23"/>
      <c r="L42" s="23"/>
      <c r="M42" s="23"/>
      <c r="N42" s="73" t="s">
        <v>58</v>
      </c>
      <c r="O42" s="10" t="s">
        <v>27</v>
      </c>
      <c r="P42" s="73" t="s">
        <v>63</v>
      </c>
      <c r="Q42" s="73" t="s">
        <v>131</v>
      </c>
      <c r="R42" s="10" t="s">
        <v>63</v>
      </c>
      <c r="S42" s="73" t="s">
        <v>130</v>
      </c>
      <c r="T42" s="73"/>
      <c r="U42" s="73" t="s">
        <v>57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2.75">
      <c r="A43" s="73" t="s">
        <v>5</v>
      </c>
      <c r="B43" s="73" t="s">
        <v>3</v>
      </c>
      <c r="C43" s="10" t="s">
        <v>6</v>
      </c>
      <c r="D43" s="66" t="s">
        <v>4</v>
      </c>
      <c r="E43" s="10" t="s">
        <v>0</v>
      </c>
      <c r="F43" s="17"/>
      <c r="G43" s="7"/>
      <c r="H43" s="7"/>
      <c r="I43" s="9"/>
      <c r="J43" s="9"/>
      <c r="K43" s="23"/>
      <c r="L43" s="23"/>
      <c r="M43" s="23"/>
      <c r="N43" s="23"/>
      <c r="O43" s="10"/>
      <c r="P43" s="73"/>
      <c r="Q43" s="73"/>
      <c r="R43" s="10"/>
      <c r="S43" s="73" t="s">
        <v>61</v>
      </c>
      <c r="T43" s="73"/>
      <c r="U43" s="73"/>
      <c r="V43" s="24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>
      <c r="A44" s="23"/>
      <c r="B44" s="73" t="s">
        <v>0</v>
      </c>
      <c r="C44" s="10" t="s">
        <v>0</v>
      </c>
      <c r="D44" s="66" t="s">
        <v>0</v>
      </c>
      <c r="E44" s="10" t="s">
        <v>0</v>
      </c>
      <c r="F44" s="10" t="s">
        <v>0</v>
      </c>
      <c r="G44" s="7"/>
      <c r="H44" s="9"/>
      <c r="I44" s="9"/>
      <c r="J44" s="9"/>
      <c r="K44" s="23"/>
      <c r="L44" s="23"/>
      <c r="M44" s="23"/>
      <c r="N44" s="23"/>
      <c r="O44" s="9" t="s">
        <v>0</v>
      </c>
      <c r="P44" s="23"/>
      <c r="Q44" s="23"/>
      <c r="R44" s="7"/>
      <c r="S44" s="23"/>
      <c r="T44" s="23"/>
      <c r="U44" s="23"/>
      <c r="V44" s="24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>
      <c r="A45" s="23"/>
      <c r="B45" s="3" t="s">
        <v>0</v>
      </c>
      <c r="C45" s="9" t="s">
        <v>0</v>
      </c>
      <c r="D45" s="17" t="s">
        <v>0</v>
      </c>
      <c r="E45" s="7" t="s">
        <v>0</v>
      </c>
      <c r="F45" s="9" t="s">
        <v>0</v>
      </c>
      <c r="G45" s="7"/>
      <c r="H45" s="9"/>
      <c r="I45" s="9"/>
      <c r="J45" s="7"/>
      <c r="K45" s="23"/>
      <c r="L45" s="23"/>
      <c r="M45" s="23"/>
      <c r="N45" s="23"/>
      <c r="O45" s="9" t="s">
        <v>0</v>
      </c>
      <c r="P45" s="23"/>
      <c r="Q45" s="23"/>
      <c r="R45" s="9" t="s">
        <v>0</v>
      </c>
      <c r="S45" s="23"/>
      <c r="T45" s="23"/>
      <c r="U45" s="23"/>
      <c r="V45" s="24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2.75">
      <c r="A46" s="21" t="s">
        <v>39</v>
      </c>
      <c r="B46" s="21">
        <f>+B47+B58+B61</f>
        <v>2283078000</v>
      </c>
      <c r="C46" s="22">
        <f>SUM(C47+C58+C61)</f>
        <v>60000000</v>
      </c>
      <c r="D46" s="66">
        <f>+B46+C46</f>
        <v>2343078000</v>
      </c>
      <c r="E46" s="22">
        <f>SUM(E47+E58+E61)</f>
        <v>1379180567</v>
      </c>
      <c r="F46" s="22">
        <f>SUM(F47+F58+F61)</f>
        <v>1379180567</v>
      </c>
      <c r="G46" s="7">
        <f aca="true" t="shared" si="7" ref="G46:G62">+D46-E46</f>
        <v>963897433</v>
      </c>
      <c r="H46" s="22">
        <f aca="true" t="shared" si="8" ref="H46:H62">+E46/D46*100</f>
        <v>58.86191441343396</v>
      </c>
      <c r="I46" s="22">
        <f>+F46/D46*100</f>
        <v>58.86191441343396</v>
      </c>
      <c r="J46" s="22"/>
      <c r="K46" s="23"/>
      <c r="L46" s="23"/>
      <c r="M46" s="23"/>
      <c r="N46" s="21">
        <f>+N47+N58+N61</f>
        <v>1818003302</v>
      </c>
      <c r="O46" s="22">
        <f>SUM(O47+O58+O61)</f>
        <v>2311596688</v>
      </c>
      <c r="P46" s="21">
        <f>SUM(P47+P58+P61)</f>
        <v>2300416688</v>
      </c>
      <c r="Q46" s="22">
        <f>SUM(Q47+Q58+Q61)</f>
        <v>2311596688</v>
      </c>
      <c r="R46" s="22">
        <f>SUM(R47+R58+R61)</f>
        <v>2302169940</v>
      </c>
      <c r="S46" s="23">
        <f aca="true" t="shared" si="9" ref="S46:S62">+D46-O46</f>
        <v>31481312</v>
      </c>
      <c r="T46" s="23"/>
      <c r="U46" s="23">
        <f aca="true" t="shared" si="10" ref="U46:U62">+O46/D46*100</f>
        <v>98.65641212115004</v>
      </c>
      <c r="V46" s="24"/>
      <c r="W46" s="1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2.75">
      <c r="A47" s="21" t="s">
        <v>7</v>
      </c>
      <c r="B47" s="21">
        <f>+B48+B54+B55+B56+B57</f>
        <v>2247064000</v>
      </c>
      <c r="C47" s="22">
        <f>+C48+C54+C55+C56+C57</f>
        <v>60000000</v>
      </c>
      <c r="D47" s="66">
        <f>+D48+D54+D55+D56+D57</f>
        <v>2307064000</v>
      </c>
      <c r="E47" s="21">
        <f>+E48+E54+E55+E56+E57</f>
        <v>1354346567</v>
      </c>
      <c r="F47" s="21">
        <f>+F48+F54+F55+F56+F57</f>
        <v>1354346567</v>
      </c>
      <c r="G47" s="7">
        <f t="shared" si="7"/>
        <v>952717433</v>
      </c>
      <c r="H47" s="22">
        <f t="shared" si="8"/>
        <v>58.704334470131734</v>
      </c>
      <c r="I47" s="22">
        <f aca="true" t="shared" si="11" ref="I47:I62">+F47/D47*100</f>
        <v>58.704334470131734</v>
      </c>
      <c r="J47" s="22"/>
      <c r="K47" s="23"/>
      <c r="L47" s="23"/>
      <c r="M47" s="23"/>
      <c r="N47" s="21">
        <f>+N48+N54+N55+N56+N57</f>
        <v>1793169302</v>
      </c>
      <c r="O47" s="22">
        <f>+O48+O54+O55+O56+O57</f>
        <v>2275582688</v>
      </c>
      <c r="P47" s="21">
        <f>+P48+P54+P55+P56+P57</f>
        <v>2275582688</v>
      </c>
      <c r="Q47" s="22">
        <f>+Q48+Q54+Q55+Q56+Q57</f>
        <v>2275582688</v>
      </c>
      <c r="R47" s="22">
        <f>+R48+R54+R55+R56+R57</f>
        <v>2266155940</v>
      </c>
      <c r="S47" s="23">
        <f t="shared" si="9"/>
        <v>31481312</v>
      </c>
      <c r="T47" s="23"/>
      <c r="U47" s="23">
        <f t="shared" si="10"/>
        <v>98.63543828866472</v>
      </c>
      <c r="V47" s="24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2.75">
      <c r="A48" s="3" t="s">
        <v>8</v>
      </c>
      <c r="B48" s="23">
        <f>SUM(B49:B53)</f>
        <v>1883614000</v>
      </c>
      <c r="C48" s="7">
        <f>SUM(C49:C53)</f>
        <v>60000000</v>
      </c>
      <c r="D48" s="67">
        <f>SUM(D49:D53)</f>
        <v>1943614000</v>
      </c>
      <c r="E48" s="7">
        <f>SUM(E49:E53)</f>
        <v>1097699750</v>
      </c>
      <c r="F48" s="7">
        <f>SUM(F49:F53)</f>
        <v>1097699750</v>
      </c>
      <c r="G48" s="7">
        <f t="shared" si="7"/>
        <v>845914250</v>
      </c>
      <c r="H48" s="22">
        <f t="shared" si="8"/>
        <v>56.47725062692489</v>
      </c>
      <c r="I48" s="22">
        <f t="shared" si="11"/>
        <v>56.47725062692489</v>
      </c>
      <c r="J48" s="7"/>
      <c r="K48" s="23"/>
      <c r="L48" s="23"/>
      <c r="M48" s="23"/>
      <c r="N48" s="23">
        <f>SUM(N49:N53)</f>
        <v>1429719302</v>
      </c>
      <c r="O48" s="7">
        <f>SUM(O49:O53)</f>
        <v>1912132688</v>
      </c>
      <c r="P48" s="23">
        <f>+O48</f>
        <v>1912132688</v>
      </c>
      <c r="Q48" s="7">
        <f>SUM(Q49:Q53)</f>
        <v>1912132688</v>
      </c>
      <c r="R48" s="7">
        <f aca="true" t="shared" si="12" ref="R48:R57">+Q48</f>
        <v>1912132688</v>
      </c>
      <c r="S48" s="23">
        <f t="shared" si="9"/>
        <v>31481312</v>
      </c>
      <c r="T48" s="23"/>
      <c r="U48" s="23">
        <f t="shared" si="10"/>
        <v>98.38026933331413</v>
      </c>
      <c r="V48" s="24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12.75">
      <c r="A49" s="3" t="s">
        <v>132</v>
      </c>
      <c r="B49" s="23">
        <v>1471733281</v>
      </c>
      <c r="C49" s="7">
        <v>30000000</v>
      </c>
      <c r="D49" s="67">
        <f>+B49+C49</f>
        <v>1501733281</v>
      </c>
      <c r="E49" s="22">
        <v>910042416</v>
      </c>
      <c r="F49" s="22">
        <v>910042416</v>
      </c>
      <c r="G49" s="7">
        <f t="shared" si="7"/>
        <v>591690865</v>
      </c>
      <c r="H49" s="22">
        <f t="shared" si="8"/>
        <v>60.599470459494995</v>
      </c>
      <c r="I49" s="22">
        <f t="shared" si="11"/>
        <v>60.599470459494995</v>
      </c>
      <c r="J49" s="7"/>
      <c r="K49" s="23"/>
      <c r="L49" s="23"/>
      <c r="M49" s="23"/>
      <c r="N49" s="23">
        <v>1186166487</v>
      </c>
      <c r="O49" s="7">
        <f>+D49</f>
        <v>1501733281</v>
      </c>
      <c r="P49" s="23">
        <f aca="true" t="shared" si="13" ref="P49:P57">+O49</f>
        <v>1501733281</v>
      </c>
      <c r="Q49" s="7">
        <f aca="true" t="shared" si="14" ref="Q49:Q55">+O49</f>
        <v>1501733281</v>
      </c>
      <c r="R49" s="7">
        <f>+Q49</f>
        <v>1501733281</v>
      </c>
      <c r="S49" s="23">
        <f t="shared" si="9"/>
        <v>0</v>
      </c>
      <c r="T49" s="23"/>
      <c r="U49" s="23">
        <f t="shared" si="10"/>
        <v>100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12.75">
      <c r="A50" s="3" t="s">
        <v>133</v>
      </c>
      <c r="B50" s="23">
        <v>0</v>
      </c>
      <c r="C50" s="7">
        <v>30000000</v>
      </c>
      <c r="D50" s="67">
        <f>+B50+C50</f>
        <v>30000000</v>
      </c>
      <c r="E50" s="22"/>
      <c r="F50" s="22"/>
      <c r="G50" s="7"/>
      <c r="H50" s="22"/>
      <c r="I50" s="22"/>
      <c r="J50" s="7"/>
      <c r="K50" s="23"/>
      <c r="L50" s="23"/>
      <c r="M50" s="23"/>
      <c r="N50" s="23"/>
      <c r="O50" s="7">
        <v>0</v>
      </c>
      <c r="P50" s="23"/>
      <c r="Q50" s="7">
        <v>0</v>
      </c>
      <c r="R50" s="7">
        <v>0</v>
      </c>
      <c r="S50" s="23">
        <f t="shared" si="9"/>
        <v>30000000</v>
      </c>
      <c r="T50" s="23"/>
      <c r="U50" s="23">
        <f t="shared" si="10"/>
        <v>0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ht="12.75">
      <c r="A51" s="23" t="s">
        <v>40</v>
      </c>
      <c r="B51" s="23">
        <v>1883189</v>
      </c>
      <c r="C51" s="7">
        <v>0</v>
      </c>
      <c r="D51" s="67">
        <f aca="true" t="shared" si="15" ref="D51:D58">+B51+C51</f>
        <v>1883189</v>
      </c>
      <c r="E51" s="22">
        <v>805455</v>
      </c>
      <c r="F51" s="22">
        <v>805455</v>
      </c>
      <c r="G51" s="7">
        <f t="shared" si="7"/>
        <v>1077734</v>
      </c>
      <c r="H51" s="22">
        <f t="shared" si="8"/>
        <v>42.77079995688165</v>
      </c>
      <c r="I51" s="22">
        <f t="shared" si="11"/>
        <v>42.77079995688165</v>
      </c>
      <c r="J51" s="7"/>
      <c r="K51" s="23"/>
      <c r="L51" s="23"/>
      <c r="M51" s="23"/>
      <c r="N51" s="23">
        <v>1068815</v>
      </c>
      <c r="O51" s="7">
        <v>401877</v>
      </c>
      <c r="P51" s="23">
        <f t="shared" si="13"/>
        <v>401877</v>
      </c>
      <c r="Q51" s="7">
        <f t="shared" si="14"/>
        <v>401877</v>
      </c>
      <c r="R51" s="7">
        <f t="shared" si="12"/>
        <v>401877</v>
      </c>
      <c r="S51" s="23">
        <f t="shared" si="9"/>
        <v>1481312</v>
      </c>
      <c r="T51" s="23"/>
      <c r="U51" s="23">
        <f t="shared" si="10"/>
        <v>21.340237225259916</v>
      </c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ht="12.75">
      <c r="A52" s="23" t="s">
        <v>9</v>
      </c>
      <c r="B52" s="23">
        <v>146406000</v>
      </c>
      <c r="C52" s="7">
        <v>0</v>
      </c>
      <c r="D52" s="67">
        <f t="shared" si="15"/>
        <v>146406000</v>
      </c>
      <c r="E52" s="22">
        <v>97076221</v>
      </c>
      <c r="F52" s="22">
        <v>97076221</v>
      </c>
      <c r="G52" s="7">
        <f t="shared" si="7"/>
        <v>49329779</v>
      </c>
      <c r="H52" s="22">
        <f t="shared" si="8"/>
        <v>66.30617665942653</v>
      </c>
      <c r="I52" s="22">
        <f t="shared" si="11"/>
        <v>66.30617665942653</v>
      </c>
      <c r="J52" s="7"/>
      <c r="K52" s="23"/>
      <c r="L52" s="23"/>
      <c r="M52" s="23"/>
      <c r="N52" s="35">
        <f>+D52</f>
        <v>146406000</v>
      </c>
      <c r="O52" s="7">
        <f aca="true" t="shared" si="16" ref="O52:O57">+D52</f>
        <v>146406000</v>
      </c>
      <c r="P52" s="23">
        <f t="shared" si="13"/>
        <v>146406000</v>
      </c>
      <c r="Q52" s="7">
        <f t="shared" si="14"/>
        <v>146406000</v>
      </c>
      <c r="R52" s="7">
        <f t="shared" si="12"/>
        <v>146406000</v>
      </c>
      <c r="S52" s="23">
        <f t="shared" si="9"/>
        <v>0</v>
      </c>
      <c r="T52" s="23"/>
      <c r="U52" s="23">
        <f t="shared" si="10"/>
        <v>100</v>
      </c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12.75">
      <c r="A53" s="23" t="s">
        <v>10</v>
      </c>
      <c r="B53" s="23">
        <f>39780739+70067192+14750000+138993599</f>
        <v>263591530</v>
      </c>
      <c r="C53" s="7">
        <v>0</v>
      </c>
      <c r="D53" s="67">
        <f t="shared" si="15"/>
        <v>263591530</v>
      </c>
      <c r="E53" s="22">
        <f>11820000+57319500+18076500+2559658</f>
        <v>89775658</v>
      </c>
      <c r="F53" s="22">
        <f>11820000+57319500+18076500+2559658</f>
        <v>89775658</v>
      </c>
      <c r="G53" s="7">
        <f t="shared" si="7"/>
        <v>173815872</v>
      </c>
      <c r="H53" s="22">
        <f t="shared" si="8"/>
        <v>34.05862775636228</v>
      </c>
      <c r="I53" s="22">
        <f t="shared" si="11"/>
        <v>34.05862775636228</v>
      </c>
      <c r="J53" s="7"/>
      <c r="K53" s="23"/>
      <c r="L53" s="23"/>
      <c r="M53" s="23"/>
      <c r="N53" s="23">
        <f>13000000+62000000+21078000</f>
        <v>96078000</v>
      </c>
      <c r="O53" s="7">
        <f t="shared" si="16"/>
        <v>263591530</v>
      </c>
      <c r="P53" s="23">
        <f t="shared" si="13"/>
        <v>263591530</v>
      </c>
      <c r="Q53" s="7">
        <f t="shared" si="14"/>
        <v>263591530</v>
      </c>
      <c r="R53" s="7">
        <f t="shared" si="12"/>
        <v>263591530</v>
      </c>
      <c r="S53" s="23">
        <f t="shared" si="9"/>
        <v>0</v>
      </c>
      <c r="T53" s="23"/>
      <c r="U53" s="23">
        <f t="shared" si="10"/>
        <v>100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12.75">
      <c r="A54" s="23" t="s">
        <v>11</v>
      </c>
      <c r="B54" s="23">
        <f>49361250+46011514</f>
        <v>95372764</v>
      </c>
      <c r="C54" s="7">
        <v>0</v>
      </c>
      <c r="D54" s="67">
        <f t="shared" si="15"/>
        <v>95372764</v>
      </c>
      <c r="E54" s="22">
        <f>+D54</f>
        <v>95372764</v>
      </c>
      <c r="F54" s="22">
        <f>+E54</f>
        <v>95372764</v>
      </c>
      <c r="G54" s="7">
        <f t="shared" si="7"/>
        <v>0</v>
      </c>
      <c r="H54" s="22">
        <f t="shared" si="8"/>
        <v>100</v>
      </c>
      <c r="I54" s="22">
        <f t="shared" si="11"/>
        <v>100</v>
      </c>
      <c r="J54" s="7"/>
      <c r="K54" s="23"/>
      <c r="L54" s="23"/>
      <c r="M54" s="23"/>
      <c r="N54" s="23">
        <f>+D54</f>
        <v>95372764</v>
      </c>
      <c r="O54" s="7">
        <f t="shared" si="16"/>
        <v>95372764</v>
      </c>
      <c r="P54" s="23">
        <f>+O54</f>
        <v>95372764</v>
      </c>
      <c r="Q54" s="7">
        <f t="shared" si="14"/>
        <v>95372764</v>
      </c>
      <c r="R54" s="7">
        <f t="shared" si="12"/>
        <v>95372764</v>
      </c>
      <c r="S54" s="23">
        <f t="shared" si="9"/>
        <v>0</v>
      </c>
      <c r="T54" s="23"/>
      <c r="U54" s="23">
        <f t="shared" si="10"/>
        <v>100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ht="12.75">
      <c r="A55" s="23" t="s">
        <v>12</v>
      </c>
      <c r="B55" s="3">
        <f>117124447+75402011+17031194</f>
        <v>209557652</v>
      </c>
      <c r="C55" s="7">
        <v>0</v>
      </c>
      <c r="D55" s="67">
        <f t="shared" si="15"/>
        <v>209557652</v>
      </c>
      <c r="E55" s="22">
        <v>121440353</v>
      </c>
      <c r="F55" s="22">
        <v>121440353</v>
      </c>
      <c r="G55" s="7">
        <f t="shared" si="7"/>
        <v>88117299</v>
      </c>
      <c r="H55" s="22">
        <f t="shared" si="8"/>
        <v>57.95080821004809</v>
      </c>
      <c r="I55" s="22">
        <f t="shared" si="11"/>
        <v>57.95080821004809</v>
      </c>
      <c r="J55" s="7"/>
      <c r="K55" s="23"/>
      <c r="L55" s="23"/>
      <c r="M55" s="23"/>
      <c r="N55" s="3">
        <f>+D55</f>
        <v>209557652</v>
      </c>
      <c r="O55" s="7">
        <f>+D55</f>
        <v>209557652</v>
      </c>
      <c r="P55" s="23">
        <f t="shared" si="13"/>
        <v>209557652</v>
      </c>
      <c r="Q55" s="7">
        <f t="shared" si="14"/>
        <v>209557652</v>
      </c>
      <c r="R55" s="7">
        <f>+Q55-9426748</f>
        <v>200130904</v>
      </c>
      <c r="S55" s="23">
        <f t="shared" si="9"/>
        <v>0</v>
      </c>
      <c r="T55" s="23"/>
      <c r="U55" s="23">
        <f t="shared" si="10"/>
        <v>100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12.75">
      <c r="A56" s="23" t="s">
        <v>29</v>
      </c>
      <c r="B56" s="23">
        <v>29259792</v>
      </c>
      <c r="C56" s="7">
        <v>0</v>
      </c>
      <c r="D56" s="67">
        <f t="shared" si="15"/>
        <v>29259792</v>
      </c>
      <c r="E56" s="22">
        <v>22149500</v>
      </c>
      <c r="F56" s="22">
        <v>22149500</v>
      </c>
      <c r="G56" s="7">
        <f t="shared" si="7"/>
        <v>7110292</v>
      </c>
      <c r="H56" s="22">
        <f t="shared" si="8"/>
        <v>75.6994444799881</v>
      </c>
      <c r="I56" s="22">
        <f t="shared" si="11"/>
        <v>75.6994444799881</v>
      </c>
      <c r="J56" s="7"/>
      <c r="K56" s="23"/>
      <c r="L56" s="23"/>
      <c r="M56" s="23"/>
      <c r="N56" s="23">
        <f>+D56</f>
        <v>29259792</v>
      </c>
      <c r="O56" s="7">
        <f t="shared" si="16"/>
        <v>29259792</v>
      </c>
      <c r="P56" s="23">
        <f t="shared" si="13"/>
        <v>29259792</v>
      </c>
      <c r="Q56" s="7">
        <f>+O56</f>
        <v>29259792</v>
      </c>
      <c r="R56" s="7">
        <f t="shared" si="12"/>
        <v>29259792</v>
      </c>
      <c r="S56" s="23">
        <f t="shared" si="9"/>
        <v>0</v>
      </c>
      <c r="T56" s="23"/>
      <c r="U56" s="23">
        <f t="shared" si="10"/>
        <v>100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ht="12.75">
      <c r="A57" s="23" t="s">
        <v>30</v>
      </c>
      <c r="B57" s="23">
        <f>+B56</f>
        <v>29259792</v>
      </c>
      <c r="C57" s="7">
        <v>0</v>
      </c>
      <c r="D57" s="67">
        <f t="shared" si="15"/>
        <v>29259792</v>
      </c>
      <c r="E57" s="22">
        <v>17684200</v>
      </c>
      <c r="F57" s="22">
        <v>17684200</v>
      </c>
      <c r="G57" s="7">
        <f t="shared" si="7"/>
        <v>11575592</v>
      </c>
      <c r="H57" s="22">
        <f t="shared" si="8"/>
        <v>60.43857044506673</v>
      </c>
      <c r="I57" s="22">
        <f t="shared" si="11"/>
        <v>60.43857044506673</v>
      </c>
      <c r="J57" s="7"/>
      <c r="K57" s="23"/>
      <c r="L57" s="23"/>
      <c r="M57" s="23"/>
      <c r="N57" s="23">
        <f>+D57</f>
        <v>29259792</v>
      </c>
      <c r="O57" s="9">
        <f t="shared" si="16"/>
        <v>29259792</v>
      </c>
      <c r="P57" s="23">
        <f t="shared" si="13"/>
        <v>29259792</v>
      </c>
      <c r="Q57" s="7">
        <f>+O57</f>
        <v>29259792</v>
      </c>
      <c r="R57" s="7">
        <f t="shared" si="12"/>
        <v>29259792</v>
      </c>
      <c r="S57" s="23">
        <f t="shared" si="9"/>
        <v>0</v>
      </c>
      <c r="T57" s="23"/>
      <c r="U57" s="23">
        <f t="shared" si="10"/>
        <v>100</v>
      </c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12.75">
      <c r="A58" s="21" t="s">
        <v>13</v>
      </c>
      <c r="B58" s="21">
        <f>SUM(B59:B60)</f>
        <v>24834000</v>
      </c>
      <c r="C58" s="22">
        <f>SUM(C59:C60)</f>
        <v>0</v>
      </c>
      <c r="D58" s="66">
        <f t="shared" si="15"/>
        <v>24834000</v>
      </c>
      <c r="E58" s="22">
        <f>+E59+E60</f>
        <v>24834000</v>
      </c>
      <c r="F58" s="22">
        <f>+F59+F60</f>
        <v>24834000</v>
      </c>
      <c r="G58" s="7">
        <f t="shared" si="7"/>
        <v>0</v>
      </c>
      <c r="H58" s="22">
        <f t="shared" si="8"/>
        <v>100</v>
      </c>
      <c r="I58" s="22">
        <f t="shared" si="11"/>
        <v>100</v>
      </c>
      <c r="J58" s="22"/>
      <c r="K58" s="23"/>
      <c r="L58" s="23"/>
      <c r="M58" s="23"/>
      <c r="N58" s="21">
        <f>SUM(N59:N60)</f>
        <v>24834000</v>
      </c>
      <c r="O58" s="22">
        <f>SUM(O59:O60)</f>
        <v>24834000</v>
      </c>
      <c r="P58" s="21">
        <f>SUM(P59:P60)</f>
        <v>24834000</v>
      </c>
      <c r="Q58" s="22">
        <f>SUM(Q59:Q60)</f>
        <v>24834000</v>
      </c>
      <c r="R58" s="22">
        <f>SUM(R59:R60)</f>
        <v>24834000</v>
      </c>
      <c r="S58" s="23">
        <f t="shared" si="9"/>
        <v>0</v>
      </c>
      <c r="T58" s="23"/>
      <c r="U58" s="23">
        <f t="shared" si="10"/>
        <v>100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ht="12.75">
      <c r="A59" s="23" t="s">
        <v>14</v>
      </c>
      <c r="B59" s="23">
        <v>23279000</v>
      </c>
      <c r="C59" s="7">
        <v>0</v>
      </c>
      <c r="D59" s="67">
        <f>+B59+C59</f>
        <v>23279000</v>
      </c>
      <c r="E59" s="22">
        <f>+D59</f>
        <v>23279000</v>
      </c>
      <c r="F59" s="22">
        <f>+E59</f>
        <v>23279000</v>
      </c>
      <c r="G59" s="7">
        <f t="shared" si="7"/>
        <v>0</v>
      </c>
      <c r="H59" s="22">
        <f t="shared" si="8"/>
        <v>100</v>
      </c>
      <c r="I59" s="22">
        <f t="shared" si="11"/>
        <v>100</v>
      </c>
      <c r="J59" s="7"/>
      <c r="K59" s="23"/>
      <c r="L59" s="23"/>
      <c r="M59" s="23"/>
      <c r="N59" s="23">
        <f>+D59</f>
        <v>23279000</v>
      </c>
      <c r="O59" s="7">
        <f>+D59</f>
        <v>23279000</v>
      </c>
      <c r="P59" s="23">
        <f>+O59</f>
        <v>23279000</v>
      </c>
      <c r="Q59" s="7">
        <f>+O59</f>
        <v>23279000</v>
      </c>
      <c r="R59" s="7">
        <f>+Q59</f>
        <v>23279000</v>
      </c>
      <c r="S59" s="23">
        <f>+D59-O59</f>
        <v>0</v>
      </c>
      <c r="T59" s="23"/>
      <c r="U59" s="23">
        <f t="shared" si="10"/>
        <v>100</v>
      </c>
      <c r="V59" s="24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ht="12.75">
      <c r="A60" s="23" t="s">
        <v>15</v>
      </c>
      <c r="B60" s="23">
        <v>1555000</v>
      </c>
      <c r="C60" s="7">
        <v>0</v>
      </c>
      <c r="D60" s="67">
        <f>+B60+C60</f>
        <v>1555000</v>
      </c>
      <c r="E60" s="22">
        <f>+D60</f>
        <v>1555000</v>
      </c>
      <c r="F60" s="22">
        <f>+E60</f>
        <v>1555000</v>
      </c>
      <c r="G60" s="7">
        <f t="shared" si="7"/>
        <v>0</v>
      </c>
      <c r="H60" s="22">
        <f t="shared" si="8"/>
        <v>100</v>
      </c>
      <c r="I60" s="22">
        <f t="shared" si="11"/>
        <v>100</v>
      </c>
      <c r="J60" s="7"/>
      <c r="K60" s="23"/>
      <c r="L60" s="23"/>
      <c r="M60" s="23"/>
      <c r="N60" s="23">
        <f>+D60</f>
        <v>1555000</v>
      </c>
      <c r="O60" s="7">
        <f>+D60</f>
        <v>1555000</v>
      </c>
      <c r="P60" s="23">
        <f>+O60</f>
        <v>1555000</v>
      </c>
      <c r="Q60" s="7">
        <f>+O60</f>
        <v>1555000</v>
      </c>
      <c r="R60" s="7">
        <f>+P60</f>
        <v>1555000</v>
      </c>
      <c r="S60" s="23">
        <f t="shared" si="9"/>
        <v>0</v>
      </c>
      <c r="T60" s="23"/>
      <c r="U60" s="23">
        <f t="shared" si="10"/>
        <v>100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ht="12.75">
      <c r="A61" s="23" t="s">
        <v>16</v>
      </c>
      <c r="B61" s="23">
        <f>+B62</f>
        <v>11180000</v>
      </c>
      <c r="C61" s="7">
        <f>+C62</f>
        <v>0</v>
      </c>
      <c r="D61" s="67">
        <f>+B61+C61</f>
        <v>11180000</v>
      </c>
      <c r="E61" s="22">
        <f>+E62</f>
        <v>0</v>
      </c>
      <c r="F61" s="22">
        <f>+F62</f>
        <v>0</v>
      </c>
      <c r="G61" s="7">
        <f t="shared" si="7"/>
        <v>11180000</v>
      </c>
      <c r="H61" s="22">
        <f t="shared" si="8"/>
        <v>0</v>
      </c>
      <c r="I61" s="22">
        <f t="shared" si="11"/>
        <v>0</v>
      </c>
      <c r="J61" s="7"/>
      <c r="K61" s="23"/>
      <c r="L61" s="23"/>
      <c r="M61" s="23"/>
      <c r="N61" s="23">
        <f>+N62</f>
        <v>0</v>
      </c>
      <c r="O61" s="7">
        <f>+O62</f>
        <v>11180000</v>
      </c>
      <c r="P61" s="23">
        <f>+P62</f>
        <v>0</v>
      </c>
      <c r="Q61" s="7">
        <f>+Q62</f>
        <v>11180000</v>
      </c>
      <c r="R61" s="7">
        <f>+R62</f>
        <v>11180000</v>
      </c>
      <c r="S61" s="23">
        <f t="shared" si="9"/>
        <v>0</v>
      </c>
      <c r="T61" s="23"/>
      <c r="U61" s="23">
        <f t="shared" si="10"/>
        <v>100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ht="12.75">
      <c r="A62" s="23" t="s">
        <v>16</v>
      </c>
      <c r="B62" s="23">
        <v>11180000</v>
      </c>
      <c r="C62" s="7">
        <v>0</v>
      </c>
      <c r="D62" s="67">
        <f>+B62+C62</f>
        <v>11180000</v>
      </c>
      <c r="E62" s="22">
        <v>0</v>
      </c>
      <c r="F62" s="22">
        <v>0</v>
      </c>
      <c r="G62" s="7">
        <f t="shared" si="7"/>
        <v>11180000</v>
      </c>
      <c r="H62" s="22">
        <f t="shared" si="8"/>
        <v>0</v>
      </c>
      <c r="I62" s="22">
        <f t="shared" si="11"/>
        <v>0</v>
      </c>
      <c r="J62" s="7"/>
      <c r="K62" s="23"/>
      <c r="L62" s="23"/>
      <c r="M62" s="23"/>
      <c r="N62" s="23">
        <v>0</v>
      </c>
      <c r="O62" s="7">
        <f>+D62</f>
        <v>11180000</v>
      </c>
      <c r="P62" s="23">
        <v>0</v>
      </c>
      <c r="Q62" s="7">
        <f>+O62</f>
        <v>11180000</v>
      </c>
      <c r="R62" s="7">
        <f>+Q62</f>
        <v>11180000</v>
      </c>
      <c r="S62" s="23">
        <f t="shared" si="9"/>
        <v>0</v>
      </c>
      <c r="T62" s="23"/>
      <c r="U62" s="23">
        <f t="shared" si="10"/>
        <v>100</v>
      </c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12.75">
      <c r="A63" s="3" t="s">
        <v>18</v>
      </c>
      <c r="B63" s="3" t="s">
        <v>0</v>
      </c>
      <c r="C63" s="9" t="s">
        <v>0</v>
      </c>
      <c r="D63" s="17" t="s">
        <v>0</v>
      </c>
      <c r="E63" s="22" t="s">
        <v>0</v>
      </c>
      <c r="F63" s="22"/>
      <c r="G63" s="7"/>
      <c r="H63" s="22" t="s">
        <v>0</v>
      </c>
      <c r="I63" s="7"/>
      <c r="J63" s="7"/>
      <c r="K63" s="23"/>
      <c r="L63" s="23"/>
      <c r="M63" s="23"/>
      <c r="N63" s="23"/>
      <c r="O63" s="7"/>
      <c r="P63" s="23"/>
      <c r="Q63" s="23"/>
      <c r="R63" s="7"/>
      <c r="S63" s="23"/>
      <c r="T63" s="23"/>
      <c r="U63" s="23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12.75">
      <c r="A64" s="16"/>
      <c r="B64" s="24"/>
      <c r="C64" s="32"/>
      <c r="D64" s="6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32"/>
      <c r="P64" s="16"/>
      <c r="Q64" s="16"/>
      <c r="R64" s="38" t="s">
        <v>0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12.75">
      <c r="A65" s="16"/>
      <c r="B65" s="24"/>
      <c r="C65" s="33"/>
      <c r="D65" s="78" t="s">
        <v>0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3">
        <f>+O63</f>
        <v>0</v>
      </c>
      <c r="P65" s="40"/>
      <c r="Q65" s="40"/>
      <c r="R65" s="33"/>
      <c r="S65" s="40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12.75">
      <c r="A66" s="16"/>
      <c r="B66" s="24"/>
      <c r="C66" s="24"/>
      <c r="D66" s="2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24"/>
      <c r="P66" s="60"/>
      <c r="Q66" s="24"/>
      <c r="R66" s="32"/>
      <c r="S66" s="60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2.75">
      <c r="A67" s="16"/>
      <c r="B67" s="24"/>
      <c r="C67" s="70"/>
      <c r="D67" s="78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70"/>
      <c r="P67" s="60"/>
      <c r="Q67" s="40"/>
      <c r="R67" s="70"/>
      <c r="S67" s="60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ht="12.75">
      <c r="A68" s="16"/>
      <c r="B68" s="16"/>
      <c r="C68" s="70"/>
      <c r="D68" s="7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70"/>
      <c r="P68" s="60"/>
      <c r="Q68" s="40"/>
      <c r="R68" s="70"/>
      <c r="S68" s="60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ht="12.75">
      <c r="A69" s="16"/>
      <c r="B69" s="24"/>
      <c r="C69" s="70"/>
      <c r="D69" s="79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70"/>
      <c r="P69" s="60"/>
      <c r="Q69" s="60"/>
      <c r="R69" s="70"/>
      <c r="S69" s="60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12.75">
      <c r="A70" s="16"/>
      <c r="B70" s="16"/>
      <c r="C70" s="70"/>
      <c r="D70" s="7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70"/>
      <c r="P70" s="70"/>
      <c r="Q70" s="70"/>
      <c r="R70" s="70"/>
      <c r="S70" s="60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12.75">
      <c r="A71" s="16"/>
      <c r="B71" s="16"/>
      <c r="C71" s="70"/>
      <c r="D71" s="79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70"/>
      <c r="P71" s="70"/>
      <c r="Q71" s="70"/>
      <c r="R71" s="70"/>
      <c r="S71" s="60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ht="12.75">
      <c r="A72" s="16"/>
      <c r="B72" s="16"/>
      <c r="C72" s="70"/>
      <c r="D72" s="78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70"/>
      <c r="P72" s="70"/>
      <c r="Q72" s="70"/>
      <c r="R72" s="70"/>
      <c r="S72" s="60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ht="12.75">
      <c r="A73" s="16"/>
      <c r="B73" s="16"/>
      <c r="C73" s="70"/>
      <c r="D73" s="78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70"/>
      <c r="P73" s="70"/>
      <c r="Q73" s="70"/>
      <c r="R73" s="70"/>
      <c r="S73" s="60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 ht="12.75">
      <c r="A74" s="16"/>
      <c r="B74" s="16"/>
      <c r="C74" s="70"/>
      <c r="D74" s="78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33"/>
      <c r="P74" s="33"/>
      <c r="Q74" s="33"/>
      <c r="R74" s="33"/>
      <c r="S74" s="60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ht="12.75">
      <c r="A75" s="16"/>
      <c r="B75" s="16"/>
      <c r="C75" s="70"/>
      <c r="D75" s="7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70"/>
      <c r="P75" s="60"/>
      <c r="Q75" s="60"/>
      <c r="R75" s="70"/>
      <c r="S75" s="60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12.75">
      <c r="A76" s="16"/>
      <c r="B76" s="16"/>
      <c r="C76" s="16"/>
      <c r="D76" s="16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16"/>
      <c r="P76" s="60"/>
      <c r="Q76" s="16"/>
      <c r="R76" s="70"/>
      <c r="S76" s="60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ht="12.75">
      <c r="A77" s="16"/>
      <c r="B77" s="16"/>
      <c r="C77" s="70"/>
      <c r="D77" s="79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70"/>
      <c r="P77" s="60"/>
      <c r="Q77" s="60"/>
      <c r="R77" s="70"/>
      <c r="S77" s="60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</row>
    <row r="78" spans="1:41" ht="12.75">
      <c r="A78" s="16"/>
      <c r="B78" s="16"/>
      <c r="C78" s="70"/>
      <c r="D78" s="78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33"/>
      <c r="P78" s="60"/>
      <c r="Q78" s="60"/>
      <c r="R78" s="70"/>
      <c r="S78" s="60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41" ht="12.75">
      <c r="A79" s="16"/>
      <c r="B79" s="16"/>
      <c r="C79" s="70"/>
      <c r="D79" s="79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70"/>
      <c r="P79" s="60"/>
      <c r="Q79" s="60"/>
      <c r="R79" s="70"/>
      <c r="S79" s="60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41" ht="12.75">
      <c r="A80" s="16"/>
      <c r="B80" s="16"/>
      <c r="C80" s="38"/>
      <c r="D80" s="80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80"/>
      <c r="P80" s="16"/>
      <c r="Q80" s="80"/>
      <c r="R80" s="80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 ht="12.75">
      <c r="A81" s="16"/>
      <c r="B81" s="16"/>
      <c r="C81" s="38"/>
      <c r="D81" s="80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38"/>
      <c r="P81" s="16"/>
      <c r="Q81" s="24"/>
      <c r="R81" s="38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</row>
    <row r="82" spans="1:41" ht="12.75">
      <c r="A82" s="16"/>
      <c r="B82" s="16"/>
      <c r="C82" s="38"/>
      <c r="D82" s="80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38"/>
      <c r="P82" s="16"/>
      <c r="Q82" s="16"/>
      <c r="R82" s="38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</row>
    <row r="83" spans="1:41" ht="12.75">
      <c r="A83" s="16"/>
      <c r="B83" s="16"/>
      <c r="C83" s="38"/>
      <c r="D83" s="80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38"/>
      <c r="P83" s="16"/>
      <c r="Q83" s="16"/>
      <c r="R83" s="38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</row>
    <row r="84" spans="1:41" ht="12.75">
      <c r="A84" s="16"/>
      <c r="B84" s="16"/>
      <c r="C84" s="38"/>
      <c r="D84" s="80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38"/>
      <c r="P84" s="16"/>
      <c r="Q84" s="16"/>
      <c r="R84" s="38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</row>
    <row r="85" spans="1:41" ht="12.75">
      <c r="A85" s="16"/>
      <c r="B85" s="16"/>
      <c r="C85" s="38"/>
      <c r="D85" s="80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38"/>
      <c r="P85" s="16"/>
      <c r="Q85" s="16"/>
      <c r="R85" s="38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 ht="12.75">
      <c r="A86" s="16"/>
      <c r="B86" s="16"/>
      <c r="C86" s="38"/>
      <c r="D86" s="80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38"/>
      <c r="P86" s="16"/>
      <c r="Q86" s="16"/>
      <c r="R86" s="38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</row>
    <row r="87" spans="1:41" ht="12.75">
      <c r="A87" s="16"/>
      <c r="B87" s="16"/>
      <c r="C87" s="38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38"/>
      <c r="P87" s="16"/>
      <c r="Q87" s="16"/>
      <c r="R87" s="38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ht="12.75">
      <c r="A88" s="16"/>
      <c r="B88" s="16"/>
      <c r="C88" s="38"/>
      <c r="D88" s="80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38"/>
      <c r="P88" s="16"/>
      <c r="Q88" s="16"/>
      <c r="R88" s="38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ht="12.75">
      <c r="A89" s="16"/>
      <c r="B89" s="16"/>
      <c r="C89" s="38"/>
      <c r="D89" s="80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38"/>
      <c r="P89" s="16"/>
      <c r="Q89" s="16"/>
      <c r="R89" s="38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 ht="12.75">
      <c r="A90" s="16"/>
      <c r="B90" s="16"/>
      <c r="C90" s="38"/>
      <c r="D90" s="80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38"/>
      <c r="P90" s="16"/>
      <c r="Q90" s="16"/>
      <c r="R90" s="38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ht="12.75">
      <c r="A91" s="16"/>
      <c r="B91" s="16"/>
      <c r="C91" s="38"/>
      <c r="D91" s="80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38"/>
      <c r="P91" s="16"/>
      <c r="Q91" s="16"/>
      <c r="R91" s="38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</row>
    <row r="92" spans="1:41" ht="12.75">
      <c r="A92" s="16"/>
      <c r="B92" s="16"/>
      <c r="C92" s="38"/>
      <c r="D92" s="80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38"/>
      <c r="P92" s="16"/>
      <c r="Q92" s="16"/>
      <c r="R92" s="38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</row>
    <row r="93" spans="1:41" ht="12.75">
      <c r="A93" s="16"/>
      <c r="B93" s="16"/>
      <c r="C93" s="38"/>
      <c r="D93" s="80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38"/>
      <c r="P93" s="16"/>
      <c r="Q93" s="16"/>
      <c r="R93" s="38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</row>
    <row r="94" spans="1:41" ht="12.75">
      <c r="A94" s="16"/>
      <c r="B94" s="16"/>
      <c r="C94" s="38"/>
      <c r="D94" s="80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38"/>
      <c r="P94" s="16"/>
      <c r="Q94" s="16"/>
      <c r="R94" s="38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</row>
    <row r="95" spans="1:41" ht="12.75">
      <c r="A95" s="16"/>
      <c r="B95" s="16"/>
      <c r="C95" s="38"/>
      <c r="D95" s="80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38"/>
      <c r="P95" s="16"/>
      <c r="Q95" s="16"/>
      <c r="R95" s="38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1" ht="12.75">
      <c r="A96" s="16"/>
      <c r="B96" s="16"/>
      <c r="C96" s="38"/>
      <c r="D96" s="80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38"/>
      <c r="P96" s="16"/>
      <c r="Q96" s="16"/>
      <c r="R96" s="38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</row>
    <row r="97" spans="1:41" ht="12.75">
      <c r="A97" s="16"/>
      <c r="B97" s="16"/>
      <c r="C97" s="38"/>
      <c r="D97" s="80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38"/>
      <c r="P97" s="16"/>
      <c r="Q97" s="16"/>
      <c r="R97" s="38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</row>
    <row r="98" spans="1:41" ht="12.75">
      <c r="A98" s="16"/>
      <c r="B98" s="16"/>
      <c r="C98" s="38"/>
      <c r="D98" s="80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38"/>
      <c r="P98" s="16"/>
      <c r="Q98" s="16"/>
      <c r="R98" s="38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</row>
    <row r="99" spans="1:41" ht="12.75">
      <c r="A99" s="16"/>
      <c r="B99" s="16"/>
      <c r="C99" s="38"/>
      <c r="D99" s="80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38"/>
      <c r="P99" s="16"/>
      <c r="Q99" s="16"/>
      <c r="R99" s="38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</row>
    <row r="100" spans="1:41" ht="12.75">
      <c r="A100" s="16"/>
      <c r="B100" s="16"/>
      <c r="C100" s="38"/>
      <c r="D100" s="80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38"/>
      <c r="P100" s="16"/>
      <c r="Q100" s="16"/>
      <c r="R100" s="38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</row>
    <row r="101" spans="1:41" ht="12.75">
      <c r="A101" s="16"/>
      <c r="B101" s="16"/>
      <c r="C101" s="38"/>
      <c r="D101" s="80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38"/>
      <c r="P101" s="16"/>
      <c r="Q101" s="16"/>
      <c r="R101" s="38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</row>
    <row r="102" spans="1:41" ht="12.75">
      <c r="A102" s="16"/>
      <c r="B102" s="16"/>
      <c r="C102" s="38"/>
      <c r="D102" s="80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38"/>
      <c r="P102" s="16"/>
      <c r="Q102" s="16"/>
      <c r="R102" s="38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</row>
    <row r="103" spans="1:41" ht="12.75">
      <c r="A103" s="16"/>
      <c r="B103" s="16"/>
      <c r="C103" s="38"/>
      <c r="D103" s="80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38"/>
      <c r="P103" s="16"/>
      <c r="Q103" s="16"/>
      <c r="R103" s="38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</row>
    <row r="104" spans="1:41" ht="12.75">
      <c r="A104" s="16"/>
      <c r="B104" s="16"/>
      <c r="C104" s="38"/>
      <c r="D104" s="80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38"/>
      <c r="P104" s="16"/>
      <c r="Q104" s="16"/>
      <c r="R104" s="38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</row>
    <row r="105" spans="1:41" ht="12.75">
      <c r="A105" s="16"/>
      <c r="B105" s="16"/>
      <c r="C105" s="38"/>
      <c r="D105" s="80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38"/>
      <c r="P105" s="16"/>
      <c r="Q105" s="16"/>
      <c r="R105" s="38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</row>
    <row r="106" spans="1:41" ht="12.75">
      <c r="A106" s="16"/>
      <c r="B106" s="16"/>
      <c r="C106" s="38"/>
      <c r="D106" s="80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38"/>
      <c r="P106" s="16"/>
      <c r="Q106" s="16"/>
      <c r="R106" s="38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</row>
    <row r="107" spans="1:41" ht="12.75">
      <c r="A107" s="16"/>
      <c r="B107" s="16"/>
      <c r="C107" s="38"/>
      <c r="D107" s="80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38"/>
      <c r="P107" s="16"/>
      <c r="Q107" s="16"/>
      <c r="R107" s="38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</row>
    <row r="108" spans="1:21" ht="12.75">
      <c r="A108" s="16"/>
      <c r="B108" s="16"/>
      <c r="C108" s="38"/>
      <c r="D108" s="80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38"/>
      <c r="P108" s="16"/>
      <c r="Q108" s="16"/>
      <c r="R108" s="38"/>
      <c r="S108" s="16"/>
      <c r="T108" s="16"/>
      <c r="U108" s="16"/>
    </row>
    <row r="109" spans="1:21" ht="12.75">
      <c r="A109" s="16"/>
      <c r="B109" s="16"/>
      <c r="C109" s="38"/>
      <c r="D109" s="80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38"/>
      <c r="P109" s="16"/>
      <c r="Q109" s="16"/>
      <c r="R109" s="38"/>
      <c r="S109" s="16"/>
      <c r="T109" s="16"/>
      <c r="U109" s="16"/>
    </row>
    <row r="110" spans="1:21" ht="12.75">
      <c r="A110" s="16"/>
      <c r="B110" s="16"/>
      <c r="C110" s="38"/>
      <c r="D110" s="80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38"/>
      <c r="P110" s="16"/>
      <c r="Q110" s="16"/>
      <c r="R110" s="38"/>
      <c r="S110" s="16"/>
      <c r="T110" s="16"/>
      <c r="U110" s="16"/>
    </row>
    <row r="111" spans="1:21" ht="12.75">
      <c r="A111" s="16"/>
      <c r="B111" s="16"/>
      <c r="C111" s="38"/>
      <c r="D111" s="80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38"/>
      <c r="P111" s="16"/>
      <c r="Q111" s="16"/>
      <c r="R111" s="38"/>
      <c r="S111" s="16"/>
      <c r="T111" s="16"/>
      <c r="U111" s="16"/>
    </row>
    <row r="112" spans="1:21" ht="12.75">
      <c r="A112" s="16"/>
      <c r="B112" s="16"/>
      <c r="C112" s="38"/>
      <c r="D112" s="80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38"/>
      <c r="P112" s="16"/>
      <c r="Q112" s="16"/>
      <c r="R112" s="38"/>
      <c r="S112" s="16"/>
      <c r="T112" s="16"/>
      <c r="U112" s="16"/>
    </row>
    <row r="113" spans="1:21" ht="12.75">
      <c r="A113" s="16"/>
      <c r="B113" s="16"/>
      <c r="C113" s="38"/>
      <c r="D113" s="80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38"/>
      <c r="P113" s="16"/>
      <c r="Q113" s="16"/>
      <c r="R113" s="38"/>
      <c r="S113" s="16"/>
      <c r="T113" s="16"/>
      <c r="U113" s="16"/>
    </row>
    <row r="114" spans="2:21" ht="12.75">
      <c r="B114" s="1"/>
      <c r="C114" s="41"/>
      <c r="D114" s="6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1"/>
      <c r="P114" s="1"/>
      <c r="Q114" s="1"/>
      <c r="R114" s="41"/>
      <c r="S114" s="1"/>
      <c r="T114" s="1"/>
      <c r="U114" s="1"/>
    </row>
    <row r="115" spans="2:21" ht="12.75">
      <c r="B115" s="1"/>
      <c r="C115" s="41"/>
      <c r="D115" s="6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1"/>
      <c r="P115" s="1"/>
      <c r="Q115" s="1"/>
      <c r="R115" s="41"/>
      <c r="S115" s="1"/>
      <c r="T115" s="1"/>
      <c r="U115" s="1"/>
    </row>
    <row r="116" spans="2:21" ht="12.75">
      <c r="B116" s="1"/>
      <c r="C116" s="41"/>
      <c r="D116" s="6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1"/>
      <c r="P116" s="1"/>
      <c r="Q116" s="1"/>
      <c r="R116" s="41"/>
      <c r="S116" s="1"/>
      <c r="T116" s="1"/>
      <c r="U116" s="1"/>
    </row>
    <row r="117" spans="2:21" ht="12.75">
      <c r="B117" s="1"/>
      <c r="C117" s="41"/>
      <c r="D117" s="6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1"/>
      <c r="P117" s="1"/>
      <c r="Q117" s="1"/>
      <c r="R117" s="41"/>
      <c r="S117" s="1"/>
      <c r="T117" s="1"/>
      <c r="U117" s="1"/>
    </row>
  </sheetData>
  <sheetProtection/>
  <mergeCells count="6">
    <mergeCell ref="A39:U39"/>
    <mergeCell ref="A1:U1"/>
    <mergeCell ref="A2:U2"/>
    <mergeCell ref="A3:U3"/>
    <mergeCell ref="A38:U38"/>
    <mergeCell ref="A37:U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25" t="s">
        <v>107</v>
      </c>
      <c r="H2" s="25" t="s">
        <v>108</v>
      </c>
    </row>
    <row r="3" spans="1:12" ht="12.75">
      <c r="A3" t="s">
        <v>79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4" t="s">
        <v>0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4" t="s">
        <v>0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80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81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82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83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84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85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86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87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25" t="s">
        <v>88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25" t="s">
        <v>89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25" t="s">
        <v>90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25" t="s">
        <v>91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4" t="s">
        <v>0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4" t="s">
        <v>0</v>
      </c>
      <c r="G21" s="1"/>
      <c r="H21" s="1"/>
      <c r="I21" s="1"/>
      <c r="J21" s="1"/>
      <c r="K21" s="1"/>
      <c r="L21" s="1"/>
    </row>
    <row r="22" spans="1:12" ht="12.75">
      <c r="A22" s="25" t="s">
        <v>96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25" t="s">
        <v>92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4" t="s">
        <v>0</v>
      </c>
      <c r="E25" s="1"/>
      <c r="F25" s="4" t="s">
        <v>0</v>
      </c>
      <c r="G25" s="1"/>
      <c r="H25" s="1"/>
      <c r="I25" s="1"/>
      <c r="J25" s="1"/>
      <c r="K25" s="1"/>
      <c r="L25" s="1"/>
    </row>
    <row r="26" spans="1:12" ht="12.75">
      <c r="A26" s="25" t="s">
        <v>93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25" t="s">
        <v>94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4" t="s">
        <v>0</v>
      </c>
      <c r="E28" s="1"/>
      <c r="F28" s="4" t="s">
        <v>0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25" t="s">
        <v>95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25" t="s">
        <v>97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25" t="s">
        <v>98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25" t="s">
        <v>99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25" t="s">
        <v>100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25" t="s">
        <v>101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25" t="s">
        <v>102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25" t="s">
        <v>103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25" t="s">
        <v>104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25" t="s">
        <v>105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25" t="s">
        <v>106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28"/>
      <c r="B3" s="8"/>
      <c r="C3" s="8"/>
      <c r="D3" s="8"/>
      <c r="E3" s="8"/>
      <c r="F3" s="20" t="s">
        <v>109</v>
      </c>
      <c r="G3" s="20" t="s">
        <v>110</v>
      </c>
      <c r="H3" s="20" t="str">
        <f>+G3</f>
        <v>CONTRACREDITO</v>
      </c>
      <c r="I3" s="20" t="str">
        <f>+H3</f>
        <v>CONTRACREDITO</v>
      </c>
      <c r="J3" s="20" t="s">
        <v>111</v>
      </c>
      <c r="K3" s="20" t="str">
        <f>+J3</f>
        <v>ADICIONES</v>
      </c>
      <c r="L3" s="20" t="s">
        <v>112</v>
      </c>
      <c r="M3" s="8" t="str">
        <f>+L3</f>
        <v>CREDITOS</v>
      </c>
      <c r="N3" s="8" t="str">
        <f>+M3</f>
        <v>CREDITOS</v>
      </c>
      <c r="O3" s="49" t="s">
        <v>56</v>
      </c>
      <c r="R3" t="s">
        <v>115</v>
      </c>
      <c r="S3" t="s">
        <v>111</v>
      </c>
      <c r="T3" t="s">
        <v>112</v>
      </c>
      <c r="U3" t="s">
        <v>116</v>
      </c>
      <c r="V3" t="s">
        <v>55</v>
      </c>
      <c r="W3" s="25" t="s">
        <v>129</v>
      </c>
    </row>
    <row r="4" spans="1:23" ht="63.75">
      <c r="A4" s="47" t="s">
        <v>17</v>
      </c>
      <c r="B4" s="42" t="s">
        <v>32</v>
      </c>
      <c r="C4" s="43">
        <v>900</v>
      </c>
      <c r="D4" s="44">
        <v>1</v>
      </c>
      <c r="E4" s="45" t="s">
        <v>41</v>
      </c>
      <c r="F4" s="36">
        <f>1350000000</f>
        <v>1350000000</v>
      </c>
      <c r="G4" s="56">
        <v>-2572702</v>
      </c>
      <c r="H4" s="57">
        <v>-920388624</v>
      </c>
      <c r="I4" s="11"/>
      <c r="J4" s="11"/>
      <c r="K4" s="11"/>
      <c r="L4" s="11"/>
      <c r="M4" s="11"/>
      <c r="N4" s="11"/>
      <c r="O4" s="11">
        <f aca="true" t="shared" si="0" ref="O4:O17">SUM(F4:N4)</f>
        <v>427038674</v>
      </c>
      <c r="P4" t="s">
        <v>113</v>
      </c>
      <c r="Q4" t="s">
        <v>114</v>
      </c>
      <c r="R4" s="16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16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47" t="s">
        <v>17</v>
      </c>
      <c r="B5" s="42" t="s">
        <v>32</v>
      </c>
      <c r="C5" s="43">
        <f>+C4</f>
        <v>900</v>
      </c>
      <c r="D5" s="44">
        <v>2</v>
      </c>
      <c r="E5" s="45" t="s">
        <v>42</v>
      </c>
      <c r="F5" s="27">
        <f>350000000</f>
        <v>350000000</v>
      </c>
      <c r="G5" s="58">
        <v>-23894914</v>
      </c>
      <c r="H5" s="55">
        <v>-169213677</v>
      </c>
      <c r="I5" s="11"/>
      <c r="J5" s="11"/>
      <c r="K5" s="11"/>
      <c r="L5" s="11"/>
      <c r="M5" s="11"/>
      <c r="N5" s="11"/>
      <c r="O5" s="11">
        <f t="shared" si="0"/>
        <v>156891409</v>
      </c>
      <c r="P5" t="s">
        <v>117</v>
      </c>
      <c r="Q5" t="s">
        <v>118</v>
      </c>
      <c r="R5" s="16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16">
        <f t="shared" si="1"/>
        <v>2184254031</v>
      </c>
      <c r="W5" s="1">
        <f>408966674+156891409+198574475+223543821+1135936327</f>
        <v>2123912706</v>
      </c>
    </row>
    <row r="6" spans="1:23" ht="42.75">
      <c r="A6" s="47" t="s">
        <v>17</v>
      </c>
      <c r="B6" s="42" t="s">
        <v>32</v>
      </c>
      <c r="C6" s="43">
        <v>900</v>
      </c>
      <c r="D6" s="44">
        <v>3</v>
      </c>
      <c r="E6" s="45" t="s">
        <v>54</v>
      </c>
      <c r="F6" s="27">
        <v>300000000</v>
      </c>
      <c r="G6" s="58">
        <v>0</v>
      </c>
      <c r="H6" s="55">
        <v>-600906843</v>
      </c>
      <c r="I6" s="11">
        <v>-518682</v>
      </c>
      <c r="J6" s="53">
        <v>500000000</v>
      </c>
      <c r="K6" s="11"/>
      <c r="L6" s="11"/>
      <c r="M6" s="11"/>
      <c r="N6" s="11"/>
      <c r="O6" s="11">
        <f t="shared" si="0"/>
        <v>198574475</v>
      </c>
      <c r="P6" t="s">
        <v>119</v>
      </c>
      <c r="Q6" t="s">
        <v>120</v>
      </c>
      <c r="R6" s="16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16">
        <f t="shared" si="1"/>
        <v>1877233369</v>
      </c>
      <c r="W6" s="1">
        <v>1877233207</v>
      </c>
    </row>
    <row r="7" spans="1:23" ht="32.25">
      <c r="A7" s="47" t="s">
        <v>17</v>
      </c>
      <c r="B7" s="42" t="s">
        <v>33</v>
      </c>
      <c r="C7" s="43">
        <v>900</v>
      </c>
      <c r="D7" s="44">
        <v>1</v>
      </c>
      <c r="E7" s="45" t="s">
        <v>43</v>
      </c>
      <c r="F7" s="27">
        <v>3677074400</v>
      </c>
      <c r="G7" s="26">
        <v>0</v>
      </c>
      <c r="H7" s="55">
        <v>-4595103399</v>
      </c>
      <c r="I7" s="11"/>
      <c r="J7" s="53">
        <v>918028999</v>
      </c>
      <c r="K7" s="11"/>
      <c r="L7" s="11"/>
      <c r="M7" s="11"/>
      <c r="N7" s="11"/>
      <c r="O7" s="11">
        <f t="shared" si="0"/>
        <v>0</v>
      </c>
      <c r="P7" t="s">
        <v>121</v>
      </c>
      <c r="Q7" t="s">
        <v>122</v>
      </c>
      <c r="R7" s="16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16">
        <f t="shared" si="1"/>
        <v>2562562737</v>
      </c>
      <c r="W7" s="1">
        <f>319998529+2173142971</f>
        <v>2493141500</v>
      </c>
    </row>
    <row r="8" spans="1:23" ht="32.25">
      <c r="A8" s="47" t="s">
        <v>17</v>
      </c>
      <c r="B8" s="42" t="s">
        <v>33</v>
      </c>
      <c r="C8" s="43">
        <v>900</v>
      </c>
      <c r="D8" s="44">
        <v>2</v>
      </c>
      <c r="E8" s="45" t="s">
        <v>44</v>
      </c>
      <c r="F8" s="27">
        <v>1199818416</v>
      </c>
      <c r="G8" s="27">
        <v>0</v>
      </c>
      <c r="H8" s="55">
        <v>-2566309866</v>
      </c>
      <c r="I8" s="11"/>
      <c r="J8" s="53">
        <v>1393598524</v>
      </c>
      <c r="K8" s="11"/>
      <c r="L8" s="11"/>
      <c r="M8" s="11"/>
      <c r="N8" s="11"/>
      <c r="O8" s="11">
        <f t="shared" si="0"/>
        <v>27107074</v>
      </c>
      <c r="P8" t="s">
        <v>123</v>
      </c>
      <c r="Q8" t="s">
        <v>124</v>
      </c>
      <c r="R8" s="16">
        <f>+F15</f>
        <v>700000000</v>
      </c>
      <c r="S8" s="1">
        <f>+J15</f>
        <v>900000000</v>
      </c>
      <c r="T8" s="1">
        <f>+L32</f>
        <v>1445581568</v>
      </c>
      <c r="U8" s="16">
        <f>+G15</f>
        <v>-1435581568</v>
      </c>
      <c r="V8" s="16">
        <f t="shared" si="1"/>
        <v>1610000000</v>
      </c>
      <c r="W8" s="1">
        <f>164418432+1398378737</f>
        <v>1562797169</v>
      </c>
    </row>
    <row r="9" spans="1:23" ht="42.75">
      <c r="A9" s="47" t="s">
        <v>17</v>
      </c>
      <c r="B9" s="42" t="s">
        <v>33</v>
      </c>
      <c r="C9" s="43">
        <v>900</v>
      </c>
      <c r="D9" s="44">
        <v>3</v>
      </c>
      <c r="E9" s="45" t="s">
        <v>45</v>
      </c>
      <c r="F9" s="27">
        <v>1528730952</v>
      </c>
      <c r="G9" s="27">
        <v>0</v>
      </c>
      <c r="H9" s="55">
        <v>-2648057344</v>
      </c>
      <c r="I9" s="11"/>
      <c r="J9" s="53">
        <v>1553352672</v>
      </c>
      <c r="K9" s="11"/>
      <c r="L9" s="11"/>
      <c r="M9" s="11"/>
      <c r="N9" s="11"/>
      <c r="O9" s="11">
        <f t="shared" si="0"/>
        <v>434026280</v>
      </c>
      <c r="P9" t="s">
        <v>125</v>
      </c>
      <c r="Q9" t="s">
        <v>126</v>
      </c>
      <c r="R9" s="16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16">
        <f t="shared" si="1"/>
        <v>432039134</v>
      </c>
      <c r="W9" s="1">
        <f>63924612+321140379</f>
        <v>385064991</v>
      </c>
    </row>
    <row r="10" spans="1:23" ht="42.75">
      <c r="A10" s="47" t="s">
        <v>17</v>
      </c>
      <c r="B10" s="42" t="s">
        <v>33</v>
      </c>
      <c r="C10" s="43">
        <v>900</v>
      </c>
      <c r="D10" s="44">
        <v>4</v>
      </c>
      <c r="E10" s="45" t="s">
        <v>46</v>
      </c>
      <c r="F10" s="27">
        <v>1073210483</v>
      </c>
      <c r="G10" s="27">
        <v>0</v>
      </c>
      <c r="H10" s="55">
        <v>-1877233369</v>
      </c>
      <c r="I10" s="11"/>
      <c r="J10" s="53">
        <v>804022886</v>
      </c>
      <c r="K10" s="11"/>
      <c r="L10" s="11"/>
      <c r="M10" s="11"/>
      <c r="N10" s="11"/>
      <c r="O10" s="11">
        <f t="shared" si="0"/>
        <v>0</v>
      </c>
      <c r="P10" t="s">
        <v>127</v>
      </c>
      <c r="Q10" t="s">
        <v>79</v>
      </c>
      <c r="R10" s="16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16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47" t="s">
        <v>17</v>
      </c>
      <c r="B11" s="42" t="s">
        <v>34</v>
      </c>
      <c r="C11" s="43">
        <v>900</v>
      </c>
      <c r="D11" s="44">
        <v>1</v>
      </c>
      <c r="E11" s="45" t="s">
        <v>47</v>
      </c>
      <c r="F11" s="27">
        <v>289000000</v>
      </c>
      <c r="G11" s="58">
        <v>-320465303</v>
      </c>
      <c r="H11" s="55">
        <v>-4610085</v>
      </c>
      <c r="I11" s="11"/>
      <c r="J11" s="53">
        <v>100000000</v>
      </c>
      <c r="K11" s="11"/>
      <c r="L11" s="11"/>
      <c r="M11" s="11"/>
      <c r="N11" s="11"/>
      <c r="O11" s="11">
        <f t="shared" si="0"/>
        <v>63924612</v>
      </c>
      <c r="Q11" t="s">
        <v>128</v>
      </c>
      <c r="R11" s="16">
        <f>SUM(R4:R10)</f>
        <v>17250332312</v>
      </c>
      <c r="S11" s="16">
        <f>SUM(S4:S10)</f>
        <v>14633268424</v>
      </c>
      <c r="T11" s="16">
        <f>SUM(T4:T10)</f>
        <v>25367251582</v>
      </c>
      <c r="U11" s="16">
        <f>SUM(U4:U10)</f>
        <v>-25367251582</v>
      </c>
      <c r="V11" s="16">
        <f t="shared" si="1"/>
        <v>31883600736</v>
      </c>
      <c r="W11" s="16">
        <f>SUM(W4:W10)</f>
        <v>31023133223</v>
      </c>
    </row>
    <row r="12" spans="1:23" ht="21.75">
      <c r="A12" s="47" t="s">
        <v>17</v>
      </c>
      <c r="B12" s="42" t="s">
        <v>34</v>
      </c>
      <c r="C12" s="43">
        <v>900</v>
      </c>
      <c r="D12" s="44">
        <v>2</v>
      </c>
      <c r="E12" s="45" t="s">
        <v>48</v>
      </c>
      <c r="F12" s="27">
        <v>1000000000</v>
      </c>
      <c r="G12" s="27">
        <v>-1948357768</v>
      </c>
      <c r="H12" s="37">
        <v>-2855109</v>
      </c>
      <c r="I12" s="11"/>
      <c r="J12" s="53">
        <v>1000000000</v>
      </c>
      <c r="K12" s="11"/>
      <c r="L12" s="11"/>
      <c r="M12" s="11"/>
      <c r="N12" s="11"/>
      <c r="O12" s="11">
        <f t="shared" si="0"/>
        <v>48787123</v>
      </c>
      <c r="T12" s="1"/>
      <c r="U12" s="16"/>
      <c r="V12" s="16"/>
      <c r="W12" s="4" t="s">
        <v>0</v>
      </c>
    </row>
    <row r="13" spans="1:23" ht="32.25">
      <c r="A13" s="47" t="s">
        <v>17</v>
      </c>
      <c r="B13" s="42" t="s">
        <v>35</v>
      </c>
      <c r="C13" s="43">
        <v>900</v>
      </c>
      <c r="D13" s="44">
        <v>1</v>
      </c>
      <c r="E13" s="45" t="s">
        <v>49</v>
      </c>
      <c r="F13" s="27">
        <v>2132498061</v>
      </c>
      <c r="G13" s="27">
        <v>-1310392615</v>
      </c>
      <c r="H13" s="37">
        <v>-5190697</v>
      </c>
      <c r="I13" s="11"/>
      <c r="J13" s="53">
        <v>300000000</v>
      </c>
      <c r="K13" s="11"/>
      <c r="L13" s="11"/>
      <c r="M13" s="11"/>
      <c r="N13" s="11"/>
      <c r="O13" s="11">
        <f t="shared" si="0"/>
        <v>1116914749</v>
      </c>
      <c r="T13" s="16"/>
      <c r="V13" s="16"/>
      <c r="W13" s="1" t="e">
        <f>+W12-W11</f>
        <v>#VALUE!</v>
      </c>
    </row>
    <row r="14" spans="1:23" ht="53.25">
      <c r="A14" s="47" t="s">
        <v>17</v>
      </c>
      <c r="B14" s="42" t="s">
        <v>35</v>
      </c>
      <c r="C14" s="43">
        <v>900</v>
      </c>
      <c r="D14" s="44">
        <v>2</v>
      </c>
      <c r="E14" s="45" t="s">
        <v>50</v>
      </c>
      <c r="F14" s="27">
        <v>520000000</v>
      </c>
      <c r="G14" s="58">
        <v>-2114195091</v>
      </c>
      <c r="H14" s="55">
        <v>-469117</v>
      </c>
      <c r="I14" s="11"/>
      <c r="J14" s="53">
        <v>1914662737</v>
      </c>
      <c r="K14" s="11"/>
      <c r="L14" s="11"/>
      <c r="M14" s="11"/>
      <c r="N14" s="11"/>
      <c r="O14" s="11">
        <f t="shared" si="0"/>
        <v>319998529</v>
      </c>
      <c r="V14" s="16"/>
      <c r="W14" s="1"/>
    </row>
    <row r="15" spans="1:23" ht="42.75">
      <c r="A15" s="47" t="s">
        <v>17</v>
      </c>
      <c r="B15" s="42" t="s">
        <v>36</v>
      </c>
      <c r="C15" s="43">
        <v>900</v>
      </c>
      <c r="D15" s="44">
        <v>1</v>
      </c>
      <c r="E15" s="45" t="s">
        <v>51</v>
      </c>
      <c r="F15" s="27">
        <v>700000000</v>
      </c>
      <c r="G15" s="58">
        <v>-1435581568</v>
      </c>
      <c r="H15" s="37">
        <v>0</v>
      </c>
      <c r="I15" s="11"/>
      <c r="J15" s="53">
        <v>900000000</v>
      </c>
      <c r="K15" s="11"/>
      <c r="L15" s="11"/>
      <c r="M15" s="11"/>
      <c r="N15" s="11"/>
      <c r="O15" s="11">
        <f t="shared" si="0"/>
        <v>164418432</v>
      </c>
      <c r="V15" s="16"/>
      <c r="W15" s="1"/>
    </row>
    <row r="16" spans="1:23" ht="53.25">
      <c r="A16" s="47" t="s">
        <v>17</v>
      </c>
      <c r="B16" s="42" t="s">
        <v>37</v>
      </c>
      <c r="C16" s="43">
        <v>900</v>
      </c>
      <c r="D16" s="44">
        <v>1</v>
      </c>
      <c r="E16" s="46" t="s">
        <v>52</v>
      </c>
      <c r="F16" s="27">
        <f>+'[1]Gastos 2016'!$B$16</f>
        <v>250000000</v>
      </c>
      <c r="G16" s="27">
        <v>-573306</v>
      </c>
      <c r="H16" s="37">
        <v>-141124746</v>
      </c>
      <c r="I16" s="11"/>
      <c r="J16" s="11"/>
      <c r="K16" s="11"/>
      <c r="L16" s="11"/>
      <c r="M16" s="11"/>
      <c r="N16" s="11"/>
      <c r="O16" s="11">
        <f t="shared" si="0"/>
        <v>108301948</v>
      </c>
      <c r="V16" s="16"/>
      <c r="W16" s="1"/>
    </row>
    <row r="17" spans="1:23" ht="32.25">
      <c r="A17" s="47" t="s">
        <v>17</v>
      </c>
      <c r="B17" s="42" t="s">
        <v>37</v>
      </c>
      <c r="C17" s="43">
        <v>900</v>
      </c>
      <c r="D17" s="44">
        <v>2</v>
      </c>
      <c r="E17" s="46" t="s">
        <v>53</v>
      </c>
      <c r="F17" s="27">
        <v>200000000</v>
      </c>
      <c r="G17" s="27">
        <v>-3856237256</v>
      </c>
      <c r="H17" s="37">
        <v>-1050578</v>
      </c>
      <c r="I17" s="11"/>
      <c r="J17" s="53">
        <v>3728574777</v>
      </c>
      <c r="K17" s="11">
        <v>771935666</v>
      </c>
      <c r="L17" s="11"/>
      <c r="M17" s="11"/>
      <c r="N17" s="11"/>
      <c r="O17" s="11">
        <f t="shared" si="0"/>
        <v>843222609</v>
      </c>
      <c r="V17" s="16"/>
      <c r="W17" s="1"/>
    </row>
    <row r="18" spans="1:23" ht="21.75">
      <c r="A18" s="47"/>
      <c r="B18" s="42"/>
      <c r="C18" s="43"/>
      <c r="D18" s="44"/>
      <c r="E18" s="46" t="s">
        <v>78</v>
      </c>
      <c r="F18" s="27">
        <f aca="true" t="shared" si="2" ref="F18:O18">SUM(F4:F17)</f>
        <v>14570332312</v>
      </c>
      <c r="G18" s="27">
        <f t="shared" si="2"/>
        <v>-11012270523</v>
      </c>
      <c r="H18" s="27">
        <f t="shared" si="2"/>
        <v>-13532513454</v>
      </c>
      <c r="I18" s="27">
        <f t="shared" si="2"/>
        <v>-518682</v>
      </c>
      <c r="J18" s="27">
        <f t="shared" si="2"/>
        <v>13112240595</v>
      </c>
      <c r="K18" s="27">
        <f t="shared" si="2"/>
        <v>771935666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 t="shared" si="2"/>
        <v>3909205914</v>
      </c>
      <c r="V18" s="16"/>
      <c r="W18" s="1"/>
    </row>
    <row r="19" spans="1:23" ht="12.75">
      <c r="A19" s="47"/>
      <c r="B19" s="42"/>
      <c r="C19" s="43"/>
      <c r="D19" s="44"/>
      <c r="E19" s="46"/>
      <c r="F19" s="27"/>
      <c r="G19" s="27"/>
      <c r="H19" s="15"/>
      <c r="I19" s="11"/>
      <c r="J19" s="11"/>
      <c r="K19" s="11"/>
      <c r="L19" s="11"/>
      <c r="M19" s="11"/>
      <c r="N19" s="11"/>
      <c r="O19" s="11">
        <f aca="true" t="shared" si="3" ref="O19:O33">SUM(F19:N19)</f>
        <v>0</v>
      </c>
      <c r="V19" s="16"/>
      <c r="W19" s="1"/>
    </row>
    <row r="20" spans="1:22" ht="22.5">
      <c r="A20" s="47"/>
      <c r="B20" s="42"/>
      <c r="C20" s="43"/>
      <c r="D20" s="44"/>
      <c r="E20" s="50" t="s">
        <v>74</v>
      </c>
      <c r="F20" s="51" t="s">
        <v>0</v>
      </c>
      <c r="G20" s="51" t="s">
        <v>0</v>
      </c>
      <c r="H20" s="51" t="s">
        <v>0</v>
      </c>
      <c r="I20" s="12" t="s">
        <v>0</v>
      </c>
      <c r="J20" s="11"/>
      <c r="K20" s="11"/>
      <c r="L20" s="11"/>
      <c r="M20" s="11"/>
      <c r="N20" s="11"/>
      <c r="O20" s="11">
        <f t="shared" si="3"/>
        <v>0</v>
      </c>
      <c r="V20" s="16"/>
    </row>
    <row r="21" spans="1:15" ht="33.75">
      <c r="A21" s="47" t="s">
        <v>17</v>
      </c>
      <c r="B21" s="42" t="s">
        <v>32</v>
      </c>
      <c r="C21" s="43">
        <v>1</v>
      </c>
      <c r="D21" s="44"/>
      <c r="E21" s="52" t="s">
        <v>64</v>
      </c>
      <c r="F21" s="27">
        <v>0</v>
      </c>
      <c r="G21" s="27">
        <v>0</v>
      </c>
      <c r="H21" s="15">
        <v>0</v>
      </c>
      <c r="I21" s="11">
        <v>-452579556</v>
      </c>
      <c r="J21" s="11"/>
      <c r="K21" s="11"/>
      <c r="L21" s="53">
        <v>4670486343</v>
      </c>
      <c r="M21" s="53">
        <v>350000000</v>
      </c>
      <c r="N21" s="11"/>
      <c r="O21" s="11">
        <f t="shared" si="3"/>
        <v>4567906787</v>
      </c>
    </row>
    <row r="22" spans="1:15" ht="22.5">
      <c r="A22" s="47" t="s">
        <v>17</v>
      </c>
      <c r="B22" s="42" t="s">
        <v>32</v>
      </c>
      <c r="C22" s="43">
        <v>2</v>
      </c>
      <c r="D22" s="44"/>
      <c r="E22" s="52" t="s">
        <v>65</v>
      </c>
      <c r="F22" s="27">
        <v>0</v>
      </c>
      <c r="G22" s="27">
        <v>0</v>
      </c>
      <c r="H22" s="15">
        <v>0</v>
      </c>
      <c r="I22" s="11"/>
      <c r="J22" s="11"/>
      <c r="K22" s="11"/>
      <c r="L22" s="53">
        <v>5138984266</v>
      </c>
      <c r="M22" s="53">
        <v>39000000</v>
      </c>
      <c r="N22" s="11"/>
      <c r="O22" s="11">
        <f t="shared" si="3"/>
        <v>5177984266</v>
      </c>
    </row>
    <row r="23" spans="1:15" ht="22.5">
      <c r="A23" s="47" t="s">
        <v>17</v>
      </c>
      <c r="B23" s="42" t="s">
        <v>32</v>
      </c>
      <c r="C23" s="43">
        <v>3</v>
      </c>
      <c r="D23" s="44"/>
      <c r="E23" s="52" t="s">
        <v>66</v>
      </c>
      <c r="F23" s="27">
        <v>0</v>
      </c>
      <c r="G23" s="27">
        <v>0</v>
      </c>
      <c r="H23" s="15">
        <v>0</v>
      </c>
      <c r="I23" s="11"/>
      <c r="J23" s="11"/>
      <c r="K23" s="11"/>
      <c r="L23" s="53">
        <v>1877233369</v>
      </c>
      <c r="M23" s="11"/>
      <c r="N23" s="11"/>
      <c r="O23" s="11">
        <f t="shared" si="3"/>
        <v>1877233369</v>
      </c>
    </row>
    <row r="24" spans="1:15" ht="45">
      <c r="A24" s="47" t="s">
        <v>17</v>
      </c>
      <c r="B24" s="42" t="s">
        <v>33</v>
      </c>
      <c r="C24" s="43">
        <v>1</v>
      </c>
      <c r="D24" s="44"/>
      <c r="E24" s="52" t="s">
        <v>67</v>
      </c>
      <c r="F24" s="27">
        <v>0</v>
      </c>
      <c r="G24" s="27">
        <v>0</v>
      </c>
      <c r="H24" s="15">
        <v>0</v>
      </c>
      <c r="I24" s="11">
        <v>0</v>
      </c>
      <c r="J24" s="11"/>
      <c r="K24" s="11"/>
      <c r="L24" s="53">
        <v>97010786</v>
      </c>
      <c r="M24" s="53">
        <v>128863196</v>
      </c>
      <c r="N24" s="53">
        <v>2572702</v>
      </c>
      <c r="O24" s="11">
        <f t="shared" si="3"/>
        <v>228446684</v>
      </c>
    </row>
    <row r="25" spans="1:15" ht="56.25">
      <c r="A25" s="47" t="s">
        <v>17</v>
      </c>
      <c r="B25" s="42" t="s">
        <v>33</v>
      </c>
      <c r="C25" s="43">
        <v>2</v>
      </c>
      <c r="D25" s="44"/>
      <c r="E25" s="52" t="s">
        <v>68</v>
      </c>
      <c r="F25" s="27">
        <v>0</v>
      </c>
      <c r="G25" s="27">
        <v>0</v>
      </c>
      <c r="H25" s="15">
        <v>0</v>
      </c>
      <c r="I25" s="11">
        <v>0</v>
      </c>
      <c r="J25" s="11"/>
      <c r="K25" s="11"/>
      <c r="L25" s="53">
        <v>960739105</v>
      </c>
      <c r="M25" s="53">
        <v>188668770</v>
      </c>
      <c r="N25" s="53">
        <v>23894914</v>
      </c>
      <c r="O25" s="11">
        <f t="shared" si="3"/>
        <v>1173302789</v>
      </c>
    </row>
    <row r="26" spans="1:15" ht="22.5">
      <c r="A26" s="47" t="s">
        <v>17</v>
      </c>
      <c r="B26" s="42" t="s">
        <v>34</v>
      </c>
      <c r="C26" s="43">
        <v>1</v>
      </c>
      <c r="D26" s="44"/>
      <c r="E26" s="52" t="s">
        <v>69</v>
      </c>
      <c r="F26" s="27">
        <v>0</v>
      </c>
      <c r="G26" s="39">
        <v>0</v>
      </c>
      <c r="H26" s="15">
        <v>0</v>
      </c>
      <c r="I26" s="11"/>
      <c r="J26" s="53">
        <v>749092163</v>
      </c>
      <c r="K26" s="11"/>
      <c r="L26" s="53">
        <v>4539266111</v>
      </c>
      <c r="M26" s="53">
        <v>2142566</v>
      </c>
      <c r="N26" s="53">
        <v>19369367</v>
      </c>
      <c r="O26" s="11">
        <f t="shared" si="3"/>
        <v>5309870207</v>
      </c>
    </row>
    <row r="27" spans="1:15" ht="33.75">
      <c r="A27" s="47" t="s">
        <v>17</v>
      </c>
      <c r="B27" s="42" t="s">
        <v>34</v>
      </c>
      <c r="C27" s="43">
        <v>2</v>
      </c>
      <c r="D27" s="44"/>
      <c r="E27" s="52" t="s">
        <v>70</v>
      </c>
      <c r="F27" s="27">
        <v>0</v>
      </c>
      <c r="G27" s="27">
        <v>-19369367</v>
      </c>
      <c r="H27" s="15">
        <v>0</v>
      </c>
      <c r="I27" s="11"/>
      <c r="J27" s="11"/>
      <c r="K27" s="11"/>
      <c r="L27" s="53">
        <v>166163600</v>
      </c>
      <c r="M27" s="53"/>
      <c r="N27" s="53"/>
      <c r="O27" s="11">
        <f t="shared" si="3"/>
        <v>146794233</v>
      </c>
    </row>
    <row r="28" spans="1:15" ht="22.5">
      <c r="A28" s="47" t="s">
        <v>17</v>
      </c>
      <c r="B28" s="42" t="s">
        <v>35</v>
      </c>
      <c r="C28" s="43">
        <v>1</v>
      </c>
      <c r="D28" s="44"/>
      <c r="E28" s="52" t="s">
        <v>71</v>
      </c>
      <c r="F28" s="27">
        <v>0</v>
      </c>
      <c r="G28" s="27">
        <v>0</v>
      </c>
      <c r="H28" s="15">
        <f>+F28+G28</f>
        <v>0</v>
      </c>
      <c r="I28" s="11"/>
      <c r="J28" s="11"/>
      <c r="K28" s="11"/>
      <c r="L28" s="53">
        <v>5190697</v>
      </c>
      <c r="M28" s="53">
        <v>963947415</v>
      </c>
      <c r="N28" s="53"/>
      <c r="O28" s="11">
        <f t="shared" si="3"/>
        <v>969138112</v>
      </c>
    </row>
    <row r="29" spans="1:15" ht="22.5">
      <c r="A29" s="47" t="s">
        <v>17</v>
      </c>
      <c r="B29" s="42" t="s">
        <v>36</v>
      </c>
      <c r="C29" s="43">
        <v>1</v>
      </c>
      <c r="D29" s="44"/>
      <c r="E29" s="52" t="s">
        <v>72</v>
      </c>
      <c r="F29" s="27">
        <v>0</v>
      </c>
      <c r="G29" s="27">
        <v>0</v>
      </c>
      <c r="H29" s="15">
        <v>0</v>
      </c>
      <c r="I29" s="11"/>
      <c r="J29" s="11"/>
      <c r="K29" s="11"/>
      <c r="L29" s="53">
        <v>4610085</v>
      </c>
      <c r="M29" s="53">
        <v>363504437</v>
      </c>
      <c r="N29" s="11"/>
      <c r="O29" s="11">
        <f t="shared" si="3"/>
        <v>368114522</v>
      </c>
    </row>
    <row r="30" spans="1:15" ht="22.5">
      <c r="A30" s="47" t="s">
        <v>17</v>
      </c>
      <c r="B30" s="42" t="s">
        <v>36</v>
      </c>
      <c r="C30" s="43">
        <v>2</v>
      </c>
      <c r="D30" s="44"/>
      <c r="E30" s="52" t="s">
        <v>76</v>
      </c>
      <c r="F30" s="27">
        <v>0</v>
      </c>
      <c r="G30" s="27">
        <v>-350000000</v>
      </c>
      <c r="H30" s="15">
        <v>0</v>
      </c>
      <c r="I30" s="11"/>
      <c r="J30" s="11"/>
      <c r="K30" s="11"/>
      <c r="L30" s="53">
        <v>2134602968</v>
      </c>
      <c r="M30" s="53">
        <v>2855109</v>
      </c>
      <c r="N30" s="11"/>
      <c r="O30" s="11">
        <f t="shared" si="3"/>
        <v>1787458077</v>
      </c>
    </row>
    <row r="31" spans="1:15" ht="22.5">
      <c r="A31" s="47" t="s">
        <v>17</v>
      </c>
      <c r="B31" s="42" t="s">
        <v>37</v>
      </c>
      <c r="C31" s="43">
        <v>1</v>
      </c>
      <c r="D31" s="44"/>
      <c r="E31" s="52" t="s">
        <v>73</v>
      </c>
      <c r="F31" s="27">
        <v>0</v>
      </c>
      <c r="G31" s="27">
        <v>0</v>
      </c>
      <c r="H31" s="15">
        <v>0</v>
      </c>
      <c r="I31" s="11"/>
      <c r="J31" s="11"/>
      <c r="K31" s="11"/>
      <c r="L31" s="54">
        <v>469117</v>
      </c>
      <c r="M31" s="53">
        <v>127900000</v>
      </c>
      <c r="N31" s="53">
        <v>2114195091</v>
      </c>
      <c r="O31" s="11">
        <f t="shared" si="3"/>
        <v>2242564208</v>
      </c>
    </row>
    <row r="32" spans="1:15" ht="22.5">
      <c r="A32" s="47" t="s">
        <v>17</v>
      </c>
      <c r="B32" s="42" t="s">
        <v>37</v>
      </c>
      <c r="C32" s="43">
        <v>2</v>
      </c>
      <c r="D32" s="44"/>
      <c r="E32" s="52" t="s">
        <v>75</v>
      </c>
      <c r="F32" s="27">
        <v>0</v>
      </c>
      <c r="G32" s="27">
        <v>0</v>
      </c>
      <c r="H32" s="15">
        <v>0</v>
      </c>
      <c r="I32" s="11"/>
      <c r="J32" s="11"/>
      <c r="K32" s="11"/>
      <c r="L32" s="53">
        <v>1445581568</v>
      </c>
      <c r="M32" s="11"/>
      <c r="N32" s="11"/>
      <c r="O32" s="11">
        <f t="shared" si="3"/>
        <v>1445581568</v>
      </c>
    </row>
    <row r="33" spans="1:15" ht="12.75">
      <c r="A33" s="47"/>
      <c r="B33" s="42"/>
      <c r="C33" s="43"/>
      <c r="D33" s="44"/>
      <c r="E33" s="46"/>
      <c r="F33" s="27"/>
      <c r="G33" s="27"/>
      <c r="H33" s="15"/>
      <c r="I33" s="11"/>
      <c r="J33" s="11"/>
      <c r="K33" s="11"/>
      <c r="L33" s="11"/>
      <c r="M33" s="11"/>
      <c r="N33" s="11"/>
      <c r="O33" s="11">
        <f t="shared" si="3"/>
        <v>0</v>
      </c>
    </row>
    <row r="34" spans="1:15" ht="21.75">
      <c r="A34" s="47"/>
      <c r="B34" s="42"/>
      <c r="C34" s="43"/>
      <c r="D34" s="44"/>
      <c r="E34" s="46" t="s">
        <v>77</v>
      </c>
      <c r="F34" s="27">
        <f>SUM(F21:F33)</f>
        <v>0</v>
      </c>
      <c r="G34" s="27">
        <f aca="true" t="shared" si="4" ref="G34:O34">SUM(G21:G33)</f>
        <v>-369369367</v>
      </c>
      <c r="H34" s="27">
        <f t="shared" si="4"/>
        <v>0</v>
      </c>
      <c r="I34" s="27">
        <f t="shared" si="4"/>
        <v>-452579556</v>
      </c>
      <c r="J34" s="27">
        <f t="shared" si="4"/>
        <v>749092163</v>
      </c>
      <c r="K34" s="27">
        <f t="shared" si="4"/>
        <v>0</v>
      </c>
      <c r="L34" s="27">
        <f t="shared" si="4"/>
        <v>21040338015</v>
      </c>
      <c r="M34" s="27">
        <f t="shared" si="4"/>
        <v>2166881493</v>
      </c>
      <c r="N34" s="27">
        <f t="shared" si="4"/>
        <v>2160032074</v>
      </c>
      <c r="O34" s="27">
        <f t="shared" si="4"/>
        <v>25294394822</v>
      </c>
    </row>
    <row r="35" spans="1:15" ht="12.75">
      <c r="A35" s="47" t="s">
        <v>0</v>
      </c>
      <c r="B35" s="42"/>
      <c r="C35" s="43"/>
      <c r="D35" s="44"/>
      <c r="E35" s="29"/>
      <c r="F35" s="27"/>
      <c r="G35" s="27" t="s">
        <v>0</v>
      </c>
      <c r="H35" s="15" t="s">
        <v>0</v>
      </c>
      <c r="I35" s="11"/>
      <c r="J35" s="11"/>
      <c r="K35" s="11"/>
      <c r="L35" s="11"/>
      <c r="M35" s="11"/>
      <c r="N35" s="11"/>
      <c r="O35" s="11">
        <f>SUM(F35:N35)</f>
        <v>0</v>
      </c>
    </row>
    <row r="36" spans="1:15" ht="13.5" thickBot="1">
      <c r="A36" s="48"/>
      <c r="B36" s="42"/>
      <c r="C36" s="43"/>
      <c r="D36" s="44"/>
      <c r="E36" s="29" t="s">
        <v>55</v>
      </c>
      <c r="F36" s="27">
        <f>+F18+F34</f>
        <v>14570332312</v>
      </c>
      <c r="G36" s="27">
        <f aca="true" t="shared" si="5" ref="G36:O36">+G18+G34</f>
        <v>-11381639890</v>
      </c>
      <c r="H36" s="27">
        <f t="shared" si="5"/>
        <v>-13532513454</v>
      </c>
      <c r="I36" s="27">
        <f t="shared" si="5"/>
        <v>-453098238</v>
      </c>
      <c r="J36" s="27">
        <f t="shared" si="5"/>
        <v>13861332758</v>
      </c>
      <c r="K36" s="27">
        <f t="shared" si="5"/>
        <v>771935666</v>
      </c>
      <c r="L36" s="27">
        <f t="shared" si="5"/>
        <v>21040338015</v>
      </c>
      <c r="M36" s="27">
        <f t="shared" si="5"/>
        <v>2166881493</v>
      </c>
      <c r="N36" s="27">
        <f t="shared" si="5"/>
        <v>2160032074</v>
      </c>
      <c r="O36" s="27">
        <f t="shared" si="5"/>
        <v>29203600736</v>
      </c>
    </row>
    <row r="37" spans="1:15" ht="12.75">
      <c r="A37" s="28"/>
      <c r="B37" s="8"/>
      <c r="C37" s="8"/>
      <c r="D37" s="8"/>
      <c r="E37" s="8"/>
      <c r="F37" s="7">
        <f>+F36</f>
        <v>14570332312</v>
      </c>
      <c r="G37" s="7">
        <f>+G36+H36+I36</f>
        <v>-25367251582</v>
      </c>
      <c r="H37" s="8"/>
      <c r="I37" s="11"/>
      <c r="J37" s="11">
        <f>+J36+K36</f>
        <v>14633268424</v>
      </c>
      <c r="K37" s="11"/>
      <c r="L37" s="11">
        <f>+L36+M36+N36</f>
        <v>25367251582</v>
      </c>
      <c r="M37" s="11"/>
      <c r="N37" s="11"/>
      <c r="O37" s="11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2020-01-31T12:55:49Z</cp:lastPrinted>
  <dcterms:created xsi:type="dcterms:W3CDTF">2007-01-13T18:42:48Z</dcterms:created>
  <dcterms:modified xsi:type="dcterms:W3CDTF">2021-03-18T21:49:11Z</dcterms:modified>
  <cp:category/>
  <cp:version/>
  <cp:contentType/>
  <cp:contentStatus/>
</cp:coreProperties>
</file>